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it Lath\Documents\nimf-tracker-main\Manual\COW\secondary-axis\"/>
    </mc:Choice>
  </mc:AlternateContent>
  <xr:revisionPtr revIDLastSave="0" documentId="13_ncr:1_{02A50A32-A0D3-41DF-9F3A-E127EBCA9E96}" xr6:coauthVersionLast="47" xr6:coauthVersionMax="47" xr10:uidLastSave="{00000000-0000-0000-0000-000000000000}"/>
  <bookViews>
    <workbookView xWindow="-108" yWindow="-108" windowWidth="23256" windowHeight="12576" activeTab="1" xr2:uid="{1F99DCDC-3945-4E08-8BF8-3C0D40EFC8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460" i="2" l="1"/>
  <c r="B7460" i="2"/>
  <c r="C7459" i="2"/>
  <c r="B7459" i="2"/>
  <c r="C7458" i="2"/>
  <c r="B7458" i="2"/>
  <c r="C7457" i="2"/>
  <c r="B7457" i="2"/>
  <c r="C7456" i="2"/>
  <c r="B7456" i="2"/>
  <c r="C7455" i="2"/>
  <c r="B7455" i="2"/>
  <c r="C7454" i="2"/>
  <c r="B7454" i="2"/>
  <c r="C7453" i="2"/>
  <c r="B7453" i="2"/>
  <c r="C7452" i="2"/>
  <c r="B7452" i="2"/>
  <c r="C7451" i="2"/>
  <c r="B7451" i="2"/>
  <c r="C7450" i="2"/>
  <c r="B7450" i="2"/>
  <c r="C7449" i="2"/>
  <c r="B7449" i="2"/>
  <c r="C7448" i="2"/>
  <c r="B7448" i="2"/>
  <c r="C7447" i="2"/>
  <c r="B7447" i="2"/>
  <c r="C7446" i="2"/>
  <c r="B7446" i="2"/>
  <c r="C7445" i="2"/>
  <c r="B7445" i="2"/>
  <c r="C7444" i="2"/>
  <c r="B7444" i="2"/>
  <c r="C7443" i="2"/>
  <c r="B7443" i="2"/>
  <c r="C7442" i="2"/>
  <c r="B7442" i="2"/>
  <c r="C7441" i="2"/>
  <c r="B7441" i="2"/>
  <c r="C7440" i="2"/>
  <c r="B7440" i="2"/>
  <c r="C7439" i="2"/>
  <c r="B7439" i="2"/>
  <c r="C7438" i="2"/>
  <c r="B7438" i="2"/>
  <c r="C7437" i="2"/>
  <c r="B7437" i="2"/>
  <c r="C7436" i="2"/>
  <c r="B7436" i="2"/>
  <c r="C7435" i="2"/>
  <c r="B7435" i="2"/>
  <c r="C7434" i="2"/>
  <c r="B7434" i="2"/>
  <c r="C7433" i="2"/>
  <c r="B7433" i="2"/>
  <c r="C7432" i="2"/>
  <c r="B7432" i="2"/>
  <c r="C7431" i="2"/>
  <c r="B7431" i="2"/>
  <c r="C7430" i="2"/>
  <c r="B7430" i="2"/>
  <c r="C7429" i="2"/>
  <c r="B7429" i="2"/>
  <c r="C7428" i="2"/>
  <c r="B7428" i="2"/>
  <c r="C7427" i="2"/>
  <c r="B7427" i="2"/>
  <c r="C7426" i="2"/>
  <c r="B7426" i="2"/>
  <c r="C7425" i="2"/>
  <c r="B7425" i="2"/>
  <c r="C7424" i="2"/>
  <c r="B7424" i="2"/>
  <c r="C7423" i="2"/>
  <c r="B7423" i="2"/>
  <c r="C7422" i="2"/>
  <c r="B7422" i="2"/>
  <c r="C7421" i="2"/>
  <c r="B7421" i="2"/>
  <c r="C7420" i="2"/>
  <c r="B7420" i="2"/>
  <c r="C7419" i="2"/>
  <c r="B7419" i="2"/>
  <c r="C7418" i="2"/>
  <c r="B7418" i="2"/>
  <c r="C7417" i="2"/>
  <c r="B7417" i="2"/>
  <c r="C7416" i="2"/>
  <c r="B7416" i="2"/>
  <c r="C7415" i="2"/>
  <c r="B7415" i="2"/>
  <c r="C7414" i="2"/>
  <c r="B7414" i="2"/>
  <c r="C7413" i="2"/>
  <c r="B7413" i="2"/>
  <c r="C7412" i="2"/>
  <c r="B7412" i="2"/>
  <c r="C7411" i="2"/>
  <c r="B7411" i="2"/>
  <c r="C7410" i="2"/>
  <c r="B7410" i="2"/>
  <c r="C7409" i="2"/>
  <c r="B7409" i="2"/>
  <c r="C7408" i="2"/>
  <c r="B7408" i="2"/>
  <c r="C7407" i="2"/>
  <c r="B7407" i="2"/>
  <c r="C7406" i="2"/>
  <c r="B7406" i="2"/>
  <c r="C7405" i="2"/>
  <c r="B7405" i="2"/>
  <c r="C7404" i="2"/>
  <c r="B7404" i="2"/>
  <c r="C7403" i="2"/>
  <c r="B7403" i="2"/>
  <c r="C7402" i="2"/>
  <c r="B7402" i="2"/>
  <c r="C7401" i="2"/>
  <c r="B7401" i="2"/>
  <c r="C7400" i="2"/>
  <c r="B7400" i="2"/>
  <c r="C7399" i="2"/>
  <c r="B7399" i="2"/>
  <c r="C7398" i="2"/>
  <c r="B7398" i="2"/>
  <c r="C7397" i="2"/>
  <c r="B7397" i="2"/>
  <c r="C7396" i="2"/>
  <c r="B7396" i="2"/>
  <c r="C7395" i="2"/>
  <c r="B7395" i="2"/>
  <c r="C7394" i="2"/>
  <c r="B7394" i="2"/>
  <c r="C7393" i="2"/>
  <c r="B7393" i="2"/>
  <c r="C7392" i="2"/>
  <c r="B7392" i="2"/>
  <c r="C7391" i="2"/>
  <c r="B7391" i="2"/>
  <c r="C7390" i="2"/>
  <c r="B7390" i="2"/>
  <c r="C7389" i="2"/>
  <c r="B7389" i="2"/>
  <c r="C7388" i="2"/>
  <c r="B7388" i="2"/>
  <c r="C7387" i="2"/>
  <c r="B7387" i="2"/>
  <c r="C7386" i="2"/>
  <c r="B7386" i="2"/>
  <c r="C7385" i="2"/>
  <c r="B7385" i="2"/>
  <c r="C7384" i="2"/>
  <c r="B7384" i="2"/>
  <c r="C7383" i="2"/>
  <c r="B7383" i="2"/>
  <c r="C7382" i="2"/>
  <c r="B7382" i="2"/>
  <c r="C7381" i="2"/>
  <c r="B7381" i="2"/>
  <c r="C7380" i="2"/>
  <c r="B7380" i="2"/>
  <c r="C7379" i="2"/>
  <c r="B7379" i="2"/>
  <c r="C7378" i="2"/>
  <c r="B7378" i="2"/>
  <c r="C7377" i="2"/>
  <c r="B7377" i="2"/>
  <c r="C7376" i="2"/>
  <c r="B7376" i="2"/>
  <c r="C7375" i="2"/>
  <c r="B7375" i="2"/>
  <c r="C7374" i="2"/>
  <c r="B7374" i="2"/>
  <c r="C7373" i="2"/>
  <c r="B7373" i="2"/>
  <c r="C7372" i="2"/>
  <c r="B7372" i="2"/>
  <c r="C7371" i="2"/>
  <c r="B7371" i="2"/>
  <c r="C7370" i="2"/>
  <c r="B7370" i="2"/>
  <c r="C7369" i="2"/>
  <c r="B7369" i="2"/>
  <c r="C7368" i="2"/>
  <c r="B7368" i="2"/>
  <c r="C7367" i="2"/>
  <c r="B7367" i="2"/>
  <c r="C7366" i="2"/>
  <c r="B7366" i="2"/>
  <c r="C7365" i="2"/>
  <c r="B7365" i="2"/>
  <c r="C7364" i="2"/>
  <c r="B7364" i="2"/>
  <c r="C7363" i="2"/>
  <c r="B7363" i="2"/>
  <c r="C7362" i="2"/>
  <c r="B7362" i="2"/>
  <c r="C7361" i="2"/>
  <c r="B7361" i="2"/>
  <c r="C7360" i="2"/>
  <c r="B7360" i="2"/>
  <c r="C7359" i="2"/>
  <c r="B7359" i="2"/>
  <c r="C7358" i="2"/>
  <c r="B7358" i="2"/>
  <c r="C7357" i="2"/>
  <c r="B7357" i="2"/>
  <c r="C7356" i="2"/>
  <c r="B7356" i="2"/>
  <c r="C7355" i="2"/>
  <c r="B7355" i="2"/>
  <c r="C7354" i="2"/>
  <c r="B7354" i="2"/>
  <c r="C7353" i="2"/>
  <c r="B7353" i="2"/>
  <c r="C7352" i="2"/>
  <c r="B7352" i="2"/>
  <c r="C7351" i="2"/>
  <c r="B7351" i="2"/>
  <c r="C7350" i="2"/>
  <c r="B7350" i="2"/>
  <c r="C7349" i="2"/>
  <c r="B7349" i="2"/>
  <c r="C7348" i="2"/>
  <c r="B7348" i="2"/>
  <c r="C7347" i="2"/>
  <c r="B7347" i="2"/>
  <c r="C7346" i="2"/>
  <c r="B7346" i="2"/>
  <c r="C7345" i="2"/>
  <c r="B7345" i="2"/>
  <c r="C7344" i="2"/>
  <c r="B7344" i="2"/>
  <c r="C7343" i="2"/>
  <c r="B7343" i="2"/>
  <c r="C7342" i="2"/>
  <c r="B7342" i="2"/>
  <c r="C7341" i="2"/>
  <c r="B7341" i="2"/>
  <c r="C7340" i="2"/>
  <c r="B7340" i="2"/>
  <c r="C7339" i="2"/>
  <c r="B7339" i="2"/>
  <c r="C7338" i="2"/>
  <c r="B7338" i="2"/>
  <c r="C7337" i="2"/>
  <c r="B7337" i="2"/>
  <c r="C7336" i="2"/>
  <c r="B7336" i="2"/>
  <c r="C7335" i="2"/>
  <c r="B7335" i="2"/>
  <c r="C7334" i="2"/>
  <c r="B7334" i="2"/>
  <c r="C7333" i="2"/>
  <c r="B7333" i="2"/>
  <c r="C7332" i="2"/>
  <c r="B7332" i="2"/>
  <c r="C7331" i="2"/>
  <c r="B7331" i="2"/>
  <c r="C7330" i="2"/>
  <c r="B7330" i="2"/>
  <c r="C7329" i="2"/>
  <c r="B7329" i="2"/>
  <c r="C7328" i="2"/>
  <c r="B7328" i="2"/>
  <c r="C7327" i="2"/>
  <c r="B7327" i="2"/>
  <c r="C7326" i="2"/>
  <c r="B7326" i="2"/>
  <c r="C7325" i="2"/>
  <c r="B7325" i="2"/>
  <c r="C7324" i="2"/>
  <c r="B7324" i="2"/>
  <c r="C7323" i="2"/>
  <c r="B7323" i="2"/>
  <c r="C7322" i="2"/>
  <c r="B7322" i="2"/>
  <c r="C7321" i="2"/>
  <c r="B7321" i="2"/>
  <c r="C7320" i="2"/>
  <c r="B7320" i="2"/>
  <c r="C7319" i="2"/>
  <c r="B7319" i="2"/>
  <c r="C7318" i="2"/>
  <c r="B7318" i="2"/>
  <c r="C7317" i="2"/>
  <c r="B7317" i="2"/>
  <c r="C7316" i="2"/>
  <c r="B7316" i="2"/>
  <c r="C7315" i="2"/>
  <c r="B7315" i="2"/>
  <c r="C7314" i="2"/>
  <c r="B7314" i="2"/>
  <c r="C7313" i="2"/>
  <c r="B7313" i="2"/>
  <c r="C7312" i="2"/>
  <c r="B7312" i="2"/>
  <c r="C7311" i="2"/>
  <c r="B7311" i="2"/>
  <c r="C7310" i="2"/>
  <c r="B7310" i="2"/>
  <c r="C7309" i="2"/>
  <c r="B7309" i="2"/>
  <c r="C7308" i="2"/>
  <c r="B7308" i="2"/>
  <c r="C7307" i="2"/>
  <c r="B7307" i="2"/>
  <c r="C7306" i="2"/>
  <c r="B7306" i="2"/>
  <c r="C7305" i="2"/>
  <c r="B7305" i="2"/>
  <c r="C7304" i="2"/>
  <c r="B7304" i="2"/>
  <c r="C7303" i="2"/>
  <c r="B7303" i="2"/>
  <c r="C7302" i="2"/>
  <c r="B7302" i="2"/>
  <c r="C7301" i="2"/>
  <c r="B7301" i="2"/>
  <c r="C7300" i="2"/>
  <c r="B7300" i="2"/>
  <c r="C7299" i="2"/>
  <c r="B7299" i="2"/>
  <c r="C7298" i="2"/>
  <c r="B7298" i="2"/>
  <c r="C7297" i="2"/>
  <c r="B7297" i="2"/>
  <c r="C7296" i="2"/>
  <c r="B7296" i="2"/>
  <c r="C7295" i="2"/>
  <c r="B7295" i="2"/>
  <c r="C7294" i="2"/>
  <c r="B7294" i="2"/>
  <c r="C7293" i="2"/>
  <c r="B7293" i="2"/>
  <c r="C7292" i="2"/>
  <c r="B7292" i="2"/>
  <c r="C7291" i="2"/>
  <c r="B7291" i="2"/>
  <c r="C7290" i="2"/>
  <c r="B7290" i="2"/>
  <c r="C7289" i="2"/>
  <c r="B7289" i="2"/>
  <c r="C7288" i="2"/>
  <c r="B7288" i="2"/>
  <c r="C7287" i="2"/>
  <c r="B7287" i="2"/>
  <c r="C7286" i="2"/>
  <c r="B7286" i="2"/>
  <c r="C7285" i="2"/>
  <c r="B7285" i="2"/>
  <c r="C7284" i="2"/>
  <c r="B7284" i="2"/>
  <c r="C7283" i="2"/>
  <c r="B7283" i="2"/>
  <c r="C7282" i="2"/>
  <c r="B7282" i="2"/>
  <c r="C7281" i="2"/>
  <c r="B7281" i="2"/>
  <c r="C7280" i="2"/>
  <c r="B7280" i="2"/>
  <c r="C7279" i="2"/>
  <c r="B7279" i="2"/>
  <c r="C7278" i="2"/>
  <c r="B7278" i="2"/>
  <c r="C7277" i="2"/>
  <c r="B7277" i="2"/>
  <c r="C7276" i="2"/>
  <c r="B7276" i="2"/>
  <c r="C7275" i="2"/>
  <c r="B7275" i="2"/>
  <c r="C7274" i="2"/>
  <c r="B7274" i="2"/>
  <c r="C7273" i="2"/>
  <c r="B7273" i="2"/>
  <c r="C7272" i="2"/>
  <c r="B7272" i="2"/>
  <c r="C7271" i="2"/>
  <c r="B7271" i="2"/>
  <c r="C7270" i="2"/>
  <c r="B7270" i="2"/>
  <c r="C7269" i="2"/>
  <c r="B7269" i="2"/>
  <c r="C7268" i="2"/>
  <c r="B7268" i="2"/>
  <c r="C7267" i="2"/>
  <c r="B7267" i="2"/>
  <c r="C7266" i="2"/>
  <c r="B7266" i="2"/>
  <c r="C7265" i="2"/>
  <c r="B7265" i="2"/>
  <c r="C7264" i="2"/>
  <c r="B7264" i="2"/>
  <c r="C7263" i="2"/>
  <c r="B7263" i="2"/>
  <c r="C7262" i="2"/>
  <c r="B7262" i="2"/>
  <c r="C7261" i="2"/>
  <c r="B7261" i="2"/>
  <c r="C7260" i="2"/>
  <c r="B7260" i="2"/>
  <c r="C7259" i="2"/>
  <c r="B7259" i="2"/>
  <c r="C7258" i="2"/>
  <c r="B7258" i="2"/>
  <c r="C7257" i="2"/>
  <c r="B7257" i="2"/>
  <c r="C7256" i="2"/>
  <c r="B7256" i="2"/>
  <c r="C7255" i="2"/>
  <c r="B7255" i="2"/>
  <c r="C7254" i="2"/>
  <c r="B7254" i="2"/>
  <c r="C7253" i="2"/>
  <c r="B7253" i="2"/>
  <c r="C7252" i="2"/>
  <c r="B7252" i="2"/>
  <c r="C7251" i="2"/>
  <c r="B7251" i="2"/>
  <c r="C7250" i="2"/>
  <c r="B7250" i="2"/>
  <c r="C7249" i="2"/>
  <c r="B7249" i="2"/>
  <c r="C7248" i="2"/>
  <c r="B7248" i="2"/>
  <c r="C7247" i="2"/>
  <c r="B7247" i="2"/>
  <c r="C7246" i="2"/>
  <c r="B7246" i="2"/>
  <c r="C7245" i="2"/>
  <c r="B7245" i="2"/>
  <c r="C7244" i="2"/>
  <c r="B7244" i="2"/>
  <c r="C7243" i="2"/>
  <c r="B7243" i="2"/>
  <c r="C7242" i="2"/>
  <c r="B7242" i="2"/>
  <c r="C7241" i="2"/>
  <c r="B7241" i="2"/>
  <c r="C7240" i="2"/>
  <c r="B7240" i="2"/>
  <c r="C7239" i="2"/>
  <c r="B7239" i="2"/>
  <c r="C7238" i="2"/>
  <c r="B7238" i="2"/>
  <c r="C7237" i="2"/>
  <c r="B7237" i="2"/>
  <c r="C7236" i="2"/>
  <c r="B7236" i="2"/>
  <c r="C7235" i="2"/>
  <c r="B7235" i="2"/>
  <c r="C7234" i="2"/>
  <c r="B7234" i="2"/>
  <c r="C7233" i="2"/>
  <c r="B7233" i="2"/>
  <c r="C7232" i="2"/>
  <c r="B7232" i="2"/>
  <c r="C7231" i="2"/>
  <c r="B7231" i="2"/>
  <c r="C7230" i="2"/>
  <c r="B7230" i="2"/>
  <c r="C7229" i="2"/>
  <c r="B7229" i="2"/>
  <c r="C7228" i="2"/>
  <c r="B7228" i="2"/>
  <c r="C7227" i="2"/>
  <c r="B7227" i="2"/>
  <c r="C7226" i="2"/>
  <c r="B7226" i="2"/>
  <c r="C7225" i="2"/>
  <c r="B7225" i="2"/>
  <c r="C7224" i="2"/>
  <c r="B7224" i="2"/>
  <c r="C7223" i="2"/>
  <c r="B7223" i="2"/>
  <c r="C7222" i="2"/>
  <c r="B7222" i="2"/>
  <c r="C7221" i="2"/>
  <c r="B7221" i="2"/>
  <c r="C7220" i="2"/>
  <c r="B7220" i="2"/>
  <c r="C7219" i="2"/>
  <c r="B7219" i="2"/>
  <c r="C7218" i="2"/>
  <c r="B7218" i="2"/>
  <c r="C7217" i="2"/>
  <c r="B7217" i="2"/>
  <c r="C7216" i="2"/>
  <c r="B7216" i="2"/>
  <c r="C7215" i="2"/>
  <c r="B7215" i="2"/>
  <c r="C7214" i="2"/>
  <c r="B7214" i="2"/>
  <c r="C7213" i="2"/>
  <c r="B7213" i="2"/>
  <c r="C7212" i="2"/>
  <c r="B7212" i="2"/>
  <c r="C7211" i="2"/>
  <c r="B7211" i="2"/>
  <c r="C7210" i="2"/>
  <c r="B7210" i="2"/>
  <c r="C7209" i="2"/>
  <c r="B7209" i="2"/>
  <c r="C7208" i="2"/>
  <c r="B7208" i="2"/>
  <c r="C7207" i="2"/>
  <c r="B7207" i="2"/>
  <c r="C7206" i="2"/>
  <c r="B7206" i="2"/>
  <c r="C7205" i="2"/>
  <c r="B7205" i="2"/>
  <c r="C7204" i="2"/>
  <c r="B7204" i="2"/>
  <c r="C7203" i="2"/>
  <c r="B7203" i="2"/>
  <c r="C7202" i="2"/>
  <c r="B7202" i="2"/>
  <c r="C7201" i="2"/>
  <c r="B7201" i="2"/>
  <c r="C7200" i="2"/>
  <c r="B7200" i="2"/>
  <c r="C7199" i="2"/>
  <c r="B7199" i="2"/>
  <c r="C7198" i="2"/>
  <c r="B7198" i="2"/>
  <c r="C7197" i="2"/>
  <c r="B7197" i="2"/>
  <c r="C7196" i="2"/>
  <c r="B7196" i="2"/>
  <c r="C7195" i="2"/>
  <c r="B7195" i="2"/>
  <c r="C7194" i="2"/>
  <c r="B7194" i="2"/>
  <c r="C7193" i="2"/>
  <c r="B7193" i="2"/>
  <c r="C7192" i="2"/>
  <c r="B7192" i="2"/>
  <c r="C7191" i="2"/>
  <c r="B7191" i="2"/>
  <c r="C7190" i="2"/>
  <c r="B7190" i="2"/>
  <c r="C7189" i="2"/>
  <c r="B7189" i="2"/>
  <c r="C7188" i="2"/>
  <c r="B7188" i="2"/>
  <c r="C7187" i="2"/>
  <c r="B7187" i="2"/>
  <c r="C7186" i="2"/>
  <c r="B7186" i="2"/>
  <c r="C7185" i="2"/>
  <c r="B7185" i="2"/>
  <c r="C7184" i="2"/>
  <c r="B7184" i="2"/>
  <c r="C7183" i="2"/>
  <c r="B7183" i="2"/>
  <c r="C7182" i="2"/>
  <c r="B7182" i="2"/>
  <c r="C7181" i="2"/>
  <c r="B7181" i="2"/>
  <c r="C7180" i="2"/>
  <c r="B7180" i="2"/>
  <c r="C7179" i="2"/>
  <c r="B7179" i="2"/>
  <c r="C7178" i="2"/>
  <c r="B7178" i="2"/>
  <c r="C7177" i="2"/>
  <c r="B7177" i="2"/>
  <c r="C7176" i="2"/>
  <c r="B7176" i="2"/>
  <c r="C7175" i="2"/>
  <c r="B7175" i="2"/>
  <c r="C7174" i="2"/>
  <c r="B7174" i="2"/>
  <c r="C7173" i="2"/>
  <c r="B7173" i="2"/>
  <c r="C7172" i="2"/>
  <c r="B7172" i="2"/>
  <c r="C7171" i="2"/>
  <c r="B7171" i="2"/>
  <c r="C7170" i="2"/>
  <c r="B7170" i="2"/>
  <c r="C7169" i="2"/>
  <c r="B7169" i="2"/>
  <c r="C7168" i="2"/>
  <c r="B7168" i="2"/>
  <c r="C7167" i="2"/>
  <c r="B7167" i="2"/>
  <c r="C7166" i="2"/>
  <c r="B7166" i="2"/>
  <c r="C7165" i="2"/>
  <c r="B7165" i="2"/>
  <c r="C7164" i="2"/>
  <c r="B7164" i="2"/>
  <c r="C7163" i="2"/>
  <c r="B7163" i="2"/>
  <c r="C7162" i="2"/>
  <c r="B7162" i="2"/>
  <c r="C7161" i="2"/>
  <c r="B7161" i="2"/>
  <c r="C7160" i="2"/>
  <c r="B7160" i="2"/>
  <c r="C7159" i="2"/>
  <c r="B7159" i="2"/>
  <c r="C7158" i="2"/>
  <c r="B7158" i="2"/>
  <c r="C7157" i="2"/>
  <c r="B7157" i="2"/>
  <c r="C7156" i="2"/>
  <c r="B7156" i="2"/>
  <c r="C7155" i="2"/>
  <c r="B7155" i="2"/>
  <c r="C7154" i="2"/>
  <c r="B7154" i="2"/>
  <c r="C7153" i="2"/>
  <c r="B7153" i="2"/>
  <c r="C7152" i="2"/>
  <c r="B7152" i="2"/>
  <c r="C7151" i="2"/>
  <c r="B7151" i="2"/>
  <c r="C7150" i="2"/>
  <c r="B7150" i="2"/>
  <c r="C7149" i="2"/>
  <c r="B7149" i="2"/>
  <c r="C7148" i="2"/>
  <c r="B7148" i="2"/>
  <c r="C7147" i="2"/>
  <c r="B7147" i="2"/>
  <c r="C7146" i="2"/>
  <c r="B7146" i="2"/>
  <c r="C7145" i="2"/>
  <c r="B7145" i="2"/>
  <c r="C7144" i="2"/>
  <c r="B7144" i="2"/>
  <c r="C7143" i="2"/>
  <c r="B7143" i="2"/>
  <c r="C7142" i="2"/>
  <c r="B7142" i="2"/>
  <c r="C7141" i="2"/>
  <c r="B7141" i="2"/>
  <c r="C7140" i="2"/>
  <c r="B7140" i="2"/>
  <c r="C7139" i="2"/>
  <c r="B7139" i="2"/>
  <c r="C7138" i="2"/>
  <c r="B7138" i="2"/>
  <c r="C7137" i="2"/>
  <c r="B7137" i="2"/>
  <c r="C7136" i="2"/>
  <c r="B7136" i="2"/>
  <c r="C7135" i="2"/>
  <c r="B7135" i="2"/>
  <c r="C7134" i="2"/>
  <c r="B7134" i="2"/>
  <c r="C7133" i="2"/>
  <c r="B7133" i="2"/>
  <c r="C7132" i="2"/>
  <c r="B7132" i="2"/>
  <c r="C7131" i="2"/>
  <c r="B7131" i="2"/>
  <c r="C7130" i="2"/>
  <c r="B7130" i="2"/>
  <c r="C7129" i="2"/>
  <c r="B7129" i="2"/>
  <c r="C7128" i="2"/>
  <c r="B7128" i="2"/>
  <c r="C7127" i="2"/>
  <c r="B7127" i="2"/>
  <c r="C7126" i="2"/>
  <c r="B7126" i="2"/>
  <c r="C7125" i="2"/>
  <c r="B7125" i="2"/>
  <c r="C7124" i="2"/>
  <c r="B7124" i="2"/>
  <c r="C7123" i="2"/>
  <c r="B7123" i="2"/>
  <c r="C7122" i="2"/>
  <c r="B7122" i="2"/>
  <c r="C7121" i="2"/>
  <c r="B7121" i="2"/>
  <c r="C7120" i="2"/>
  <c r="B7120" i="2"/>
  <c r="C7119" i="2"/>
  <c r="B7119" i="2"/>
  <c r="C7118" i="2"/>
  <c r="B7118" i="2"/>
  <c r="C7117" i="2"/>
  <c r="B7117" i="2"/>
  <c r="C7116" i="2"/>
  <c r="B7116" i="2"/>
  <c r="C7115" i="2"/>
  <c r="B7115" i="2"/>
  <c r="C7114" i="2"/>
  <c r="B7114" i="2"/>
  <c r="C7113" i="2"/>
  <c r="B7113" i="2"/>
  <c r="C7112" i="2"/>
  <c r="B7112" i="2"/>
  <c r="C7111" i="2"/>
  <c r="B7111" i="2"/>
  <c r="C7110" i="2"/>
  <c r="B7110" i="2"/>
  <c r="C7109" i="2"/>
  <c r="B7109" i="2"/>
  <c r="C7108" i="2"/>
  <c r="B7108" i="2"/>
  <c r="C7107" i="2"/>
  <c r="B7107" i="2"/>
  <c r="C7106" i="2"/>
  <c r="B7106" i="2"/>
  <c r="C7105" i="2"/>
  <c r="B7105" i="2"/>
  <c r="C7104" i="2"/>
  <c r="B7104" i="2"/>
  <c r="C7103" i="2"/>
  <c r="B7103" i="2"/>
  <c r="C7102" i="2"/>
  <c r="B7102" i="2"/>
  <c r="C7101" i="2"/>
  <c r="B7101" i="2"/>
  <c r="C7100" i="2"/>
  <c r="B7100" i="2"/>
  <c r="C7099" i="2"/>
  <c r="B7099" i="2"/>
  <c r="C7098" i="2"/>
  <c r="B7098" i="2"/>
  <c r="C7097" i="2"/>
  <c r="B7097" i="2"/>
  <c r="C7096" i="2"/>
  <c r="B7096" i="2"/>
  <c r="C7095" i="2"/>
  <c r="B7095" i="2"/>
  <c r="C7094" i="2"/>
  <c r="B7094" i="2"/>
  <c r="C7093" i="2"/>
  <c r="B7093" i="2"/>
  <c r="C7092" i="2"/>
  <c r="B7092" i="2"/>
  <c r="C7091" i="2"/>
  <c r="B7091" i="2"/>
  <c r="C7090" i="2"/>
  <c r="B7090" i="2"/>
  <c r="C7089" i="2"/>
  <c r="B7089" i="2"/>
  <c r="C7088" i="2"/>
  <c r="B7088" i="2"/>
  <c r="C7087" i="2"/>
  <c r="B7087" i="2"/>
  <c r="C7086" i="2"/>
  <c r="B7086" i="2"/>
  <c r="C7085" i="2"/>
  <c r="B7085" i="2"/>
  <c r="C7084" i="2"/>
  <c r="B7084" i="2"/>
  <c r="C7083" i="2"/>
  <c r="B7083" i="2"/>
  <c r="C7082" i="2"/>
  <c r="B7082" i="2"/>
  <c r="C7081" i="2"/>
  <c r="B7081" i="2"/>
  <c r="C7080" i="2"/>
  <c r="B7080" i="2"/>
  <c r="C7079" i="2"/>
  <c r="B7079" i="2"/>
  <c r="C7078" i="2"/>
  <c r="B7078" i="2"/>
  <c r="C7077" i="2"/>
  <c r="B7077" i="2"/>
  <c r="C7076" i="2"/>
  <c r="B7076" i="2"/>
  <c r="C7075" i="2"/>
  <c r="B7075" i="2"/>
  <c r="C7074" i="2"/>
  <c r="B7074" i="2"/>
  <c r="C7073" i="2"/>
  <c r="B7073" i="2"/>
  <c r="C7072" i="2"/>
  <c r="B7072" i="2"/>
  <c r="C7071" i="2"/>
  <c r="B7071" i="2"/>
  <c r="C7070" i="2"/>
  <c r="B7070" i="2"/>
  <c r="C7069" i="2"/>
  <c r="B7069" i="2"/>
  <c r="C7068" i="2"/>
  <c r="B7068" i="2"/>
  <c r="C7067" i="2"/>
  <c r="B7067" i="2"/>
  <c r="C7066" i="2"/>
  <c r="B7066" i="2"/>
  <c r="C7065" i="2"/>
  <c r="B7065" i="2"/>
  <c r="C7064" i="2"/>
  <c r="B7064" i="2"/>
  <c r="C7063" i="2"/>
  <c r="B7063" i="2"/>
  <c r="C7062" i="2"/>
  <c r="B7062" i="2"/>
  <c r="C7061" i="2"/>
  <c r="B7061" i="2"/>
  <c r="C7060" i="2"/>
  <c r="B7060" i="2"/>
  <c r="C7059" i="2"/>
  <c r="B7059" i="2"/>
  <c r="C7058" i="2"/>
  <c r="B7058" i="2"/>
  <c r="C7057" i="2"/>
  <c r="B7057" i="2"/>
  <c r="C7056" i="2"/>
  <c r="B7056" i="2"/>
  <c r="C7055" i="2"/>
  <c r="B7055" i="2"/>
  <c r="C7054" i="2"/>
  <c r="B7054" i="2"/>
  <c r="C7053" i="2"/>
  <c r="B7053" i="2"/>
  <c r="C7052" i="2"/>
  <c r="B7052" i="2"/>
  <c r="C7051" i="2"/>
  <c r="B7051" i="2"/>
  <c r="C7050" i="2"/>
  <c r="B7050" i="2"/>
  <c r="C7049" i="2"/>
  <c r="B7049" i="2"/>
  <c r="C7048" i="2"/>
  <c r="B7048" i="2"/>
  <c r="C7047" i="2"/>
  <c r="B7047" i="2"/>
  <c r="C7046" i="2"/>
  <c r="B7046" i="2"/>
  <c r="C7045" i="2"/>
  <c r="B7045" i="2"/>
  <c r="C7044" i="2"/>
  <c r="B7044" i="2"/>
  <c r="C7043" i="2"/>
  <c r="B7043" i="2"/>
  <c r="C7042" i="2"/>
  <c r="B7042" i="2"/>
  <c r="C7041" i="2"/>
  <c r="B7041" i="2"/>
  <c r="C7040" i="2"/>
  <c r="B7040" i="2"/>
  <c r="C7039" i="2"/>
  <c r="B7039" i="2"/>
  <c r="C7038" i="2"/>
  <c r="B7038" i="2"/>
  <c r="C7037" i="2"/>
  <c r="B7037" i="2"/>
  <c r="C7036" i="2"/>
  <c r="B7036" i="2"/>
  <c r="C7035" i="2"/>
  <c r="B7035" i="2"/>
  <c r="C7034" i="2"/>
  <c r="B7034" i="2"/>
  <c r="C7033" i="2"/>
  <c r="B7033" i="2"/>
  <c r="C7032" i="2"/>
  <c r="B7032" i="2"/>
  <c r="C7031" i="2"/>
  <c r="B7031" i="2"/>
  <c r="C7030" i="2"/>
  <c r="B7030" i="2"/>
  <c r="C7029" i="2"/>
  <c r="B7029" i="2"/>
  <c r="C7028" i="2"/>
  <c r="B7028" i="2"/>
  <c r="C7027" i="2"/>
  <c r="B7027" i="2"/>
  <c r="C7026" i="2"/>
  <c r="B7026" i="2"/>
  <c r="C7025" i="2"/>
  <c r="B7025" i="2"/>
  <c r="C7024" i="2"/>
  <c r="B7024" i="2"/>
  <c r="C7023" i="2"/>
  <c r="B7023" i="2"/>
  <c r="C7022" i="2"/>
  <c r="B7022" i="2"/>
  <c r="C7021" i="2"/>
  <c r="B7021" i="2"/>
  <c r="C7020" i="2"/>
  <c r="B7020" i="2"/>
  <c r="C7019" i="2"/>
  <c r="B7019" i="2"/>
  <c r="C7018" i="2"/>
  <c r="B7018" i="2"/>
  <c r="C7017" i="2"/>
  <c r="B7017" i="2"/>
  <c r="C7016" i="2"/>
  <c r="B7016" i="2"/>
  <c r="C7015" i="2"/>
  <c r="B7015" i="2"/>
  <c r="C7014" i="2"/>
  <c r="B7014" i="2"/>
  <c r="C7013" i="2"/>
  <c r="B7013" i="2"/>
  <c r="C7012" i="2"/>
  <c r="B7012" i="2"/>
  <c r="C7011" i="2"/>
  <c r="B7011" i="2"/>
  <c r="C7010" i="2"/>
  <c r="B7010" i="2"/>
  <c r="C7009" i="2"/>
  <c r="B7009" i="2"/>
  <c r="C7008" i="2"/>
  <c r="B7008" i="2"/>
  <c r="C7007" i="2"/>
  <c r="B7007" i="2"/>
  <c r="C7006" i="2"/>
  <c r="B7006" i="2"/>
  <c r="C7005" i="2"/>
  <c r="B7005" i="2"/>
  <c r="C7004" i="2"/>
  <c r="B7004" i="2"/>
  <c r="C7003" i="2"/>
  <c r="B7003" i="2"/>
  <c r="C7002" i="2"/>
  <c r="B7002" i="2"/>
  <c r="C7001" i="2"/>
  <c r="B7001" i="2"/>
  <c r="C7000" i="2"/>
  <c r="B7000" i="2"/>
  <c r="C6999" i="2"/>
  <c r="B6999" i="2"/>
  <c r="C6998" i="2"/>
  <c r="B6998" i="2"/>
  <c r="C6997" i="2"/>
  <c r="B6997" i="2"/>
  <c r="C6996" i="2"/>
  <c r="B6996" i="2"/>
  <c r="C6995" i="2"/>
  <c r="B6995" i="2"/>
  <c r="C6994" i="2"/>
  <c r="B6994" i="2"/>
  <c r="C6993" i="2"/>
  <c r="B6993" i="2"/>
  <c r="C6992" i="2"/>
  <c r="B6992" i="2"/>
  <c r="C6991" i="2"/>
  <c r="B6991" i="2"/>
  <c r="C6990" i="2"/>
  <c r="B6990" i="2"/>
  <c r="C6989" i="2"/>
  <c r="B6989" i="2"/>
  <c r="C6988" i="2"/>
  <c r="B6988" i="2"/>
  <c r="C6987" i="2"/>
  <c r="B6987" i="2"/>
  <c r="C6986" i="2"/>
  <c r="B6986" i="2"/>
  <c r="C6985" i="2"/>
  <c r="B6985" i="2"/>
  <c r="C6984" i="2"/>
  <c r="B6984" i="2"/>
  <c r="C6983" i="2"/>
  <c r="B6983" i="2"/>
  <c r="C6982" i="2"/>
  <c r="B6982" i="2"/>
  <c r="C6981" i="2"/>
  <c r="B6981" i="2"/>
  <c r="C6980" i="2"/>
  <c r="B6980" i="2"/>
  <c r="C6979" i="2"/>
  <c r="B6979" i="2"/>
  <c r="C6978" i="2"/>
  <c r="B6978" i="2"/>
  <c r="C6977" i="2"/>
  <c r="B6977" i="2"/>
  <c r="C6976" i="2"/>
  <c r="B6976" i="2"/>
  <c r="C6975" i="2"/>
  <c r="B6975" i="2"/>
  <c r="C6974" i="2"/>
  <c r="B6974" i="2"/>
  <c r="C6973" i="2"/>
  <c r="B6973" i="2"/>
  <c r="C6972" i="2"/>
  <c r="B6972" i="2"/>
  <c r="C6971" i="2"/>
  <c r="B6971" i="2"/>
  <c r="C6970" i="2"/>
  <c r="B6970" i="2"/>
  <c r="C6969" i="2"/>
  <c r="B6969" i="2"/>
  <c r="C6968" i="2"/>
  <c r="B6968" i="2"/>
  <c r="C6967" i="2"/>
  <c r="B6967" i="2"/>
  <c r="C6966" i="2"/>
  <c r="B6966" i="2"/>
  <c r="C6965" i="2"/>
  <c r="B6965" i="2"/>
  <c r="C6964" i="2"/>
  <c r="B6964" i="2"/>
  <c r="C6963" i="2"/>
  <c r="B6963" i="2"/>
  <c r="C6962" i="2"/>
  <c r="B6962" i="2"/>
  <c r="C6961" i="2"/>
  <c r="B6961" i="2"/>
  <c r="C6960" i="2"/>
  <c r="B6960" i="2"/>
  <c r="C6959" i="2"/>
  <c r="B6959" i="2"/>
  <c r="C6958" i="2"/>
  <c r="B6958" i="2"/>
  <c r="C6957" i="2"/>
  <c r="B6957" i="2"/>
  <c r="C6956" i="2"/>
  <c r="B6956" i="2"/>
  <c r="C6955" i="2"/>
  <c r="B6955" i="2"/>
  <c r="C6954" i="2"/>
  <c r="B6954" i="2"/>
  <c r="C6953" i="2"/>
  <c r="B6953" i="2"/>
  <c r="C6952" i="2"/>
  <c r="B6952" i="2"/>
  <c r="C6951" i="2"/>
  <c r="B6951" i="2"/>
  <c r="C6950" i="2"/>
  <c r="B6950" i="2"/>
  <c r="C6949" i="2"/>
  <c r="B6949" i="2"/>
  <c r="C6948" i="2"/>
  <c r="B6948" i="2"/>
  <c r="C6947" i="2"/>
  <c r="B6947" i="2"/>
  <c r="C6946" i="2"/>
  <c r="B6946" i="2"/>
  <c r="C6945" i="2"/>
  <c r="B6945" i="2"/>
  <c r="C6944" i="2"/>
  <c r="B6944" i="2"/>
  <c r="C6943" i="2"/>
  <c r="B6943" i="2"/>
  <c r="C6942" i="2"/>
  <c r="B6942" i="2"/>
  <c r="C6941" i="2"/>
  <c r="B6941" i="2"/>
  <c r="C6940" i="2"/>
  <c r="B6940" i="2"/>
  <c r="C6939" i="2"/>
  <c r="B6939" i="2"/>
  <c r="C6938" i="2"/>
  <c r="B6938" i="2"/>
  <c r="C6937" i="2"/>
  <c r="B6937" i="2"/>
  <c r="C6936" i="2"/>
  <c r="B6936" i="2"/>
  <c r="C6935" i="2"/>
  <c r="B6935" i="2"/>
  <c r="C6934" i="2"/>
  <c r="B6934" i="2"/>
  <c r="C6933" i="2"/>
  <c r="B6933" i="2"/>
  <c r="C6932" i="2"/>
  <c r="B6932" i="2"/>
  <c r="C6931" i="2"/>
  <c r="B6931" i="2"/>
  <c r="C6930" i="2"/>
  <c r="B6930" i="2"/>
  <c r="C6929" i="2"/>
  <c r="B6929" i="2"/>
  <c r="C6928" i="2"/>
  <c r="B6928" i="2"/>
  <c r="C6927" i="2"/>
  <c r="B6927" i="2"/>
  <c r="C6926" i="2"/>
  <c r="B6926" i="2"/>
  <c r="C6925" i="2"/>
  <c r="B6925" i="2"/>
  <c r="C6924" i="2"/>
  <c r="B6924" i="2"/>
  <c r="C6923" i="2"/>
  <c r="B6923" i="2"/>
  <c r="C6922" i="2"/>
  <c r="B6922" i="2"/>
  <c r="C6921" i="2"/>
  <c r="B6921" i="2"/>
  <c r="C6920" i="2"/>
  <c r="B6920" i="2"/>
  <c r="C6919" i="2"/>
  <c r="B6919" i="2"/>
  <c r="C6918" i="2"/>
  <c r="B6918" i="2"/>
  <c r="C6917" i="2"/>
  <c r="B6917" i="2"/>
  <c r="C6916" i="2"/>
  <c r="B6916" i="2"/>
  <c r="C6915" i="2"/>
  <c r="B6915" i="2"/>
  <c r="C6914" i="2"/>
  <c r="B6914" i="2"/>
  <c r="C6913" i="2"/>
  <c r="B6913" i="2"/>
  <c r="C6912" i="2"/>
  <c r="B6912" i="2"/>
  <c r="C6911" i="2"/>
  <c r="B6911" i="2"/>
  <c r="C6910" i="2"/>
  <c r="B6910" i="2"/>
  <c r="C6909" i="2"/>
  <c r="B6909" i="2"/>
  <c r="C6908" i="2"/>
  <c r="B6908" i="2"/>
  <c r="C6907" i="2"/>
  <c r="B6907" i="2"/>
  <c r="C6906" i="2"/>
  <c r="B6906" i="2"/>
  <c r="C6905" i="2"/>
  <c r="B6905" i="2"/>
  <c r="C6904" i="2"/>
  <c r="B6904" i="2"/>
  <c r="C6903" i="2"/>
  <c r="B6903" i="2"/>
  <c r="C6902" i="2"/>
  <c r="B6902" i="2"/>
  <c r="C6901" i="2"/>
  <c r="B6901" i="2"/>
  <c r="C6900" i="2"/>
  <c r="B6900" i="2"/>
  <c r="C6899" i="2"/>
  <c r="B6899" i="2"/>
  <c r="C6898" i="2"/>
  <c r="B6898" i="2"/>
  <c r="C6897" i="2"/>
  <c r="B6897" i="2"/>
  <c r="C6896" i="2"/>
  <c r="B6896" i="2"/>
  <c r="C6895" i="2"/>
  <c r="B6895" i="2"/>
  <c r="C6894" i="2"/>
  <c r="B6894" i="2"/>
  <c r="C6893" i="2"/>
  <c r="B6893" i="2"/>
  <c r="C6892" i="2"/>
  <c r="B6892" i="2"/>
  <c r="C6891" i="2"/>
  <c r="B6891" i="2"/>
  <c r="C6890" i="2"/>
  <c r="B6890" i="2"/>
  <c r="C6889" i="2"/>
  <c r="B6889" i="2"/>
  <c r="C6888" i="2"/>
  <c r="B6888" i="2"/>
  <c r="C6887" i="2"/>
  <c r="B6887" i="2"/>
  <c r="C6886" i="2"/>
  <c r="B6886" i="2"/>
  <c r="C6885" i="2"/>
  <c r="B6885" i="2"/>
  <c r="C6884" i="2"/>
  <c r="B6884" i="2"/>
  <c r="C6883" i="2"/>
  <c r="B6883" i="2"/>
  <c r="C6882" i="2"/>
  <c r="B6882" i="2"/>
  <c r="C6881" i="2"/>
  <c r="B6881" i="2"/>
  <c r="C6880" i="2"/>
  <c r="B6880" i="2"/>
  <c r="C6879" i="2"/>
  <c r="B6879" i="2"/>
  <c r="C6878" i="2"/>
  <c r="B6878" i="2"/>
  <c r="C6877" i="2"/>
  <c r="B6877" i="2"/>
  <c r="C6876" i="2"/>
  <c r="B6876" i="2"/>
  <c r="C6875" i="2"/>
  <c r="B6875" i="2"/>
  <c r="C6874" i="2"/>
  <c r="B6874" i="2"/>
  <c r="C6873" i="2"/>
  <c r="B6873" i="2"/>
  <c r="C6872" i="2"/>
  <c r="B6872" i="2"/>
  <c r="C6871" i="2"/>
  <c r="B6871" i="2"/>
  <c r="C6870" i="2"/>
  <c r="B6870" i="2"/>
  <c r="C6869" i="2"/>
  <c r="B6869" i="2"/>
  <c r="C6868" i="2"/>
  <c r="B6868" i="2"/>
  <c r="C6867" i="2"/>
  <c r="B6867" i="2"/>
  <c r="C6866" i="2"/>
  <c r="B6866" i="2"/>
  <c r="C6865" i="2"/>
  <c r="B6865" i="2"/>
  <c r="C6864" i="2"/>
  <c r="B6864" i="2"/>
  <c r="C6863" i="2"/>
  <c r="B6863" i="2"/>
  <c r="C6862" i="2"/>
  <c r="B6862" i="2"/>
  <c r="C6861" i="2"/>
  <c r="B6861" i="2"/>
  <c r="C6860" i="2"/>
  <c r="B6860" i="2"/>
  <c r="C6859" i="2"/>
  <c r="B6859" i="2"/>
  <c r="C6858" i="2"/>
  <c r="B6858" i="2"/>
  <c r="C6857" i="2"/>
  <c r="B6857" i="2"/>
  <c r="C6856" i="2"/>
  <c r="B6856" i="2"/>
  <c r="C6855" i="2"/>
  <c r="B6855" i="2"/>
  <c r="C6854" i="2"/>
  <c r="B6854" i="2"/>
  <c r="C6853" i="2"/>
  <c r="B6853" i="2"/>
  <c r="C6852" i="2"/>
  <c r="B6852" i="2"/>
  <c r="C6851" i="2"/>
  <c r="B6851" i="2"/>
  <c r="C6850" i="2"/>
  <c r="B6850" i="2"/>
  <c r="C6849" i="2"/>
  <c r="B6849" i="2"/>
  <c r="C6848" i="2"/>
  <c r="B6848" i="2"/>
  <c r="C6847" i="2"/>
  <c r="B6847" i="2"/>
  <c r="C6846" i="2"/>
  <c r="B6846" i="2"/>
  <c r="C6845" i="2"/>
  <c r="B6845" i="2"/>
  <c r="C6844" i="2"/>
  <c r="B6844" i="2"/>
  <c r="C6843" i="2"/>
  <c r="B6843" i="2"/>
  <c r="C6842" i="2"/>
  <c r="B6842" i="2"/>
  <c r="C6841" i="2"/>
  <c r="B6841" i="2"/>
  <c r="C6840" i="2"/>
  <c r="B6840" i="2"/>
  <c r="C6839" i="2"/>
  <c r="B6839" i="2"/>
  <c r="C6838" i="2"/>
  <c r="B6838" i="2"/>
  <c r="C6837" i="2"/>
  <c r="B6837" i="2"/>
  <c r="C6836" i="2"/>
  <c r="B6836" i="2"/>
  <c r="C6835" i="2"/>
  <c r="B6835" i="2"/>
  <c r="C6834" i="2"/>
  <c r="B6834" i="2"/>
  <c r="C6833" i="2"/>
  <c r="B6833" i="2"/>
  <c r="C6832" i="2"/>
  <c r="B6832" i="2"/>
  <c r="C6831" i="2"/>
  <c r="B6831" i="2"/>
  <c r="C6830" i="2"/>
  <c r="B6830" i="2"/>
  <c r="C6829" i="2"/>
  <c r="B6829" i="2"/>
  <c r="C6828" i="2"/>
  <c r="B6828" i="2"/>
  <c r="C6827" i="2"/>
  <c r="B6827" i="2"/>
  <c r="C6826" i="2"/>
  <c r="B6826" i="2"/>
  <c r="C6825" i="2"/>
  <c r="B6825" i="2"/>
  <c r="C6824" i="2"/>
  <c r="B6824" i="2"/>
  <c r="C6823" i="2"/>
  <c r="B6823" i="2"/>
  <c r="C6822" i="2"/>
  <c r="B6822" i="2"/>
  <c r="C6821" i="2"/>
  <c r="B6821" i="2"/>
  <c r="C6820" i="2"/>
  <c r="B6820" i="2"/>
  <c r="C6819" i="2"/>
  <c r="B6819" i="2"/>
  <c r="C6818" i="2"/>
  <c r="B6818" i="2"/>
  <c r="C6817" i="2"/>
  <c r="B6817" i="2"/>
  <c r="C6816" i="2"/>
  <c r="B6816" i="2"/>
  <c r="C6815" i="2"/>
  <c r="B6815" i="2"/>
  <c r="C6814" i="2"/>
  <c r="B6814" i="2"/>
  <c r="C6813" i="2"/>
  <c r="B6813" i="2"/>
  <c r="C6812" i="2"/>
  <c r="B6812" i="2"/>
  <c r="C6811" i="2"/>
  <c r="B6811" i="2"/>
  <c r="C6810" i="2"/>
  <c r="B6810" i="2"/>
  <c r="C6809" i="2"/>
  <c r="B6809" i="2"/>
  <c r="C6808" i="2"/>
  <c r="B6808" i="2"/>
  <c r="C6807" i="2"/>
  <c r="B6807" i="2"/>
  <c r="C6806" i="2"/>
  <c r="B6806" i="2"/>
  <c r="C6805" i="2"/>
  <c r="B6805" i="2"/>
  <c r="C6804" i="2"/>
  <c r="B6804" i="2"/>
  <c r="C6803" i="2"/>
  <c r="B6803" i="2"/>
  <c r="C6802" i="2"/>
  <c r="B6802" i="2"/>
  <c r="C6801" i="2"/>
  <c r="B6801" i="2"/>
  <c r="C6800" i="2"/>
  <c r="B6800" i="2"/>
  <c r="C6799" i="2"/>
  <c r="B6799" i="2"/>
  <c r="C6798" i="2"/>
  <c r="B6798" i="2"/>
  <c r="C6797" i="2"/>
  <c r="B6797" i="2"/>
  <c r="C6796" i="2"/>
  <c r="B6796" i="2"/>
  <c r="C6795" i="2"/>
  <c r="B6795" i="2"/>
  <c r="C6794" i="2"/>
  <c r="B6794" i="2"/>
  <c r="C6793" i="2"/>
  <c r="B6793" i="2"/>
  <c r="C6792" i="2"/>
  <c r="B6792" i="2"/>
  <c r="C6791" i="2"/>
  <c r="B6791" i="2"/>
  <c r="C6790" i="2"/>
  <c r="B6790" i="2"/>
  <c r="C6789" i="2"/>
  <c r="B6789" i="2"/>
  <c r="C6788" i="2"/>
  <c r="B6788" i="2"/>
  <c r="C6787" i="2"/>
  <c r="B6787" i="2"/>
  <c r="C6786" i="2"/>
  <c r="B6786" i="2"/>
  <c r="C6785" i="2"/>
  <c r="B6785" i="2"/>
  <c r="C6784" i="2"/>
  <c r="B6784" i="2"/>
  <c r="C6783" i="2"/>
  <c r="B6783" i="2"/>
  <c r="C6782" i="2"/>
  <c r="B6782" i="2"/>
  <c r="C6781" i="2"/>
  <c r="B6781" i="2"/>
  <c r="C6780" i="2"/>
  <c r="B6780" i="2"/>
  <c r="C6779" i="2"/>
  <c r="B6779" i="2"/>
  <c r="C6778" i="2"/>
  <c r="B6778" i="2"/>
  <c r="C6777" i="2"/>
  <c r="B6777" i="2"/>
  <c r="C6776" i="2"/>
  <c r="B6776" i="2"/>
  <c r="C6775" i="2"/>
  <c r="B6775" i="2"/>
  <c r="C6774" i="2"/>
  <c r="B6774" i="2"/>
  <c r="C6773" i="2"/>
  <c r="B6773" i="2"/>
  <c r="C6772" i="2"/>
  <c r="B6772" i="2"/>
  <c r="C6771" i="2"/>
  <c r="B6771" i="2"/>
  <c r="C6770" i="2"/>
  <c r="B6770" i="2"/>
  <c r="C6769" i="2"/>
  <c r="B6769" i="2"/>
  <c r="C6768" i="2"/>
  <c r="B6768" i="2"/>
  <c r="C6767" i="2"/>
  <c r="B6767" i="2"/>
  <c r="C6766" i="2"/>
  <c r="B6766" i="2"/>
  <c r="C6765" i="2"/>
  <c r="B6765" i="2"/>
  <c r="C6764" i="2"/>
  <c r="B6764" i="2"/>
  <c r="C6763" i="2"/>
  <c r="B6763" i="2"/>
  <c r="C6762" i="2"/>
  <c r="B6762" i="2"/>
  <c r="C6761" i="2"/>
  <c r="B6761" i="2"/>
  <c r="C6760" i="2"/>
  <c r="B6760" i="2"/>
  <c r="C6759" i="2"/>
  <c r="B6759" i="2"/>
  <c r="C6758" i="2"/>
  <c r="B6758" i="2"/>
  <c r="C6757" i="2"/>
  <c r="B6757" i="2"/>
  <c r="C6756" i="2"/>
  <c r="B6756" i="2"/>
  <c r="C6755" i="2"/>
  <c r="B6755" i="2"/>
  <c r="C6754" i="2"/>
  <c r="B6754" i="2"/>
  <c r="C6753" i="2"/>
  <c r="B6753" i="2"/>
  <c r="C6752" i="2"/>
  <c r="B6752" i="2"/>
  <c r="C6751" i="2"/>
  <c r="B6751" i="2"/>
  <c r="C6750" i="2"/>
  <c r="B6750" i="2"/>
  <c r="C6749" i="2"/>
  <c r="B6749" i="2"/>
  <c r="C6748" i="2"/>
  <c r="B6748" i="2"/>
  <c r="C6747" i="2"/>
  <c r="B6747" i="2"/>
  <c r="C6746" i="2"/>
  <c r="B6746" i="2"/>
  <c r="C6745" i="2"/>
  <c r="B6745" i="2"/>
  <c r="C6744" i="2"/>
  <c r="B6744" i="2"/>
  <c r="C6743" i="2"/>
  <c r="B6743" i="2"/>
  <c r="C6742" i="2"/>
  <c r="B6742" i="2"/>
  <c r="C6741" i="2"/>
  <c r="B6741" i="2"/>
  <c r="C6740" i="2"/>
  <c r="B6740" i="2"/>
  <c r="C6739" i="2"/>
  <c r="B6739" i="2"/>
  <c r="C6738" i="2"/>
  <c r="B6738" i="2"/>
  <c r="C6737" i="2"/>
  <c r="B6737" i="2"/>
  <c r="C6736" i="2"/>
  <c r="B6736" i="2"/>
  <c r="C6735" i="2"/>
  <c r="B6735" i="2"/>
  <c r="C6734" i="2"/>
  <c r="B6734" i="2"/>
  <c r="C6733" i="2"/>
  <c r="B6733" i="2"/>
  <c r="C6732" i="2"/>
  <c r="B6732" i="2"/>
  <c r="C6731" i="2"/>
  <c r="B6731" i="2"/>
  <c r="C6730" i="2"/>
  <c r="B6730" i="2"/>
  <c r="C6729" i="2"/>
  <c r="B6729" i="2"/>
  <c r="C6728" i="2"/>
  <c r="B6728" i="2"/>
  <c r="C6727" i="2"/>
  <c r="B6727" i="2"/>
  <c r="C6726" i="2"/>
  <c r="B6726" i="2"/>
  <c r="C6725" i="2"/>
  <c r="B6725" i="2"/>
  <c r="C6724" i="2"/>
  <c r="B6724" i="2"/>
  <c r="C6723" i="2"/>
  <c r="B6723" i="2"/>
  <c r="C6722" i="2"/>
  <c r="B6722" i="2"/>
  <c r="C6721" i="2"/>
  <c r="B6721" i="2"/>
  <c r="C6720" i="2"/>
  <c r="B6720" i="2"/>
  <c r="C6719" i="2"/>
  <c r="B6719" i="2"/>
  <c r="C6718" i="2"/>
  <c r="B6718" i="2"/>
  <c r="C6717" i="2"/>
  <c r="B6717" i="2"/>
  <c r="C6716" i="2"/>
  <c r="B6716" i="2"/>
  <c r="C6715" i="2"/>
  <c r="B6715" i="2"/>
  <c r="C6714" i="2"/>
  <c r="B6714" i="2"/>
  <c r="C6713" i="2"/>
  <c r="B6713" i="2"/>
  <c r="C6712" i="2"/>
  <c r="B6712" i="2"/>
  <c r="C6711" i="2"/>
  <c r="B6711" i="2"/>
  <c r="C6710" i="2"/>
  <c r="B6710" i="2"/>
  <c r="C6709" i="2"/>
  <c r="B6709" i="2"/>
  <c r="C6708" i="2"/>
  <c r="B6708" i="2"/>
  <c r="C6707" i="2"/>
  <c r="B6707" i="2"/>
  <c r="C6706" i="2"/>
  <c r="B6706" i="2"/>
  <c r="C6705" i="2"/>
  <c r="B6705" i="2"/>
  <c r="C6704" i="2"/>
  <c r="B6704" i="2"/>
  <c r="C6703" i="2"/>
  <c r="B6703" i="2"/>
  <c r="C6702" i="2"/>
  <c r="B6702" i="2"/>
  <c r="C6701" i="2"/>
  <c r="B6701" i="2"/>
  <c r="C6700" i="2"/>
  <c r="B6700" i="2"/>
  <c r="C6699" i="2"/>
  <c r="B6699" i="2"/>
  <c r="C6698" i="2"/>
  <c r="B6698" i="2"/>
  <c r="C6697" i="2"/>
  <c r="B6697" i="2"/>
  <c r="C6696" i="2"/>
  <c r="B6696" i="2"/>
  <c r="C6695" i="2"/>
  <c r="B6695" i="2"/>
  <c r="C6694" i="2"/>
  <c r="B6694" i="2"/>
  <c r="C6693" i="2"/>
  <c r="B6693" i="2"/>
  <c r="C6692" i="2"/>
  <c r="B6692" i="2"/>
  <c r="C6691" i="2"/>
  <c r="B6691" i="2"/>
  <c r="C6690" i="2"/>
  <c r="B6690" i="2"/>
  <c r="C6689" i="2"/>
  <c r="B6689" i="2"/>
  <c r="C6688" i="2"/>
  <c r="B6688" i="2"/>
  <c r="C6687" i="2"/>
  <c r="B6687" i="2"/>
  <c r="C6686" i="2"/>
  <c r="B6686" i="2"/>
  <c r="C6685" i="2"/>
  <c r="B6685" i="2"/>
  <c r="C6684" i="2"/>
  <c r="B6684" i="2"/>
  <c r="C6683" i="2"/>
  <c r="B6683" i="2"/>
  <c r="C6682" i="2"/>
  <c r="B6682" i="2"/>
  <c r="C6681" i="2"/>
  <c r="B6681" i="2"/>
  <c r="C6680" i="2"/>
  <c r="B6680" i="2"/>
  <c r="C6679" i="2"/>
  <c r="B6679" i="2"/>
  <c r="C6678" i="2"/>
  <c r="B6678" i="2"/>
  <c r="C6677" i="2"/>
  <c r="B6677" i="2"/>
  <c r="C6676" i="2"/>
  <c r="B6676" i="2"/>
  <c r="C6675" i="2"/>
  <c r="B6675" i="2"/>
  <c r="C6674" i="2"/>
  <c r="B6674" i="2"/>
  <c r="C6673" i="2"/>
  <c r="B6673" i="2"/>
  <c r="C6672" i="2"/>
  <c r="B6672" i="2"/>
  <c r="C6671" i="2"/>
  <c r="B6671" i="2"/>
  <c r="C6670" i="2"/>
  <c r="B6670" i="2"/>
  <c r="C6669" i="2"/>
  <c r="B6669" i="2"/>
  <c r="C6668" i="2"/>
  <c r="B6668" i="2"/>
  <c r="C6667" i="2"/>
  <c r="B6667" i="2"/>
  <c r="C6666" i="2"/>
  <c r="B6666" i="2"/>
  <c r="C6665" i="2"/>
  <c r="B6665" i="2"/>
  <c r="C6664" i="2"/>
  <c r="B6664" i="2"/>
  <c r="C6663" i="2"/>
  <c r="B6663" i="2"/>
  <c r="C6662" i="2"/>
  <c r="B6662" i="2"/>
  <c r="C6661" i="2"/>
  <c r="B6661" i="2"/>
  <c r="C6660" i="2"/>
  <c r="B6660" i="2"/>
  <c r="C6659" i="2"/>
  <c r="B6659" i="2"/>
  <c r="C6658" i="2"/>
  <c r="B6658" i="2"/>
  <c r="C6657" i="2"/>
  <c r="B6657" i="2"/>
  <c r="C6656" i="2"/>
  <c r="B6656" i="2"/>
  <c r="C6655" i="2"/>
  <c r="B6655" i="2"/>
  <c r="C6654" i="2"/>
  <c r="B6654" i="2"/>
  <c r="C6653" i="2"/>
  <c r="B6653" i="2"/>
  <c r="C6652" i="2"/>
  <c r="B6652" i="2"/>
  <c r="C6651" i="2"/>
  <c r="B6651" i="2"/>
  <c r="C6650" i="2"/>
  <c r="B6650" i="2"/>
  <c r="C6649" i="2"/>
  <c r="B6649" i="2"/>
  <c r="C6648" i="2"/>
  <c r="B6648" i="2"/>
  <c r="C6647" i="2"/>
  <c r="B6647" i="2"/>
  <c r="C6646" i="2"/>
  <c r="B6646" i="2"/>
  <c r="C6645" i="2"/>
  <c r="B6645" i="2"/>
  <c r="C6644" i="2"/>
  <c r="B6644" i="2"/>
  <c r="C6643" i="2"/>
  <c r="B6643" i="2"/>
  <c r="C6642" i="2"/>
  <c r="B6642" i="2"/>
  <c r="C6641" i="2"/>
  <c r="B6641" i="2"/>
  <c r="C6640" i="2"/>
  <c r="B6640" i="2"/>
  <c r="C6639" i="2"/>
  <c r="B6639" i="2"/>
  <c r="C6638" i="2"/>
  <c r="B6638" i="2"/>
  <c r="C6637" i="2"/>
  <c r="B6637" i="2"/>
  <c r="C6636" i="2"/>
  <c r="B6636" i="2"/>
  <c r="C6635" i="2"/>
  <c r="B6635" i="2"/>
  <c r="C6634" i="2"/>
  <c r="B6634" i="2"/>
  <c r="C6633" i="2"/>
  <c r="B6633" i="2"/>
  <c r="C6632" i="2"/>
  <c r="B6632" i="2"/>
  <c r="C6631" i="2"/>
  <c r="B6631" i="2"/>
  <c r="C6630" i="2"/>
  <c r="B6630" i="2"/>
  <c r="C6629" i="2"/>
  <c r="B6629" i="2"/>
  <c r="C6628" i="2"/>
  <c r="B6628" i="2"/>
  <c r="C6627" i="2"/>
  <c r="B6627" i="2"/>
  <c r="C6626" i="2"/>
  <c r="B6626" i="2"/>
  <c r="C6625" i="2"/>
  <c r="B6625" i="2"/>
  <c r="C6624" i="2"/>
  <c r="B6624" i="2"/>
  <c r="C6623" i="2"/>
  <c r="B6623" i="2"/>
  <c r="C6622" i="2"/>
  <c r="B6622" i="2"/>
  <c r="C6621" i="2"/>
  <c r="B6621" i="2"/>
  <c r="C6620" i="2"/>
  <c r="B6620" i="2"/>
  <c r="C6619" i="2"/>
  <c r="B6619" i="2"/>
  <c r="C6618" i="2"/>
  <c r="B6618" i="2"/>
  <c r="C6617" i="2"/>
  <c r="B6617" i="2"/>
  <c r="C6616" i="2"/>
  <c r="B6616" i="2"/>
  <c r="C6615" i="2"/>
  <c r="B6615" i="2"/>
  <c r="C6614" i="2"/>
  <c r="B6614" i="2"/>
  <c r="C6613" i="2"/>
  <c r="B6613" i="2"/>
  <c r="C6612" i="2"/>
  <c r="B6612" i="2"/>
  <c r="C6611" i="2"/>
  <c r="B6611" i="2"/>
  <c r="C6610" i="2"/>
  <c r="B6610" i="2"/>
  <c r="C6609" i="2"/>
  <c r="B6609" i="2"/>
  <c r="C6608" i="2"/>
  <c r="B6608" i="2"/>
  <c r="C6607" i="2"/>
  <c r="B6607" i="2"/>
  <c r="C6606" i="2"/>
  <c r="B6606" i="2"/>
  <c r="C6605" i="2"/>
  <c r="B6605" i="2"/>
  <c r="C6604" i="2"/>
  <c r="B6604" i="2"/>
  <c r="C6603" i="2"/>
  <c r="B6603" i="2"/>
  <c r="C6602" i="2"/>
  <c r="B6602" i="2"/>
  <c r="C6601" i="2"/>
  <c r="B6601" i="2"/>
  <c r="C6600" i="2"/>
  <c r="B6600" i="2"/>
  <c r="C6599" i="2"/>
  <c r="B6599" i="2"/>
  <c r="C6598" i="2"/>
  <c r="B6598" i="2"/>
  <c r="C6597" i="2"/>
  <c r="B6597" i="2"/>
  <c r="C6596" i="2"/>
  <c r="B6596" i="2"/>
  <c r="C6595" i="2"/>
  <c r="B6595" i="2"/>
  <c r="C6594" i="2"/>
  <c r="B6594" i="2"/>
  <c r="C6593" i="2"/>
  <c r="B6593" i="2"/>
  <c r="C6592" i="2"/>
  <c r="B6592" i="2"/>
  <c r="C6591" i="2"/>
  <c r="B6591" i="2"/>
  <c r="C6590" i="2"/>
  <c r="B6590" i="2"/>
  <c r="C6589" i="2"/>
  <c r="B6589" i="2"/>
  <c r="C6588" i="2"/>
  <c r="B6588" i="2"/>
  <c r="C6587" i="2"/>
  <c r="B6587" i="2"/>
  <c r="C6586" i="2"/>
  <c r="B6586" i="2"/>
  <c r="C6585" i="2"/>
  <c r="B6585" i="2"/>
  <c r="C6584" i="2"/>
  <c r="B6584" i="2"/>
  <c r="C6583" i="2"/>
  <c r="B6583" i="2"/>
  <c r="C6582" i="2"/>
  <c r="B6582" i="2"/>
  <c r="C6581" i="2"/>
  <c r="B6581" i="2"/>
  <c r="C6580" i="2"/>
  <c r="B6580" i="2"/>
  <c r="C6579" i="2"/>
  <c r="B6579" i="2"/>
  <c r="C6578" i="2"/>
  <c r="B6578" i="2"/>
  <c r="C6577" i="2"/>
  <c r="B6577" i="2"/>
  <c r="C6576" i="2"/>
  <c r="B6576" i="2"/>
  <c r="C6575" i="2"/>
  <c r="B6575" i="2"/>
  <c r="C6574" i="2"/>
  <c r="B6574" i="2"/>
  <c r="C6573" i="2"/>
  <c r="B6573" i="2"/>
  <c r="C6572" i="2"/>
  <c r="B6572" i="2"/>
  <c r="C6571" i="2"/>
  <c r="B6571" i="2"/>
  <c r="C6570" i="2"/>
  <c r="B6570" i="2"/>
  <c r="C6569" i="2"/>
  <c r="B6569" i="2"/>
  <c r="C6568" i="2"/>
  <c r="B6568" i="2"/>
  <c r="C6567" i="2"/>
  <c r="B6567" i="2"/>
  <c r="C6566" i="2"/>
  <c r="B6566" i="2"/>
  <c r="C6565" i="2"/>
  <c r="B6565" i="2"/>
  <c r="C6564" i="2"/>
  <c r="B6564" i="2"/>
  <c r="C6563" i="2"/>
  <c r="B6563" i="2"/>
  <c r="C6562" i="2"/>
  <c r="B6562" i="2"/>
  <c r="C6561" i="2"/>
  <c r="B6561" i="2"/>
  <c r="C6560" i="2"/>
  <c r="B6560" i="2"/>
  <c r="C6559" i="2"/>
  <c r="B6559" i="2"/>
  <c r="C6558" i="2"/>
  <c r="B6558" i="2"/>
  <c r="C6557" i="2"/>
  <c r="B6557" i="2"/>
  <c r="C6556" i="2"/>
  <c r="B6556" i="2"/>
  <c r="C6555" i="2"/>
  <c r="B6555" i="2"/>
  <c r="C6554" i="2"/>
  <c r="B6554" i="2"/>
  <c r="C6553" i="2"/>
  <c r="B6553" i="2"/>
  <c r="C6552" i="2"/>
  <c r="B6552" i="2"/>
  <c r="C6551" i="2"/>
  <c r="B6551" i="2"/>
  <c r="C6550" i="2"/>
  <c r="B6550" i="2"/>
  <c r="C6549" i="2"/>
  <c r="B6549" i="2"/>
  <c r="C6548" i="2"/>
  <c r="B6548" i="2"/>
  <c r="C6547" i="2"/>
  <c r="B6547" i="2"/>
  <c r="C6546" i="2"/>
  <c r="B6546" i="2"/>
  <c r="C6545" i="2"/>
  <c r="B6545" i="2"/>
  <c r="C6544" i="2"/>
  <c r="B6544" i="2"/>
  <c r="C6543" i="2"/>
  <c r="B6543" i="2"/>
  <c r="C6542" i="2"/>
  <c r="B6542" i="2"/>
  <c r="C6541" i="2"/>
  <c r="B6541" i="2"/>
  <c r="C6540" i="2"/>
  <c r="B6540" i="2"/>
  <c r="C6539" i="2"/>
  <c r="B6539" i="2"/>
  <c r="C6538" i="2"/>
  <c r="B6538" i="2"/>
  <c r="C6537" i="2"/>
  <c r="B6537" i="2"/>
  <c r="C6536" i="2"/>
  <c r="B6536" i="2"/>
  <c r="C6535" i="2"/>
  <c r="B6535" i="2"/>
  <c r="C6534" i="2"/>
  <c r="B6534" i="2"/>
  <c r="C6533" i="2"/>
  <c r="B6533" i="2"/>
  <c r="C6532" i="2"/>
  <c r="B6532" i="2"/>
  <c r="C6531" i="2"/>
  <c r="B6531" i="2"/>
  <c r="C6530" i="2"/>
  <c r="B6530" i="2"/>
  <c r="C6529" i="2"/>
  <c r="B6529" i="2"/>
  <c r="C6528" i="2"/>
  <c r="B6528" i="2"/>
  <c r="C6527" i="2"/>
  <c r="B6527" i="2"/>
  <c r="C6526" i="2"/>
  <c r="B6526" i="2"/>
  <c r="C6525" i="2"/>
  <c r="B6525" i="2"/>
  <c r="C6524" i="2"/>
  <c r="B6524" i="2"/>
  <c r="C6523" i="2"/>
  <c r="B6523" i="2"/>
  <c r="C6522" i="2"/>
  <c r="B6522" i="2"/>
  <c r="C6521" i="2"/>
  <c r="B6521" i="2"/>
  <c r="C6520" i="2"/>
  <c r="B6520" i="2"/>
  <c r="C6519" i="2"/>
  <c r="B6519" i="2"/>
  <c r="C6518" i="2"/>
  <c r="B6518" i="2"/>
  <c r="C6517" i="2"/>
  <c r="B6517" i="2"/>
  <c r="C6516" i="2"/>
  <c r="B6516" i="2"/>
  <c r="C6515" i="2"/>
  <c r="B6515" i="2"/>
  <c r="C6514" i="2"/>
  <c r="B6514" i="2"/>
  <c r="C6513" i="2"/>
  <c r="B6513" i="2"/>
  <c r="C6512" i="2"/>
  <c r="B6512" i="2"/>
  <c r="C6511" i="2"/>
  <c r="B6511" i="2"/>
  <c r="C6510" i="2"/>
  <c r="B6510" i="2"/>
  <c r="C6509" i="2"/>
  <c r="B6509" i="2"/>
  <c r="C6508" i="2"/>
  <c r="B6508" i="2"/>
  <c r="C6507" i="2"/>
  <c r="B6507" i="2"/>
  <c r="C6506" i="2"/>
  <c r="B6506" i="2"/>
  <c r="C6505" i="2"/>
  <c r="B6505" i="2"/>
  <c r="C6504" i="2"/>
  <c r="B6504" i="2"/>
  <c r="C6503" i="2"/>
  <c r="B6503" i="2"/>
  <c r="C6502" i="2"/>
  <c r="B6502" i="2"/>
  <c r="C6501" i="2"/>
  <c r="B6501" i="2"/>
  <c r="C6500" i="2"/>
  <c r="B6500" i="2"/>
  <c r="C6499" i="2"/>
  <c r="B6499" i="2"/>
  <c r="C6498" i="2"/>
  <c r="B6498" i="2"/>
  <c r="C6497" i="2"/>
  <c r="B6497" i="2"/>
  <c r="C6496" i="2"/>
  <c r="B6496" i="2"/>
  <c r="C6495" i="2"/>
  <c r="B6495" i="2"/>
  <c r="C6494" i="2"/>
  <c r="B6494" i="2"/>
  <c r="C6493" i="2"/>
  <c r="B6493" i="2"/>
  <c r="C6492" i="2"/>
  <c r="B6492" i="2"/>
  <c r="C6491" i="2"/>
  <c r="B6491" i="2"/>
  <c r="C6490" i="2"/>
  <c r="B6490" i="2"/>
  <c r="C6489" i="2"/>
  <c r="B6489" i="2"/>
  <c r="C6488" i="2"/>
  <c r="B6488" i="2"/>
  <c r="C6487" i="2"/>
  <c r="B6487" i="2"/>
  <c r="C6486" i="2"/>
  <c r="B6486" i="2"/>
  <c r="C6485" i="2"/>
  <c r="B6485" i="2"/>
  <c r="C6484" i="2"/>
  <c r="B6484" i="2"/>
  <c r="C6483" i="2"/>
  <c r="B6483" i="2"/>
  <c r="C6482" i="2"/>
  <c r="B6482" i="2"/>
  <c r="C6481" i="2"/>
  <c r="B6481" i="2"/>
  <c r="C6480" i="2"/>
  <c r="B6480" i="2"/>
  <c r="C6479" i="2"/>
  <c r="B6479" i="2"/>
  <c r="C6478" i="2"/>
  <c r="B6478" i="2"/>
  <c r="C6477" i="2"/>
  <c r="B6477" i="2"/>
  <c r="C6476" i="2"/>
  <c r="B6476" i="2"/>
  <c r="C6475" i="2"/>
  <c r="B6475" i="2"/>
  <c r="C6474" i="2"/>
  <c r="B6474" i="2"/>
  <c r="C6473" i="2"/>
  <c r="B6473" i="2"/>
  <c r="C6472" i="2"/>
  <c r="B6472" i="2"/>
  <c r="C6471" i="2"/>
  <c r="B6471" i="2"/>
  <c r="C6470" i="2"/>
  <c r="B6470" i="2"/>
  <c r="C6469" i="2"/>
  <c r="B6469" i="2"/>
  <c r="C6468" i="2"/>
  <c r="B6468" i="2"/>
  <c r="C6467" i="2"/>
  <c r="B6467" i="2"/>
  <c r="C6466" i="2"/>
  <c r="B6466" i="2"/>
  <c r="C6465" i="2"/>
  <c r="B6465" i="2"/>
  <c r="C6464" i="2"/>
  <c r="B6464" i="2"/>
  <c r="C6463" i="2"/>
  <c r="B6463" i="2"/>
  <c r="C6462" i="2"/>
  <c r="B6462" i="2"/>
  <c r="C6461" i="2"/>
  <c r="B6461" i="2"/>
  <c r="C6460" i="2"/>
  <c r="B6460" i="2"/>
  <c r="C6459" i="2"/>
  <c r="B6459" i="2"/>
  <c r="C6458" i="2"/>
  <c r="B6458" i="2"/>
  <c r="C6457" i="2"/>
  <c r="B6457" i="2"/>
  <c r="C6456" i="2"/>
  <c r="B6456" i="2"/>
  <c r="C6455" i="2"/>
  <c r="B6455" i="2"/>
  <c r="C6454" i="2"/>
  <c r="B6454" i="2"/>
  <c r="C6453" i="2"/>
  <c r="B6453" i="2"/>
  <c r="C6452" i="2"/>
  <c r="B6452" i="2"/>
  <c r="C6451" i="2"/>
  <c r="B6451" i="2"/>
  <c r="C6450" i="2"/>
  <c r="B6450" i="2"/>
  <c r="C6449" i="2"/>
  <c r="B6449" i="2"/>
  <c r="C6448" i="2"/>
  <c r="B6448" i="2"/>
  <c r="C6447" i="2"/>
  <c r="B6447" i="2"/>
  <c r="C6446" i="2"/>
  <c r="B6446" i="2"/>
  <c r="C6445" i="2"/>
  <c r="B6445" i="2"/>
  <c r="C6444" i="2"/>
  <c r="B6444" i="2"/>
  <c r="C6443" i="2"/>
  <c r="B6443" i="2"/>
  <c r="C6442" i="2"/>
  <c r="B6442" i="2"/>
  <c r="C6441" i="2"/>
  <c r="B6441" i="2"/>
  <c r="C6440" i="2"/>
  <c r="B6440" i="2"/>
  <c r="C6439" i="2"/>
  <c r="B6439" i="2"/>
  <c r="C6438" i="2"/>
  <c r="B6438" i="2"/>
  <c r="C6437" i="2"/>
  <c r="B6437" i="2"/>
  <c r="C6436" i="2"/>
  <c r="B6436" i="2"/>
  <c r="C6435" i="2"/>
  <c r="B6435" i="2"/>
  <c r="C6434" i="2"/>
  <c r="B6434" i="2"/>
  <c r="C6433" i="2"/>
  <c r="B6433" i="2"/>
  <c r="C6432" i="2"/>
  <c r="B6432" i="2"/>
  <c r="C6431" i="2"/>
  <c r="B6431" i="2"/>
  <c r="C6430" i="2"/>
  <c r="B6430" i="2"/>
  <c r="C6429" i="2"/>
  <c r="B6429" i="2"/>
  <c r="C6428" i="2"/>
  <c r="B6428" i="2"/>
  <c r="C6427" i="2"/>
  <c r="B6427" i="2"/>
  <c r="C6426" i="2"/>
  <c r="B6426" i="2"/>
  <c r="C6425" i="2"/>
  <c r="B6425" i="2"/>
  <c r="C6424" i="2"/>
  <c r="B6424" i="2"/>
  <c r="C6423" i="2"/>
  <c r="B6423" i="2"/>
  <c r="C6422" i="2"/>
  <c r="B6422" i="2"/>
  <c r="C6421" i="2"/>
  <c r="B6421" i="2"/>
  <c r="C6420" i="2"/>
  <c r="B6420" i="2"/>
  <c r="C6419" i="2"/>
  <c r="B6419" i="2"/>
  <c r="C6418" i="2"/>
  <c r="B6418" i="2"/>
  <c r="C6417" i="2"/>
  <c r="B6417" i="2"/>
  <c r="C6416" i="2"/>
  <c r="B6416" i="2"/>
  <c r="C6415" i="2"/>
  <c r="B6415" i="2"/>
  <c r="C6414" i="2"/>
  <c r="B6414" i="2"/>
  <c r="C6413" i="2"/>
  <c r="B6413" i="2"/>
  <c r="C6412" i="2"/>
  <c r="B6412" i="2"/>
  <c r="C6411" i="2"/>
  <c r="B6411" i="2"/>
  <c r="C6410" i="2"/>
  <c r="B6410" i="2"/>
  <c r="C6409" i="2"/>
  <c r="B6409" i="2"/>
  <c r="C6408" i="2"/>
  <c r="B6408" i="2"/>
  <c r="C6407" i="2"/>
  <c r="B6407" i="2"/>
  <c r="C6406" i="2"/>
  <c r="B6406" i="2"/>
  <c r="C6405" i="2"/>
  <c r="B6405" i="2"/>
  <c r="C6404" i="2"/>
  <c r="B6404" i="2"/>
  <c r="C6403" i="2"/>
  <c r="B6403" i="2"/>
  <c r="C6402" i="2"/>
  <c r="B6402" i="2"/>
  <c r="C6401" i="2"/>
  <c r="B6401" i="2"/>
  <c r="C6400" i="2"/>
  <c r="B6400" i="2"/>
  <c r="C6399" i="2"/>
  <c r="B6399" i="2"/>
  <c r="C6398" i="2"/>
  <c r="B6398" i="2"/>
  <c r="C6397" i="2"/>
  <c r="B6397" i="2"/>
  <c r="C6396" i="2"/>
  <c r="B6396" i="2"/>
  <c r="C6395" i="2"/>
  <c r="B6395" i="2"/>
  <c r="C6394" i="2"/>
  <c r="B6394" i="2"/>
  <c r="C6393" i="2"/>
  <c r="B6393" i="2"/>
  <c r="C6392" i="2"/>
  <c r="B6392" i="2"/>
  <c r="C6391" i="2"/>
  <c r="B6391" i="2"/>
  <c r="C6390" i="2"/>
  <c r="B6390" i="2"/>
  <c r="C6389" i="2"/>
  <c r="B6389" i="2"/>
  <c r="C6388" i="2"/>
  <c r="B6388" i="2"/>
  <c r="C6387" i="2"/>
  <c r="B6387" i="2"/>
  <c r="C6386" i="2"/>
  <c r="B6386" i="2"/>
  <c r="C6385" i="2"/>
  <c r="B6385" i="2"/>
  <c r="C6384" i="2"/>
  <c r="B6384" i="2"/>
  <c r="C6383" i="2"/>
  <c r="B6383" i="2"/>
  <c r="C6382" i="2"/>
  <c r="B6382" i="2"/>
  <c r="C6381" i="2"/>
  <c r="B6381" i="2"/>
  <c r="C6380" i="2"/>
  <c r="B6380" i="2"/>
  <c r="C6379" i="2"/>
  <c r="B6379" i="2"/>
  <c r="C6378" i="2"/>
  <c r="B6378" i="2"/>
  <c r="C6377" i="2"/>
  <c r="B6377" i="2"/>
  <c r="C6376" i="2"/>
  <c r="B6376" i="2"/>
  <c r="C6375" i="2"/>
  <c r="B6375" i="2"/>
  <c r="C6374" i="2"/>
  <c r="B6374" i="2"/>
  <c r="C6373" i="2"/>
  <c r="B6373" i="2"/>
  <c r="C6372" i="2"/>
  <c r="B6372" i="2"/>
  <c r="C6371" i="2"/>
  <c r="B6371" i="2"/>
  <c r="C6370" i="2"/>
  <c r="B6370" i="2"/>
  <c r="C6369" i="2"/>
  <c r="B6369" i="2"/>
  <c r="C6368" i="2"/>
  <c r="B6368" i="2"/>
  <c r="C6367" i="2"/>
  <c r="B6367" i="2"/>
  <c r="C6366" i="2"/>
  <c r="B6366" i="2"/>
  <c r="C6365" i="2"/>
  <c r="B6365" i="2"/>
  <c r="C6364" i="2"/>
  <c r="B6364" i="2"/>
  <c r="C6363" i="2"/>
  <c r="B6363" i="2"/>
  <c r="C6362" i="2"/>
  <c r="B6362" i="2"/>
  <c r="C6361" i="2"/>
  <c r="B6361" i="2"/>
  <c r="C6360" i="2"/>
  <c r="B6360" i="2"/>
  <c r="C6359" i="2"/>
  <c r="B6359" i="2"/>
  <c r="C6358" i="2"/>
  <c r="B6358" i="2"/>
  <c r="C6357" i="2"/>
  <c r="B6357" i="2"/>
  <c r="C6356" i="2"/>
  <c r="B6356" i="2"/>
  <c r="C6355" i="2"/>
  <c r="B6355" i="2"/>
  <c r="C6354" i="2"/>
  <c r="B6354" i="2"/>
  <c r="C6353" i="2"/>
  <c r="B6353" i="2"/>
  <c r="C6352" i="2"/>
  <c r="B6352" i="2"/>
  <c r="C6351" i="2"/>
  <c r="B6351" i="2"/>
  <c r="C6350" i="2"/>
  <c r="B6350" i="2"/>
  <c r="C6349" i="2"/>
  <c r="B6349" i="2"/>
  <c r="C6348" i="2"/>
  <c r="B6348" i="2"/>
  <c r="C6347" i="2"/>
  <c r="B6347" i="2"/>
  <c r="C6346" i="2"/>
  <c r="B6346" i="2"/>
  <c r="C6345" i="2"/>
  <c r="B6345" i="2"/>
  <c r="C6344" i="2"/>
  <c r="B6344" i="2"/>
  <c r="C6343" i="2"/>
  <c r="B6343" i="2"/>
  <c r="C6342" i="2"/>
  <c r="B6342" i="2"/>
  <c r="C6341" i="2"/>
  <c r="B6341" i="2"/>
  <c r="C6340" i="2"/>
  <c r="B6340" i="2"/>
  <c r="C6339" i="2"/>
  <c r="B6339" i="2"/>
  <c r="C6338" i="2"/>
  <c r="B6338" i="2"/>
  <c r="C6337" i="2"/>
  <c r="B6337" i="2"/>
  <c r="C6336" i="2"/>
  <c r="B6336" i="2"/>
  <c r="C6335" i="2"/>
  <c r="B6335" i="2"/>
  <c r="C6334" i="2"/>
  <c r="B6334" i="2"/>
  <c r="C6333" i="2"/>
  <c r="B6333" i="2"/>
  <c r="C6332" i="2"/>
  <c r="B6332" i="2"/>
  <c r="C6331" i="2"/>
  <c r="B6331" i="2"/>
  <c r="C6330" i="2"/>
  <c r="B6330" i="2"/>
  <c r="C6329" i="2"/>
  <c r="B6329" i="2"/>
  <c r="C6328" i="2"/>
  <c r="B6328" i="2"/>
  <c r="C6327" i="2"/>
  <c r="B6327" i="2"/>
  <c r="C6326" i="2"/>
  <c r="B6326" i="2"/>
  <c r="C6325" i="2"/>
  <c r="B6325" i="2"/>
  <c r="C6324" i="2"/>
  <c r="B6324" i="2"/>
  <c r="C6323" i="2"/>
  <c r="B6323" i="2"/>
  <c r="C6322" i="2"/>
  <c r="B6322" i="2"/>
  <c r="C6321" i="2"/>
  <c r="B6321" i="2"/>
  <c r="C6320" i="2"/>
  <c r="B6320" i="2"/>
  <c r="C6319" i="2"/>
  <c r="B6319" i="2"/>
  <c r="C6318" i="2"/>
  <c r="B6318" i="2"/>
  <c r="C6317" i="2"/>
  <c r="B6317" i="2"/>
  <c r="C6316" i="2"/>
  <c r="B6316" i="2"/>
  <c r="C6315" i="2"/>
  <c r="B6315" i="2"/>
  <c r="C6314" i="2"/>
  <c r="B6314" i="2"/>
  <c r="C6313" i="2"/>
  <c r="B6313" i="2"/>
  <c r="C6312" i="2"/>
  <c r="B6312" i="2"/>
  <c r="C6311" i="2"/>
  <c r="B6311" i="2"/>
  <c r="C6310" i="2"/>
  <c r="B6310" i="2"/>
  <c r="C6309" i="2"/>
  <c r="B6309" i="2"/>
  <c r="C6308" i="2"/>
  <c r="B6308" i="2"/>
  <c r="C6307" i="2"/>
  <c r="B6307" i="2"/>
  <c r="C6306" i="2"/>
  <c r="B6306" i="2"/>
  <c r="C6305" i="2"/>
  <c r="B6305" i="2"/>
  <c r="C6304" i="2"/>
  <c r="B6304" i="2"/>
  <c r="C6303" i="2"/>
  <c r="B6303" i="2"/>
  <c r="C6302" i="2"/>
  <c r="B6302" i="2"/>
  <c r="C6301" i="2"/>
  <c r="B6301" i="2"/>
  <c r="C6300" i="2"/>
  <c r="B6300" i="2"/>
  <c r="C6299" i="2"/>
  <c r="B6299" i="2"/>
  <c r="C6298" i="2"/>
  <c r="B6298" i="2"/>
  <c r="C6297" i="2"/>
  <c r="B6297" i="2"/>
  <c r="C6296" i="2"/>
  <c r="B6296" i="2"/>
  <c r="C6295" i="2"/>
  <c r="B6295" i="2"/>
  <c r="C6294" i="2"/>
  <c r="B6294" i="2"/>
  <c r="C6293" i="2"/>
  <c r="B6293" i="2"/>
  <c r="C6292" i="2"/>
  <c r="B6292" i="2"/>
  <c r="C6291" i="2"/>
  <c r="B6291" i="2"/>
  <c r="C6290" i="2"/>
  <c r="B6290" i="2"/>
  <c r="C6289" i="2"/>
  <c r="B6289" i="2"/>
  <c r="C6288" i="2"/>
  <c r="B6288" i="2"/>
  <c r="C6287" i="2"/>
  <c r="B6287" i="2"/>
  <c r="C6286" i="2"/>
  <c r="B6286" i="2"/>
  <c r="C6285" i="2"/>
  <c r="B6285" i="2"/>
  <c r="C6284" i="2"/>
  <c r="B6284" i="2"/>
  <c r="C6283" i="2"/>
  <c r="B6283" i="2"/>
  <c r="C6282" i="2"/>
  <c r="B6282" i="2"/>
  <c r="C6281" i="2"/>
  <c r="B6281" i="2"/>
  <c r="C6280" i="2"/>
  <c r="B6280" i="2"/>
  <c r="C6279" i="2"/>
  <c r="B6279" i="2"/>
  <c r="C6278" i="2"/>
  <c r="B6278" i="2"/>
  <c r="C6277" i="2"/>
  <c r="B6277" i="2"/>
  <c r="C6276" i="2"/>
  <c r="B6276" i="2"/>
  <c r="C6275" i="2"/>
  <c r="B6275" i="2"/>
  <c r="C6274" i="2"/>
  <c r="B6274" i="2"/>
  <c r="C6273" i="2"/>
  <c r="B6273" i="2"/>
  <c r="C6272" i="2"/>
  <c r="B6272" i="2"/>
  <c r="C6271" i="2"/>
  <c r="B6271" i="2"/>
  <c r="C6270" i="2"/>
  <c r="B6270" i="2"/>
  <c r="C6269" i="2"/>
  <c r="B6269" i="2"/>
  <c r="C6268" i="2"/>
  <c r="B6268" i="2"/>
  <c r="C6267" i="2"/>
  <c r="B6267" i="2"/>
  <c r="C6266" i="2"/>
  <c r="B6266" i="2"/>
  <c r="C6265" i="2"/>
  <c r="B6265" i="2"/>
  <c r="C6264" i="2"/>
  <c r="B6264" i="2"/>
  <c r="C6263" i="2"/>
  <c r="B6263" i="2"/>
  <c r="C6262" i="2"/>
  <c r="B6262" i="2"/>
  <c r="C6261" i="2"/>
  <c r="B6261" i="2"/>
  <c r="C6260" i="2"/>
  <c r="B6260" i="2"/>
  <c r="C6259" i="2"/>
  <c r="B6259" i="2"/>
  <c r="C6258" i="2"/>
  <c r="B6258" i="2"/>
  <c r="C6257" i="2"/>
  <c r="B6257" i="2"/>
  <c r="C6256" i="2"/>
  <c r="B6256" i="2"/>
  <c r="C6255" i="2"/>
  <c r="B6255" i="2"/>
  <c r="C6254" i="2"/>
  <c r="B6254" i="2"/>
  <c r="C6253" i="2"/>
  <c r="B6253" i="2"/>
  <c r="C6252" i="2"/>
  <c r="B6252" i="2"/>
  <c r="C6251" i="2"/>
  <c r="B6251" i="2"/>
  <c r="C6250" i="2"/>
  <c r="B6250" i="2"/>
  <c r="C6249" i="2"/>
  <c r="B6249" i="2"/>
  <c r="C6248" i="2"/>
  <c r="B6248" i="2"/>
  <c r="C6247" i="2"/>
  <c r="B6247" i="2"/>
  <c r="C6246" i="2"/>
  <c r="B6246" i="2"/>
  <c r="C6245" i="2"/>
  <c r="B6245" i="2"/>
  <c r="C6244" i="2"/>
  <c r="B6244" i="2"/>
  <c r="C6243" i="2"/>
  <c r="B6243" i="2"/>
  <c r="C6242" i="2"/>
  <c r="B6242" i="2"/>
  <c r="C6241" i="2"/>
  <c r="B6241" i="2"/>
  <c r="C6240" i="2"/>
  <c r="B6240" i="2"/>
  <c r="C6239" i="2"/>
  <c r="B6239" i="2"/>
  <c r="C6238" i="2"/>
  <c r="B6238" i="2"/>
  <c r="C6237" i="2"/>
  <c r="B6237" i="2"/>
  <c r="C6236" i="2"/>
  <c r="B6236" i="2"/>
  <c r="C6235" i="2"/>
  <c r="B6235" i="2"/>
  <c r="C6234" i="2"/>
  <c r="B6234" i="2"/>
  <c r="C6233" i="2"/>
  <c r="B6233" i="2"/>
  <c r="C6232" i="2"/>
  <c r="B6232" i="2"/>
  <c r="C6231" i="2"/>
  <c r="B6231" i="2"/>
  <c r="C6230" i="2"/>
  <c r="B6230" i="2"/>
  <c r="C6229" i="2"/>
  <c r="B6229" i="2"/>
  <c r="C6228" i="2"/>
  <c r="B6228" i="2"/>
  <c r="C6227" i="2"/>
  <c r="B6227" i="2"/>
  <c r="C6226" i="2"/>
  <c r="B6226" i="2"/>
  <c r="C6225" i="2"/>
  <c r="B6225" i="2"/>
  <c r="C6224" i="2"/>
  <c r="B6224" i="2"/>
  <c r="C6223" i="2"/>
  <c r="B6223" i="2"/>
  <c r="C6222" i="2"/>
  <c r="B6222" i="2"/>
  <c r="C6221" i="2"/>
  <c r="B6221" i="2"/>
  <c r="C6220" i="2"/>
  <c r="B6220" i="2"/>
  <c r="C6219" i="2"/>
  <c r="B6219" i="2"/>
  <c r="C6218" i="2"/>
  <c r="B6218" i="2"/>
  <c r="C6217" i="2"/>
  <c r="B6217" i="2"/>
  <c r="C6216" i="2"/>
  <c r="B6216" i="2"/>
  <c r="C6215" i="2"/>
  <c r="B6215" i="2"/>
  <c r="C6214" i="2"/>
  <c r="B6214" i="2"/>
  <c r="C6213" i="2"/>
  <c r="B6213" i="2"/>
  <c r="C6212" i="2"/>
  <c r="B6212" i="2"/>
  <c r="C6211" i="2"/>
  <c r="B6211" i="2"/>
  <c r="C6210" i="2"/>
  <c r="B6210" i="2"/>
  <c r="C6209" i="2"/>
  <c r="B6209" i="2"/>
  <c r="C6208" i="2"/>
  <c r="B6208" i="2"/>
  <c r="C6207" i="2"/>
  <c r="B6207" i="2"/>
  <c r="C6206" i="2"/>
  <c r="B6206" i="2"/>
  <c r="C6205" i="2"/>
  <c r="B6205" i="2"/>
  <c r="C6204" i="2"/>
  <c r="B6204" i="2"/>
  <c r="C6203" i="2"/>
  <c r="B6203" i="2"/>
  <c r="C6202" i="2"/>
  <c r="B6202" i="2"/>
  <c r="C6201" i="2"/>
  <c r="B6201" i="2"/>
  <c r="C6200" i="2"/>
  <c r="B6200" i="2"/>
  <c r="C6199" i="2"/>
  <c r="B6199" i="2"/>
  <c r="C6198" i="2"/>
  <c r="B6198" i="2"/>
  <c r="C6197" i="2"/>
  <c r="B6197" i="2"/>
  <c r="C6196" i="2"/>
  <c r="B6196" i="2"/>
  <c r="C6195" i="2"/>
  <c r="B6195" i="2"/>
  <c r="C6194" i="2"/>
  <c r="B6194" i="2"/>
  <c r="C6193" i="2"/>
  <c r="B6193" i="2"/>
  <c r="C6192" i="2"/>
  <c r="B6192" i="2"/>
  <c r="C6191" i="2"/>
  <c r="B6191" i="2"/>
  <c r="C6190" i="2"/>
  <c r="B6190" i="2"/>
  <c r="C6189" i="2"/>
  <c r="B6189" i="2"/>
  <c r="C6188" i="2"/>
  <c r="B6188" i="2"/>
  <c r="C6187" i="2"/>
  <c r="B6187" i="2"/>
  <c r="C6186" i="2"/>
  <c r="B6186" i="2"/>
  <c r="C6185" i="2"/>
  <c r="B6185" i="2"/>
  <c r="C6184" i="2"/>
  <c r="B6184" i="2"/>
  <c r="C6183" i="2"/>
  <c r="B6183" i="2"/>
  <c r="C6182" i="2"/>
  <c r="B6182" i="2"/>
  <c r="C6181" i="2"/>
  <c r="B6181" i="2"/>
  <c r="C6180" i="2"/>
  <c r="B6180" i="2"/>
  <c r="C6179" i="2"/>
  <c r="B6179" i="2"/>
  <c r="C6178" i="2"/>
  <c r="B6178" i="2"/>
  <c r="C6177" i="2"/>
  <c r="B6177" i="2"/>
  <c r="C6176" i="2"/>
  <c r="B6176" i="2"/>
  <c r="C6175" i="2"/>
  <c r="B6175" i="2"/>
  <c r="C6174" i="2"/>
  <c r="B6174" i="2"/>
  <c r="C6173" i="2"/>
  <c r="B6173" i="2"/>
  <c r="C6172" i="2"/>
  <c r="B6172" i="2"/>
  <c r="C6171" i="2"/>
  <c r="B6171" i="2"/>
  <c r="C6170" i="2"/>
  <c r="B6170" i="2"/>
  <c r="C6169" i="2"/>
  <c r="B6169" i="2"/>
  <c r="C6168" i="2"/>
  <c r="B6168" i="2"/>
  <c r="C6167" i="2"/>
  <c r="B6167" i="2"/>
  <c r="C6166" i="2"/>
  <c r="B6166" i="2"/>
  <c r="C6165" i="2"/>
  <c r="B6165" i="2"/>
  <c r="C6164" i="2"/>
  <c r="B6164" i="2"/>
  <c r="C6163" i="2"/>
  <c r="B6163" i="2"/>
  <c r="C6162" i="2"/>
  <c r="B6162" i="2"/>
  <c r="C6161" i="2"/>
  <c r="B6161" i="2"/>
  <c r="C6160" i="2"/>
  <c r="B6160" i="2"/>
  <c r="C6159" i="2"/>
  <c r="B6159" i="2"/>
  <c r="C6158" i="2"/>
  <c r="B6158" i="2"/>
  <c r="C6157" i="2"/>
  <c r="B6157" i="2"/>
  <c r="C6156" i="2"/>
  <c r="B6156" i="2"/>
  <c r="C6155" i="2"/>
  <c r="B6155" i="2"/>
  <c r="C6154" i="2"/>
  <c r="B6154" i="2"/>
  <c r="C6153" i="2"/>
  <c r="B6153" i="2"/>
  <c r="C6152" i="2"/>
  <c r="B6152" i="2"/>
  <c r="C6151" i="2"/>
  <c r="B6151" i="2"/>
  <c r="C6150" i="2"/>
  <c r="B6150" i="2"/>
  <c r="C6149" i="2"/>
  <c r="B6149" i="2"/>
  <c r="C6148" i="2"/>
  <c r="B6148" i="2"/>
  <c r="C6147" i="2"/>
  <c r="B6147" i="2"/>
  <c r="C6146" i="2"/>
  <c r="B6146" i="2"/>
  <c r="C6145" i="2"/>
  <c r="B6145" i="2"/>
  <c r="C6144" i="2"/>
  <c r="B6144" i="2"/>
  <c r="C6143" i="2"/>
  <c r="B6143" i="2"/>
  <c r="C6142" i="2"/>
  <c r="B6142" i="2"/>
  <c r="C6141" i="2"/>
  <c r="B6141" i="2"/>
  <c r="C6140" i="2"/>
  <c r="B6140" i="2"/>
  <c r="C6139" i="2"/>
  <c r="B6139" i="2"/>
  <c r="C6138" i="2"/>
  <c r="B6138" i="2"/>
  <c r="C6137" i="2"/>
  <c r="B6137" i="2"/>
  <c r="C6136" i="2"/>
  <c r="B6136" i="2"/>
  <c r="C6135" i="2"/>
  <c r="B6135" i="2"/>
  <c r="C6134" i="2"/>
  <c r="B6134" i="2"/>
  <c r="C6133" i="2"/>
  <c r="B6133" i="2"/>
  <c r="C6132" i="2"/>
  <c r="B6132" i="2"/>
  <c r="C6131" i="2"/>
  <c r="B6131" i="2"/>
  <c r="C6130" i="2"/>
  <c r="B6130" i="2"/>
  <c r="C6129" i="2"/>
  <c r="B6129" i="2"/>
  <c r="C6128" i="2"/>
  <c r="B6128" i="2"/>
  <c r="C6127" i="2"/>
  <c r="B6127" i="2"/>
  <c r="C6126" i="2"/>
  <c r="B6126" i="2"/>
  <c r="C6125" i="2"/>
  <c r="B6125" i="2"/>
  <c r="C6124" i="2"/>
  <c r="B6124" i="2"/>
  <c r="C6123" i="2"/>
  <c r="B6123" i="2"/>
  <c r="C6122" i="2"/>
  <c r="B6122" i="2"/>
  <c r="C6121" i="2"/>
  <c r="B6121" i="2"/>
  <c r="C6120" i="2"/>
  <c r="B6120" i="2"/>
  <c r="C6119" i="2"/>
  <c r="B6119" i="2"/>
  <c r="C6118" i="2"/>
  <c r="B6118" i="2"/>
  <c r="C6117" i="2"/>
  <c r="B6117" i="2"/>
  <c r="C6116" i="2"/>
  <c r="B6116" i="2"/>
  <c r="C6115" i="2"/>
  <c r="B6115" i="2"/>
  <c r="C6114" i="2"/>
  <c r="B6114" i="2"/>
  <c r="C6113" i="2"/>
  <c r="B6113" i="2"/>
  <c r="C6112" i="2"/>
  <c r="B6112" i="2"/>
  <c r="C6111" i="2"/>
  <c r="B6111" i="2"/>
  <c r="C6110" i="2"/>
  <c r="B6110" i="2"/>
  <c r="C6109" i="2"/>
  <c r="B6109" i="2"/>
  <c r="C6108" i="2"/>
  <c r="B6108" i="2"/>
  <c r="C6107" i="2"/>
  <c r="B6107" i="2"/>
  <c r="C6106" i="2"/>
  <c r="B6106" i="2"/>
  <c r="C6105" i="2"/>
  <c r="B6105" i="2"/>
  <c r="C6104" i="2"/>
  <c r="B6104" i="2"/>
  <c r="C6103" i="2"/>
  <c r="B6103" i="2"/>
  <c r="C6102" i="2"/>
  <c r="B6102" i="2"/>
  <c r="C6101" i="2"/>
  <c r="B6101" i="2"/>
  <c r="C6100" i="2"/>
  <c r="B6100" i="2"/>
  <c r="C6099" i="2"/>
  <c r="B6099" i="2"/>
  <c r="C6098" i="2"/>
  <c r="B6098" i="2"/>
  <c r="C6097" i="2"/>
  <c r="B6097" i="2"/>
  <c r="C6096" i="2"/>
  <c r="B6096" i="2"/>
  <c r="C6095" i="2"/>
  <c r="B6095" i="2"/>
  <c r="C6094" i="2"/>
  <c r="B6094" i="2"/>
  <c r="C6093" i="2"/>
  <c r="B6093" i="2"/>
  <c r="C6092" i="2"/>
  <c r="B6092" i="2"/>
  <c r="C6091" i="2"/>
  <c r="B6091" i="2"/>
  <c r="C6090" i="2"/>
  <c r="B6090" i="2"/>
  <c r="C6089" i="2"/>
  <c r="B6089" i="2"/>
  <c r="C6088" i="2"/>
  <c r="B6088" i="2"/>
  <c r="C6087" i="2"/>
  <c r="B6087" i="2"/>
  <c r="C6086" i="2"/>
  <c r="B6086" i="2"/>
  <c r="C6085" i="2"/>
  <c r="B6085" i="2"/>
  <c r="C6084" i="2"/>
  <c r="B6084" i="2"/>
  <c r="C6083" i="2"/>
  <c r="B6083" i="2"/>
  <c r="C6082" i="2"/>
  <c r="B6082" i="2"/>
  <c r="C6081" i="2"/>
  <c r="B6081" i="2"/>
  <c r="C6080" i="2"/>
  <c r="B6080" i="2"/>
  <c r="C6079" i="2"/>
  <c r="B6079" i="2"/>
  <c r="C6078" i="2"/>
  <c r="B6078" i="2"/>
  <c r="C6077" i="2"/>
  <c r="B6077" i="2"/>
  <c r="C6076" i="2"/>
  <c r="B6076" i="2"/>
  <c r="C6075" i="2"/>
  <c r="B6075" i="2"/>
  <c r="C6074" i="2"/>
  <c r="B6074" i="2"/>
  <c r="C6073" i="2"/>
  <c r="B6073" i="2"/>
  <c r="C6072" i="2"/>
  <c r="B6072" i="2"/>
  <c r="C6071" i="2"/>
  <c r="B6071" i="2"/>
  <c r="C6070" i="2"/>
  <c r="B6070" i="2"/>
  <c r="C6069" i="2"/>
  <c r="B6069" i="2"/>
  <c r="C6068" i="2"/>
  <c r="B6068" i="2"/>
  <c r="C6067" i="2"/>
  <c r="B6067" i="2"/>
  <c r="C6066" i="2"/>
  <c r="B6066" i="2"/>
  <c r="C6065" i="2"/>
  <c r="B6065" i="2"/>
  <c r="C6064" i="2"/>
  <c r="B6064" i="2"/>
  <c r="C6063" i="2"/>
  <c r="B6063" i="2"/>
  <c r="C6062" i="2"/>
  <c r="B6062" i="2"/>
  <c r="C6061" i="2"/>
  <c r="B6061" i="2"/>
  <c r="C6060" i="2"/>
  <c r="B6060" i="2"/>
  <c r="C6059" i="2"/>
  <c r="B6059" i="2"/>
  <c r="C6058" i="2"/>
  <c r="B6058" i="2"/>
  <c r="C6057" i="2"/>
  <c r="B6057" i="2"/>
  <c r="C6056" i="2"/>
  <c r="B6056" i="2"/>
  <c r="C6055" i="2"/>
  <c r="B6055" i="2"/>
  <c r="C6054" i="2"/>
  <c r="B6054" i="2"/>
  <c r="C6053" i="2"/>
  <c r="B6053" i="2"/>
  <c r="C6052" i="2"/>
  <c r="B6052" i="2"/>
  <c r="C6051" i="2"/>
  <c r="B6051" i="2"/>
  <c r="C6050" i="2"/>
  <c r="B6050" i="2"/>
  <c r="C6049" i="2"/>
  <c r="B6049" i="2"/>
  <c r="C6048" i="2"/>
  <c r="B6048" i="2"/>
  <c r="C6047" i="2"/>
  <c r="B6047" i="2"/>
  <c r="C6046" i="2"/>
  <c r="B6046" i="2"/>
  <c r="C6045" i="2"/>
  <c r="B6045" i="2"/>
  <c r="C6044" i="2"/>
  <c r="B6044" i="2"/>
  <c r="C6043" i="2"/>
  <c r="B6043" i="2"/>
  <c r="C6042" i="2"/>
  <c r="B6042" i="2"/>
  <c r="C6041" i="2"/>
  <c r="B6041" i="2"/>
  <c r="C6040" i="2"/>
  <c r="B6040" i="2"/>
  <c r="C6039" i="2"/>
  <c r="B6039" i="2"/>
  <c r="C6038" i="2"/>
  <c r="B6038" i="2"/>
  <c r="C6037" i="2"/>
  <c r="B6037" i="2"/>
  <c r="C6036" i="2"/>
  <c r="B6036" i="2"/>
  <c r="C6035" i="2"/>
  <c r="B6035" i="2"/>
  <c r="C6034" i="2"/>
  <c r="B6034" i="2"/>
  <c r="C6033" i="2"/>
  <c r="B6033" i="2"/>
  <c r="C6032" i="2"/>
  <c r="B6032" i="2"/>
  <c r="C6031" i="2"/>
  <c r="B6031" i="2"/>
  <c r="C6030" i="2"/>
  <c r="B6030" i="2"/>
  <c r="C6029" i="2"/>
  <c r="B6029" i="2"/>
  <c r="C6028" i="2"/>
  <c r="B6028" i="2"/>
  <c r="C6027" i="2"/>
  <c r="B6027" i="2"/>
  <c r="C6026" i="2"/>
  <c r="B6026" i="2"/>
  <c r="C6025" i="2"/>
  <c r="B6025" i="2"/>
  <c r="C6024" i="2"/>
  <c r="B6024" i="2"/>
  <c r="C6023" i="2"/>
  <c r="B6023" i="2"/>
  <c r="C6022" i="2"/>
  <c r="B6022" i="2"/>
  <c r="C6021" i="2"/>
  <c r="B6021" i="2"/>
  <c r="C6020" i="2"/>
  <c r="B6020" i="2"/>
  <c r="C6019" i="2"/>
  <c r="B6019" i="2"/>
  <c r="C6018" i="2"/>
  <c r="B6018" i="2"/>
  <c r="C6017" i="2"/>
  <c r="B6017" i="2"/>
  <c r="C6016" i="2"/>
  <c r="B6016" i="2"/>
  <c r="C6015" i="2"/>
  <c r="B6015" i="2"/>
  <c r="C6014" i="2"/>
  <c r="B6014" i="2"/>
  <c r="C6013" i="2"/>
  <c r="B6013" i="2"/>
  <c r="C6012" i="2"/>
  <c r="B6012" i="2"/>
  <c r="C6011" i="2"/>
  <c r="B6011" i="2"/>
  <c r="C6010" i="2"/>
  <c r="B6010" i="2"/>
  <c r="C6009" i="2"/>
  <c r="B6009" i="2"/>
  <c r="C6008" i="2"/>
  <c r="B6008" i="2"/>
  <c r="C6007" i="2"/>
  <c r="B6007" i="2"/>
  <c r="C6006" i="2"/>
  <c r="B6006" i="2"/>
  <c r="C6005" i="2"/>
  <c r="B6005" i="2"/>
  <c r="C6004" i="2"/>
  <c r="B6004" i="2"/>
  <c r="C6003" i="2"/>
  <c r="B6003" i="2"/>
  <c r="C6002" i="2"/>
  <c r="B6002" i="2"/>
  <c r="C6001" i="2"/>
  <c r="B6001" i="2"/>
  <c r="C6000" i="2"/>
  <c r="B6000" i="2"/>
  <c r="C5999" i="2"/>
  <c r="B5999" i="2"/>
  <c r="C5998" i="2"/>
  <c r="B5998" i="2"/>
  <c r="C5997" i="2"/>
  <c r="B5997" i="2"/>
  <c r="C5996" i="2"/>
  <c r="B5996" i="2"/>
  <c r="C5995" i="2"/>
  <c r="B5995" i="2"/>
  <c r="C5994" i="2"/>
  <c r="B5994" i="2"/>
  <c r="C5993" i="2"/>
  <c r="B5993" i="2"/>
  <c r="C5992" i="2"/>
  <c r="B5992" i="2"/>
  <c r="C5991" i="2"/>
  <c r="B5991" i="2"/>
  <c r="C5990" i="2"/>
  <c r="B5990" i="2"/>
  <c r="C5989" i="2"/>
  <c r="B5989" i="2"/>
  <c r="C5988" i="2"/>
  <c r="B5988" i="2"/>
  <c r="C5987" i="2"/>
  <c r="B5987" i="2"/>
  <c r="C5986" i="2"/>
  <c r="B5986" i="2"/>
  <c r="C5985" i="2"/>
  <c r="B5985" i="2"/>
  <c r="C5984" i="2"/>
  <c r="B5984" i="2"/>
  <c r="C5983" i="2"/>
  <c r="B5983" i="2"/>
  <c r="C5982" i="2"/>
  <c r="B5982" i="2"/>
  <c r="C5981" i="2"/>
  <c r="B5981" i="2"/>
  <c r="C5980" i="2"/>
  <c r="B5980" i="2"/>
  <c r="C5979" i="2"/>
  <c r="B5979" i="2"/>
  <c r="C5978" i="2"/>
  <c r="B5978" i="2"/>
  <c r="C5977" i="2"/>
  <c r="B5977" i="2"/>
  <c r="C5976" i="2"/>
  <c r="B5976" i="2"/>
  <c r="C5975" i="2"/>
  <c r="B5975" i="2"/>
  <c r="C5974" i="2"/>
  <c r="B5974" i="2"/>
  <c r="C5973" i="2"/>
  <c r="B5973" i="2"/>
  <c r="C5972" i="2"/>
  <c r="B5972" i="2"/>
  <c r="C5971" i="2"/>
  <c r="B5971" i="2"/>
  <c r="C5970" i="2"/>
  <c r="B5970" i="2"/>
  <c r="C5969" i="2"/>
  <c r="B5969" i="2"/>
  <c r="C5968" i="2"/>
  <c r="B5968" i="2"/>
  <c r="C5967" i="2"/>
  <c r="B5967" i="2"/>
  <c r="C5966" i="2"/>
  <c r="B5966" i="2"/>
  <c r="C5965" i="2"/>
  <c r="B5965" i="2"/>
  <c r="C5964" i="2"/>
  <c r="B5964" i="2"/>
  <c r="C5963" i="2"/>
  <c r="B5963" i="2"/>
  <c r="C5962" i="2"/>
  <c r="B5962" i="2"/>
  <c r="C5961" i="2"/>
  <c r="B5961" i="2"/>
  <c r="C5960" i="2"/>
  <c r="B5960" i="2"/>
  <c r="C5959" i="2"/>
  <c r="B5959" i="2"/>
  <c r="C5958" i="2"/>
  <c r="B5958" i="2"/>
  <c r="C5957" i="2"/>
  <c r="B5957" i="2"/>
  <c r="C5956" i="2"/>
  <c r="B5956" i="2"/>
  <c r="C5955" i="2"/>
  <c r="B5955" i="2"/>
  <c r="C5954" i="2"/>
  <c r="B5954" i="2"/>
  <c r="C5953" i="2"/>
  <c r="B5953" i="2"/>
  <c r="C5952" i="2"/>
  <c r="B5952" i="2"/>
  <c r="C5951" i="2"/>
  <c r="B5951" i="2"/>
  <c r="C5950" i="2"/>
  <c r="B5950" i="2"/>
  <c r="C5949" i="2"/>
  <c r="B5949" i="2"/>
  <c r="C5948" i="2"/>
  <c r="B5948" i="2"/>
  <c r="C5947" i="2"/>
  <c r="B5947" i="2"/>
  <c r="C5946" i="2"/>
  <c r="B5946" i="2"/>
  <c r="C5945" i="2"/>
  <c r="B5945" i="2"/>
  <c r="C5944" i="2"/>
  <c r="B5944" i="2"/>
  <c r="C5943" i="2"/>
  <c r="B5943" i="2"/>
  <c r="C5942" i="2"/>
  <c r="B5942" i="2"/>
  <c r="C5941" i="2"/>
  <c r="B5941" i="2"/>
  <c r="C5940" i="2"/>
  <c r="B5940" i="2"/>
  <c r="C5939" i="2"/>
  <c r="B5939" i="2"/>
  <c r="C5938" i="2"/>
  <c r="B5938" i="2"/>
  <c r="C5937" i="2"/>
  <c r="B5937" i="2"/>
  <c r="C5936" i="2"/>
  <c r="B5936" i="2"/>
  <c r="C5935" i="2"/>
  <c r="B5935" i="2"/>
  <c r="C5934" i="2"/>
  <c r="B5934" i="2"/>
  <c r="C5933" i="2"/>
  <c r="B5933" i="2"/>
  <c r="C5932" i="2"/>
  <c r="B5932" i="2"/>
  <c r="C5931" i="2"/>
  <c r="B5931" i="2"/>
  <c r="C5930" i="2"/>
  <c r="B5930" i="2"/>
  <c r="C5929" i="2"/>
  <c r="B5929" i="2"/>
  <c r="C5928" i="2"/>
  <c r="B5928" i="2"/>
  <c r="C5927" i="2"/>
  <c r="B5927" i="2"/>
  <c r="C5926" i="2"/>
  <c r="B5926" i="2"/>
  <c r="C5925" i="2"/>
  <c r="B5925" i="2"/>
  <c r="C5924" i="2"/>
  <c r="B5924" i="2"/>
  <c r="C5923" i="2"/>
  <c r="B5923" i="2"/>
  <c r="C5922" i="2"/>
  <c r="B5922" i="2"/>
  <c r="C5921" i="2"/>
  <c r="B5921" i="2"/>
  <c r="C5920" i="2"/>
  <c r="B5920" i="2"/>
  <c r="C5919" i="2"/>
  <c r="B5919" i="2"/>
  <c r="C5918" i="2"/>
  <c r="B5918" i="2"/>
  <c r="C5917" i="2"/>
  <c r="B5917" i="2"/>
  <c r="C5916" i="2"/>
  <c r="B5916" i="2"/>
  <c r="C5915" i="2"/>
  <c r="B5915" i="2"/>
  <c r="C5914" i="2"/>
  <c r="B5914" i="2"/>
  <c r="C5913" i="2"/>
  <c r="B5913" i="2"/>
  <c r="C5912" i="2"/>
  <c r="B5912" i="2"/>
  <c r="C5911" i="2"/>
  <c r="B5911" i="2"/>
  <c r="C5910" i="2"/>
  <c r="B5910" i="2"/>
  <c r="C5909" i="2"/>
  <c r="B5909" i="2"/>
  <c r="C5908" i="2"/>
  <c r="B5908" i="2"/>
  <c r="C5907" i="2"/>
  <c r="B5907" i="2"/>
  <c r="C5906" i="2"/>
  <c r="B5906" i="2"/>
  <c r="C5905" i="2"/>
  <c r="B5905" i="2"/>
  <c r="C5904" i="2"/>
  <c r="B5904" i="2"/>
  <c r="C5903" i="2"/>
  <c r="B5903" i="2"/>
  <c r="C5902" i="2"/>
  <c r="B5902" i="2"/>
  <c r="C5901" i="2"/>
  <c r="B5901" i="2"/>
  <c r="C5900" i="2"/>
  <c r="B5900" i="2"/>
  <c r="C5899" i="2"/>
  <c r="B5899" i="2"/>
  <c r="C5898" i="2"/>
  <c r="B5898" i="2"/>
  <c r="C5897" i="2"/>
  <c r="B5897" i="2"/>
  <c r="C5896" i="2"/>
  <c r="B5896" i="2"/>
  <c r="C5895" i="2"/>
  <c r="B5895" i="2"/>
  <c r="C5894" i="2"/>
  <c r="B5894" i="2"/>
  <c r="C5893" i="2"/>
  <c r="B5893" i="2"/>
  <c r="C5892" i="2"/>
  <c r="B5892" i="2"/>
  <c r="C5891" i="2"/>
  <c r="B5891" i="2"/>
  <c r="C5890" i="2"/>
  <c r="B5890" i="2"/>
  <c r="C5889" i="2"/>
  <c r="B5889" i="2"/>
  <c r="C5888" i="2"/>
  <c r="B5888" i="2"/>
  <c r="C5887" i="2"/>
  <c r="B5887" i="2"/>
  <c r="C5886" i="2"/>
  <c r="B5886" i="2"/>
  <c r="C5885" i="2"/>
  <c r="B5885" i="2"/>
  <c r="C5884" i="2"/>
  <c r="B5884" i="2"/>
  <c r="C5883" i="2"/>
  <c r="B5883" i="2"/>
  <c r="C5882" i="2"/>
  <c r="B5882" i="2"/>
  <c r="C5881" i="2"/>
  <c r="B5881" i="2"/>
  <c r="C5880" i="2"/>
  <c r="B5880" i="2"/>
  <c r="C5879" i="2"/>
  <c r="B5879" i="2"/>
  <c r="C5878" i="2"/>
  <c r="B5878" i="2"/>
  <c r="C5877" i="2"/>
  <c r="B5877" i="2"/>
  <c r="C5876" i="2"/>
  <c r="B5876" i="2"/>
  <c r="C5875" i="2"/>
  <c r="B5875" i="2"/>
  <c r="C5874" i="2"/>
  <c r="B5874" i="2"/>
  <c r="C5873" i="2"/>
  <c r="B5873" i="2"/>
  <c r="C5872" i="2"/>
  <c r="B5872" i="2"/>
  <c r="C5871" i="2"/>
  <c r="B5871" i="2"/>
  <c r="C5870" i="2"/>
  <c r="B5870" i="2"/>
  <c r="C5869" i="2"/>
  <c r="B5869" i="2"/>
  <c r="C5868" i="2"/>
  <c r="B5868" i="2"/>
  <c r="C5867" i="2"/>
  <c r="B5867" i="2"/>
  <c r="C5866" i="2"/>
  <c r="B5866" i="2"/>
  <c r="C5865" i="2"/>
  <c r="B5865" i="2"/>
  <c r="C5864" i="2"/>
  <c r="B5864" i="2"/>
  <c r="C5863" i="2"/>
  <c r="B5863" i="2"/>
  <c r="C5862" i="2"/>
  <c r="B5862" i="2"/>
  <c r="C5861" i="2"/>
  <c r="B5861" i="2"/>
  <c r="C5860" i="2"/>
  <c r="B5860" i="2"/>
  <c r="C5859" i="2"/>
  <c r="B5859" i="2"/>
  <c r="C5858" i="2"/>
  <c r="B5858" i="2"/>
  <c r="C5857" i="2"/>
  <c r="B5857" i="2"/>
  <c r="C5856" i="2"/>
  <c r="B5856" i="2"/>
  <c r="C5855" i="2"/>
  <c r="B5855" i="2"/>
  <c r="C5854" i="2"/>
  <c r="B5854" i="2"/>
  <c r="C5853" i="2"/>
  <c r="B5853" i="2"/>
  <c r="C5852" i="2"/>
  <c r="B5852" i="2"/>
  <c r="C5851" i="2"/>
  <c r="B5851" i="2"/>
  <c r="C5850" i="2"/>
  <c r="B5850" i="2"/>
  <c r="C5849" i="2"/>
  <c r="B5849" i="2"/>
  <c r="C5848" i="2"/>
  <c r="B5848" i="2"/>
  <c r="C5847" i="2"/>
  <c r="B5847" i="2"/>
  <c r="C5846" i="2"/>
  <c r="B5846" i="2"/>
  <c r="C5845" i="2"/>
  <c r="B5845" i="2"/>
  <c r="C5844" i="2"/>
  <c r="B5844" i="2"/>
  <c r="C5843" i="2"/>
  <c r="B5843" i="2"/>
  <c r="C5842" i="2"/>
  <c r="B5842" i="2"/>
  <c r="C5841" i="2"/>
  <c r="B5841" i="2"/>
  <c r="C5840" i="2"/>
  <c r="B5840" i="2"/>
  <c r="C5839" i="2"/>
  <c r="B5839" i="2"/>
  <c r="C5838" i="2"/>
  <c r="B5838" i="2"/>
  <c r="C5837" i="2"/>
  <c r="B5837" i="2"/>
  <c r="C5836" i="2"/>
  <c r="B5836" i="2"/>
  <c r="C5835" i="2"/>
  <c r="B5835" i="2"/>
  <c r="C5834" i="2"/>
  <c r="B5834" i="2"/>
  <c r="C5833" i="2"/>
  <c r="B5833" i="2"/>
  <c r="C5832" i="2"/>
  <c r="B5832" i="2"/>
  <c r="C5831" i="2"/>
  <c r="B5831" i="2"/>
  <c r="C5830" i="2"/>
  <c r="B5830" i="2"/>
  <c r="C5829" i="2"/>
  <c r="B5829" i="2"/>
  <c r="C5828" i="2"/>
  <c r="B5828" i="2"/>
  <c r="C5827" i="2"/>
  <c r="B5827" i="2"/>
  <c r="C5826" i="2"/>
  <c r="B5826" i="2"/>
  <c r="C5825" i="2"/>
  <c r="B5825" i="2"/>
  <c r="C5824" i="2"/>
  <c r="B5824" i="2"/>
  <c r="C5823" i="2"/>
  <c r="B5823" i="2"/>
  <c r="C5822" i="2"/>
  <c r="B5822" i="2"/>
  <c r="C5821" i="2"/>
  <c r="B5821" i="2"/>
  <c r="C5820" i="2"/>
  <c r="B5820" i="2"/>
  <c r="C5819" i="2"/>
  <c r="B5819" i="2"/>
  <c r="C5818" i="2"/>
  <c r="B5818" i="2"/>
  <c r="C5817" i="2"/>
  <c r="B5817" i="2"/>
  <c r="C5816" i="2"/>
  <c r="B5816" i="2"/>
  <c r="C5815" i="2"/>
  <c r="B5815" i="2"/>
  <c r="C5814" i="2"/>
  <c r="B5814" i="2"/>
  <c r="C5813" i="2"/>
  <c r="B5813" i="2"/>
  <c r="C5812" i="2"/>
  <c r="B5812" i="2"/>
  <c r="C5811" i="2"/>
  <c r="B5811" i="2"/>
  <c r="C5810" i="2"/>
  <c r="B5810" i="2"/>
  <c r="C5809" i="2"/>
  <c r="B5809" i="2"/>
  <c r="C5808" i="2"/>
  <c r="B5808" i="2"/>
  <c r="C5807" i="2"/>
  <c r="B5807" i="2"/>
  <c r="C5806" i="2"/>
  <c r="B5806" i="2"/>
  <c r="C5805" i="2"/>
  <c r="B5805" i="2"/>
  <c r="C5804" i="2"/>
  <c r="B5804" i="2"/>
  <c r="C5803" i="2"/>
  <c r="B5803" i="2"/>
  <c r="C5802" i="2"/>
  <c r="B5802" i="2"/>
  <c r="C5801" i="2"/>
  <c r="B5801" i="2"/>
  <c r="C5800" i="2"/>
  <c r="B5800" i="2"/>
  <c r="C5799" i="2"/>
  <c r="B5799" i="2"/>
  <c r="C5798" i="2"/>
  <c r="B5798" i="2"/>
  <c r="C5797" i="2"/>
  <c r="B5797" i="2"/>
  <c r="C5796" i="2"/>
  <c r="B5796" i="2"/>
  <c r="C5795" i="2"/>
  <c r="B5795" i="2"/>
  <c r="C5794" i="2"/>
  <c r="B5794" i="2"/>
  <c r="C5793" i="2"/>
  <c r="B5793" i="2"/>
  <c r="C5792" i="2"/>
  <c r="B5792" i="2"/>
  <c r="C5791" i="2"/>
  <c r="B5791" i="2"/>
  <c r="C5790" i="2"/>
  <c r="B5790" i="2"/>
  <c r="C5789" i="2"/>
  <c r="B5789" i="2"/>
  <c r="C5788" i="2"/>
  <c r="B5788" i="2"/>
  <c r="C5787" i="2"/>
  <c r="B5787" i="2"/>
  <c r="C5786" i="2"/>
  <c r="B5786" i="2"/>
  <c r="C5785" i="2"/>
  <c r="B5785" i="2"/>
  <c r="C5784" i="2"/>
  <c r="B5784" i="2"/>
  <c r="C5783" i="2"/>
  <c r="B5783" i="2"/>
  <c r="C5782" i="2"/>
  <c r="B5782" i="2"/>
  <c r="C5781" i="2"/>
  <c r="B5781" i="2"/>
  <c r="C5780" i="2"/>
  <c r="B5780" i="2"/>
  <c r="C5779" i="2"/>
  <c r="B5779" i="2"/>
  <c r="C5778" i="2"/>
  <c r="B5778" i="2"/>
  <c r="C5777" i="2"/>
  <c r="B5777" i="2"/>
  <c r="C5776" i="2"/>
  <c r="B5776" i="2"/>
  <c r="C5775" i="2"/>
  <c r="B5775" i="2"/>
  <c r="C5774" i="2"/>
  <c r="B5774" i="2"/>
  <c r="C5773" i="2"/>
  <c r="B5773" i="2"/>
  <c r="C5772" i="2"/>
  <c r="B5772" i="2"/>
  <c r="C5771" i="2"/>
  <c r="B5771" i="2"/>
  <c r="C5770" i="2"/>
  <c r="B5770" i="2"/>
  <c r="C5769" i="2"/>
  <c r="B5769" i="2"/>
  <c r="C5768" i="2"/>
  <c r="B5768" i="2"/>
  <c r="C5767" i="2"/>
  <c r="B5767" i="2"/>
  <c r="C5766" i="2"/>
  <c r="B5766" i="2"/>
  <c r="C5765" i="2"/>
  <c r="B5765" i="2"/>
  <c r="C5764" i="2"/>
  <c r="B5764" i="2"/>
  <c r="C5763" i="2"/>
  <c r="B5763" i="2"/>
  <c r="C5762" i="2"/>
  <c r="B5762" i="2"/>
  <c r="C5761" i="2"/>
  <c r="B5761" i="2"/>
  <c r="C5760" i="2"/>
  <c r="B5760" i="2"/>
  <c r="C5759" i="2"/>
  <c r="B5759" i="2"/>
  <c r="C5758" i="2"/>
  <c r="B5758" i="2"/>
  <c r="C5757" i="2"/>
  <c r="B5757" i="2"/>
  <c r="C5756" i="2"/>
  <c r="B5756" i="2"/>
  <c r="C5755" i="2"/>
  <c r="B5755" i="2"/>
  <c r="C5754" i="2"/>
  <c r="B5754" i="2"/>
  <c r="C5753" i="2"/>
  <c r="B5753" i="2"/>
  <c r="C5752" i="2"/>
  <c r="B5752" i="2"/>
  <c r="C5751" i="2"/>
  <c r="B5751" i="2"/>
  <c r="C5750" i="2"/>
  <c r="B5750" i="2"/>
  <c r="C5749" i="2"/>
  <c r="B5749" i="2"/>
  <c r="C5748" i="2"/>
  <c r="B5748" i="2"/>
  <c r="C5747" i="2"/>
  <c r="B5747" i="2"/>
  <c r="C5746" i="2"/>
  <c r="B5746" i="2"/>
  <c r="C5745" i="2"/>
  <c r="B5745" i="2"/>
  <c r="C5744" i="2"/>
  <c r="B5744" i="2"/>
  <c r="C5743" i="2"/>
  <c r="B5743" i="2"/>
  <c r="C5742" i="2"/>
  <c r="B5742" i="2"/>
  <c r="C5741" i="2"/>
  <c r="B5741" i="2"/>
  <c r="C5740" i="2"/>
  <c r="B5740" i="2"/>
  <c r="C5739" i="2"/>
  <c r="B5739" i="2"/>
  <c r="C5738" i="2"/>
  <c r="B5738" i="2"/>
  <c r="C5737" i="2"/>
  <c r="B5737" i="2"/>
  <c r="C5736" i="2"/>
  <c r="B5736" i="2"/>
  <c r="C5735" i="2"/>
  <c r="B5735" i="2"/>
  <c r="C5734" i="2"/>
  <c r="B5734" i="2"/>
  <c r="C5733" i="2"/>
  <c r="B5733" i="2"/>
  <c r="C5732" i="2"/>
  <c r="B5732" i="2"/>
  <c r="C5731" i="2"/>
  <c r="B5731" i="2"/>
  <c r="C5730" i="2"/>
  <c r="B5730" i="2"/>
  <c r="C5729" i="2"/>
  <c r="B5729" i="2"/>
  <c r="C5728" i="2"/>
  <c r="B5728" i="2"/>
  <c r="C5727" i="2"/>
  <c r="B5727" i="2"/>
  <c r="C5726" i="2"/>
  <c r="B5726" i="2"/>
  <c r="C5725" i="2"/>
  <c r="B5725" i="2"/>
  <c r="C5724" i="2"/>
  <c r="B5724" i="2"/>
  <c r="C5723" i="2"/>
  <c r="B5723" i="2"/>
  <c r="C5722" i="2"/>
  <c r="B5722" i="2"/>
  <c r="C5721" i="2"/>
  <c r="B5721" i="2"/>
  <c r="C5720" i="2"/>
  <c r="B5720" i="2"/>
  <c r="C5719" i="2"/>
  <c r="B5719" i="2"/>
  <c r="C5718" i="2"/>
  <c r="B5718" i="2"/>
  <c r="C5717" i="2"/>
  <c r="B5717" i="2"/>
  <c r="C5716" i="2"/>
  <c r="B5716" i="2"/>
  <c r="C5715" i="2"/>
  <c r="B5715" i="2"/>
  <c r="C5714" i="2"/>
  <c r="B5714" i="2"/>
  <c r="C5713" i="2"/>
  <c r="B5713" i="2"/>
  <c r="C5712" i="2"/>
  <c r="B5712" i="2"/>
  <c r="C5711" i="2"/>
  <c r="B5711" i="2"/>
  <c r="C5710" i="2"/>
  <c r="B5710" i="2"/>
  <c r="C5709" i="2"/>
  <c r="B5709" i="2"/>
  <c r="C5708" i="2"/>
  <c r="B5708" i="2"/>
  <c r="C5707" i="2"/>
  <c r="B5707" i="2"/>
  <c r="C5706" i="2"/>
  <c r="B5706" i="2"/>
  <c r="C5705" i="2"/>
  <c r="B5705" i="2"/>
  <c r="C5704" i="2"/>
  <c r="B5704" i="2"/>
  <c r="C5703" i="2"/>
  <c r="B5703" i="2"/>
  <c r="C5702" i="2"/>
  <c r="B5702" i="2"/>
  <c r="C5701" i="2"/>
  <c r="B5701" i="2"/>
  <c r="C5700" i="2"/>
  <c r="B5700" i="2"/>
  <c r="C5699" i="2"/>
  <c r="B5699" i="2"/>
  <c r="C5698" i="2"/>
  <c r="B5698" i="2"/>
  <c r="C5697" i="2"/>
  <c r="B5697" i="2"/>
  <c r="C5696" i="2"/>
  <c r="B5696" i="2"/>
  <c r="C5695" i="2"/>
  <c r="B5695" i="2"/>
  <c r="C5694" i="2"/>
  <c r="B5694" i="2"/>
  <c r="C5693" i="2"/>
  <c r="B5693" i="2"/>
  <c r="C5692" i="2"/>
  <c r="B5692" i="2"/>
  <c r="C5691" i="2"/>
  <c r="B5691" i="2"/>
  <c r="C5690" i="2"/>
  <c r="B5690" i="2"/>
  <c r="C5689" i="2"/>
  <c r="B5689" i="2"/>
  <c r="C5688" i="2"/>
  <c r="B5688" i="2"/>
  <c r="C5687" i="2"/>
  <c r="B5687" i="2"/>
  <c r="C5686" i="2"/>
  <c r="B5686" i="2"/>
  <c r="C5685" i="2"/>
  <c r="B5685" i="2"/>
  <c r="C5684" i="2"/>
  <c r="B5684" i="2"/>
  <c r="C5683" i="2"/>
  <c r="B5683" i="2"/>
  <c r="C5682" i="2"/>
  <c r="B5682" i="2"/>
  <c r="C5681" i="2"/>
  <c r="B5681" i="2"/>
  <c r="C5680" i="2"/>
  <c r="B5680" i="2"/>
  <c r="C5679" i="2"/>
  <c r="B5679" i="2"/>
  <c r="C5678" i="2"/>
  <c r="B5678" i="2"/>
  <c r="C5677" i="2"/>
  <c r="B5677" i="2"/>
  <c r="C5676" i="2"/>
  <c r="B5676" i="2"/>
  <c r="C5675" i="2"/>
  <c r="B5675" i="2"/>
  <c r="C5674" i="2"/>
  <c r="B5674" i="2"/>
  <c r="C5673" i="2"/>
  <c r="B5673" i="2"/>
  <c r="C5672" i="2"/>
  <c r="B5672" i="2"/>
  <c r="C5671" i="2"/>
  <c r="B5671" i="2"/>
  <c r="C5670" i="2"/>
  <c r="B5670" i="2"/>
  <c r="C5669" i="2"/>
  <c r="B5669" i="2"/>
  <c r="C5668" i="2"/>
  <c r="B5668" i="2"/>
  <c r="C5667" i="2"/>
  <c r="B5667" i="2"/>
  <c r="C5666" i="2"/>
  <c r="B5666" i="2"/>
  <c r="C5665" i="2"/>
  <c r="B5665" i="2"/>
  <c r="C5664" i="2"/>
  <c r="B5664" i="2"/>
  <c r="C5663" i="2"/>
  <c r="B5663" i="2"/>
  <c r="C5662" i="2"/>
  <c r="B5662" i="2"/>
  <c r="C5661" i="2"/>
  <c r="B5661" i="2"/>
  <c r="C5660" i="2"/>
  <c r="B5660" i="2"/>
  <c r="C5659" i="2"/>
  <c r="B5659" i="2"/>
  <c r="C5658" i="2"/>
  <c r="B5658" i="2"/>
  <c r="C5657" i="2"/>
  <c r="B5657" i="2"/>
  <c r="C5656" i="2"/>
  <c r="B5656" i="2"/>
  <c r="C5655" i="2"/>
  <c r="B5655" i="2"/>
  <c r="C5654" i="2"/>
  <c r="B5654" i="2"/>
  <c r="C5653" i="2"/>
  <c r="B5653" i="2"/>
  <c r="C5652" i="2"/>
  <c r="B5652" i="2"/>
  <c r="C5651" i="2"/>
  <c r="B5651" i="2"/>
  <c r="C5650" i="2"/>
  <c r="B5650" i="2"/>
  <c r="C5649" i="2"/>
  <c r="B5649" i="2"/>
  <c r="C5648" i="2"/>
  <c r="B5648" i="2"/>
  <c r="C5647" i="2"/>
  <c r="B5647" i="2"/>
  <c r="C5646" i="2"/>
  <c r="B5646" i="2"/>
  <c r="C5645" i="2"/>
  <c r="B5645" i="2"/>
  <c r="C5644" i="2"/>
  <c r="B5644" i="2"/>
  <c r="C5643" i="2"/>
  <c r="B5643" i="2"/>
  <c r="C5642" i="2"/>
  <c r="B5642" i="2"/>
  <c r="C5641" i="2"/>
  <c r="B5641" i="2"/>
  <c r="C5640" i="2"/>
  <c r="B5640" i="2"/>
  <c r="C5639" i="2"/>
  <c r="B5639" i="2"/>
  <c r="C5638" i="2"/>
  <c r="B5638" i="2"/>
  <c r="C5637" i="2"/>
  <c r="B5637" i="2"/>
  <c r="C5636" i="2"/>
  <c r="B5636" i="2"/>
  <c r="C5635" i="2"/>
  <c r="B5635" i="2"/>
  <c r="C5634" i="2"/>
  <c r="B5634" i="2"/>
  <c r="C5633" i="2"/>
  <c r="B5633" i="2"/>
  <c r="C5632" i="2"/>
  <c r="B5632" i="2"/>
  <c r="C5631" i="2"/>
  <c r="B5631" i="2"/>
  <c r="C5630" i="2"/>
  <c r="B5630" i="2"/>
  <c r="C5629" i="2"/>
  <c r="B5629" i="2"/>
  <c r="C5628" i="2"/>
  <c r="B5628" i="2"/>
  <c r="C5627" i="2"/>
  <c r="B5627" i="2"/>
  <c r="C5626" i="2"/>
  <c r="B5626" i="2"/>
  <c r="C5625" i="2"/>
  <c r="B5625" i="2"/>
  <c r="C5624" i="2"/>
  <c r="B5624" i="2"/>
  <c r="C5623" i="2"/>
  <c r="B5623" i="2"/>
  <c r="C5622" i="2"/>
  <c r="B5622" i="2"/>
  <c r="C5621" i="2"/>
  <c r="B5621" i="2"/>
  <c r="C5620" i="2"/>
  <c r="B5620" i="2"/>
  <c r="C5619" i="2"/>
  <c r="B5619" i="2"/>
  <c r="C5618" i="2"/>
  <c r="B5618" i="2"/>
  <c r="C5617" i="2"/>
  <c r="B5617" i="2"/>
  <c r="C5616" i="2"/>
  <c r="B5616" i="2"/>
  <c r="C5615" i="2"/>
  <c r="B5615" i="2"/>
  <c r="C5614" i="2"/>
  <c r="B5614" i="2"/>
  <c r="C5613" i="2"/>
  <c r="B5613" i="2"/>
  <c r="C5612" i="2"/>
  <c r="B5612" i="2"/>
  <c r="C5611" i="2"/>
  <c r="B5611" i="2"/>
  <c r="C5610" i="2"/>
  <c r="B5610" i="2"/>
  <c r="C5609" i="2"/>
  <c r="B5609" i="2"/>
  <c r="C5608" i="2"/>
  <c r="B5608" i="2"/>
  <c r="C5607" i="2"/>
  <c r="B5607" i="2"/>
  <c r="C5606" i="2"/>
  <c r="B5606" i="2"/>
  <c r="C5605" i="2"/>
  <c r="B5605" i="2"/>
  <c r="C5604" i="2"/>
  <c r="B5604" i="2"/>
  <c r="C5603" i="2"/>
  <c r="B5603" i="2"/>
  <c r="C5602" i="2"/>
  <c r="B5602" i="2"/>
  <c r="C5601" i="2"/>
  <c r="B5601" i="2"/>
  <c r="C5600" i="2"/>
  <c r="B5600" i="2"/>
  <c r="C5599" i="2"/>
  <c r="B5599" i="2"/>
  <c r="C5598" i="2"/>
  <c r="B5598" i="2"/>
  <c r="C5597" i="2"/>
  <c r="B5597" i="2"/>
  <c r="C5596" i="2"/>
  <c r="B5596" i="2"/>
  <c r="C5595" i="2"/>
  <c r="B5595" i="2"/>
  <c r="C5594" i="2"/>
  <c r="B5594" i="2"/>
  <c r="C5593" i="2"/>
  <c r="B5593" i="2"/>
  <c r="C5592" i="2"/>
  <c r="B5592" i="2"/>
  <c r="C5591" i="2"/>
  <c r="B5591" i="2"/>
  <c r="C5590" i="2"/>
  <c r="B5590" i="2"/>
  <c r="C5589" i="2"/>
  <c r="B5589" i="2"/>
  <c r="C5588" i="2"/>
  <c r="B5588" i="2"/>
  <c r="C5587" i="2"/>
  <c r="B5587" i="2"/>
  <c r="C5586" i="2"/>
  <c r="B5586" i="2"/>
  <c r="C5585" i="2"/>
  <c r="B5585" i="2"/>
  <c r="C5584" i="2"/>
  <c r="B5584" i="2"/>
  <c r="C5583" i="2"/>
  <c r="B5583" i="2"/>
  <c r="C5582" i="2"/>
  <c r="B5582" i="2"/>
  <c r="C5581" i="2"/>
  <c r="B5581" i="2"/>
  <c r="C5580" i="2"/>
  <c r="B5580" i="2"/>
  <c r="C5579" i="2"/>
  <c r="B5579" i="2"/>
  <c r="C5578" i="2"/>
  <c r="B5578" i="2"/>
  <c r="C5577" i="2"/>
  <c r="B5577" i="2"/>
  <c r="C5576" i="2"/>
  <c r="B5576" i="2"/>
  <c r="C5575" i="2"/>
  <c r="B5575" i="2"/>
  <c r="C5574" i="2"/>
  <c r="B5574" i="2"/>
  <c r="C5573" i="2"/>
  <c r="B5573" i="2"/>
  <c r="C5572" i="2"/>
  <c r="B5572" i="2"/>
  <c r="C5571" i="2"/>
  <c r="B5571" i="2"/>
  <c r="C5570" i="2"/>
  <c r="B5570" i="2"/>
  <c r="C5569" i="2"/>
  <c r="B5569" i="2"/>
  <c r="C5568" i="2"/>
  <c r="B5568" i="2"/>
  <c r="C5567" i="2"/>
  <c r="B5567" i="2"/>
  <c r="C5566" i="2"/>
  <c r="B5566" i="2"/>
  <c r="C5565" i="2"/>
  <c r="B5565" i="2"/>
  <c r="C5564" i="2"/>
  <c r="B5564" i="2"/>
  <c r="C5563" i="2"/>
  <c r="B5563" i="2"/>
  <c r="C5562" i="2"/>
  <c r="B5562" i="2"/>
  <c r="C5561" i="2"/>
  <c r="B5561" i="2"/>
  <c r="C5560" i="2"/>
  <c r="B5560" i="2"/>
  <c r="C5559" i="2"/>
  <c r="B5559" i="2"/>
  <c r="C5558" i="2"/>
  <c r="B5558" i="2"/>
  <c r="C5557" i="2"/>
  <c r="B5557" i="2"/>
  <c r="C5556" i="2"/>
  <c r="B5556" i="2"/>
  <c r="C5555" i="2"/>
  <c r="B5555" i="2"/>
  <c r="C5554" i="2"/>
  <c r="B5554" i="2"/>
  <c r="C5553" i="2"/>
  <c r="B5553" i="2"/>
  <c r="C5552" i="2"/>
  <c r="B5552" i="2"/>
  <c r="C5551" i="2"/>
  <c r="B5551" i="2"/>
  <c r="C5550" i="2"/>
  <c r="B5550" i="2"/>
  <c r="C5549" i="2"/>
  <c r="B5549" i="2"/>
  <c r="C5548" i="2"/>
  <c r="B5548" i="2"/>
  <c r="C5547" i="2"/>
  <c r="B5547" i="2"/>
  <c r="C5546" i="2"/>
  <c r="B5546" i="2"/>
  <c r="C5545" i="2"/>
  <c r="B5545" i="2"/>
  <c r="C5544" i="2"/>
  <c r="B5544" i="2"/>
  <c r="C5543" i="2"/>
  <c r="B5543" i="2"/>
  <c r="C5542" i="2"/>
  <c r="B5542" i="2"/>
  <c r="C5541" i="2"/>
  <c r="B5541" i="2"/>
  <c r="C5540" i="2"/>
  <c r="B5540" i="2"/>
  <c r="C5539" i="2"/>
  <c r="B5539" i="2"/>
  <c r="C5538" i="2"/>
  <c r="B5538" i="2"/>
  <c r="C5537" i="2"/>
  <c r="B5537" i="2"/>
  <c r="C5536" i="2"/>
  <c r="B5536" i="2"/>
  <c r="C5535" i="2"/>
  <c r="B5535" i="2"/>
  <c r="C5534" i="2"/>
  <c r="B5534" i="2"/>
  <c r="C5533" i="2"/>
  <c r="B5533" i="2"/>
  <c r="C5532" i="2"/>
  <c r="B5532" i="2"/>
  <c r="C5531" i="2"/>
  <c r="B5531" i="2"/>
  <c r="C5530" i="2"/>
  <c r="B5530" i="2"/>
  <c r="C5529" i="2"/>
  <c r="B5529" i="2"/>
  <c r="C5528" i="2"/>
  <c r="B5528" i="2"/>
  <c r="C5527" i="2"/>
  <c r="B5527" i="2"/>
  <c r="C5526" i="2"/>
  <c r="B5526" i="2"/>
  <c r="C5525" i="2"/>
  <c r="B5525" i="2"/>
  <c r="C5524" i="2"/>
  <c r="B5524" i="2"/>
  <c r="C5523" i="2"/>
  <c r="B5523" i="2"/>
  <c r="C5522" i="2"/>
  <c r="B5522" i="2"/>
  <c r="C5521" i="2"/>
  <c r="B5521" i="2"/>
  <c r="C5520" i="2"/>
  <c r="B5520" i="2"/>
  <c r="C5519" i="2"/>
  <c r="B5519" i="2"/>
  <c r="C5518" i="2"/>
  <c r="B5518" i="2"/>
  <c r="C5517" i="2"/>
  <c r="B5517" i="2"/>
  <c r="C5516" i="2"/>
  <c r="B5516" i="2"/>
  <c r="C5515" i="2"/>
  <c r="B5515" i="2"/>
  <c r="C5514" i="2"/>
  <c r="B5514" i="2"/>
  <c r="C5513" i="2"/>
  <c r="B5513" i="2"/>
  <c r="C5512" i="2"/>
  <c r="B5512" i="2"/>
  <c r="C5511" i="2"/>
  <c r="B5511" i="2"/>
  <c r="C5510" i="2"/>
  <c r="B5510" i="2"/>
  <c r="C5509" i="2"/>
  <c r="B5509" i="2"/>
  <c r="C5508" i="2"/>
  <c r="B5508" i="2"/>
  <c r="C5507" i="2"/>
  <c r="B5507" i="2"/>
  <c r="C5506" i="2"/>
  <c r="B5506" i="2"/>
  <c r="C5505" i="2"/>
  <c r="B5505" i="2"/>
  <c r="C5504" i="2"/>
  <c r="B5504" i="2"/>
  <c r="C5503" i="2"/>
  <c r="B5503" i="2"/>
  <c r="C5502" i="2"/>
  <c r="B5502" i="2"/>
  <c r="C5501" i="2"/>
  <c r="B5501" i="2"/>
  <c r="C5500" i="2"/>
  <c r="B5500" i="2"/>
  <c r="C5499" i="2"/>
  <c r="B5499" i="2"/>
  <c r="C5498" i="2"/>
  <c r="B5498" i="2"/>
  <c r="C5497" i="2"/>
  <c r="B5497" i="2"/>
  <c r="C5496" i="2"/>
  <c r="B5496" i="2"/>
  <c r="C5495" i="2"/>
  <c r="B5495" i="2"/>
  <c r="C5494" i="2"/>
  <c r="B5494" i="2"/>
  <c r="C5493" i="2"/>
  <c r="B5493" i="2"/>
  <c r="C5492" i="2"/>
  <c r="B5492" i="2"/>
  <c r="C5491" i="2"/>
  <c r="B5491" i="2"/>
  <c r="C5490" i="2"/>
  <c r="B5490" i="2"/>
  <c r="C5489" i="2"/>
  <c r="B5489" i="2"/>
  <c r="C5488" i="2"/>
  <c r="B5488" i="2"/>
  <c r="C5487" i="2"/>
  <c r="B5487" i="2"/>
  <c r="C5486" i="2"/>
  <c r="B5486" i="2"/>
  <c r="C5485" i="2"/>
  <c r="B5485" i="2"/>
  <c r="C5484" i="2"/>
  <c r="B5484" i="2"/>
  <c r="C5483" i="2"/>
  <c r="B5483" i="2"/>
  <c r="C5482" i="2"/>
  <c r="B5482" i="2"/>
  <c r="C5481" i="2"/>
  <c r="B5481" i="2"/>
  <c r="C5480" i="2"/>
  <c r="B5480" i="2"/>
  <c r="C5479" i="2"/>
  <c r="B5479" i="2"/>
  <c r="C5478" i="2"/>
  <c r="B5478" i="2"/>
  <c r="C5477" i="2"/>
  <c r="B5477" i="2"/>
  <c r="C5476" i="2"/>
  <c r="B5476" i="2"/>
  <c r="C5475" i="2"/>
  <c r="B5475" i="2"/>
  <c r="C5474" i="2"/>
  <c r="B5474" i="2"/>
  <c r="C5473" i="2"/>
  <c r="B5473" i="2"/>
  <c r="C5472" i="2"/>
  <c r="B5472" i="2"/>
  <c r="C5471" i="2"/>
  <c r="B5471" i="2"/>
  <c r="C5470" i="2"/>
  <c r="B5470" i="2"/>
  <c r="C5469" i="2"/>
  <c r="B5469" i="2"/>
  <c r="C5468" i="2"/>
  <c r="B5468" i="2"/>
  <c r="C5467" i="2"/>
  <c r="B5467" i="2"/>
  <c r="C5466" i="2"/>
  <c r="B5466" i="2"/>
  <c r="C5465" i="2"/>
  <c r="B5465" i="2"/>
  <c r="C5464" i="2"/>
  <c r="B5464" i="2"/>
  <c r="C5463" i="2"/>
  <c r="B5463" i="2"/>
  <c r="C5462" i="2"/>
  <c r="B5462" i="2"/>
  <c r="C5461" i="2"/>
  <c r="B5461" i="2"/>
  <c r="C5460" i="2"/>
  <c r="B5460" i="2"/>
  <c r="C5459" i="2"/>
  <c r="B5459" i="2"/>
  <c r="C5458" i="2"/>
  <c r="B5458" i="2"/>
  <c r="C5457" i="2"/>
  <c r="B5457" i="2"/>
  <c r="C5456" i="2"/>
  <c r="B5456" i="2"/>
  <c r="C5455" i="2"/>
  <c r="B5455" i="2"/>
  <c r="C5454" i="2"/>
  <c r="B5454" i="2"/>
  <c r="C5453" i="2"/>
  <c r="B5453" i="2"/>
  <c r="C5452" i="2"/>
  <c r="B5452" i="2"/>
  <c r="C5451" i="2"/>
  <c r="B5451" i="2"/>
  <c r="C5450" i="2"/>
  <c r="B5450" i="2"/>
  <c r="C5449" i="2"/>
  <c r="B5449" i="2"/>
  <c r="C5448" i="2"/>
  <c r="B5448" i="2"/>
  <c r="C5447" i="2"/>
  <c r="B5447" i="2"/>
  <c r="C5446" i="2"/>
  <c r="B5446" i="2"/>
  <c r="C5445" i="2"/>
  <c r="B5445" i="2"/>
  <c r="C5444" i="2"/>
  <c r="B5444" i="2"/>
  <c r="C5443" i="2"/>
  <c r="B5443" i="2"/>
  <c r="C5442" i="2"/>
  <c r="B5442" i="2"/>
  <c r="C5441" i="2"/>
  <c r="B5441" i="2"/>
  <c r="C5440" i="2"/>
  <c r="B5440" i="2"/>
  <c r="C5439" i="2"/>
  <c r="B5439" i="2"/>
  <c r="C5438" i="2"/>
  <c r="B5438" i="2"/>
  <c r="C5437" i="2"/>
  <c r="B5437" i="2"/>
  <c r="C5436" i="2"/>
  <c r="B5436" i="2"/>
  <c r="C5435" i="2"/>
  <c r="B5435" i="2"/>
  <c r="C5434" i="2"/>
  <c r="B5434" i="2"/>
  <c r="C5433" i="2"/>
  <c r="B5433" i="2"/>
  <c r="C5432" i="2"/>
  <c r="B5432" i="2"/>
  <c r="C5431" i="2"/>
  <c r="B5431" i="2"/>
  <c r="C5430" i="2"/>
  <c r="B5430" i="2"/>
  <c r="C5429" i="2"/>
  <c r="B5429" i="2"/>
  <c r="C5428" i="2"/>
  <c r="B5428" i="2"/>
  <c r="C5427" i="2"/>
  <c r="B5427" i="2"/>
  <c r="C5426" i="2"/>
  <c r="B5426" i="2"/>
  <c r="C5425" i="2"/>
  <c r="B5425" i="2"/>
  <c r="C5424" i="2"/>
  <c r="B5424" i="2"/>
  <c r="C5423" i="2"/>
  <c r="B5423" i="2"/>
  <c r="C5422" i="2"/>
  <c r="B5422" i="2"/>
  <c r="C5421" i="2"/>
  <c r="B5421" i="2"/>
  <c r="C5420" i="2"/>
  <c r="B5420" i="2"/>
  <c r="C5419" i="2"/>
  <c r="B5419" i="2"/>
  <c r="C5418" i="2"/>
  <c r="B5418" i="2"/>
  <c r="C5417" i="2"/>
  <c r="B5417" i="2"/>
  <c r="C5416" i="2"/>
  <c r="B5416" i="2"/>
  <c r="C5415" i="2"/>
  <c r="B5415" i="2"/>
  <c r="C5414" i="2"/>
  <c r="B5414" i="2"/>
  <c r="C5413" i="2"/>
  <c r="B5413" i="2"/>
  <c r="C5412" i="2"/>
  <c r="B5412" i="2"/>
  <c r="C5411" i="2"/>
  <c r="B5411" i="2"/>
  <c r="C5410" i="2"/>
  <c r="B5410" i="2"/>
  <c r="C5409" i="2"/>
  <c r="B5409" i="2"/>
  <c r="C5408" i="2"/>
  <c r="B5408" i="2"/>
  <c r="C5407" i="2"/>
  <c r="B5407" i="2"/>
  <c r="C5406" i="2"/>
  <c r="B5406" i="2"/>
  <c r="C5405" i="2"/>
  <c r="B5405" i="2"/>
  <c r="C5404" i="2"/>
  <c r="B5404" i="2"/>
  <c r="C5403" i="2"/>
  <c r="B5403" i="2"/>
  <c r="C5402" i="2"/>
  <c r="B5402" i="2"/>
  <c r="C5401" i="2"/>
  <c r="B5401" i="2"/>
  <c r="C5400" i="2"/>
  <c r="B5400" i="2"/>
  <c r="C5399" i="2"/>
  <c r="B5399" i="2"/>
  <c r="C5398" i="2"/>
  <c r="B5398" i="2"/>
  <c r="C5397" i="2"/>
  <c r="B5397" i="2"/>
  <c r="C5396" i="2"/>
  <c r="B5396" i="2"/>
  <c r="C5395" i="2"/>
  <c r="B5395" i="2"/>
  <c r="C5394" i="2"/>
  <c r="B5394" i="2"/>
  <c r="C5393" i="2"/>
  <c r="B5393" i="2"/>
  <c r="C5392" i="2"/>
  <c r="B5392" i="2"/>
  <c r="C5391" i="2"/>
  <c r="B5391" i="2"/>
  <c r="C5390" i="2"/>
  <c r="B5390" i="2"/>
  <c r="C5389" i="2"/>
  <c r="B5389" i="2"/>
  <c r="C5388" i="2"/>
  <c r="B5388" i="2"/>
  <c r="C5387" i="2"/>
  <c r="B5387" i="2"/>
  <c r="C5386" i="2"/>
  <c r="B5386" i="2"/>
  <c r="C5385" i="2"/>
  <c r="B5385" i="2"/>
  <c r="C5384" i="2"/>
  <c r="B5384" i="2"/>
  <c r="C5383" i="2"/>
  <c r="B5383" i="2"/>
  <c r="C5382" i="2"/>
  <c r="B5382" i="2"/>
  <c r="C5381" i="2"/>
  <c r="B5381" i="2"/>
  <c r="C5380" i="2"/>
  <c r="B5380" i="2"/>
  <c r="C5379" i="2"/>
  <c r="B5379" i="2"/>
  <c r="C5378" i="2"/>
  <c r="B5378" i="2"/>
  <c r="C5377" i="2"/>
  <c r="B5377" i="2"/>
  <c r="C5376" i="2"/>
  <c r="B5376" i="2"/>
  <c r="C5375" i="2"/>
  <c r="B5375" i="2"/>
  <c r="C5374" i="2"/>
  <c r="B5374" i="2"/>
  <c r="C5373" i="2"/>
  <c r="B5373" i="2"/>
  <c r="C5372" i="2"/>
  <c r="B5372" i="2"/>
  <c r="C5371" i="2"/>
  <c r="B5371" i="2"/>
  <c r="C5370" i="2"/>
  <c r="B5370" i="2"/>
  <c r="C5369" i="2"/>
  <c r="B5369" i="2"/>
  <c r="C5368" i="2"/>
  <c r="B5368" i="2"/>
  <c r="C5367" i="2"/>
  <c r="B5367" i="2"/>
  <c r="C5366" i="2"/>
  <c r="B5366" i="2"/>
  <c r="C5365" i="2"/>
  <c r="B5365" i="2"/>
  <c r="C5364" i="2"/>
  <c r="B5364" i="2"/>
  <c r="C5363" i="2"/>
  <c r="B5363" i="2"/>
  <c r="C5362" i="2"/>
  <c r="B5362" i="2"/>
  <c r="C5361" i="2"/>
  <c r="B5361" i="2"/>
  <c r="C5360" i="2"/>
  <c r="B5360" i="2"/>
  <c r="C5359" i="2"/>
  <c r="B5359" i="2"/>
  <c r="C5358" i="2"/>
  <c r="B5358" i="2"/>
  <c r="C5357" i="2"/>
  <c r="B5357" i="2"/>
  <c r="C5356" i="2"/>
  <c r="B5356" i="2"/>
  <c r="C5355" i="2"/>
  <c r="B5355" i="2"/>
  <c r="C5354" i="2"/>
  <c r="B5354" i="2"/>
  <c r="C5353" i="2"/>
  <c r="B5353" i="2"/>
  <c r="C5352" i="2"/>
  <c r="B5352" i="2"/>
  <c r="C5351" i="2"/>
  <c r="B5351" i="2"/>
  <c r="C5350" i="2"/>
  <c r="B5350" i="2"/>
  <c r="C5349" i="2"/>
  <c r="B5349" i="2"/>
  <c r="C5348" i="2"/>
  <c r="B5348" i="2"/>
  <c r="C5347" i="2"/>
  <c r="B5347" i="2"/>
  <c r="C5346" i="2"/>
  <c r="B5346" i="2"/>
  <c r="C5345" i="2"/>
  <c r="B5345" i="2"/>
  <c r="C5344" i="2"/>
  <c r="B5344" i="2"/>
  <c r="C5343" i="2"/>
  <c r="B5343" i="2"/>
  <c r="C5342" i="2"/>
  <c r="B5342" i="2"/>
  <c r="C5341" i="2"/>
  <c r="B5341" i="2"/>
  <c r="C5340" i="2"/>
  <c r="B5340" i="2"/>
  <c r="C5339" i="2"/>
  <c r="B5339" i="2"/>
  <c r="C5338" i="2"/>
  <c r="B5338" i="2"/>
  <c r="C5337" i="2"/>
  <c r="B5337" i="2"/>
  <c r="C5336" i="2"/>
  <c r="B5336" i="2"/>
  <c r="C5335" i="2"/>
  <c r="B5335" i="2"/>
  <c r="C5334" i="2"/>
  <c r="B5334" i="2"/>
  <c r="C5333" i="2"/>
  <c r="B5333" i="2"/>
  <c r="C5332" i="2"/>
  <c r="B5332" i="2"/>
  <c r="C5331" i="2"/>
  <c r="B5331" i="2"/>
  <c r="C5330" i="2"/>
  <c r="B5330" i="2"/>
  <c r="C5329" i="2"/>
  <c r="B5329" i="2"/>
  <c r="C5328" i="2"/>
  <c r="B5328" i="2"/>
  <c r="C5327" i="2"/>
  <c r="B5327" i="2"/>
  <c r="C5326" i="2"/>
  <c r="B5326" i="2"/>
  <c r="C5325" i="2"/>
  <c r="B5325" i="2"/>
  <c r="C5324" i="2"/>
  <c r="B5324" i="2"/>
  <c r="C5323" i="2"/>
  <c r="B5323" i="2"/>
  <c r="C5322" i="2"/>
  <c r="B5322" i="2"/>
  <c r="C5321" i="2"/>
  <c r="B5321" i="2"/>
  <c r="C5320" i="2"/>
  <c r="B5320" i="2"/>
  <c r="C5319" i="2"/>
  <c r="B5319" i="2"/>
  <c r="C5318" i="2"/>
  <c r="B5318" i="2"/>
  <c r="C5317" i="2"/>
  <c r="B5317" i="2"/>
  <c r="C5316" i="2"/>
  <c r="B5316" i="2"/>
  <c r="C5315" i="2"/>
  <c r="B5315" i="2"/>
  <c r="C5314" i="2"/>
  <c r="B5314" i="2"/>
  <c r="C5313" i="2"/>
  <c r="B5313" i="2"/>
  <c r="C5312" i="2"/>
  <c r="B5312" i="2"/>
  <c r="C5311" i="2"/>
  <c r="B5311" i="2"/>
  <c r="C5310" i="2"/>
  <c r="B5310" i="2"/>
  <c r="C5309" i="2"/>
  <c r="B5309" i="2"/>
  <c r="C5308" i="2"/>
  <c r="B5308" i="2"/>
  <c r="C5307" i="2"/>
  <c r="B5307" i="2"/>
  <c r="C5306" i="2"/>
  <c r="B5306" i="2"/>
  <c r="C5305" i="2"/>
  <c r="B5305" i="2"/>
  <c r="C5304" i="2"/>
  <c r="B5304" i="2"/>
  <c r="C5303" i="2"/>
  <c r="B5303" i="2"/>
  <c r="C5302" i="2"/>
  <c r="B5302" i="2"/>
  <c r="C5301" i="2"/>
  <c r="B5301" i="2"/>
  <c r="C5300" i="2"/>
  <c r="B5300" i="2"/>
  <c r="C5299" i="2"/>
  <c r="B5299" i="2"/>
  <c r="C5298" i="2"/>
  <c r="B5298" i="2"/>
  <c r="C5297" i="2"/>
  <c r="B5297" i="2"/>
  <c r="C5296" i="2"/>
  <c r="B5296" i="2"/>
  <c r="C5295" i="2"/>
  <c r="B5295" i="2"/>
  <c r="C5294" i="2"/>
  <c r="B5294" i="2"/>
  <c r="C5293" i="2"/>
  <c r="B5293" i="2"/>
  <c r="C5292" i="2"/>
  <c r="B5292" i="2"/>
  <c r="C5291" i="2"/>
  <c r="B5291" i="2"/>
  <c r="C5290" i="2"/>
  <c r="B5290" i="2"/>
  <c r="C5289" i="2"/>
  <c r="B5289" i="2"/>
  <c r="C5288" i="2"/>
  <c r="B5288" i="2"/>
  <c r="C5287" i="2"/>
  <c r="B5287" i="2"/>
  <c r="C5286" i="2"/>
  <c r="B5286" i="2"/>
  <c r="C5285" i="2"/>
  <c r="B5285" i="2"/>
  <c r="C5284" i="2"/>
  <c r="B5284" i="2"/>
  <c r="C5283" i="2"/>
  <c r="B5283" i="2"/>
  <c r="C5282" i="2"/>
  <c r="B5282" i="2"/>
  <c r="C5281" i="2"/>
  <c r="B5281" i="2"/>
  <c r="C5280" i="2"/>
  <c r="B5280" i="2"/>
  <c r="C5279" i="2"/>
  <c r="B5279" i="2"/>
  <c r="C5278" i="2"/>
  <c r="B5278" i="2"/>
  <c r="C5277" i="2"/>
  <c r="B5277" i="2"/>
  <c r="C5276" i="2"/>
  <c r="B5276" i="2"/>
  <c r="C5275" i="2"/>
  <c r="B5275" i="2"/>
  <c r="C5274" i="2"/>
  <c r="B5274" i="2"/>
  <c r="C5273" i="2"/>
  <c r="B5273" i="2"/>
  <c r="C5272" i="2"/>
  <c r="B5272" i="2"/>
  <c r="C5271" i="2"/>
  <c r="B5271" i="2"/>
  <c r="C5270" i="2"/>
  <c r="B5270" i="2"/>
  <c r="C5269" i="2"/>
  <c r="B5269" i="2"/>
  <c r="C5268" i="2"/>
  <c r="B5268" i="2"/>
  <c r="C5267" i="2"/>
  <c r="B5267" i="2"/>
  <c r="C5266" i="2"/>
  <c r="B5266" i="2"/>
  <c r="C5265" i="2"/>
  <c r="B5265" i="2"/>
  <c r="C5264" i="2"/>
  <c r="B5264" i="2"/>
  <c r="C5263" i="2"/>
  <c r="B5263" i="2"/>
  <c r="C5262" i="2"/>
  <c r="B5262" i="2"/>
  <c r="C5261" i="2"/>
  <c r="B5261" i="2"/>
  <c r="C5260" i="2"/>
  <c r="B5260" i="2"/>
  <c r="C5259" i="2"/>
  <c r="B5259" i="2"/>
  <c r="C5258" i="2"/>
  <c r="B5258" i="2"/>
  <c r="C5257" i="2"/>
  <c r="B5257" i="2"/>
  <c r="C5256" i="2"/>
  <c r="B5256" i="2"/>
  <c r="C5255" i="2"/>
  <c r="B5255" i="2"/>
  <c r="C5254" i="2"/>
  <c r="B5254" i="2"/>
  <c r="C5253" i="2"/>
  <c r="B5253" i="2"/>
  <c r="C5252" i="2"/>
  <c r="B5252" i="2"/>
  <c r="C5251" i="2"/>
  <c r="B5251" i="2"/>
  <c r="C5250" i="2"/>
  <c r="B5250" i="2"/>
  <c r="C5249" i="2"/>
  <c r="B5249" i="2"/>
  <c r="C5248" i="2"/>
  <c r="B5248" i="2"/>
  <c r="C5247" i="2"/>
  <c r="B5247" i="2"/>
  <c r="C5246" i="2"/>
  <c r="B5246" i="2"/>
  <c r="C5245" i="2"/>
  <c r="B5245" i="2"/>
  <c r="C5244" i="2"/>
  <c r="B5244" i="2"/>
  <c r="C5243" i="2"/>
  <c r="B5243" i="2"/>
  <c r="C5242" i="2"/>
  <c r="B5242" i="2"/>
  <c r="C5241" i="2"/>
  <c r="B5241" i="2"/>
  <c r="C5240" i="2"/>
  <c r="B5240" i="2"/>
  <c r="C5239" i="2"/>
  <c r="B5239" i="2"/>
  <c r="C5238" i="2"/>
  <c r="B5238" i="2"/>
  <c r="C5237" i="2"/>
  <c r="B5237" i="2"/>
  <c r="C5236" i="2"/>
  <c r="B5236" i="2"/>
  <c r="C5235" i="2"/>
  <c r="B5235" i="2"/>
  <c r="C5234" i="2"/>
  <c r="B5234" i="2"/>
  <c r="C5233" i="2"/>
  <c r="B5233" i="2"/>
  <c r="C5232" i="2"/>
  <c r="B5232" i="2"/>
  <c r="C5231" i="2"/>
  <c r="B5231" i="2"/>
  <c r="C5230" i="2"/>
  <c r="B5230" i="2"/>
  <c r="C5229" i="2"/>
  <c r="B5229" i="2"/>
  <c r="C5228" i="2"/>
  <c r="B5228" i="2"/>
  <c r="C5227" i="2"/>
  <c r="B5227" i="2"/>
  <c r="C5226" i="2"/>
  <c r="B5226" i="2"/>
  <c r="C5225" i="2"/>
  <c r="B5225" i="2"/>
  <c r="C5224" i="2"/>
  <c r="B5224" i="2"/>
  <c r="C5223" i="2"/>
  <c r="B5223" i="2"/>
  <c r="C5222" i="2"/>
  <c r="B5222" i="2"/>
  <c r="C5221" i="2"/>
  <c r="B5221" i="2"/>
  <c r="C5220" i="2"/>
  <c r="B5220" i="2"/>
  <c r="C5219" i="2"/>
  <c r="B5219" i="2"/>
  <c r="C5218" i="2"/>
  <c r="B5218" i="2"/>
  <c r="C5217" i="2"/>
  <c r="B5217" i="2"/>
  <c r="C5216" i="2"/>
  <c r="B5216" i="2"/>
  <c r="C5215" i="2"/>
  <c r="B5215" i="2"/>
  <c r="C5214" i="2"/>
  <c r="B5214" i="2"/>
  <c r="C5213" i="2"/>
  <c r="B5213" i="2"/>
  <c r="C5212" i="2"/>
  <c r="B5212" i="2"/>
  <c r="C5211" i="2"/>
  <c r="B5211" i="2"/>
  <c r="C5210" i="2"/>
  <c r="B5210" i="2"/>
  <c r="C5209" i="2"/>
  <c r="B5209" i="2"/>
  <c r="C5208" i="2"/>
  <c r="B5208" i="2"/>
  <c r="C5207" i="2"/>
  <c r="B5207" i="2"/>
  <c r="C5206" i="2"/>
  <c r="B5206" i="2"/>
  <c r="C5205" i="2"/>
  <c r="B5205" i="2"/>
  <c r="C5204" i="2"/>
  <c r="B5204" i="2"/>
  <c r="C5203" i="2"/>
  <c r="B5203" i="2"/>
  <c r="C5202" i="2"/>
  <c r="B5202" i="2"/>
  <c r="C5201" i="2"/>
  <c r="B5201" i="2"/>
  <c r="C5200" i="2"/>
  <c r="B5200" i="2"/>
  <c r="C5199" i="2"/>
  <c r="B5199" i="2"/>
  <c r="C5198" i="2"/>
  <c r="B5198" i="2"/>
  <c r="C5197" i="2"/>
  <c r="B5197" i="2"/>
  <c r="C5196" i="2"/>
  <c r="B5196" i="2"/>
  <c r="C5195" i="2"/>
  <c r="B5195" i="2"/>
  <c r="C5194" i="2"/>
  <c r="B5194" i="2"/>
  <c r="C5193" i="2"/>
  <c r="B5193" i="2"/>
  <c r="C5192" i="2"/>
  <c r="B5192" i="2"/>
  <c r="C5191" i="2"/>
  <c r="B5191" i="2"/>
  <c r="C5190" i="2"/>
  <c r="B5190" i="2"/>
  <c r="C5189" i="2"/>
  <c r="B5189" i="2"/>
  <c r="C5188" i="2"/>
  <c r="B5188" i="2"/>
  <c r="C5187" i="2"/>
  <c r="B5187" i="2"/>
  <c r="C5186" i="2"/>
  <c r="B5186" i="2"/>
  <c r="C5185" i="2"/>
  <c r="B5185" i="2"/>
  <c r="C5184" i="2"/>
  <c r="B5184" i="2"/>
  <c r="C5183" i="2"/>
  <c r="B5183" i="2"/>
  <c r="C5182" i="2"/>
  <c r="B5182" i="2"/>
  <c r="C5181" i="2"/>
  <c r="B5181" i="2"/>
  <c r="C5180" i="2"/>
  <c r="B5180" i="2"/>
  <c r="C5179" i="2"/>
  <c r="B5179" i="2"/>
  <c r="C5178" i="2"/>
  <c r="B5178" i="2"/>
  <c r="C5177" i="2"/>
  <c r="B5177" i="2"/>
  <c r="C5176" i="2"/>
  <c r="B5176" i="2"/>
  <c r="C5175" i="2"/>
  <c r="B5175" i="2"/>
  <c r="C5174" i="2"/>
  <c r="B5174" i="2"/>
  <c r="C5173" i="2"/>
  <c r="B5173" i="2"/>
  <c r="C5172" i="2"/>
  <c r="B5172" i="2"/>
  <c r="C5171" i="2"/>
  <c r="B5171" i="2"/>
  <c r="C5170" i="2"/>
  <c r="B5170" i="2"/>
  <c r="C5169" i="2"/>
  <c r="B5169" i="2"/>
  <c r="C5168" i="2"/>
  <c r="B5168" i="2"/>
  <c r="C5167" i="2"/>
  <c r="B5167" i="2"/>
  <c r="C5166" i="2"/>
  <c r="B5166" i="2"/>
  <c r="C5165" i="2"/>
  <c r="B5165" i="2"/>
  <c r="C5164" i="2"/>
  <c r="B5164" i="2"/>
  <c r="C5163" i="2"/>
  <c r="B5163" i="2"/>
  <c r="C5162" i="2"/>
  <c r="B5162" i="2"/>
  <c r="C5161" i="2"/>
  <c r="B5161" i="2"/>
  <c r="C5160" i="2"/>
  <c r="B5160" i="2"/>
  <c r="C5159" i="2"/>
  <c r="B5159" i="2"/>
  <c r="C5158" i="2"/>
  <c r="B5158" i="2"/>
  <c r="C5157" i="2"/>
  <c r="B5157" i="2"/>
  <c r="C5156" i="2"/>
  <c r="B5156" i="2"/>
  <c r="C5155" i="2"/>
  <c r="B5155" i="2"/>
  <c r="C5154" i="2"/>
  <c r="B5154" i="2"/>
  <c r="C5153" i="2"/>
  <c r="B5153" i="2"/>
  <c r="C5152" i="2"/>
  <c r="B5152" i="2"/>
  <c r="C5151" i="2"/>
  <c r="B5151" i="2"/>
  <c r="C5150" i="2"/>
  <c r="B5150" i="2"/>
  <c r="C5149" i="2"/>
  <c r="B5149" i="2"/>
  <c r="C5148" i="2"/>
  <c r="B5148" i="2"/>
  <c r="C5147" i="2"/>
  <c r="B5147" i="2"/>
  <c r="C5146" i="2"/>
  <c r="B5146" i="2"/>
  <c r="C5145" i="2"/>
  <c r="B5145" i="2"/>
  <c r="C5144" i="2"/>
  <c r="B5144" i="2"/>
  <c r="C5143" i="2"/>
  <c r="B5143" i="2"/>
  <c r="C5142" i="2"/>
  <c r="B5142" i="2"/>
  <c r="C5141" i="2"/>
  <c r="B5141" i="2"/>
  <c r="C5140" i="2"/>
  <c r="B5140" i="2"/>
  <c r="C5139" i="2"/>
  <c r="B5139" i="2"/>
  <c r="C5138" i="2"/>
  <c r="B5138" i="2"/>
  <c r="C5137" i="2"/>
  <c r="B5137" i="2"/>
  <c r="C5136" i="2"/>
  <c r="B5136" i="2"/>
  <c r="C5135" i="2"/>
  <c r="B5135" i="2"/>
  <c r="C5134" i="2"/>
  <c r="B5134" i="2"/>
  <c r="C5133" i="2"/>
  <c r="B5133" i="2"/>
  <c r="C5132" i="2"/>
  <c r="B5132" i="2"/>
  <c r="C5131" i="2"/>
  <c r="B5131" i="2"/>
  <c r="C5130" i="2"/>
  <c r="B5130" i="2"/>
  <c r="C5129" i="2"/>
  <c r="B5129" i="2"/>
  <c r="C5128" i="2"/>
  <c r="B5128" i="2"/>
  <c r="C5127" i="2"/>
  <c r="B5127" i="2"/>
  <c r="C5126" i="2"/>
  <c r="B5126" i="2"/>
  <c r="C5125" i="2"/>
  <c r="B5125" i="2"/>
  <c r="C5124" i="2"/>
  <c r="B5124" i="2"/>
  <c r="C5123" i="2"/>
  <c r="B5123" i="2"/>
  <c r="C5122" i="2"/>
  <c r="B5122" i="2"/>
  <c r="C5121" i="2"/>
  <c r="B5121" i="2"/>
  <c r="C5120" i="2"/>
  <c r="B5120" i="2"/>
  <c r="C5119" i="2"/>
  <c r="B5119" i="2"/>
  <c r="C5118" i="2"/>
  <c r="B5118" i="2"/>
  <c r="C5117" i="2"/>
  <c r="B5117" i="2"/>
  <c r="C5116" i="2"/>
  <c r="B5116" i="2"/>
  <c r="C5115" i="2"/>
  <c r="B5115" i="2"/>
  <c r="C5114" i="2"/>
  <c r="B5114" i="2"/>
  <c r="C5113" i="2"/>
  <c r="B5113" i="2"/>
  <c r="C5112" i="2"/>
  <c r="B5112" i="2"/>
  <c r="C5111" i="2"/>
  <c r="B5111" i="2"/>
  <c r="C5110" i="2"/>
  <c r="B5110" i="2"/>
  <c r="C5109" i="2"/>
  <c r="B5109" i="2"/>
  <c r="C5108" i="2"/>
  <c r="B5108" i="2"/>
  <c r="C5107" i="2"/>
  <c r="B5107" i="2"/>
  <c r="C5106" i="2"/>
  <c r="B5106" i="2"/>
  <c r="C5105" i="2"/>
  <c r="B5105" i="2"/>
  <c r="C5104" i="2"/>
  <c r="B5104" i="2"/>
  <c r="C5103" i="2"/>
  <c r="B5103" i="2"/>
  <c r="C5102" i="2"/>
  <c r="B5102" i="2"/>
  <c r="C5101" i="2"/>
  <c r="B5101" i="2"/>
  <c r="C5100" i="2"/>
  <c r="B5100" i="2"/>
  <c r="C5099" i="2"/>
  <c r="B5099" i="2"/>
  <c r="C5098" i="2"/>
  <c r="B5098" i="2"/>
  <c r="C5097" i="2"/>
  <c r="B5097" i="2"/>
  <c r="C5096" i="2"/>
  <c r="B5096" i="2"/>
  <c r="C5095" i="2"/>
  <c r="B5095" i="2"/>
  <c r="C5094" i="2"/>
  <c r="B5094" i="2"/>
  <c r="C5093" i="2"/>
  <c r="B5093" i="2"/>
  <c r="C5092" i="2"/>
  <c r="B5092" i="2"/>
  <c r="C5091" i="2"/>
  <c r="B5091" i="2"/>
  <c r="C5090" i="2"/>
  <c r="B5090" i="2"/>
  <c r="C5089" i="2"/>
  <c r="B5089" i="2"/>
  <c r="C5088" i="2"/>
  <c r="B5088" i="2"/>
  <c r="C5087" i="2"/>
  <c r="B5087" i="2"/>
  <c r="C5086" i="2"/>
  <c r="B5086" i="2"/>
  <c r="C5085" i="2"/>
  <c r="B5085" i="2"/>
  <c r="C5084" i="2"/>
  <c r="B5084" i="2"/>
  <c r="C5083" i="2"/>
  <c r="B5083" i="2"/>
  <c r="C5082" i="2"/>
  <c r="B5082" i="2"/>
  <c r="C5081" i="2"/>
  <c r="B5081" i="2"/>
  <c r="C5080" i="2"/>
  <c r="B5080" i="2"/>
  <c r="C5079" i="2"/>
  <c r="B5079" i="2"/>
  <c r="C5078" i="2"/>
  <c r="B5078" i="2"/>
  <c r="C5077" i="2"/>
  <c r="B5077" i="2"/>
  <c r="C5076" i="2"/>
  <c r="B5076" i="2"/>
  <c r="C5075" i="2"/>
  <c r="B5075" i="2"/>
  <c r="C5074" i="2"/>
  <c r="B5074" i="2"/>
  <c r="C5073" i="2"/>
  <c r="B5073" i="2"/>
  <c r="C5072" i="2"/>
  <c r="B5072" i="2"/>
  <c r="C5071" i="2"/>
  <c r="B5071" i="2"/>
  <c r="C5070" i="2"/>
  <c r="B5070" i="2"/>
  <c r="C5069" i="2"/>
  <c r="B5069" i="2"/>
  <c r="C5068" i="2"/>
  <c r="B5068" i="2"/>
  <c r="C5067" i="2"/>
  <c r="B5067" i="2"/>
  <c r="C5066" i="2"/>
  <c r="B5066" i="2"/>
  <c r="C5065" i="2"/>
  <c r="B5065" i="2"/>
  <c r="C5064" i="2"/>
  <c r="B5064" i="2"/>
  <c r="C5063" i="2"/>
  <c r="B5063" i="2"/>
  <c r="C5062" i="2"/>
  <c r="B5062" i="2"/>
  <c r="C5061" i="2"/>
  <c r="B5061" i="2"/>
  <c r="C5060" i="2"/>
  <c r="B5060" i="2"/>
  <c r="C5059" i="2"/>
  <c r="B5059" i="2"/>
  <c r="C5058" i="2"/>
  <c r="B5058" i="2"/>
  <c r="C5057" i="2"/>
  <c r="B5057" i="2"/>
  <c r="C5056" i="2"/>
  <c r="B5056" i="2"/>
  <c r="C5055" i="2"/>
  <c r="B5055" i="2"/>
  <c r="C5054" i="2"/>
  <c r="B5054" i="2"/>
  <c r="C5053" i="2"/>
  <c r="B5053" i="2"/>
  <c r="C5052" i="2"/>
  <c r="B5052" i="2"/>
  <c r="C5051" i="2"/>
  <c r="B5051" i="2"/>
  <c r="C5050" i="2"/>
  <c r="B5050" i="2"/>
  <c r="C5049" i="2"/>
  <c r="B5049" i="2"/>
  <c r="C5048" i="2"/>
  <c r="B5048" i="2"/>
  <c r="C5047" i="2"/>
  <c r="B5047" i="2"/>
  <c r="C5046" i="2"/>
  <c r="B5046" i="2"/>
  <c r="C5045" i="2"/>
  <c r="B5045" i="2"/>
  <c r="C5044" i="2"/>
  <c r="B5044" i="2"/>
  <c r="C5043" i="2"/>
  <c r="B5043" i="2"/>
  <c r="C5042" i="2"/>
  <c r="B5042" i="2"/>
  <c r="C5041" i="2"/>
  <c r="B5041" i="2"/>
  <c r="C5040" i="2"/>
  <c r="B5040" i="2"/>
  <c r="C5039" i="2"/>
  <c r="B5039" i="2"/>
  <c r="C5038" i="2"/>
  <c r="B5038" i="2"/>
  <c r="C5037" i="2"/>
  <c r="B5037" i="2"/>
  <c r="C5036" i="2"/>
  <c r="B5036" i="2"/>
  <c r="C5035" i="2"/>
  <c r="B5035" i="2"/>
  <c r="C5034" i="2"/>
  <c r="B5034" i="2"/>
  <c r="C5033" i="2"/>
  <c r="B5033" i="2"/>
  <c r="C5032" i="2"/>
  <c r="B5032" i="2"/>
  <c r="C5031" i="2"/>
  <c r="B5031" i="2"/>
  <c r="C5030" i="2"/>
  <c r="B5030" i="2"/>
  <c r="C5029" i="2"/>
  <c r="B5029" i="2"/>
  <c r="C5028" i="2"/>
  <c r="B5028" i="2"/>
  <c r="C5027" i="2"/>
  <c r="B5027" i="2"/>
  <c r="C5026" i="2"/>
  <c r="B5026" i="2"/>
  <c r="C5025" i="2"/>
  <c r="B5025" i="2"/>
  <c r="C5024" i="2"/>
  <c r="B5024" i="2"/>
  <c r="C5023" i="2"/>
  <c r="B5023" i="2"/>
  <c r="C5022" i="2"/>
  <c r="B5022" i="2"/>
  <c r="C5021" i="2"/>
  <c r="B5021" i="2"/>
  <c r="C5020" i="2"/>
  <c r="B5020" i="2"/>
  <c r="C5019" i="2"/>
  <c r="B5019" i="2"/>
  <c r="C5018" i="2"/>
  <c r="B5018" i="2"/>
  <c r="C5017" i="2"/>
  <c r="B5017" i="2"/>
  <c r="C5016" i="2"/>
  <c r="B5016" i="2"/>
  <c r="C5015" i="2"/>
  <c r="B5015" i="2"/>
  <c r="C5014" i="2"/>
  <c r="B5014" i="2"/>
  <c r="C5013" i="2"/>
  <c r="B5013" i="2"/>
  <c r="C5012" i="2"/>
  <c r="B5012" i="2"/>
  <c r="C5011" i="2"/>
  <c r="B5011" i="2"/>
  <c r="C5010" i="2"/>
  <c r="B5010" i="2"/>
  <c r="C5009" i="2"/>
  <c r="B5009" i="2"/>
  <c r="C5008" i="2"/>
  <c r="B5008" i="2"/>
  <c r="C5007" i="2"/>
  <c r="B5007" i="2"/>
  <c r="C5006" i="2"/>
  <c r="B5006" i="2"/>
  <c r="C5005" i="2"/>
  <c r="B5005" i="2"/>
  <c r="C5004" i="2"/>
  <c r="B5004" i="2"/>
  <c r="C5003" i="2"/>
  <c r="B5003" i="2"/>
  <c r="C5002" i="2"/>
  <c r="B5002" i="2"/>
  <c r="C5001" i="2"/>
  <c r="B5001" i="2"/>
  <c r="C5000" i="2"/>
  <c r="B5000" i="2"/>
  <c r="C4999" i="2"/>
  <c r="B4999" i="2"/>
  <c r="C4998" i="2"/>
  <c r="B4998" i="2"/>
  <c r="C4997" i="2"/>
  <c r="B4997" i="2"/>
  <c r="C4996" i="2"/>
  <c r="B4996" i="2"/>
  <c r="C4995" i="2"/>
  <c r="B4995" i="2"/>
  <c r="C4994" i="2"/>
  <c r="B4994" i="2"/>
  <c r="C4993" i="2"/>
  <c r="B4993" i="2"/>
  <c r="C4992" i="2"/>
  <c r="B4992" i="2"/>
  <c r="C4991" i="2"/>
  <c r="B4991" i="2"/>
  <c r="C4990" i="2"/>
  <c r="B4990" i="2"/>
  <c r="C4989" i="2"/>
  <c r="B4989" i="2"/>
  <c r="C4988" i="2"/>
  <c r="B4988" i="2"/>
  <c r="C4987" i="2"/>
  <c r="B4987" i="2"/>
  <c r="C4986" i="2"/>
  <c r="B4986" i="2"/>
  <c r="C4985" i="2"/>
  <c r="B4985" i="2"/>
  <c r="C4984" i="2"/>
  <c r="B4984" i="2"/>
  <c r="C4983" i="2"/>
  <c r="B4983" i="2"/>
  <c r="C4982" i="2"/>
  <c r="B4982" i="2"/>
  <c r="C4981" i="2"/>
  <c r="B4981" i="2"/>
  <c r="C4980" i="2"/>
  <c r="B4980" i="2"/>
  <c r="C4979" i="2"/>
  <c r="B4979" i="2"/>
  <c r="C4978" i="2"/>
  <c r="B4978" i="2"/>
  <c r="C4977" i="2"/>
  <c r="B4977" i="2"/>
  <c r="C4976" i="2"/>
  <c r="B4976" i="2"/>
  <c r="C4975" i="2"/>
  <c r="B4975" i="2"/>
  <c r="C4974" i="2"/>
  <c r="B4974" i="2"/>
  <c r="C4973" i="2"/>
  <c r="B4973" i="2"/>
  <c r="C4972" i="2"/>
  <c r="B4972" i="2"/>
  <c r="C4971" i="2"/>
  <c r="B4971" i="2"/>
  <c r="C4970" i="2"/>
  <c r="B4970" i="2"/>
  <c r="C4969" i="2"/>
  <c r="B4969" i="2"/>
  <c r="C4968" i="2"/>
  <c r="B4968" i="2"/>
  <c r="C4967" i="2"/>
  <c r="B4967" i="2"/>
  <c r="C4966" i="2"/>
  <c r="B4966" i="2"/>
  <c r="C4965" i="2"/>
  <c r="B4965" i="2"/>
  <c r="C4964" i="2"/>
  <c r="B4964" i="2"/>
  <c r="C4963" i="2"/>
  <c r="B4963" i="2"/>
  <c r="C4962" i="2"/>
  <c r="B4962" i="2"/>
  <c r="C4961" i="2"/>
  <c r="B4961" i="2"/>
  <c r="C4960" i="2"/>
  <c r="B4960" i="2"/>
  <c r="C4959" i="2"/>
  <c r="B4959" i="2"/>
  <c r="C4958" i="2"/>
  <c r="B4958" i="2"/>
  <c r="C4957" i="2"/>
  <c r="B4957" i="2"/>
  <c r="C4956" i="2"/>
  <c r="B4956" i="2"/>
  <c r="C4955" i="2"/>
  <c r="B4955" i="2"/>
  <c r="C4954" i="2"/>
  <c r="B4954" i="2"/>
  <c r="C4953" i="2"/>
  <c r="B4953" i="2"/>
  <c r="C4952" i="2"/>
  <c r="B4952" i="2"/>
  <c r="C4951" i="2"/>
  <c r="B4951" i="2"/>
  <c r="C4950" i="2"/>
  <c r="B4950" i="2"/>
  <c r="C4949" i="2"/>
  <c r="B4949" i="2"/>
  <c r="C4948" i="2"/>
  <c r="B4948" i="2"/>
  <c r="C4947" i="2"/>
  <c r="B4947" i="2"/>
  <c r="C4946" i="2"/>
  <c r="B4946" i="2"/>
  <c r="C4945" i="2"/>
  <c r="B4945" i="2"/>
  <c r="C4944" i="2"/>
  <c r="B4944" i="2"/>
  <c r="C4943" i="2"/>
  <c r="B4943" i="2"/>
  <c r="C4942" i="2"/>
  <c r="B4942" i="2"/>
  <c r="C4941" i="2"/>
  <c r="B4941" i="2"/>
  <c r="C4940" i="2"/>
  <c r="B4940" i="2"/>
  <c r="C4939" i="2"/>
  <c r="B4939" i="2"/>
  <c r="C4938" i="2"/>
  <c r="B4938" i="2"/>
  <c r="C4937" i="2"/>
  <c r="B4937" i="2"/>
  <c r="C4936" i="2"/>
  <c r="B4936" i="2"/>
  <c r="C4935" i="2"/>
  <c r="B4935" i="2"/>
  <c r="C4934" i="2"/>
  <c r="B4934" i="2"/>
  <c r="C4933" i="2"/>
  <c r="B4933" i="2"/>
  <c r="C4932" i="2"/>
  <c r="B4932" i="2"/>
  <c r="C4931" i="2"/>
  <c r="B4931" i="2"/>
  <c r="C4930" i="2"/>
  <c r="B4930" i="2"/>
  <c r="C4929" i="2"/>
  <c r="B4929" i="2"/>
  <c r="C4928" i="2"/>
  <c r="B4928" i="2"/>
  <c r="C4927" i="2"/>
  <c r="B4927" i="2"/>
  <c r="C4926" i="2"/>
  <c r="B4926" i="2"/>
  <c r="C4925" i="2"/>
  <c r="B4925" i="2"/>
  <c r="C4924" i="2"/>
  <c r="B4924" i="2"/>
  <c r="C4923" i="2"/>
  <c r="B4923" i="2"/>
  <c r="C4922" i="2"/>
  <c r="B4922" i="2"/>
  <c r="C4921" i="2"/>
  <c r="B4921" i="2"/>
  <c r="C4920" i="2"/>
  <c r="B4920" i="2"/>
  <c r="C4919" i="2"/>
  <c r="B4919" i="2"/>
  <c r="C4918" i="2"/>
  <c r="B4918" i="2"/>
  <c r="C4917" i="2"/>
  <c r="B4917" i="2"/>
  <c r="C4916" i="2"/>
  <c r="B4916" i="2"/>
  <c r="C4915" i="2"/>
  <c r="B4915" i="2"/>
  <c r="C4914" i="2"/>
  <c r="B4914" i="2"/>
  <c r="C4913" i="2"/>
  <c r="B4913" i="2"/>
  <c r="C4912" i="2"/>
  <c r="B4912" i="2"/>
  <c r="C4911" i="2"/>
  <c r="B4911" i="2"/>
  <c r="C4910" i="2"/>
  <c r="B4910" i="2"/>
  <c r="C4909" i="2"/>
  <c r="B4909" i="2"/>
  <c r="C4908" i="2"/>
  <c r="B4908" i="2"/>
  <c r="C4907" i="2"/>
  <c r="B4907" i="2"/>
  <c r="C4906" i="2"/>
  <c r="B4906" i="2"/>
  <c r="C4905" i="2"/>
  <c r="B4905" i="2"/>
  <c r="C4904" i="2"/>
  <c r="B4904" i="2"/>
  <c r="C4903" i="2"/>
  <c r="B4903" i="2"/>
  <c r="C4902" i="2"/>
  <c r="B4902" i="2"/>
  <c r="C4901" i="2"/>
  <c r="B4901" i="2"/>
  <c r="C4900" i="2"/>
  <c r="B4900" i="2"/>
  <c r="C4899" i="2"/>
  <c r="B4899" i="2"/>
  <c r="C4898" i="2"/>
  <c r="B4898" i="2"/>
  <c r="C4897" i="2"/>
  <c r="B4897" i="2"/>
  <c r="C4896" i="2"/>
  <c r="B4896" i="2"/>
  <c r="C4895" i="2"/>
  <c r="B4895" i="2"/>
  <c r="C4894" i="2"/>
  <c r="B4894" i="2"/>
  <c r="C4893" i="2"/>
  <c r="B4893" i="2"/>
  <c r="C4892" i="2"/>
  <c r="B4892" i="2"/>
  <c r="C4891" i="2"/>
  <c r="B4891" i="2"/>
  <c r="C4890" i="2"/>
  <c r="B4890" i="2"/>
  <c r="C4889" i="2"/>
  <c r="B4889" i="2"/>
  <c r="C4888" i="2"/>
  <c r="B4888" i="2"/>
  <c r="C4887" i="2"/>
  <c r="B4887" i="2"/>
  <c r="C4886" i="2"/>
  <c r="B4886" i="2"/>
  <c r="C4885" i="2"/>
  <c r="B4885" i="2"/>
  <c r="C4884" i="2"/>
  <c r="B4884" i="2"/>
  <c r="C4883" i="2"/>
  <c r="B4883" i="2"/>
  <c r="C4882" i="2"/>
  <c r="B4882" i="2"/>
  <c r="C4881" i="2"/>
  <c r="B4881" i="2"/>
  <c r="C4880" i="2"/>
  <c r="B4880" i="2"/>
  <c r="C4879" i="2"/>
  <c r="B4879" i="2"/>
  <c r="C4878" i="2"/>
  <c r="B4878" i="2"/>
  <c r="C4877" i="2"/>
  <c r="B4877" i="2"/>
  <c r="C4876" i="2"/>
  <c r="B4876" i="2"/>
  <c r="C4875" i="2"/>
  <c r="B4875" i="2"/>
  <c r="C4874" i="2"/>
  <c r="B4874" i="2"/>
  <c r="C4873" i="2"/>
  <c r="B4873" i="2"/>
  <c r="C4872" i="2"/>
  <c r="B4872" i="2"/>
  <c r="C4871" i="2"/>
  <c r="B4871" i="2"/>
  <c r="C4870" i="2"/>
  <c r="B4870" i="2"/>
  <c r="C4869" i="2"/>
  <c r="B4869" i="2"/>
  <c r="C4868" i="2"/>
  <c r="B4868" i="2"/>
  <c r="C4867" i="2"/>
  <c r="B4867" i="2"/>
  <c r="C4866" i="2"/>
  <c r="B4866" i="2"/>
  <c r="C4865" i="2"/>
  <c r="B4865" i="2"/>
  <c r="C4864" i="2"/>
  <c r="B4864" i="2"/>
  <c r="C4863" i="2"/>
  <c r="B4863" i="2"/>
  <c r="C4862" i="2"/>
  <c r="B4862" i="2"/>
  <c r="C4861" i="2"/>
  <c r="B4861" i="2"/>
  <c r="C4860" i="2"/>
  <c r="B4860" i="2"/>
  <c r="C4859" i="2"/>
  <c r="B4859" i="2"/>
  <c r="C4858" i="2"/>
  <c r="B4858" i="2"/>
  <c r="C4857" i="2"/>
  <c r="B4857" i="2"/>
  <c r="C4856" i="2"/>
  <c r="B4856" i="2"/>
  <c r="C4855" i="2"/>
  <c r="B4855" i="2"/>
  <c r="C4854" i="2"/>
  <c r="B4854" i="2"/>
  <c r="C4853" i="2"/>
  <c r="B4853" i="2"/>
  <c r="C4852" i="2"/>
  <c r="B4852" i="2"/>
  <c r="C4851" i="2"/>
  <c r="B4851" i="2"/>
  <c r="C4850" i="2"/>
  <c r="B4850" i="2"/>
  <c r="C4849" i="2"/>
  <c r="B4849" i="2"/>
  <c r="C4848" i="2"/>
  <c r="B4848" i="2"/>
  <c r="C4847" i="2"/>
  <c r="B4847" i="2"/>
  <c r="C4846" i="2"/>
  <c r="B4846" i="2"/>
  <c r="C4845" i="2"/>
  <c r="B4845" i="2"/>
  <c r="C4844" i="2"/>
  <c r="B4844" i="2"/>
  <c r="C4843" i="2"/>
  <c r="B4843" i="2"/>
  <c r="C4842" i="2"/>
  <c r="B4842" i="2"/>
  <c r="C4841" i="2"/>
  <c r="B4841" i="2"/>
  <c r="C4840" i="2"/>
  <c r="B4840" i="2"/>
  <c r="C4839" i="2"/>
  <c r="B4839" i="2"/>
  <c r="C4838" i="2"/>
  <c r="B4838" i="2"/>
  <c r="C4837" i="2"/>
  <c r="B4837" i="2"/>
  <c r="C4836" i="2"/>
  <c r="B4836" i="2"/>
  <c r="C4835" i="2"/>
  <c r="B4835" i="2"/>
  <c r="C4834" i="2"/>
  <c r="B4834" i="2"/>
  <c r="C4833" i="2"/>
  <c r="B4833" i="2"/>
  <c r="C4832" i="2"/>
  <c r="B4832" i="2"/>
  <c r="C4831" i="2"/>
  <c r="B4831" i="2"/>
  <c r="C4830" i="2"/>
  <c r="B4830" i="2"/>
  <c r="C4829" i="2"/>
  <c r="B4829" i="2"/>
  <c r="C4828" i="2"/>
  <c r="B4828" i="2"/>
  <c r="C4827" i="2"/>
  <c r="B4827" i="2"/>
  <c r="C4826" i="2"/>
  <c r="B4826" i="2"/>
  <c r="C4825" i="2"/>
  <c r="B4825" i="2"/>
  <c r="C4824" i="2"/>
  <c r="B4824" i="2"/>
  <c r="C4823" i="2"/>
  <c r="B4823" i="2"/>
  <c r="C4822" i="2"/>
  <c r="B4822" i="2"/>
  <c r="C4821" i="2"/>
  <c r="B4821" i="2"/>
  <c r="C4820" i="2"/>
  <c r="B4820" i="2"/>
  <c r="C4819" i="2"/>
  <c r="B4819" i="2"/>
  <c r="C4818" i="2"/>
  <c r="B4818" i="2"/>
  <c r="C4817" i="2"/>
  <c r="B4817" i="2"/>
  <c r="C4816" i="2"/>
  <c r="B4816" i="2"/>
  <c r="C4815" i="2"/>
  <c r="B4815" i="2"/>
  <c r="C4814" i="2"/>
  <c r="B4814" i="2"/>
  <c r="C4813" i="2"/>
  <c r="B4813" i="2"/>
  <c r="C4812" i="2"/>
  <c r="B4812" i="2"/>
  <c r="C4811" i="2"/>
  <c r="B4811" i="2"/>
  <c r="C4810" i="2"/>
  <c r="B4810" i="2"/>
  <c r="C4809" i="2"/>
  <c r="B4809" i="2"/>
  <c r="C4808" i="2"/>
  <c r="B4808" i="2"/>
  <c r="C4807" i="2"/>
  <c r="B4807" i="2"/>
  <c r="C4806" i="2"/>
  <c r="B4806" i="2"/>
  <c r="C4805" i="2"/>
  <c r="B4805" i="2"/>
  <c r="C4804" i="2"/>
  <c r="B4804" i="2"/>
  <c r="C4803" i="2"/>
  <c r="B4803" i="2"/>
  <c r="C4802" i="2"/>
  <c r="B4802" i="2"/>
  <c r="C4801" i="2"/>
  <c r="B4801" i="2"/>
  <c r="C4800" i="2"/>
  <c r="B4800" i="2"/>
  <c r="C4799" i="2"/>
  <c r="B4799" i="2"/>
  <c r="C4798" i="2"/>
  <c r="B4798" i="2"/>
  <c r="C4797" i="2"/>
  <c r="B4797" i="2"/>
  <c r="C4796" i="2"/>
  <c r="B4796" i="2"/>
  <c r="C4795" i="2"/>
  <c r="B4795" i="2"/>
  <c r="C4794" i="2"/>
  <c r="B4794" i="2"/>
  <c r="C4793" i="2"/>
  <c r="B4793" i="2"/>
  <c r="C4792" i="2"/>
  <c r="B4792" i="2"/>
  <c r="C4791" i="2"/>
  <c r="B4791" i="2"/>
  <c r="C4790" i="2"/>
  <c r="B4790" i="2"/>
  <c r="C4789" i="2"/>
  <c r="B4789" i="2"/>
  <c r="C4788" i="2"/>
  <c r="B4788" i="2"/>
  <c r="C4787" i="2"/>
  <c r="B4787" i="2"/>
  <c r="C4786" i="2"/>
  <c r="B4786" i="2"/>
  <c r="C4785" i="2"/>
  <c r="B4785" i="2"/>
  <c r="C4784" i="2"/>
  <c r="B4784" i="2"/>
  <c r="C4783" i="2"/>
  <c r="B4783" i="2"/>
  <c r="C4782" i="2"/>
  <c r="B4782" i="2"/>
  <c r="C4781" i="2"/>
  <c r="B4781" i="2"/>
  <c r="C4780" i="2"/>
  <c r="B4780" i="2"/>
  <c r="C4779" i="2"/>
  <c r="B4779" i="2"/>
  <c r="C4778" i="2"/>
  <c r="B4778" i="2"/>
  <c r="C4777" i="2"/>
  <c r="B4777" i="2"/>
  <c r="C4776" i="2"/>
  <c r="B4776" i="2"/>
  <c r="C4775" i="2"/>
  <c r="B4775" i="2"/>
  <c r="C4774" i="2"/>
  <c r="B4774" i="2"/>
  <c r="C4773" i="2"/>
  <c r="B4773" i="2"/>
  <c r="C4772" i="2"/>
  <c r="B4772" i="2"/>
  <c r="C4771" i="2"/>
  <c r="B4771" i="2"/>
  <c r="C4770" i="2"/>
  <c r="B4770" i="2"/>
  <c r="C4769" i="2"/>
  <c r="B4769" i="2"/>
  <c r="C4768" i="2"/>
  <c r="B4768" i="2"/>
  <c r="C4767" i="2"/>
  <c r="B4767" i="2"/>
  <c r="C4766" i="2"/>
  <c r="B4766" i="2"/>
  <c r="C4765" i="2"/>
  <c r="B4765" i="2"/>
  <c r="C4764" i="2"/>
  <c r="B4764" i="2"/>
  <c r="C4763" i="2"/>
  <c r="B4763" i="2"/>
  <c r="C4762" i="2"/>
  <c r="B4762" i="2"/>
  <c r="C4761" i="2"/>
  <c r="B4761" i="2"/>
  <c r="C4760" i="2"/>
  <c r="B4760" i="2"/>
  <c r="C4759" i="2"/>
  <c r="B4759" i="2"/>
  <c r="C4758" i="2"/>
  <c r="B4758" i="2"/>
  <c r="C4757" i="2"/>
  <c r="B4757" i="2"/>
  <c r="C4756" i="2"/>
  <c r="B4756" i="2"/>
  <c r="C4755" i="2"/>
  <c r="B4755" i="2"/>
  <c r="C4754" i="2"/>
  <c r="B4754" i="2"/>
  <c r="C4753" i="2"/>
  <c r="B4753" i="2"/>
  <c r="C4752" i="2"/>
  <c r="B4752" i="2"/>
  <c r="C4751" i="2"/>
  <c r="B4751" i="2"/>
  <c r="C4750" i="2"/>
  <c r="B4750" i="2"/>
  <c r="C4749" i="2"/>
  <c r="B4749" i="2"/>
  <c r="C4748" i="2"/>
  <c r="B4748" i="2"/>
  <c r="C4747" i="2"/>
  <c r="B4747" i="2"/>
  <c r="C4746" i="2"/>
  <c r="B4746" i="2"/>
  <c r="C4745" i="2"/>
  <c r="B4745" i="2"/>
  <c r="C4744" i="2"/>
  <c r="B4744" i="2"/>
  <c r="C4743" i="2"/>
  <c r="B4743" i="2"/>
  <c r="C4742" i="2"/>
  <c r="B4742" i="2"/>
  <c r="C4741" i="2"/>
  <c r="B4741" i="2"/>
  <c r="C4740" i="2"/>
  <c r="B4740" i="2"/>
  <c r="C4739" i="2"/>
  <c r="B4739" i="2"/>
  <c r="C4738" i="2"/>
  <c r="B4738" i="2"/>
  <c r="C4737" i="2"/>
  <c r="B4737" i="2"/>
  <c r="C4736" i="2"/>
  <c r="B4736" i="2"/>
  <c r="C4735" i="2"/>
  <c r="B4735" i="2"/>
  <c r="C4734" i="2"/>
  <c r="B4734" i="2"/>
  <c r="C4733" i="2"/>
  <c r="B4733" i="2"/>
  <c r="C4732" i="2"/>
  <c r="B4732" i="2"/>
  <c r="C4731" i="2"/>
  <c r="B4731" i="2"/>
  <c r="C4730" i="2"/>
  <c r="B4730" i="2"/>
  <c r="C4729" i="2"/>
  <c r="B4729" i="2"/>
  <c r="C4728" i="2"/>
  <c r="B4728" i="2"/>
  <c r="C4727" i="2"/>
  <c r="B4727" i="2"/>
  <c r="C4726" i="2"/>
  <c r="B4726" i="2"/>
  <c r="C4725" i="2"/>
  <c r="B4725" i="2"/>
  <c r="C4724" i="2"/>
  <c r="B4724" i="2"/>
  <c r="C4723" i="2"/>
  <c r="B4723" i="2"/>
  <c r="C4722" i="2"/>
  <c r="B4722" i="2"/>
  <c r="C4721" i="2"/>
  <c r="B4721" i="2"/>
  <c r="C4720" i="2"/>
  <c r="B4720" i="2"/>
  <c r="C4719" i="2"/>
  <c r="B4719" i="2"/>
  <c r="C4718" i="2"/>
  <c r="B4718" i="2"/>
  <c r="C4717" i="2"/>
  <c r="B4717" i="2"/>
  <c r="C4716" i="2"/>
  <c r="B4716" i="2"/>
  <c r="C4715" i="2"/>
  <c r="B4715" i="2"/>
  <c r="C4714" i="2"/>
  <c r="B4714" i="2"/>
  <c r="C4713" i="2"/>
  <c r="B4713" i="2"/>
  <c r="C4712" i="2"/>
  <c r="B4712" i="2"/>
  <c r="C4711" i="2"/>
  <c r="B4711" i="2"/>
  <c r="C4710" i="2"/>
  <c r="B4710" i="2"/>
  <c r="C4709" i="2"/>
  <c r="B4709" i="2"/>
  <c r="C4708" i="2"/>
  <c r="B4708" i="2"/>
  <c r="C4707" i="2"/>
  <c r="B4707" i="2"/>
  <c r="C4706" i="2"/>
  <c r="B4706" i="2"/>
  <c r="C4705" i="2"/>
  <c r="B4705" i="2"/>
  <c r="C4704" i="2"/>
  <c r="B4704" i="2"/>
  <c r="C4703" i="2"/>
  <c r="B4703" i="2"/>
  <c r="C4702" i="2"/>
  <c r="B4702" i="2"/>
  <c r="C4701" i="2"/>
  <c r="B4701" i="2"/>
  <c r="C4700" i="2"/>
  <c r="B4700" i="2"/>
  <c r="C4699" i="2"/>
  <c r="B4699" i="2"/>
  <c r="C4698" i="2"/>
  <c r="B4698" i="2"/>
  <c r="C4697" i="2"/>
  <c r="B4697" i="2"/>
  <c r="C4696" i="2"/>
  <c r="B4696" i="2"/>
  <c r="C4695" i="2"/>
  <c r="B4695" i="2"/>
  <c r="C4694" i="2"/>
  <c r="B4694" i="2"/>
  <c r="C4693" i="2"/>
  <c r="B4693" i="2"/>
  <c r="C4692" i="2"/>
  <c r="B4692" i="2"/>
  <c r="C4691" i="2"/>
  <c r="B4691" i="2"/>
  <c r="C4690" i="2"/>
  <c r="B4690" i="2"/>
  <c r="C4689" i="2"/>
  <c r="B4689" i="2"/>
  <c r="C4688" i="2"/>
  <c r="B4688" i="2"/>
  <c r="C4687" i="2"/>
  <c r="B4687" i="2"/>
  <c r="C4686" i="2"/>
  <c r="B4686" i="2"/>
  <c r="C4685" i="2"/>
  <c r="B4685" i="2"/>
  <c r="C4684" i="2"/>
  <c r="B4684" i="2"/>
  <c r="C4683" i="2"/>
  <c r="B4683" i="2"/>
  <c r="C4682" i="2"/>
  <c r="B4682" i="2"/>
  <c r="C4681" i="2"/>
  <c r="B4681" i="2"/>
  <c r="C4680" i="2"/>
  <c r="B4680" i="2"/>
  <c r="C4679" i="2"/>
  <c r="B4679" i="2"/>
  <c r="C4678" i="2"/>
  <c r="B4678" i="2"/>
  <c r="C4677" i="2"/>
  <c r="B4677" i="2"/>
  <c r="C4676" i="2"/>
  <c r="B4676" i="2"/>
  <c r="C4675" i="2"/>
  <c r="B4675" i="2"/>
  <c r="C4674" i="2"/>
  <c r="B4674" i="2"/>
  <c r="C4673" i="2"/>
  <c r="B4673" i="2"/>
  <c r="C4672" i="2"/>
  <c r="B4672" i="2"/>
  <c r="C4671" i="2"/>
  <c r="B4671" i="2"/>
  <c r="C4670" i="2"/>
  <c r="B4670" i="2"/>
  <c r="C4669" i="2"/>
  <c r="B4669" i="2"/>
  <c r="C4668" i="2"/>
  <c r="B4668" i="2"/>
  <c r="C4667" i="2"/>
  <c r="B4667" i="2"/>
  <c r="C4666" i="2"/>
  <c r="B4666" i="2"/>
  <c r="C4665" i="2"/>
  <c r="B4665" i="2"/>
  <c r="C4664" i="2"/>
  <c r="B4664" i="2"/>
  <c r="C4663" i="2"/>
  <c r="B4663" i="2"/>
  <c r="C4662" i="2"/>
  <c r="B4662" i="2"/>
  <c r="C4661" i="2"/>
  <c r="B4661" i="2"/>
  <c r="C4660" i="2"/>
  <c r="B4660" i="2"/>
  <c r="C4659" i="2"/>
  <c r="B4659" i="2"/>
  <c r="C4658" i="2"/>
  <c r="B4658" i="2"/>
  <c r="C4657" i="2"/>
  <c r="B4657" i="2"/>
  <c r="C4656" i="2"/>
  <c r="B4656" i="2"/>
  <c r="C4655" i="2"/>
  <c r="B4655" i="2"/>
  <c r="C4654" i="2"/>
  <c r="B4654" i="2"/>
  <c r="C4653" i="2"/>
  <c r="B4653" i="2"/>
  <c r="C4652" i="2"/>
  <c r="B4652" i="2"/>
  <c r="C4651" i="2"/>
  <c r="B4651" i="2"/>
  <c r="C4650" i="2"/>
  <c r="B4650" i="2"/>
  <c r="C4649" i="2"/>
  <c r="B4649" i="2"/>
  <c r="C4648" i="2"/>
  <c r="B4648" i="2"/>
  <c r="C4647" i="2"/>
  <c r="B4647" i="2"/>
  <c r="C4646" i="2"/>
  <c r="B4646" i="2"/>
  <c r="C4645" i="2"/>
  <c r="B4645" i="2"/>
  <c r="C4644" i="2"/>
  <c r="B4644" i="2"/>
  <c r="C4643" i="2"/>
  <c r="B4643" i="2"/>
  <c r="C4642" i="2"/>
  <c r="B4642" i="2"/>
  <c r="C4641" i="2"/>
  <c r="B4641" i="2"/>
  <c r="C4640" i="2"/>
  <c r="B4640" i="2"/>
  <c r="C4639" i="2"/>
  <c r="B4639" i="2"/>
  <c r="C4638" i="2"/>
  <c r="B4638" i="2"/>
  <c r="C4637" i="2"/>
  <c r="B4637" i="2"/>
  <c r="C4636" i="2"/>
  <c r="B4636" i="2"/>
  <c r="C4635" i="2"/>
  <c r="B4635" i="2"/>
  <c r="C4634" i="2"/>
  <c r="B4634" i="2"/>
  <c r="C4633" i="2"/>
  <c r="B4633" i="2"/>
  <c r="C4632" i="2"/>
  <c r="B4632" i="2"/>
  <c r="C4631" i="2"/>
  <c r="B4631" i="2"/>
  <c r="C4630" i="2"/>
  <c r="B4630" i="2"/>
  <c r="C4629" i="2"/>
  <c r="B4629" i="2"/>
  <c r="C4628" i="2"/>
  <c r="B4628" i="2"/>
  <c r="C4627" i="2"/>
  <c r="B4627" i="2"/>
  <c r="C4626" i="2"/>
  <c r="B4626" i="2"/>
  <c r="C4625" i="2"/>
  <c r="B4625" i="2"/>
  <c r="C4624" i="2"/>
  <c r="B4624" i="2"/>
  <c r="C4623" i="2"/>
  <c r="B4623" i="2"/>
  <c r="C4622" i="2"/>
  <c r="B4622" i="2"/>
  <c r="C4621" i="2"/>
  <c r="B4621" i="2"/>
  <c r="C4620" i="2"/>
  <c r="B4620" i="2"/>
  <c r="C4619" i="2"/>
  <c r="B4619" i="2"/>
  <c r="C4618" i="2"/>
  <c r="B4618" i="2"/>
  <c r="C4617" i="2"/>
  <c r="B4617" i="2"/>
  <c r="C4616" i="2"/>
  <c r="B4616" i="2"/>
  <c r="C4615" i="2"/>
  <c r="B4615" i="2"/>
  <c r="C4614" i="2"/>
  <c r="B4614" i="2"/>
  <c r="C4613" i="2"/>
  <c r="B4613" i="2"/>
  <c r="C4612" i="2"/>
  <c r="B4612" i="2"/>
  <c r="C4611" i="2"/>
  <c r="B4611" i="2"/>
  <c r="C4610" i="2"/>
  <c r="B4610" i="2"/>
  <c r="C4609" i="2"/>
  <c r="B4609" i="2"/>
  <c r="C4608" i="2"/>
  <c r="B4608" i="2"/>
  <c r="C4607" i="2"/>
  <c r="B4607" i="2"/>
  <c r="C4606" i="2"/>
  <c r="B4606" i="2"/>
  <c r="C4605" i="2"/>
  <c r="B4605" i="2"/>
  <c r="C4604" i="2"/>
  <c r="B4604" i="2"/>
  <c r="C4603" i="2"/>
  <c r="B4603" i="2"/>
  <c r="C4602" i="2"/>
  <c r="B4602" i="2"/>
  <c r="C4601" i="2"/>
  <c r="B4601" i="2"/>
  <c r="C4600" i="2"/>
  <c r="B4600" i="2"/>
  <c r="C4599" i="2"/>
  <c r="B4599" i="2"/>
  <c r="C4598" i="2"/>
  <c r="B4598" i="2"/>
  <c r="C4597" i="2"/>
  <c r="B4597" i="2"/>
  <c r="C4596" i="2"/>
  <c r="B4596" i="2"/>
  <c r="C4595" i="2"/>
  <c r="B4595" i="2"/>
  <c r="C4594" i="2"/>
  <c r="B4594" i="2"/>
  <c r="C4593" i="2"/>
  <c r="B4593" i="2"/>
  <c r="C4592" i="2"/>
  <c r="B4592" i="2"/>
  <c r="C4591" i="2"/>
  <c r="B4591" i="2"/>
  <c r="C4590" i="2"/>
  <c r="B4590" i="2"/>
  <c r="C4589" i="2"/>
  <c r="B4589" i="2"/>
  <c r="C4588" i="2"/>
  <c r="B4588" i="2"/>
  <c r="C4587" i="2"/>
  <c r="B4587" i="2"/>
  <c r="C4586" i="2"/>
  <c r="B4586" i="2"/>
  <c r="C4585" i="2"/>
  <c r="B4585" i="2"/>
  <c r="C4584" i="2"/>
  <c r="B4584" i="2"/>
  <c r="C4583" i="2"/>
  <c r="B4583" i="2"/>
  <c r="C4582" i="2"/>
  <c r="B4582" i="2"/>
  <c r="C4581" i="2"/>
  <c r="B4581" i="2"/>
  <c r="C4580" i="2"/>
  <c r="B4580" i="2"/>
  <c r="C4579" i="2"/>
  <c r="B4579" i="2"/>
  <c r="C4578" i="2"/>
  <c r="B4578" i="2"/>
  <c r="C4577" i="2"/>
  <c r="B4577" i="2"/>
  <c r="C4576" i="2"/>
  <c r="B4576" i="2"/>
  <c r="C4575" i="2"/>
  <c r="B4575" i="2"/>
  <c r="C4574" i="2"/>
  <c r="B4574" i="2"/>
  <c r="C4573" i="2"/>
  <c r="B4573" i="2"/>
  <c r="C4572" i="2"/>
  <c r="B4572" i="2"/>
  <c r="C4571" i="2"/>
  <c r="B4571" i="2"/>
  <c r="C4570" i="2"/>
  <c r="B4570" i="2"/>
  <c r="C4569" i="2"/>
  <c r="B4569" i="2"/>
  <c r="C4568" i="2"/>
  <c r="B4568" i="2"/>
  <c r="C4567" i="2"/>
  <c r="B4567" i="2"/>
  <c r="C4566" i="2"/>
  <c r="B4566" i="2"/>
  <c r="C4565" i="2"/>
  <c r="B4565" i="2"/>
  <c r="C4564" i="2"/>
  <c r="B4564" i="2"/>
  <c r="C4563" i="2"/>
  <c r="B4563" i="2"/>
  <c r="C4562" i="2"/>
  <c r="B4562" i="2"/>
  <c r="C4561" i="2"/>
  <c r="B4561" i="2"/>
  <c r="C4560" i="2"/>
  <c r="B4560" i="2"/>
  <c r="C4559" i="2"/>
  <c r="B4559" i="2"/>
  <c r="C4558" i="2"/>
  <c r="B4558" i="2"/>
  <c r="C4557" i="2"/>
  <c r="B4557" i="2"/>
  <c r="C4556" i="2"/>
  <c r="B4556" i="2"/>
  <c r="C4555" i="2"/>
  <c r="B4555" i="2"/>
  <c r="C4554" i="2"/>
  <c r="B4554" i="2"/>
  <c r="C4553" i="2"/>
  <c r="B4553" i="2"/>
  <c r="C4552" i="2"/>
  <c r="B4552" i="2"/>
  <c r="C4551" i="2"/>
  <c r="B4551" i="2"/>
  <c r="C4550" i="2"/>
  <c r="B4550" i="2"/>
  <c r="C4549" i="2"/>
  <c r="B4549" i="2"/>
  <c r="C4548" i="2"/>
  <c r="B4548" i="2"/>
  <c r="C4547" i="2"/>
  <c r="B4547" i="2"/>
  <c r="C4546" i="2"/>
  <c r="B4546" i="2"/>
  <c r="C4545" i="2"/>
  <c r="B4545" i="2"/>
  <c r="C4544" i="2"/>
  <c r="B4544" i="2"/>
  <c r="C4543" i="2"/>
  <c r="B4543" i="2"/>
  <c r="C4542" i="2"/>
  <c r="B4542" i="2"/>
  <c r="C4541" i="2"/>
  <c r="B4541" i="2"/>
  <c r="C4540" i="2"/>
  <c r="B4540" i="2"/>
  <c r="C4539" i="2"/>
  <c r="B4539" i="2"/>
  <c r="C4538" i="2"/>
  <c r="B4538" i="2"/>
  <c r="C4537" i="2"/>
  <c r="B4537" i="2"/>
  <c r="C4536" i="2"/>
  <c r="B4536" i="2"/>
  <c r="C4535" i="2"/>
  <c r="B4535" i="2"/>
  <c r="C4534" i="2"/>
  <c r="B4534" i="2"/>
  <c r="C4533" i="2"/>
  <c r="B4533" i="2"/>
  <c r="C4532" i="2"/>
  <c r="B4532" i="2"/>
  <c r="C4531" i="2"/>
  <c r="B4531" i="2"/>
  <c r="C4530" i="2"/>
  <c r="B4530" i="2"/>
  <c r="C4529" i="2"/>
  <c r="B4529" i="2"/>
  <c r="C4528" i="2"/>
  <c r="B4528" i="2"/>
  <c r="C4527" i="2"/>
  <c r="B4527" i="2"/>
  <c r="C4526" i="2"/>
  <c r="B4526" i="2"/>
  <c r="C4525" i="2"/>
  <c r="B4525" i="2"/>
  <c r="C4524" i="2"/>
  <c r="B4524" i="2"/>
  <c r="C4523" i="2"/>
  <c r="B4523" i="2"/>
  <c r="C4522" i="2"/>
  <c r="B4522" i="2"/>
  <c r="C4521" i="2"/>
  <c r="B4521" i="2"/>
  <c r="C4520" i="2"/>
  <c r="B4520" i="2"/>
  <c r="C4519" i="2"/>
  <c r="B4519" i="2"/>
  <c r="C4518" i="2"/>
  <c r="B4518" i="2"/>
  <c r="C4517" i="2"/>
  <c r="B4517" i="2"/>
  <c r="C4516" i="2"/>
  <c r="B4516" i="2"/>
  <c r="C4515" i="2"/>
  <c r="B4515" i="2"/>
  <c r="C4514" i="2"/>
  <c r="B4514" i="2"/>
  <c r="C4513" i="2"/>
  <c r="B4513" i="2"/>
  <c r="C4512" i="2"/>
  <c r="B4512" i="2"/>
  <c r="C4511" i="2"/>
  <c r="B4511" i="2"/>
  <c r="C4510" i="2"/>
  <c r="B4510" i="2"/>
  <c r="C4509" i="2"/>
  <c r="B4509" i="2"/>
  <c r="C4508" i="2"/>
  <c r="B4508" i="2"/>
  <c r="C4507" i="2"/>
  <c r="B4507" i="2"/>
  <c r="C4506" i="2"/>
  <c r="B4506" i="2"/>
  <c r="C4505" i="2"/>
  <c r="B4505" i="2"/>
  <c r="C4504" i="2"/>
  <c r="B4504" i="2"/>
  <c r="C4503" i="2"/>
  <c r="B4503" i="2"/>
  <c r="C4502" i="2"/>
  <c r="B4502" i="2"/>
  <c r="C4501" i="2"/>
  <c r="B4501" i="2"/>
  <c r="C4500" i="2"/>
  <c r="B4500" i="2"/>
  <c r="C4499" i="2"/>
  <c r="B4499" i="2"/>
  <c r="C4498" i="2"/>
  <c r="B4498" i="2"/>
  <c r="C4497" i="2"/>
  <c r="B4497" i="2"/>
  <c r="C4496" i="2"/>
  <c r="B4496" i="2"/>
  <c r="C4495" i="2"/>
  <c r="B4495" i="2"/>
  <c r="C4494" i="2"/>
  <c r="B4494" i="2"/>
  <c r="C4493" i="2"/>
  <c r="B4493" i="2"/>
  <c r="C4492" i="2"/>
  <c r="B4492" i="2"/>
  <c r="C4491" i="2"/>
  <c r="B4491" i="2"/>
  <c r="C4490" i="2"/>
  <c r="B4490" i="2"/>
  <c r="C4489" i="2"/>
  <c r="B4489" i="2"/>
  <c r="C4488" i="2"/>
  <c r="B4488" i="2"/>
  <c r="C4487" i="2"/>
  <c r="B4487" i="2"/>
  <c r="C4486" i="2"/>
  <c r="B4486" i="2"/>
  <c r="C4485" i="2"/>
  <c r="B4485" i="2"/>
  <c r="C4484" i="2"/>
  <c r="B4484" i="2"/>
  <c r="C4483" i="2"/>
  <c r="B4483" i="2"/>
  <c r="C4482" i="2"/>
  <c r="B4482" i="2"/>
  <c r="C4481" i="2"/>
  <c r="B4481" i="2"/>
  <c r="C4480" i="2"/>
  <c r="B4480" i="2"/>
  <c r="C4479" i="2"/>
  <c r="B4479" i="2"/>
  <c r="C4478" i="2"/>
  <c r="B4478" i="2"/>
  <c r="C4477" i="2"/>
  <c r="B4477" i="2"/>
  <c r="C4476" i="2"/>
  <c r="B4476" i="2"/>
  <c r="C4475" i="2"/>
  <c r="B4475" i="2"/>
  <c r="C4474" i="2"/>
  <c r="B4474" i="2"/>
  <c r="C4473" i="2"/>
  <c r="B4473" i="2"/>
  <c r="C4472" i="2"/>
  <c r="B4472" i="2"/>
  <c r="C4471" i="2"/>
  <c r="B4471" i="2"/>
  <c r="C4470" i="2"/>
  <c r="B4470" i="2"/>
  <c r="C4469" i="2"/>
  <c r="B4469" i="2"/>
  <c r="C4468" i="2"/>
  <c r="B4468" i="2"/>
  <c r="C4467" i="2"/>
  <c r="B4467" i="2"/>
  <c r="C4466" i="2"/>
  <c r="B4466" i="2"/>
  <c r="C4465" i="2"/>
  <c r="B4465" i="2"/>
  <c r="C4464" i="2"/>
  <c r="B4464" i="2"/>
  <c r="C4463" i="2"/>
  <c r="B4463" i="2"/>
  <c r="C4462" i="2"/>
  <c r="B4462" i="2"/>
  <c r="C4461" i="2"/>
  <c r="B4461" i="2"/>
  <c r="C4460" i="2"/>
  <c r="B4460" i="2"/>
  <c r="C4459" i="2"/>
  <c r="B4459" i="2"/>
  <c r="C4458" i="2"/>
  <c r="B4458" i="2"/>
  <c r="C4457" i="2"/>
  <c r="B4457" i="2"/>
  <c r="C4456" i="2"/>
  <c r="B4456" i="2"/>
  <c r="C4455" i="2"/>
  <c r="B4455" i="2"/>
  <c r="C4454" i="2"/>
  <c r="B4454" i="2"/>
  <c r="C4453" i="2"/>
  <c r="B4453" i="2"/>
  <c r="C4452" i="2"/>
  <c r="B4452" i="2"/>
  <c r="C4451" i="2"/>
  <c r="B4451" i="2"/>
  <c r="C4450" i="2"/>
  <c r="B4450" i="2"/>
  <c r="C4449" i="2"/>
  <c r="B4449" i="2"/>
  <c r="C4448" i="2"/>
  <c r="B4448" i="2"/>
  <c r="C4447" i="2"/>
  <c r="B4447" i="2"/>
  <c r="C4446" i="2"/>
  <c r="B4446" i="2"/>
  <c r="C4445" i="2"/>
  <c r="B4445" i="2"/>
  <c r="C4444" i="2"/>
  <c r="B4444" i="2"/>
  <c r="C4443" i="2"/>
  <c r="B4443" i="2"/>
  <c r="C4442" i="2"/>
  <c r="B4442" i="2"/>
  <c r="C4441" i="2"/>
  <c r="B4441" i="2"/>
  <c r="C4440" i="2"/>
  <c r="B4440" i="2"/>
  <c r="C4439" i="2"/>
  <c r="B4439" i="2"/>
  <c r="C4438" i="2"/>
  <c r="B4438" i="2"/>
  <c r="C4437" i="2"/>
  <c r="B4437" i="2"/>
  <c r="C4436" i="2"/>
  <c r="B4436" i="2"/>
  <c r="C4435" i="2"/>
  <c r="B4435" i="2"/>
  <c r="C4434" i="2"/>
  <c r="B4434" i="2"/>
  <c r="C4433" i="2"/>
  <c r="B4433" i="2"/>
  <c r="C4432" i="2"/>
  <c r="B4432" i="2"/>
  <c r="C4431" i="2"/>
  <c r="B4431" i="2"/>
  <c r="C4430" i="2"/>
  <c r="B4430" i="2"/>
  <c r="C4429" i="2"/>
  <c r="B4429" i="2"/>
  <c r="C4428" i="2"/>
  <c r="B4428" i="2"/>
  <c r="C4427" i="2"/>
  <c r="B4427" i="2"/>
  <c r="C4426" i="2"/>
  <c r="B4426" i="2"/>
  <c r="C4425" i="2"/>
  <c r="B4425" i="2"/>
  <c r="C4424" i="2"/>
  <c r="B4424" i="2"/>
  <c r="C4423" i="2"/>
  <c r="B4423" i="2"/>
  <c r="C4422" i="2"/>
  <c r="B4422" i="2"/>
  <c r="C4421" i="2"/>
  <c r="B4421" i="2"/>
  <c r="C4420" i="2"/>
  <c r="B4420" i="2"/>
  <c r="C4419" i="2"/>
  <c r="B4419" i="2"/>
  <c r="C4418" i="2"/>
  <c r="B4418" i="2"/>
  <c r="C4417" i="2"/>
  <c r="B4417" i="2"/>
  <c r="C4416" i="2"/>
  <c r="B4416" i="2"/>
  <c r="C4415" i="2"/>
  <c r="B4415" i="2"/>
  <c r="C4414" i="2"/>
  <c r="B4414" i="2"/>
  <c r="C4413" i="2"/>
  <c r="B4413" i="2"/>
  <c r="C4412" i="2"/>
  <c r="B4412" i="2"/>
  <c r="C4411" i="2"/>
  <c r="B4411" i="2"/>
  <c r="C4410" i="2"/>
  <c r="B4410" i="2"/>
  <c r="C4409" i="2"/>
  <c r="B4409" i="2"/>
  <c r="C4408" i="2"/>
  <c r="B4408" i="2"/>
  <c r="C4407" i="2"/>
  <c r="B4407" i="2"/>
  <c r="C4406" i="2"/>
  <c r="B4406" i="2"/>
  <c r="C4405" i="2"/>
  <c r="B4405" i="2"/>
  <c r="C4404" i="2"/>
  <c r="B4404" i="2"/>
  <c r="C4403" i="2"/>
  <c r="B4403" i="2"/>
  <c r="C4402" i="2"/>
  <c r="B4402" i="2"/>
  <c r="C4401" i="2"/>
  <c r="B4401" i="2"/>
  <c r="C4400" i="2"/>
  <c r="B4400" i="2"/>
  <c r="C4399" i="2"/>
  <c r="B4399" i="2"/>
  <c r="C4398" i="2"/>
  <c r="B4398" i="2"/>
  <c r="C4397" i="2"/>
  <c r="B4397" i="2"/>
  <c r="C4396" i="2"/>
  <c r="B4396" i="2"/>
  <c r="C4395" i="2"/>
  <c r="B4395" i="2"/>
  <c r="C4394" i="2"/>
  <c r="B4394" i="2"/>
  <c r="C4393" i="2"/>
  <c r="B4393" i="2"/>
  <c r="C4392" i="2"/>
  <c r="B4392" i="2"/>
  <c r="C4391" i="2"/>
  <c r="B4391" i="2"/>
  <c r="C4390" i="2"/>
  <c r="B4390" i="2"/>
  <c r="C4389" i="2"/>
  <c r="B4389" i="2"/>
  <c r="C4388" i="2"/>
  <c r="B4388" i="2"/>
  <c r="C4387" i="2"/>
  <c r="B4387" i="2"/>
  <c r="C4386" i="2"/>
  <c r="B4386" i="2"/>
  <c r="C4385" i="2"/>
  <c r="B4385" i="2"/>
  <c r="C4384" i="2"/>
  <c r="B4384" i="2"/>
  <c r="C4383" i="2"/>
  <c r="B4383" i="2"/>
  <c r="C4382" i="2"/>
  <c r="B4382" i="2"/>
  <c r="C4381" i="2"/>
  <c r="B4381" i="2"/>
  <c r="C4380" i="2"/>
  <c r="B4380" i="2"/>
  <c r="C4379" i="2"/>
  <c r="B4379" i="2"/>
  <c r="C4378" i="2"/>
  <c r="B4378" i="2"/>
  <c r="C4377" i="2"/>
  <c r="B4377" i="2"/>
  <c r="C4376" i="2"/>
  <c r="B4376" i="2"/>
  <c r="C4375" i="2"/>
  <c r="B4375" i="2"/>
  <c r="C4374" i="2"/>
  <c r="B4374" i="2"/>
  <c r="C4373" i="2"/>
  <c r="B4373" i="2"/>
  <c r="C4372" i="2"/>
  <c r="B4372" i="2"/>
  <c r="C4371" i="2"/>
  <c r="B4371" i="2"/>
  <c r="C4370" i="2"/>
  <c r="B4370" i="2"/>
  <c r="C4369" i="2"/>
  <c r="B4369" i="2"/>
  <c r="C4368" i="2"/>
  <c r="B4368" i="2"/>
  <c r="C4367" i="2"/>
  <c r="B4367" i="2"/>
  <c r="C4366" i="2"/>
  <c r="B4366" i="2"/>
  <c r="C4365" i="2"/>
  <c r="B4365" i="2"/>
  <c r="C4364" i="2"/>
  <c r="B4364" i="2"/>
  <c r="C4363" i="2"/>
  <c r="B4363" i="2"/>
  <c r="C4362" i="2"/>
  <c r="B4362" i="2"/>
  <c r="C4361" i="2"/>
  <c r="B4361" i="2"/>
  <c r="C4360" i="2"/>
  <c r="B4360" i="2"/>
  <c r="C4359" i="2"/>
  <c r="B4359" i="2"/>
  <c r="C4358" i="2"/>
  <c r="B4358" i="2"/>
  <c r="C4357" i="2"/>
  <c r="B4357" i="2"/>
  <c r="C4356" i="2"/>
  <c r="B4356" i="2"/>
  <c r="C4355" i="2"/>
  <c r="B4355" i="2"/>
  <c r="C4354" i="2"/>
  <c r="B4354" i="2"/>
  <c r="C4353" i="2"/>
  <c r="B4353" i="2"/>
  <c r="C4352" i="2"/>
  <c r="B4352" i="2"/>
  <c r="C4351" i="2"/>
  <c r="B4351" i="2"/>
  <c r="C4350" i="2"/>
  <c r="B4350" i="2"/>
  <c r="C4349" i="2"/>
  <c r="B4349" i="2"/>
  <c r="C4348" i="2"/>
  <c r="B4348" i="2"/>
  <c r="C4347" i="2"/>
  <c r="B4347" i="2"/>
  <c r="C4346" i="2"/>
  <c r="B4346" i="2"/>
  <c r="C4345" i="2"/>
  <c r="B4345" i="2"/>
  <c r="C4344" i="2"/>
  <c r="B4344" i="2"/>
  <c r="C4343" i="2"/>
  <c r="B4343" i="2"/>
  <c r="C4342" i="2"/>
  <c r="B4342" i="2"/>
  <c r="C4341" i="2"/>
  <c r="B4341" i="2"/>
  <c r="C4340" i="2"/>
  <c r="B4340" i="2"/>
  <c r="C4339" i="2"/>
  <c r="B4339" i="2"/>
  <c r="C4338" i="2"/>
  <c r="B4338" i="2"/>
  <c r="C4337" i="2"/>
  <c r="B4337" i="2"/>
  <c r="C4336" i="2"/>
  <c r="B4336" i="2"/>
  <c r="C4335" i="2"/>
  <c r="B4335" i="2"/>
  <c r="C4334" i="2"/>
  <c r="B4334" i="2"/>
  <c r="C4333" i="2"/>
  <c r="B4333" i="2"/>
  <c r="C4332" i="2"/>
  <c r="B4332" i="2"/>
  <c r="C4331" i="2"/>
  <c r="B4331" i="2"/>
  <c r="C4330" i="2"/>
  <c r="B4330" i="2"/>
  <c r="C4329" i="2"/>
  <c r="B4329" i="2"/>
  <c r="C4328" i="2"/>
  <c r="B4328" i="2"/>
  <c r="C4327" i="2"/>
  <c r="B4327" i="2"/>
  <c r="C4326" i="2"/>
  <c r="B4326" i="2"/>
  <c r="C4325" i="2"/>
  <c r="B4325" i="2"/>
  <c r="C4324" i="2"/>
  <c r="B4324" i="2"/>
  <c r="C4323" i="2"/>
  <c r="B4323" i="2"/>
  <c r="C4322" i="2"/>
  <c r="B4322" i="2"/>
  <c r="C4321" i="2"/>
  <c r="B4321" i="2"/>
  <c r="C4320" i="2"/>
  <c r="B4320" i="2"/>
  <c r="C4319" i="2"/>
  <c r="B4319" i="2"/>
  <c r="C4318" i="2"/>
  <c r="B4318" i="2"/>
  <c r="C4317" i="2"/>
  <c r="B4317" i="2"/>
  <c r="C4316" i="2"/>
  <c r="B4316" i="2"/>
  <c r="C4315" i="2"/>
  <c r="B4315" i="2"/>
  <c r="C4314" i="2"/>
  <c r="B4314" i="2"/>
  <c r="C4313" i="2"/>
  <c r="B4313" i="2"/>
  <c r="C4312" i="2"/>
  <c r="B4312" i="2"/>
  <c r="C4311" i="2"/>
  <c r="B4311" i="2"/>
  <c r="C4310" i="2"/>
  <c r="B4310" i="2"/>
  <c r="C4309" i="2"/>
  <c r="B4309" i="2"/>
  <c r="C4308" i="2"/>
  <c r="B4308" i="2"/>
  <c r="C4307" i="2"/>
  <c r="B4307" i="2"/>
  <c r="C4306" i="2"/>
  <c r="B4306" i="2"/>
  <c r="C4305" i="2"/>
  <c r="B4305" i="2"/>
  <c r="C4304" i="2"/>
  <c r="B4304" i="2"/>
  <c r="C4303" i="2"/>
  <c r="B4303" i="2"/>
  <c r="C4302" i="2"/>
  <c r="B4302" i="2"/>
  <c r="C4301" i="2"/>
  <c r="B4301" i="2"/>
  <c r="C4300" i="2"/>
  <c r="B4300" i="2"/>
  <c r="C4299" i="2"/>
  <c r="B4299" i="2"/>
  <c r="C4298" i="2"/>
  <c r="B4298" i="2"/>
  <c r="C4297" i="2"/>
  <c r="B4297" i="2"/>
  <c r="C4296" i="2"/>
  <c r="B4296" i="2"/>
  <c r="C4295" i="2"/>
  <c r="B4295" i="2"/>
  <c r="C4294" i="2"/>
  <c r="B4294" i="2"/>
  <c r="C4293" i="2"/>
  <c r="B4293" i="2"/>
  <c r="C4292" i="2"/>
  <c r="B4292" i="2"/>
  <c r="C4291" i="2"/>
  <c r="B4291" i="2"/>
  <c r="C4290" i="2"/>
  <c r="B4290" i="2"/>
  <c r="C4289" i="2"/>
  <c r="B4289" i="2"/>
  <c r="C4288" i="2"/>
  <c r="B4288" i="2"/>
  <c r="C4287" i="2"/>
  <c r="B4287" i="2"/>
  <c r="C4286" i="2"/>
  <c r="B4286" i="2"/>
  <c r="C4285" i="2"/>
  <c r="B4285" i="2"/>
  <c r="C4284" i="2"/>
  <c r="B4284" i="2"/>
  <c r="C4283" i="2"/>
  <c r="B4283" i="2"/>
  <c r="C4282" i="2"/>
  <c r="B4282" i="2"/>
  <c r="C4281" i="2"/>
  <c r="B4281" i="2"/>
  <c r="C4280" i="2"/>
  <c r="B4280" i="2"/>
  <c r="C4279" i="2"/>
  <c r="B4279" i="2"/>
  <c r="C4278" i="2"/>
  <c r="B4278" i="2"/>
  <c r="C4277" i="2"/>
  <c r="B4277" i="2"/>
  <c r="C4276" i="2"/>
  <c r="B4276" i="2"/>
  <c r="C4275" i="2"/>
  <c r="B4275" i="2"/>
  <c r="C4274" i="2"/>
  <c r="B4274" i="2"/>
  <c r="C4273" i="2"/>
  <c r="B4273" i="2"/>
  <c r="C4272" i="2"/>
  <c r="B4272" i="2"/>
  <c r="C4271" i="2"/>
  <c r="B4271" i="2"/>
  <c r="C4270" i="2"/>
  <c r="B4270" i="2"/>
  <c r="C4269" i="2"/>
  <c r="B4269" i="2"/>
  <c r="C4268" i="2"/>
  <c r="B4268" i="2"/>
  <c r="C4267" i="2"/>
  <c r="B4267" i="2"/>
  <c r="C4266" i="2"/>
  <c r="B4266" i="2"/>
  <c r="C4265" i="2"/>
  <c r="B4265" i="2"/>
  <c r="C4264" i="2"/>
  <c r="B4264" i="2"/>
  <c r="C4263" i="2"/>
  <c r="B4263" i="2"/>
  <c r="C4262" i="2"/>
  <c r="B4262" i="2"/>
  <c r="C4261" i="2"/>
  <c r="B4261" i="2"/>
  <c r="C4260" i="2"/>
  <c r="B4260" i="2"/>
  <c r="C4259" i="2"/>
  <c r="B4259" i="2"/>
  <c r="C4258" i="2"/>
  <c r="B4258" i="2"/>
  <c r="C4257" i="2"/>
  <c r="B4257" i="2"/>
  <c r="C4256" i="2"/>
  <c r="B4256" i="2"/>
  <c r="C4255" i="2"/>
  <c r="B4255" i="2"/>
  <c r="C4254" i="2"/>
  <c r="B4254" i="2"/>
  <c r="C4253" i="2"/>
  <c r="B4253" i="2"/>
  <c r="C4252" i="2"/>
  <c r="B4252" i="2"/>
  <c r="C4251" i="2"/>
  <c r="B4251" i="2"/>
  <c r="C4250" i="2"/>
  <c r="B4250" i="2"/>
  <c r="C4249" i="2"/>
  <c r="B4249" i="2"/>
  <c r="C4248" i="2"/>
  <c r="B4248" i="2"/>
  <c r="C4247" i="2"/>
  <c r="B4247" i="2"/>
  <c r="C4246" i="2"/>
  <c r="B4246" i="2"/>
  <c r="C4245" i="2"/>
  <c r="B4245" i="2"/>
  <c r="C4244" i="2"/>
  <c r="B4244" i="2"/>
  <c r="C4243" i="2"/>
  <c r="B4243" i="2"/>
  <c r="C4242" i="2"/>
  <c r="B4242" i="2"/>
  <c r="C4241" i="2"/>
  <c r="B4241" i="2"/>
  <c r="C4240" i="2"/>
  <c r="B4240" i="2"/>
  <c r="C4239" i="2"/>
  <c r="B4239" i="2"/>
  <c r="C4238" i="2"/>
  <c r="B4238" i="2"/>
  <c r="C4237" i="2"/>
  <c r="B4237" i="2"/>
  <c r="C4236" i="2"/>
  <c r="B4236" i="2"/>
  <c r="C4235" i="2"/>
  <c r="B4235" i="2"/>
  <c r="C4234" i="2"/>
  <c r="B4234" i="2"/>
  <c r="C4233" i="2"/>
  <c r="B4233" i="2"/>
  <c r="C4232" i="2"/>
  <c r="B4232" i="2"/>
  <c r="C4231" i="2"/>
  <c r="B4231" i="2"/>
  <c r="C4230" i="2"/>
  <c r="B4230" i="2"/>
  <c r="C4229" i="2"/>
  <c r="B4229" i="2"/>
  <c r="C4228" i="2"/>
  <c r="B4228" i="2"/>
  <c r="C4227" i="2"/>
  <c r="B4227" i="2"/>
  <c r="C4226" i="2"/>
  <c r="B4226" i="2"/>
  <c r="C4225" i="2"/>
  <c r="B4225" i="2"/>
  <c r="C4224" i="2"/>
  <c r="B4224" i="2"/>
  <c r="C4223" i="2"/>
  <c r="B4223" i="2"/>
  <c r="C4222" i="2"/>
  <c r="B4222" i="2"/>
  <c r="C4221" i="2"/>
  <c r="B4221" i="2"/>
  <c r="C4220" i="2"/>
  <c r="B4220" i="2"/>
  <c r="C4219" i="2"/>
  <c r="B4219" i="2"/>
  <c r="C4218" i="2"/>
  <c r="B4218" i="2"/>
  <c r="C4217" i="2"/>
  <c r="B4217" i="2"/>
  <c r="C4216" i="2"/>
  <c r="B4216" i="2"/>
  <c r="C4215" i="2"/>
  <c r="B4215" i="2"/>
  <c r="C4214" i="2"/>
  <c r="B4214" i="2"/>
  <c r="C4213" i="2"/>
  <c r="B4213" i="2"/>
  <c r="C4212" i="2"/>
  <c r="B4212" i="2"/>
  <c r="C4211" i="2"/>
  <c r="B4211" i="2"/>
  <c r="C4210" i="2"/>
  <c r="B4210" i="2"/>
  <c r="C4209" i="2"/>
  <c r="B4209" i="2"/>
  <c r="C4208" i="2"/>
  <c r="B4208" i="2"/>
  <c r="C4207" i="2"/>
  <c r="B4207" i="2"/>
  <c r="C4206" i="2"/>
  <c r="B4206" i="2"/>
  <c r="C4205" i="2"/>
  <c r="B4205" i="2"/>
  <c r="C4204" i="2"/>
  <c r="B4204" i="2"/>
  <c r="C4203" i="2"/>
  <c r="B4203" i="2"/>
  <c r="C4202" i="2"/>
  <c r="B4202" i="2"/>
  <c r="C4201" i="2"/>
  <c r="B4201" i="2"/>
  <c r="C4200" i="2"/>
  <c r="B4200" i="2"/>
  <c r="C4199" i="2"/>
  <c r="B4199" i="2"/>
  <c r="C4198" i="2"/>
  <c r="B4198" i="2"/>
  <c r="C4197" i="2"/>
  <c r="B4197" i="2"/>
  <c r="C4196" i="2"/>
  <c r="B4196" i="2"/>
  <c r="C4195" i="2"/>
  <c r="B4195" i="2"/>
  <c r="C4194" i="2"/>
  <c r="B4194" i="2"/>
  <c r="C4193" i="2"/>
  <c r="B4193" i="2"/>
  <c r="C4192" i="2"/>
  <c r="B4192" i="2"/>
  <c r="C4191" i="2"/>
  <c r="B4191" i="2"/>
  <c r="C4190" i="2"/>
  <c r="B4190" i="2"/>
  <c r="C4189" i="2"/>
  <c r="B4189" i="2"/>
  <c r="C4188" i="2"/>
  <c r="B4188" i="2"/>
  <c r="C4187" i="2"/>
  <c r="B4187" i="2"/>
  <c r="C4186" i="2"/>
  <c r="B4186" i="2"/>
  <c r="C4185" i="2"/>
  <c r="B4185" i="2"/>
  <c r="C4184" i="2"/>
  <c r="B4184" i="2"/>
  <c r="C4183" i="2"/>
  <c r="B4183" i="2"/>
  <c r="C4182" i="2"/>
  <c r="B4182" i="2"/>
  <c r="C4181" i="2"/>
  <c r="B4181" i="2"/>
  <c r="C4180" i="2"/>
  <c r="B4180" i="2"/>
  <c r="C4179" i="2"/>
  <c r="B4179" i="2"/>
  <c r="C4178" i="2"/>
  <c r="B4178" i="2"/>
  <c r="C4177" i="2"/>
  <c r="B4177" i="2"/>
  <c r="C4176" i="2"/>
  <c r="B4176" i="2"/>
  <c r="C4175" i="2"/>
  <c r="B4175" i="2"/>
  <c r="C4174" i="2"/>
  <c r="B4174" i="2"/>
  <c r="C4173" i="2"/>
  <c r="B4173" i="2"/>
  <c r="C4172" i="2"/>
  <c r="B4172" i="2"/>
  <c r="C4171" i="2"/>
  <c r="B4171" i="2"/>
  <c r="C4170" i="2"/>
  <c r="B4170" i="2"/>
  <c r="C4169" i="2"/>
  <c r="B4169" i="2"/>
  <c r="C4168" i="2"/>
  <c r="B4168" i="2"/>
  <c r="C4167" i="2"/>
  <c r="B4167" i="2"/>
  <c r="C4166" i="2"/>
  <c r="B4166" i="2"/>
  <c r="C4165" i="2"/>
  <c r="B4165" i="2"/>
  <c r="C4164" i="2"/>
  <c r="B4164" i="2"/>
  <c r="C4163" i="2"/>
  <c r="B4163" i="2"/>
  <c r="C4162" i="2"/>
  <c r="B4162" i="2"/>
  <c r="C4161" i="2"/>
  <c r="B4161" i="2"/>
  <c r="C4160" i="2"/>
  <c r="B4160" i="2"/>
  <c r="C4159" i="2"/>
  <c r="B4159" i="2"/>
  <c r="C4158" i="2"/>
  <c r="B4158" i="2"/>
  <c r="C4157" i="2"/>
  <c r="B4157" i="2"/>
  <c r="C4156" i="2"/>
  <c r="B4156" i="2"/>
  <c r="C4155" i="2"/>
  <c r="B4155" i="2"/>
  <c r="C4154" i="2"/>
  <c r="B4154" i="2"/>
  <c r="C4153" i="2"/>
  <c r="B4153" i="2"/>
  <c r="C4152" i="2"/>
  <c r="B4152" i="2"/>
  <c r="C4151" i="2"/>
  <c r="B4151" i="2"/>
  <c r="C4150" i="2"/>
  <c r="B4150" i="2"/>
  <c r="C4149" i="2"/>
  <c r="B4149" i="2"/>
  <c r="C4148" i="2"/>
  <c r="B4148" i="2"/>
  <c r="C4147" i="2"/>
  <c r="B4147" i="2"/>
  <c r="C4146" i="2"/>
  <c r="B4146" i="2"/>
  <c r="C4145" i="2"/>
  <c r="B4145" i="2"/>
  <c r="C4144" i="2"/>
  <c r="B4144" i="2"/>
  <c r="C4143" i="2"/>
  <c r="B4143" i="2"/>
  <c r="C4142" i="2"/>
  <c r="B4142" i="2"/>
  <c r="C4141" i="2"/>
  <c r="B4141" i="2"/>
  <c r="C4140" i="2"/>
  <c r="B4140" i="2"/>
  <c r="C4139" i="2"/>
  <c r="B4139" i="2"/>
  <c r="C4138" i="2"/>
  <c r="B4138" i="2"/>
  <c r="C4137" i="2"/>
  <c r="B4137" i="2"/>
  <c r="C4136" i="2"/>
  <c r="B4136" i="2"/>
  <c r="C4135" i="2"/>
  <c r="B4135" i="2"/>
  <c r="C4134" i="2"/>
  <c r="B4134" i="2"/>
  <c r="C4133" i="2"/>
  <c r="B4133" i="2"/>
  <c r="C4132" i="2"/>
  <c r="B4132" i="2"/>
  <c r="C4131" i="2"/>
  <c r="B4131" i="2"/>
  <c r="C4130" i="2"/>
  <c r="B4130" i="2"/>
  <c r="C4129" i="2"/>
  <c r="B4129" i="2"/>
  <c r="C4128" i="2"/>
  <c r="B4128" i="2"/>
  <c r="C4127" i="2"/>
  <c r="B4127" i="2"/>
  <c r="C4126" i="2"/>
  <c r="B4126" i="2"/>
  <c r="C4125" i="2"/>
  <c r="B4125" i="2"/>
  <c r="C4124" i="2"/>
  <c r="B4124" i="2"/>
  <c r="C4123" i="2"/>
  <c r="B4123" i="2"/>
  <c r="C4122" i="2"/>
  <c r="B4122" i="2"/>
  <c r="C4121" i="2"/>
  <c r="B4121" i="2"/>
  <c r="C4120" i="2"/>
  <c r="B4120" i="2"/>
  <c r="C4119" i="2"/>
  <c r="B4119" i="2"/>
  <c r="C4118" i="2"/>
  <c r="B4118" i="2"/>
  <c r="C4117" i="2"/>
  <c r="B4117" i="2"/>
  <c r="C4116" i="2"/>
  <c r="B4116" i="2"/>
  <c r="C4115" i="2"/>
  <c r="B4115" i="2"/>
  <c r="C4114" i="2"/>
  <c r="B4114" i="2"/>
  <c r="C4113" i="2"/>
  <c r="B4113" i="2"/>
  <c r="C4112" i="2"/>
  <c r="B4112" i="2"/>
  <c r="C4111" i="2"/>
  <c r="B4111" i="2"/>
  <c r="C4110" i="2"/>
  <c r="B4110" i="2"/>
  <c r="C4109" i="2"/>
  <c r="B4109" i="2"/>
  <c r="C4108" i="2"/>
  <c r="B4108" i="2"/>
  <c r="C4107" i="2"/>
  <c r="B4107" i="2"/>
  <c r="C4106" i="2"/>
  <c r="B4106" i="2"/>
  <c r="C4105" i="2"/>
  <c r="B4105" i="2"/>
  <c r="C4104" i="2"/>
  <c r="B4104" i="2"/>
  <c r="C4103" i="2"/>
  <c r="B4103" i="2"/>
  <c r="C4102" i="2"/>
  <c r="B4102" i="2"/>
  <c r="C4101" i="2"/>
  <c r="B4101" i="2"/>
  <c r="C4100" i="2"/>
  <c r="B4100" i="2"/>
  <c r="C4099" i="2"/>
  <c r="B4099" i="2"/>
  <c r="C4098" i="2"/>
  <c r="B4098" i="2"/>
  <c r="C4097" i="2"/>
  <c r="B4097" i="2"/>
  <c r="C4096" i="2"/>
  <c r="B4096" i="2"/>
  <c r="C4095" i="2"/>
  <c r="B4095" i="2"/>
  <c r="C4094" i="2"/>
  <c r="B4094" i="2"/>
  <c r="C4093" i="2"/>
  <c r="B4093" i="2"/>
  <c r="C4092" i="2"/>
  <c r="B4092" i="2"/>
  <c r="C4091" i="2"/>
  <c r="B4091" i="2"/>
  <c r="C4090" i="2"/>
  <c r="B4090" i="2"/>
  <c r="C4089" i="2"/>
  <c r="B4089" i="2"/>
  <c r="C4088" i="2"/>
  <c r="B4088" i="2"/>
  <c r="C4087" i="2"/>
  <c r="B4087" i="2"/>
  <c r="C4086" i="2"/>
  <c r="B4086" i="2"/>
  <c r="C4085" i="2"/>
  <c r="B4085" i="2"/>
  <c r="C4084" i="2"/>
  <c r="B4084" i="2"/>
  <c r="C4083" i="2"/>
  <c r="B4083" i="2"/>
  <c r="C4082" i="2"/>
  <c r="B4082" i="2"/>
  <c r="C4081" i="2"/>
  <c r="B4081" i="2"/>
  <c r="C4080" i="2"/>
  <c r="B4080" i="2"/>
  <c r="C4079" i="2"/>
  <c r="B4079" i="2"/>
  <c r="C4078" i="2"/>
  <c r="B4078" i="2"/>
  <c r="C4077" i="2"/>
  <c r="B4077" i="2"/>
  <c r="C4076" i="2"/>
  <c r="B4076" i="2"/>
  <c r="C4075" i="2"/>
  <c r="B4075" i="2"/>
  <c r="C4074" i="2"/>
  <c r="B4074" i="2"/>
  <c r="C4073" i="2"/>
  <c r="B4073" i="2"/>
  <c r="C4072" i="2"/>
  <c r="B4072" i="2"/>
  <c r="C4071" i="2"/>
  <c r="B4071" i="2"/>
  <c r="C4070" i="2"/>
  <c r="B4070" i="2"/>
  <c r="C4069" i="2"/>
  <c r="B4069" i="2"/>
  <c r="C4068" i="2"/>
  <c r="B4068" i="2"/>
  <c r="C4067" i="2"/>
  <c r="B4067" i="2"/>
  <c r="C4066" i="2"/>
  <c r="B4066" i="2"/>
  <c r="C4065" i="2"/>
  <c r="B4065" i="2"/>
  <c r="C4064" i="2"/>
  <c r="B4064" i="2"/>
  <c r="C4063" i="2"/>
  <c r="B4063" i="2"/>
  <c r="C4062" i="2"/>
  <c r="B4062" i="2"/>
  <c r="C4061" i="2"/>
  <c r="B4061" i="2"/>
  <c r="C4060" i="2"/>
  <c r="B4060" i="2"/>
  <c r="C4059" i="2"/>
  <c r="B4059" i="2"/>
  <c r="C4058" i="2"/>
  <c r="B4058" i="2"/>
  <c r="C4057" i="2"/>
  <c r="B4057" i="2"/>
  <c r="C4056" i="2"/>
  <c r="B4056" i="2"/>
  <c r="C4055" i="2"/>
  <c r="B4055" i="2"/>
  <c r="C4054" i="2"/>
  <c r="B4054" i="2"/>
  <c r="C4053" i="2"/>
  <c r="B4053" i="2"/>
  <c r="C4052" i="2"/>
  <c r="B4052" i="2"/>
  <c r="C4051" i="2"/>
  <c r="B4051" i="2"/>
  <c r="C4050" i="2"/>
  <c r="B4050" i="2"/>
  <c r="C4049" i="2"/>
  <c r="B4049" i="2"/>
  <c r="C4048" i="2"/>
  <c r="B4048" i="2"/>
  <c r="C4047" i="2"/>
  <c r="B4047" i="2"/>
  <c r="C4046" i="2"/>
  <c r="B4046" i="2"/>
  <c r="C4045" i="2"/>
  <c r="B4045" i="2"/>
  <c r="C4044" i="2"/>
  <c r="B4044" i="2"/>
  <c r="C4043" i="2"/>
  <c r="B4043" i="2"/>
  <c r="C4042" i="2"/>
  <c r="B4042" i="2"/>
  <c r="C4041" i="2"/>
  <c r="B4041" i="2"/>
  <c r="C4040" i="2"/>
  <c r="B4040" i="2"/>
  <c r="C4039" i="2"/>
  <c r="B4039" i="2"/>
  <c r="C4038" i="2"/>
  <c r="B4038" i="2"/>
  <c r="C4037" i="2"/>
  <c r="B4037" i="2"/>
  <c r="C4036" i="2"/>
  <c r="B4036" i="2"/>
  <c r="C4035" i="2"/>
  <c r="B4035" i="2"/>
  <c r="C4034" i="2"/>
  <c r="B4034" i="2"/>
  <c r="C4033" i="2"/>
  <c r="B4033" i="2"/>
  <c r="C4032" i="2"/>
  <c r="B4032" i="2"/>
  <c r="C4031" i="2"/>
  <c r="B4031" i="2"/>
  <c r="C4030" i="2"/>
  <c r="B4030" i="2"/>
  <c r="C4029" i="2"/>
  <c r="B4029" i="2"/>
  <c r="C4028" i="2"/>
  <c r="B4028" i="2"/>
  <c r="C4027" i="2"/>
  <c r="B4027" i="2"/>
  <c r="C4026" i="2"/>
  <c r="B4026" i="2"/>
  <c r="C4025" i="2"/>
  <c r="B4025" i="2"/>
  <c r="C4024" i="2"/>
  <c r="B4024" i="2"/>
  <c r="C4023" i="2"/>
  <c r="B4023" i="2"/>
  <c r="C4022" i="2"/>
  <c r="B4022" i="2"/>
  <c r="C4021" i="2"/>
  <c r="B4021" i="2"/>
  <c r="C4020" i="2"/>
  <c r="B4020" i="2"/>
  <c r="C4019" i="2"/>
  <c r="B4019" i="2"/>
  <c r="C4018" i="2"/>
  <c r="B4018" i="2"/>
  <c r="C4017" i="2"/>
  <c r="B4017" i="2"/>
  <c r="C4016" i="2"/>
  <c r="B4016" i="2"/>
  <c r="C4015" i="2"/>
  <c r="B4015" i="2"/>
  <c r="C4014" i="2"/>
  <c r="B4014" i="2"/>
  <c r="C4013" i="2"/>
  <c r="B4013" i="2"/>
  <c r="C4012" i="2"/>
  <c r="B4012" i="2"/>
  <c r="C4011" i="2"/>
  <c r="B4011" i="2"/>
  <c r="C4010" i="2"/>
  <c r="B4010" i="2"/>
  <c r="C4009" i="2"/>
  <c r="B4009" i="2"/>
  <c r="C4008" i="2"/>
  <c r="B4008" i="2"/>
  <c r="C4007" i="2"/>
  <c r="B4007" i="2"/>
  <c r="C4006" i="2"/>
  <c r="B4006" i="2"/>
  <c r="C4005" i="2"/>
  <c r="B4005" i="2"/>
  <c r="C4004" i="2"/>
  <c r="B4004" i="2"/>
  <c r="C4003" i="2"/>
  <c r="B4003" i="2"/>
  <c r="C4002" i="2"/>
  <c r="B4002" i="2"/>
  <c r="C4001" i="2"/>
  <c r="B4001" i="2"/>
  <c r="C4000" i="2"/>
  <c r="B4000" i="2"/>
  <c r="C3999" i="2"/>
  <c r="B3999" i="2"/>
  <c r="C3998" i="2"/>
  <c r="B3998" i="2"/>
  <c r="C3997" i="2"/>
  <c r="B3997" i="2"/>
  <c r="C3996" i="2"/>
  <c r="B3996" i="2"/>
  <c r="C3995" i="2"/>
  <c r="B3995" i="2"/>
  <c r="C3994" i="2"/>
  <c r="B3994" i="2"/>
  <c r="C3993" i="2"/>
  <c r="B3993" i="2"/>
  <c r="C3992" i="2"/>
  <c r="B3992" i="2"/>
  <c r="C3991" i="2"/>
  <c r="B3991" i="2"/>
  <c r="C3990" i="2"/>
  <c r="B3990" i="2"/>
  <c r="C3989" i="2"/>
  <c r="B3989" i="2"/>
  <c r="C3988" i="2"/>
  <c r="B3988" i="2"/>
  <c r="C3987" i="2"/>
  <c r="B3987" i="2"/>
  <c r="C3986" i="2"/>
  <c r="B3986" i="2"/>
  <c r="C3985" i="2"/>
  <c r="B3985" i="2"/>
  <c r="C3984" i="2"/>
  <c r="B3984" i="2"/>
  <c r="C3983" i="2"/>
  <c r="B3983" i="2"/>
  <c r="C3982" i="2"/>
  <c r="B3982" i="2"/>
  <c r="C3981" i="2"/>
  <c r="B3981" i="2"/>
  <c r="C3980" i="2"/>
  <c r="B3980" i="2"/>
  <c r="C3979" i="2"/>
  <c r="B3979" i="2"/>
  <c r="C3978" i="2"/>
  <c r="B3978" i="2"/>
  <c r="C3977" i="2"/>
  <c r="B3977" i="2"/>
  <c r="C3976" i="2"/>
  <c r="B3976" i="2"/>
  <c r="C3975" i="2"/>
  <c r="B3975" i="2"/>
  <c r="C3974" i="2"/>
  <c r="B3974" i="2"/>
  <c r="C3973" i="2"/>
  <c r="B3973" i="2"/>
  <c r="C3972" i="2"/>
  <c r="B3972" i="2"/>
  <c r="C3971" i="2"/>
  <c r="B3971" i="2"/>
  <c r="C3970" i="2"/>
  <c r="B3970" i="2"/>
  <c r="C3969" i="2"/>
  <c r="B3969" i="2"/>
  <c r="C3968" i="2"/>
  <c r="B3968" i="2"/>
  <c r="C3967" i="2"/>
  <c r="B3967" i="2"/>
  <c r="C3966" i="2"/>
  <c r="B3966" i="2"/>
  <c r="C3965" i="2"/>
  <c r="B3965" i="2"/>
  <c r="C3964" i="2"/>
  <c r="B3964" i="2"/>
  <c r="C3963" i="2"/>
  <c r="B3963" i="2"/>
  <c r="C3962" i="2"/>
  <c r="B3962" i="2"/>
  <c r="C3961" i="2"/>
  <c r="B3961" i="2"/>
  <c r="C3960" i="2"/>
  <c r="B3960" i="2"/>
  <c r="C3959" i="2"/>
  <c r="B3959" i="2"/>
  <c r="C3958" i="2"/>
  <c r="B3958" i="2"/>
  <c r="C3957" i="2"/>
  <c r="B3957" i="2"/>
  <c r="C3956" i="2"/>
  <c r="B3956" i="2"/>
  <c r="C3955" i="2"/>
  <c r="B3955" i="2"/>
  <c r="C3954" i="2"/>
  <c r="B3954" i="2"/>
  <c r="C3953" i="2"/>
  <c r="B3953" i="2"/>
  <c r="C3952" i="2"/>
  <c r="B3952" i="2"/>
  <c r="C3951" i="2"/>
  <c r="B3951" i="2"/>
  <c r="C3950" i="2"/>
  <c r="B3950" i="2"/>
  <c r="C3949" i="2"/>
  <c r="B3949" i="2"/>
  <c r="C3948" i="2"/>
  <c r="B3948" i="2"/>
  <c r="C3947" i="2"/>
  <c r="B3947" i="2"/>
  <c r="C3946" i="2"/>
  <c r="B3946" i="2"/>
  <c r="C3945" i="2"/>
  <c r="B3945" i="2"/>
  <c r="C3944" i="2"/>
  <c r="B3944" i="2"/>
  <c r="C3943" i="2"/>
  <c r="B3943" i="2"/>
  <c r="C3942" i="2"/>
  <c r="B3942" i="2"/>
  <c r="C3941" i="2"/>
  <c r="B3941" i="2"/>
  <c r="C3940" i="2"/>
  <c r="B3940" i="2"/>
  <c r="C3939" i="2"/>
  <c r="B3939" i="2"/>
  <c r="C3938" i="2"/>
  <c r="B3938" i="2"/>
  <c r="C3937" i="2"/>
  <c r="B3937" i="2"/>
  <c r="C3936" i="2"/>
  <c r="B3936" i="2"/>
  <c r="C3935" i="2"/>
  <c r="B3935" i="2"/>
  <c r="C3934" i="2"/>
  <c r="B3934" i="2"/>
  <c r="C3933" i="2"/>
  <c r="B3933" i="2"/>
  <c r="C3932" i="2"/>
  <c r="B3932" i="2"/>
  <c r="C3931" i="2"/>
  <c r="B3931" i="2"/>
  <c r="C3930" i="2"/>
  <c r="B3930" i="2"/>
  <c r="C3929" i="2"/>
  <c r="B3929" i="2"/>
  <c r="C3928" i="2"/>
  <c r="B3928" i="2"/>
  <c r="C3927" i="2"/>
  <c r="B3927" i="2"/>
  <c r="C3926" i="2"/>
  <c r="B3926" i="2"/>
  <c r="C3925" i="2"/>
  <c r="B3925" i="2"/>
  <c r="C3924" i="2"/>
  <c r="B3924" i="2"/>
  <c r="C3923" i="2"/>
  <c r="B3923" i="2"/>
  <c r="C3922" i="2"/>
  <c r="B3922" i="2"/>
  <c r="C3921" i="2"/>
  <c r="B3921" i="2"/>
  <c r="C3920" i="2"/>
  <c r="B3920" i="2"/>
  <c r="C3919" i="2"/>
  <c r="B3919" i="2"/>
  <c r="C3918" i="2"/>
  <c r="B3918" i="2"/>
  <c r="C3917" i="2"/>
  <c r="B3917" i="2"/>
  <c r="C3916" i="2"/>
  <c r="B3916" i="2"/>
  <c r="C3915" i="2"/>
  <c r="B3915" i="2"/>
  <c r="C3914" i="2"/>
  <c r="B3914" i="2"/>
  <c r="C3913" i="2"/>
  <c r="B3913" i="2"/>
  <c r="C3912" i="2"/>
  <c r="B3912" i="2"/>
  <c r="C3911" i="2"/>
  <c r="B3911" i="2"/>
  <c r="C3910" i="2"/>
  <c r="B3910" i="2"/>
  <c r="C3909" i="2"/>
  <c r="B3909" i="2"/>
  <c r="C3908" i="2"/>
  <c r="B3908" i="2"/>
  <c r="C3907" i="2"/>
  <c r="B3907" i="2"/>
  <c r="C3906" i="2"/>
  <c r="B3906" i="2"/>
  <c r="C3905" i="2"/>
  <c r="B3905" i="2"/>
  <c r="C3904" i="2"/>
  <c r="B3904" i="2"/>
  <c r="C3903" i="2"/>
  <c r="B3903" i="2"/>
  <c r="C3902" i="2"/>
  <c r="B3902" i="2"/>
  <c r="C3901" i="2"/>
  <c r="B3901" i="2"/>
  <c r="C3900" i="2"/>
  <c r="B3900" i="2"/>
  <c r="C3899" i="2"/>
  <c r="B3899" i="2"/>
  <c r="C3898" i="2"/>
  <c r="B3898" i="2"/>
  <c r="C3897" i="2"/>
  <c r="B3897" i="2"/>
  <c r="C3896" i="2"/>
  <c r="B3896" i="2"/>
  <c r="C3895" i="2"/>
  <c r="B3895" i="2"/>
  <c r="C3894" i="2"/>
  <c r="B3894" i="2"/>
  <c r="C3893" i="2"/>
  <c r="B3893" i="2"/>
  <c r="C3892" i="2"/>
  <c r="B3892" i="2"/>
  <c r="C3891" i="2"/>
  <c r="B3891" i="2"/>
  <c r="C3890" i="2"/>
  <c r="B3890" i="2"/>
  <c r="C3889" i="2"/>
  <c r="B3889" i="2"/>
  <c r="C3888" i="2"/>
  <c r="B3888" i="2"/>
  <c r="C3887" i="2"/>
  <c r="B3887" i="2"/>
  <c r="C3886" i="2"/>
  <c r="B3886" i="2"/>
  <c r="C3885" i="2"/>
  <c r="B3885" i="2"/>
  <c r="C3884" i="2"/>
  <c r="B3884" i="2"/>
  <c r="C3883" i="2"/>
  <c r="B3883" i="2"/>
  <c r="C3882" i="2"/>
  <c r="B3882" i="2"/>
  <c r="C3881" i="2"/>
  <c r="B3881" i="2"/>
  <c r="C3880" i="2"/>
  <c r="B3880" i="2"/>
  <c r="C3879" i="2"/>
  <c r="B3879" i="2"/>
  <c r="C3878" i="2"/>
  <c r="B3878" i="2"/>
  <c r="C3877" i="2"/>
  <c r="B3877" i="2"/>
  <c r="C3876" i="2"/>
  <c r="B3876" i="2"/>
  <c r="C3875" i="2"/>
  <c r="B3875" i="2"/>
  <c r="C3874" i="2"/>
  <c r="B3874" i="2"/>
  <c r="C3873" i="2"/>
  <c r="B3873" i="2"/>
  <c r="C3872" i="2"/>
  <c r="B3872" i="2"/>
  <c r="C3871" i="2"/>
  <c r="B3871" i="2"/>
  <c r="C3870" i="2"/>
  <c r="B3870" i="2"/>
  <c r="C3869" i="2"/>
  <c r="B3869" i="2"/>
  <c r="C3868" i="2"/>
  <c r="B3868" i="2"/>
  <c r="C3867" i="2"/>
  <c r="B3867" i="2"/>
  <c r="C3866" i="2"/>
  <c r="B3866" i="2"/>
  <c r="C3865" i="2"/>
  <c r="B3865" i="2"/>
  <c r="C3864" i="2"/>
  <c r="B3864" i="2"/>
  <c r="C3863" i="2"/>
  <c r="B3863" i="2"/>
  <c r="C3862" i="2"/>
  <c r="B3862" i="2"/>
  <c r="C3861" i="2"/>
  <c r="B3861" i="2"/>
  <c r="C3860" i="2"/>
  <c r="B3860" i="2"/>
  <c r="C3859" i="2"/>
  <c r="B3859" i="2"/>
  <c r="C3858" i="2"/>
  <c r="B3858" i="2"/>
  <c r="C3857" i="2"/>
  <c r="B3857" i="2"/>
  <c r="C3856" i="2"/>
  <c r="B3856" i="2"/>
  <c r="C3855" i="2"/>
  <c r="B3855" i="2"/>
  <c r="C3854" i="2"/>
  <c r="B3854" i="2"/>
  <c r="C3853" i="2"/>
  <c r="B3853" i="2"/>
  <c r="C3852" i="2"/>
  <c r="B3852" i="2"/>
  <c r="C3851" i="2"/>
  <c r="B3851" i="2"/>
  <c r="C3850" i="2"/>
  <c r="B3850" i="2"/>
  <c r="C3849" i="2"/>
  <c r="B3849" i="2"/>
  <c r="C3848" i="2"/>
  <c r="B3848" i="2"/>
  <c r="C3847" i="2"/>
  <c r="B3847" i="2"/>
  <c r="C3846" i="2"/>
  <c r="B3846" i="2"/>
  <c r="C3845" i="2"/>
  <c r="B3845" i="2"/>
  <c r="C3844" i="2"/>
  <c r="B3844" i="2"/>
  <c r="C3843" i="2"/>
  <c r="B3843" i="2"/>
  <c r="C3842" i="2"/>
  <c r="B3842" i="2"/>
  <c r="C3841" i="2"/>
  <c r="B3841" i="2"/>
  <c r="C3840" i="2"/>
  <c r="B3840" i="2"/>
  <c r="C3839" i="2"/>
  <c r="B3839" i="2"/>
  <c r="C3838" i="2"/>
  <c r="B3838" i="2"/>
  <c r="C3837" i="2"/>
  <c r="B3837" i="2"/>
  <c r="C3836" i="2"/>
  <c r="B3836" i="2"/>
  <c r="C3835" i="2"/>
  <c r="B3835" i="2"/>
  <c r="C3834" i="2"/>
  <c r="B3834" i="2"/>
  <c r="C3833" i="2"/>
  <c r="B3833" i="2"/>
  <c r="C3832" i="2"/>
  <c r="B3832" i="2"/>
  <c r="C3831" i="2"/>
  <c r="B3831" i="2"/>
  <c r="C3830" i="2"/>
  <c r="B3830" i="2"/>
  <c r="C3829" i="2"/>
  <c r="B3829" i="2"/>
  <c r="C3828" i="2"/>
  <c r="B3828" i="2"/>
  <c r="C3827" i="2"/>
  <c r="B3827" i="2"/>
  <c r="C3826" i="2"/>
  <c r="B3826" i="2"/>
  <c r="C3825" i="2"/>
  <c r="B3825" i="2"/>
  <c r="C3824" i="2"/>
  <c r="B3824" i="2"/>
  <c r="C3823" i="2"/>
  <c r="B3823" i="2"/>
  <c r="C3822" i="2"/>
  <c r="B3822" i="2"/>
  <c r="C3821" i="2"/>
  <c r="B3821" i="2"/>
  <c r="C3820" i="2"/>
  <c r="B3820" i="2"/>
  <c r="C3819" i="2"/>
  <c r="B3819" i="2"/>
  <c r="C3818" i="2"/>
  <c r="B3818" i="2"/>
  <c r="C3817" i="2"/>
  <c r="B3817" i="2"/>
  <c r="C3816" i="2"/>
  <c r="B3816" i="2"/>
  <c r="C3815" i="2"/>
  <c r="B3815" i="2"/>
  <c r="C3814" i="2"/>
  <c r="B3814" i="2"/>
  <c r="C3813" i="2"/>
  <c r="B3813" i="2"/>
  <c r="C3812" i="2"/>
  <c r="B3812" i="2"/>
  <c r="C3811" i="2"/>
  <c r="B3811" i="2"/>
  <c r="C3810" i="2"/>
  <c r="B3810" i="2"/>
  <c r="C3809" i="2"/>
  <c r="B3809" i="2"/>
  <c r="C3808" i="2"/>
  <c r="B3808" i="2"/>
  <c r="C3807" i="2"/>
  <c r="B3807" i="2"/>
  <c r="C3806" i="2"/>
  <c r="B3806" i="2"/>
  <c r="C3805" i="2"/>
  <c r="B3805" i="2"/>
  <c r="C3804" i="2"/>
  <c r="B3804" i="2"/>
  <c r="C3803" i="2"/>
  <c r="B3803" i="2"/>
  <c r="C3802" i="2"/>
  <c r="B3802" i="2"/>
  <c r="C3801" i="2"/>
  <c r="B3801" i="2"/>
  <c r="C3800" i="2"/>
  <c r="B3800" i="2"/>
  <c r="C3799" i="2"/>
  <c r="B3799" i="2"/>
  <c r="C3798" i="2"/>
  <c r="B3798" i="2"/>
  <c r="C3797" i="2"/>
  <c r="B3797" i="2"/>
  <c r="C3796" i="2"/>
  <c r="B3796" i="2"/>
  <c r="C3795" i="2"/>
  <c r="B3795" i="2"/>
  <c r="C3794" i="2"/>
  <c r="B3794" i="2"/>
  <c r="C3793" i="2"/>
  <c r="B3793" i="2"/>
  <c r="C3792" i="2"/>
  <c r="B3792" i="2"/>
  <c r="C3791" i="2"/>
  <c r="B3791" i="2"/>
  <c r="C3790" i="2"/>
  <c r="B3790" i="2"/>
  <c r="C3789" i="2"/>
  <c r="B3789" i="2"/>
  <c r="C3788" i="2"/>
  <c r="B3788" i="2"/>
  <c r="C3787" i="2"/>
  <c r="B3787" i="2"/>
  <c r="C3786" i="2"/>
  <c r="B3786" i="2"/>
  <c r="C3785" i="2"/>
  <c r="B3785" i="2"/>
  <c r="C3784" i="2"/>
  <c r="B3784" i="2"/>
  <c r="C3783" i="2"/>
  <c r="B3783" i="2"/>
  <c r="C3782" i="2"/>
  <c r="B3782" i="2"/>
  <c r="C3781" i="2"/>
  <c r="B3781" i="2"/>
  <c r="C3780" i="2"/>
  <c r="B3780" i="2"/>
  <c r="C3779" i="2"/>
  <c r="B3779" i="2"/>
  <c r="C3778" i="2"/>
  <c r="B3778" i="2"/>
  <c r="C3777" i="2"/>
  <c r="B3777" i="2"/>
  <c r="C3776" i="2"/>
  <c r="B3776" i="2"/>
  <c r="C3775" i="2"/>
  <c r="B3775" i="2"/>
  <c r="C3774" i="2"/>
  <c r="B3774" i="2"/>
  <c r="C3773" i="2"/>
  <c r="B3773" i="2"/>
  <c r="C3772" i="2"/>
  <c r="B3772" i="2"/>
  <c r="C3771" i="2"/>
  <c r="B3771" i="2"/>
  <c r="C3770" i="2"/>
  <c r="B3770" i="2"/>
  <c r="C3769" i="2"/>
  <c r="B3769" i="2"/>
  <c r="C3768" i="2"/>
  <c r="B3768" i="2"/>
  <c r="C3767" i="2"/>
  <c r="B3767" i="2"/>
  <c r="C3766" i="2"/>
  <c r="B3766" i="2"/>
  <c r="C3765" i="2"/>
  <c r="B3765" i="2"/>
  <c r="C3764" i="2"/>
  <c r="B3764" i="2"/>
  <c r="C3763" i="2"/>
  <c r="B3763" i="2"/>
  <c r="C3762" i="2"/>
  <c r="B3762" i="2"/>
  <c r="C3761" i="2"/>
  <c r="B3761" i="2"/>
  <c r="C3760" i="2"/>
  <c r="B3760" i="2"/>
  <c r="C3759" i="2"/>
  <c r="B3759" i="2"/>
  <c r="C3758" i="2"/>
  <c r="B3758" i="2"/>
  <c r="C3757" i="2"/>
  <c r="B3757" i="2"/>
  <c r="C3756" i="2"/>
  <c r="B3756" i="2"/>
  <c r="C3755" i="2"/>
  <c r="B3755" i="2"/>
  <c r="C3754" i="2"/>
  <c r="B3754" i="2"/>
  <c r="C3753" i="2"/>
  <c r="B3753" i="2"/>
  <c r="C3752" i="2"/>
  <c r="B3752" i="2"/>
  <c r="C3751" i="2"/>
  <c r="B3751" i="2"/>
  <c r="C3750" i="2"/>
  <c r="B3750" i="2"/>
  <c r="C3749" i="2"/>
  <c r="B3749" i="2"/>
  <c r="C3748" i="2"/>
  <c r="B3748" i="2"/>
  <c r="C3747" i="2"/>
  <c r="B3747" i="2"/>
  <c r="C3746" i="2"/>
  <c r="B3746" i="2"/>
  <c r="C3745" i="2"/>
  <c r="B3745" i="2"/>
  <c r="C3744" i="2"/>
  <c r="B3744" i="2"/>
  <c r="C3743" i="2"/>
  <c r="B3743" i="2"/>
  <c r="C3742" i="2"/>
  <c r="B3742" i="2"/>
  <c r="C3741" i="2"/>
  <c r="B3741" i="2"/>
  <c r="C3740" i="2"/>
  <c r="B3740" i="2"/>
  <c r="C3739" i="2"/>
  <c r="B3739" i="2"/>
  <c r="C3738" i="2"/>
  <c r="B3738" i="2"/>
  <c r="C3737" i="2"/>
  <c r="B3737" i="2"/>
  <c r="C3736" i="2"/>
  <c r="B3736" i="2"/>
  <c r="C3735" i="2"/>
  <c r="B3735" i="2"/>
  <c r="C3734" i="2"/>
  <c r="B3734" i="2"/>
  <c r="C3733" i="2"/>
  <c r="B3733" i="2"/>
  <c r="C3732" i="2"/>
  <c r="B3732" i="2"/>
  <c r="C3731" i="2"/>
  <c r="B3731" i="2"/>
  <c r="C3730" i="2"/>
  <c r="B3730" i="2"/>
  <c r="C3729" i="2"/>
  <c r="B3729" i="2"/>
  <c r="C3728" i="2"/>
  <c r="B3728" i="2"/>
  <c r="C3727" i="2"/>
  <c r="B3727" i="2"/>
  <c r="C3726" i="2"/>
  <c r="B3726" i="2"/>
  <c r="C3725" i="2"/>
  <c r="B3725" i="2"/>
  <c r="C3724" i="2"/>
  <c r="B3724" i="2"/>
  <c r="C3723" i="2"/>
  <c r="B3723" i="2"/>
  <c r="C3722" i="2"/>
  <c r="B3722" i="2"/>
  <c r="C3721" i="2"/>
  <c r="B3721" i="2"/>
  <c r="C3720" i="2"/>
  <c r="B3720" i="2"/>
  <c r="C3719" i="2"/>
  <c r="B3719" i="2"/>
  <c r="C3718" i="2"/>
  <c r="B3718" i="2"/>
  <c r="C3717" i="2"/>
  <c r="B3717" i="2"/>
  <c r="C3716" i="2"/>
  <c r="B3716" i="2"/>
  <c r="C3715" i="2"/>
  <c r="B3715" i="2"/>
  <c r="C3714" i="2"/>
  <c r="B3714" i="2"/>
  <c r="C3713" i="2"/>
  <c r="B3713" i="2"/>
  <c r="C3712" i="2"/>
  <c r="B3712" i="2"/>
  <c r="C3711" i="2"/>
  <c r="B3711" i="2"/>
  <c r="C3710" i="2"/>
  <c r="B3710" i="2"/>
  <c r="C3709" i="2"/>
  <c r="B3709" i="2"/>
  <c r="C3708" i="2"/>
  <c r="B3708" i="2"/>
  <c r="C3707" i="2"/>
  <c r="B3707" i="2"/>
  <c r="C3706" i="2"/>
  <c r="B3706" i="2"/>
  <c r="C3705" i="2"/>
  <c r="B3705" i="2"/>
  <c r="C3704" i="2"/>
  <c r="B3704" i="2"/>
  <c r="C3703" i="2"/>
  <c r="B3703" i="2"/>
  <c r="C3702" i="2"/>
  <c r="B3702" i="2"/>
  <c r="C3701" i="2"/>
  <c r="B3701" i="2"/>
  <c r="C3700" i="2"/>
  <c r="B3700" i="2"/>
  <c r="C3699" i="2"/>
  <c r="B3699" i="2"/>
  <c r="C3698" i="2"/>
  <c r="B3698" i="2"/>
  <c r="C3697" i="2"/>
  <c r="B3697" i="2"/>
  <c r="C3696" i="2"/>
  <c r="B3696" i="2"/>
  <c r="C3695" i="2"/>
  <c r="B3695" i="2"/>
  <c r="C3694" i="2"/>
  <c r="B3694" i="2"/>
  <c r="C3693" i="2"/>
  <c r="B3693" i="2"/>
  <c r="C3692" i="2"/>
  <c r="B3692" i="2"/>
  <c r="C3691" i="2"/>
  <c r="B3691" i="2"/>
  <c r="C3690" i="2"/>
  <c r="B3690" i="2"/>
  <c r="C3689" i="2"/>
  <c r="B3689" i="2"/>
  <c r="C3688" i="2"/>
  <c r="B3688" i="2"/>
  <c r="C3687" i="2"/>
  <c r="B3687" i="2"/>
  <c r="C3686" i="2"/>
  <c r="B3686" i="2"/>
  <c r="C3685" i="2"/>
  <c r="B3685" i="2"/>
  <c r="C3684" i="2"/>
  <c r="B3684" i="2"/>
  <c r="C3683" i="2"/>
  <c r="B3683" i="2"/>
  <c r="C3682" i="2"/>
  <c r="B3682" i="2"/>
  <c r="C3681" i="2"/>
  <c r="B3681" i="2"/>
  <c r="C3680" i="2"/>
  <c r="B3680" i="2"/>
  <c r="C3679" i="2"/>
  <c r="B3679" i="2"/>
  <c r="C3678" i="2"/>
  <c r="B3678" i="2"/>
  <c r="C3677" i="2"/>
  <c r="B3677" i="2"/>
  <c r="C3676" i="2"/>
  <c r="B3676" i="2"/>
  <c r="C3675" i="2"/>
  <c r="B3675" i="2"/>
  <c r="C3674" i="2"/>
  <c r="B3674" i="2"/>
  <c r="C3673" i="2"/>
  <c r="B3673" i="2"/>
  <c r="C3672" i="2"/>
  <c r="B3672" i="2"/>
  <c r="C3671" i="2"/>
  <c r="B3671" i="2"/>
  <c r="C3670" i="2"/>
  <c r="B3670" i="2"/>
  <c r="C3669" i="2"/>
  <c r="B3669" i="2"/>
  <c r="C3668" i="2"/>
  <c r="B3668" i="2"/>
  <c r="C3667" i="2"/>
  <c r="B3667" i="2"/>
  <c r="C3666" i="2"/>
  <c r="B3666" i="2"/>
  <c r="C3665" i="2"/>
  <c r="B3665" i="2"/>
  <c r="C3664" i="2"/>
  <c r="B3664" i="2"/>
  <c r="C3663" i="2"/>
  <c r="B3663" i="2"/>
  <c r="C3662" i="2"/>
  <c r="B3662" i="2"/>
  <c r="C3661" i="2"/>
  <c r="B3661" i="2"/>
  <c r="C3660" i="2"/>
  <c r="B3660" i="2"/>
  <c r="C3659" i="2"/>
  <c r="B3659" i="2"/>
  <c r="C3658" i="2"/>
  <c r="B3658" i="2"/>
  <c r="C3657" i="2"/>
  <c r="B3657" i="2"/>
  <c r="C3656" i="2"/>
  <c r="B3656" i="2"/>
  <c r="C3655" i="2"/>
  <c r="B3655" i="2"/>
  <c r="C3654" i="2"/>
  <c r="B3654" i="2"/>
  <c r="C3653" i="2"/>
  <c r="B3653" i="2"/>
  <c r="C3652" i="2"/>
  <c r="B3652" i="2"/>
  <c r="C3651" i="2"/>
  <c r="B3651" i="2"/>
  <c r="C3650" i="2"/>
  <c r="B3650" i="2"/>
  <c r="C3649" i="2"/>
  <c r="B3649" i="2"/>
  <c r="C3648" i="2"/>
  <c r="B3648" i="2"/>
  <c r="C3647" i="2"/>
  <c r="B3647" i="2"/>
  <c r="C3646" i="2"/>
  <c r="B3646" i="2"/>
  <c r="C3645" i="2"/>
  <c r="B3645" i="2"/>
  <c r="C3644" i="2"/>
  <c r="B3644" i="2"/>
  <c r="C3643" i="2"/>
  <c r="B3643" i="2"/>
  <c r="C3642" i="2"/>
  <c r="B3642" i="2"/>
  <c r="C3641" i="2"/>
  <c r="B3641" i="2"/>
  <c r="C3640" i="2"/>
  <c r="B3640" i="2"/>
  <c r="C3639" i="2"/>
  <c r="B3639" i="2"/>
  <c r="C3638" i="2"/>
  <c r="B3638" i="2"/>
  <c r="C3637" i="2"/>
  <c r="B3637" i="2"/>
  <c r="C3636" i="2"/>
  <c r="B3636" i="2"/>
  <c r="C3635" i="2"/>
  <c r="B3635" i="2"/>
  <c r="C3634" i="2"/>
  <c r="B3634" i="2"/>
  <c r="C3633" i="2"/>
  <c r="B3633" i="2"/>
  <c r="C3632" i="2"/>
  <c r="B3632" i="2"/>
  <c r="C3631" i="2"/>
  <c r="B3631" i="2"/>
  <c r="C3630" i="2"/>
  <c r="B3630" i="2"/>
  <c r="C3629" i="2"/>
  <c r="B3629" i="2"/>
  <c r="C3628" i="2"/>
  <c r="B3628" i="2"/>
  <c r="C3627" i="2"/>
  <c r="B3627" i="2"/>
  <c r="C3626" i="2"/>
  <c r="B3626" i="2"/>
  <c r="C3625" i="2"/>
  <c r="B3625" i="2"/>
  <c r="C3624" i="2"/>
  <c r="B3624" i="2"/>
  <c r="C3623" i="2"/>
  <c r="B3623" i="2"/>
  <c r="C3622" i="2"/>
  <c r="B3622" i="2"/>
  <c r="C3621" i="2"/>
  <c r="B3621" i="2"/>
  <c r="C3620" i="2"/>
  <c r="B3620" i="2"/>
  <c r="C3619" i="2"/>
  <c r="B3619" i="2"/>
  <c r="C3618" i="2"/>
  <c r="B3618" i="2"/>
  <c r="C3617" i="2"/>
  <c r="B3617" i="2"/>
  <c r="C3616" i="2"/>
  <c r="B3616" i="2"/>
  <c r="C3615" i="2"/>
  <c r="B3615" i="2"/>
  <c r="C3614" i="2"/>
  <c r="B3614" i="2"/>
  <c r="C3613" i="2"/>
  <c r="B3613" i="2"/>
  <c r="C3612" i="2"/>
  <c r="B3612" i="2"/>
  <c r="C3611" i="2"/>
  <c r="B3611" i="2"/>
  <c r="C3610" i="2"/>
  <c r="B3610" i="2"/>
  <c r="C3609" i="2"/>
  <c r="B3609" i="2"/>
  <c r="C3608" i="2"/>
  <c r="B3608" i="2"/>
  <c r="C3607" i="2"/>
  <c r="B3607" i="2"/>
  <c r="C3606" i="2"/>
  <c r="B3606" i="2"/>
  <c r="C3605" i="2"/>
  <c r="B3605" i="2"/>
  <c r="C3604" i="2"/>
  <c r="B3604" i="2"/>
  <c r="C3603" i="2"/>
  <c r="B3603" i="2"/>
  <c r="C3602" i="2"/>
  <c r="B3602" i="2"/>
  <c r="C3601" i="2"/>
  <c r="B3601" i="2"/>
  <c r="C3600" i="2"/>
  <c r="B3600" i="2"/>
  <c r="C3599" i="2"/>
  <c r="B3599" i="2"/>
  <c r="C3598" i="2"/>
  <c r="B3598" i="2"/>
  <c r="C3597" i="2"/>
  <c r="B3597" i="2"/>
  <c r="C3596" i="2"/>
  <c r="B3596" i="2"/>
  <c r="C3595" i="2"/>
  <c r="B3595" i="2"/>
  <c r="C3594" i="2"/>
  <c r="B3594" i="2"/>
  <c r="C3593" i="2"/>
  <c r="B3593" i="2"/>
  <c r="C3592" i="2"/>
  <c r="B3592" i="2"/>
  <c r="C3591" i="2"/>
  <c r="B3591" i="2"/>
  <c r="C3590" i="2"/>
  <c r="B3590" i="2"/>
  <c r="C3589" i="2"/>
  <c r="B3589" i="2"/>
  <c r="C3588" i="2"/>
  <c r="B3588" i="2"/>
  <c r="C3587" i="2"/>
  <c r="B3587" i="2"/>
  <c r="C3586" i="2"/>
  <c r="B3586" i="2"/>
  <c r="C3585" i="2"/>
  <c r="B3585" i="2"/>
  <c r="C3584" i="2"/>
  <c r="B3584" i="2"/>
  <c r="C3583" i="2"/>
  <c r="B3583" i="2"/>
  <c r="C3582" i="2"/>
  <c r="B3582" i="2"/>
  <c r="C3581" i="2"/>
  <c r="B3581" i="2"/>
  <c r="C3580" i="2"/>
  <c r="B3580" i="2"/>
  <c r="C3579" i="2"/>
  <c r="B3579" i="2"/>
  <c r="C3578" i="2"/>
  <c r="B3578" i="2"/>
  <c r="C3577" i="2"/>
  <c r="B3577" i="2"/>
  <c r="C3576" i="2"/>
  <c r="B3576" i="2"/>
  <c r="C3575" i="2"/>
  <c r="B3575" i="2"/>
  <c r="C3574" i="2"/>
  <c r="B3574" i="2"/>
  <c r="C3573" i="2"/>
  <c r="B3573" i="2"/>
  <c r="C3572" i="2"/>
  <c r="B3572" i="2"/>
  <c r="C3571" i="2"/>
  <c r="B3571" i="2"/>
  <c r="C3570" i="2"/>
  <c r="B3570" i="2"/>
  <c r="C3569" i="2"/>
  <c r="B3569" i="2"/>
  <c r="C3568" i="2"/>
  <c r="B3568" i="2"/>
  <c r="C3567" i="2"/>
  <c r="B3567" i="2"/>
  <c r="C3566" i="2"/>
  <c r="B3566" i="2"/>
  <c r="C3565" i="2"/>
  <c r="B3565" i="2"/>
  <c r="C3564" i="2"/>
  <c r="B3564" i="2"/>
  <c r="C3563" i="2"/>
  <c r="B3563" i="2"/>
  <c r="C3562" i="2"/>
  <c r="B3562" i="2"/>
  <c r="C3561" i="2"/>
  <c r="B3561" i="2"/>
  <c r="C3560" i="2"/>
  <c r="B3560" i="2"/>
  <c r="C3559" i="2"/>
  <c r="B3559" i="2"/>
  <c r="C3558" i="2"/>
  <c r="B3558" i="2"/>
  <c r="C3557" i="2"/>
  <c r="B3557" i="2"/>
  <c r="C3556" i="2"/>
  <c r="B3556" i="2"/>
  <c r="C3555" i="2"/>
  <c r="B3555" i="2"/>
  <c r="C3554" i="2"/>
  <c r="B3554" i="2"/>
  <c r="C3553" i="2"/>
  <c r="B3553" i="2"/>
  <c r="C3552" i="2"/>
  <c r="B3552" i="2"/>
  <c r="C3551" i="2"/>
  <c r="B3551" i="2"/>
  <c r="C3550" i="2"/>
  <c r="B3550" i="2"/>
  <c r="C3549" i="2"/>
  <c r="B3549" i="2"/>
  <c r="C3548" i="2"/>
  <c r="B3548" i="2"/>
  <c r="C3547" i="2"/>
  <c r="B3547" i="2"/>
  <c r="C3546" i="2"/>
  <c r="B3546" i="2"/>
  <c r="C3545" i="2"/>
  <c r="B3545" i="2"/>
  <c r="C3544" i="2"/>
  <c r="B3544" i="2"/>
  <c r="C3543" i="2"/>
  <c r="B3543" i="2"/>
  <c r="C3542" i="2"/>
  <c r="B3542" i="2"/>
  <c r="C3541" i="2"/>
  <c r="B3541" i="2"/>
  <c r="C3540" i="2"/>
  <c r="B3540" i="2"/>
  <c r="C3539" i="2"/>
  <c r="B3539" i="2"/>
  <c r="C3538" i="2"/>
  <c r="B3538" i="2"/>
  <c r="C3537" i="2"/>
  <c r="B3537" i="2"/>
  <c r="C3536" i="2"/>
  <c r="B3536" i="2"/>
  <c r="C3535" i="2"/>
  <c r="B3535" i="2"/>
  <c r="C3534" i="2"/>
  <c r="B3534" i="2"/>
  <c r="C3533" i="2"/>
  <c r="B3533" i="2"/>
  <c r="C3532" i="2"/>
  <c r="B3532" i="2"/>
  <c r="C3531" i="2"/>
  <c r="B3531" i="2"/>
  <c r="C3530" i="2"/>
  <c r="B3530" i="2"/>
  <c r="C3529" i="2"/>
  <c r="B3529" i="2"/>
  <c r="C3528" i="2"/>
  <c r="B3528" i="2"/>
  <c r="C3527" i="2"/>
  <c r="B3527" i="2"/>
  <c r="C3526" i="2"/>
  <c r="B3526" i="2"/>
  <c r="C3525" i="2"/>
  <c r="B3525" i="2"/>
  <c r="C3524" i="2"/>
  <c r="B3524" i="2"/>
  <c r="C3523" i="2"/>
  <c r="B3523" i="2"/>
  <c r="C3522" i="2"/>
  <c r="B3522" i="2"/>
  <c r="C3521" i="2"/>
  <c r="B3521" i="2"/>
  <c r="C3520" i="2"/>
  <c r="B3520" i="2"/>
  <c r="C3519" i="2"/>
  <c r="B3519" i="2"/>
  <c r="C3518" i="2"/>
  <c r="B3518" i="2"/>
  <c r="C3517" i="2"/>
  <c r="B3517" i="2"/>
  <c r="C3516" i="2"/>
  <c r="B3516" i="2"/>
  <c r="C3515" i="2"/>
  <c r="B3515" i="2"/>
  <c r="C3514" i="2"/>
  <c r="B3514" i="2"/>
  <c r="C3513" i="2"/>
  <c r="B3513" i="2"/>
  <c r="C3512" i="2"/>
  <c r="B3512" i="2"/>
  <c r="C3511" i="2"/>
  <c r="B3511" i="2"/>
  <c r="C3510" i="2"/>
  <c r="B3510" i="2"/>
  <c r="C3509" i="2"/>
  <c r="B3509" i="2"/>
  <c r="C3508" i="2"/>
  <c r="B3508" i="2"/>
  <c r="C3507" i="2"/>
  <c r="B3507" i="2"/>
  <c r="C3506" i="2"/>
  <c r="B3506" i="2"/>
  <c r="C3505" i="2"/>
  <c r="B3505" i="2"/>
  <c r="C3504" i="2"/>
  <c r="B3504" i="2"/>
  <c r="C3503" i="2"/>
  <c r="B3503" i="2"/>
  <c r="C3502" i="2"/>
  <c r="B3502" i="2"/>
  <c r="C3501" i="2"/>
  <c r="B3501" i="2"/>
  <c r="C3500" i="2"/>
  <c r="B3500" i="2"/>
  <c r="C3499" i="2"/>
  <c r="B3499" i="2"/>
  <c r="C3498" i="2"/>
  <c r="B3498" i="2"/>
  <c r="C3497" i="2"/>
  <c r="B3497" i="2"/>
  <c r="C3496" i="2"/>
  <c r="B3496" i="2"/>
  <c r="C3495" i="2"/>
  <c r="B3495" i="2"/>
  <c r="C3494" i="2"/>
  <c r="B3494" i="2"/>
  <c r="C3493" i="2"/>
  <c r="B3493" i="2"/>
  <c r="C3492" i="2"/>
  <c r="B3492" i="2"/>
  <c r="C3491" i="2"/>
  <c r="B3491" i="2"/>
  <c r="C3490" i="2"/>
  <c r="B3490" i="2"/>
  <c r="C3489" i="2"/>
  <c r="B3489" i="2"/>
  <c r="C3488" i="2"/>
  <c r="B3488" i="2"/>
  <c r="C3487" i="2"/>
  <c r="B3487" i="2"/>
  <c r="C3486" i="2"/>
  <c r="B3486" i="2"/>
  <c r="C3485" i="2"/>
  <c r="B3485" i="2"/>
  <c r="C3484" i="2"/>
  <c r="B3484" i="2"/>
  <c r="C3483" i="2"/>
  <c r="B3483" i="2"/>
  <c r="C3482" i="2"/>
  <c r="B3482" i="2"/>
  <c r="C3481" i="2"/>
  <c r="B3481" i="2"/>
  <c r="C3480" i="2"/>
  <c r="B3480" i="2"/>
  <c r="C3479" i="2"/>
  <c r="B3479" i="2"/>
  <c r="C3478" i="2"/>
  <c r="B3478" i="2"/>
  <c r="C3477" i="2"/>
  <c r="B3477" i="2"/>
  <c r="C3476" i="2"/>
  <c r="B3476" i="2"/>
  <c r="C3475" i="2"/>
  <c r="B3475" i="2"/>
  <c r="C3474" i="2"/>
  <c r="B3474" i="2"/>
  <c r="C3473" i="2"/>
  <c r="B3473" i="2"/>
  <c r="C3472" i="2"/>
  <c r="B3472" i="2"/>
  <c r="C3471" i="2"/>
  <c r="B3471" i="2"/>
  <c r="C3470" i="2"/>
  <c r="B3470" i="2"/>
  <c r="C3469" i="2"/>
  <c r="B3469" i="2"/>
  <c r="C3468" i="2"/>
  <c r="B3468" i="2"/>
  <c r="C3467" i="2"/>
  <c r="B3467" i="2"/>
  <c r="C3466" i="2"/>
  <c r="B3466" i="2"/>
  <c r="C3465" i="2"/>
  <c r="B3465" i="2"/>
  <c r="C3464" i="2"/>
  <c r="B3464" i="2"/>
  <c r="C3463" i="2"/>
  <c r="B3463" i="2"/>
  <c r="C3462" i="2"/>
  <c r="B3462" i="2"/>
  <c r="C3461" i="2"/>
  <c r="B3461" i="2"/>
  <c r="C3460" i="2"/>
  <c r="B3460" i="2"/>
  <c r="C3459" i="2"/>
  <c r="B3459" i="2"/>
  <c r="C3458" i="2"/>
  <c r="B3458" i="2"/>
  <c r="C3457" i="2"/>
  <c r="B3457" i="2"/>
  <c r="C3456" i="2"/>
  <c r="B3456" i="2"/>
  <c r="C3455" i="2"/>
  <c r="B3455" i="2"/>
  <c r="C3454" i="2"/>
  <c r="B3454" i="2"/>
  <c r="C3453" i="2"/>
  <c r="B3453" i="2"/>
  <c r="C3452" i="2"/>
  <c r="B3452" i="2"/>
  <c r="C3451" i="2"/>
  <c r="B3451" i="2"/>
  <c r="C3450" i="2"/>
  <c r="B3450" i="2"/>
  <c r="C3449" i="2"/>
  <c r="B3449" i="2"/>
  <c r="C3448" i="2"/>
  <c r="B3448" i="2"/>
  <c r="C3447" i="2"/>
  <c r="B3447" i="2"/>
  <c r="C3446" i="2"/>
  <c r="B3446" i="2"/>
  <c r="C3445" i="2"/>
  <c r="B3445" i="2"/>
  <c r="C3444" i="2"/>
  <c r="B3444" i="2"/>
  <c r="C3443" i="2"/>
  <c r="B3443" i="2"/>
  <c r="C3442" i="2"/>
  <c r="B3442" i="2"/>
  <c r="C3441" i="2"/>
  <c r="B3441" i="2"/>
  <c r="C3440" i="2"/>
  <c r="B3440" i="2"/>
  <c r="C3439" i="2"/>
  <c r="B3439" i="2"/>
  <c r="C3438" i="2"/>
  <c r="B3438" i="2"/>
  <c r="C3437" i="2"/>
  <c r="B3437" i="2"/>
  <c r="C3436" i="2"/>
  <c r="B3436" i="2"/>
  <c r="C3435" i="2"/>
  <c r="B3435" i="2"/>
  <c r="C3434" i="2"/>
  <c r="B3434" i="2"/>
  <c r="C3433" i="2"/>
  <c r="B3433" i="2"/>
  <c r="C3432" i="2"/>
  <c r="B3432" i="2"/>
  <c r="C3431" i="2"/>
  <c r="B3431" i="2"/>
  <c r="C3430" i="2"/>
  <c r="B3430" i="2"/>
  <c r="C3429" i="2"/>
  <c r="B3429" i="2"/>
  <c r="C3428" i="2"/>
  <c r="B3428" i="2"/>
  <c r="C3427" i="2"/>
  <c r="B3427" i="2"/>
  <c r="C3426" i="2"/>
  <c r="B3426" i="2"/>
  <c r="C3425" i="2"/>
  <c r="B3425" i="2"/>
  <c r="C3424" i="2"/>
  <c r="B3424" i="2"/>
  <c r="C3423" i="2"/>
  <c r="B3423" i="2"/>
  <c r="C3422" i="2"/>
  <c r="B3422" i="2"/>
  <c r="C3421" i="2"/>
  <c r="B3421" i="2"/>
  <c r="C3420" i="2"/>
  <c r="B3420" i="2"/>
  <c r="C3419" i="2"/>
  <c r="B3419" i="2"/>
  <c r="C3418" i="2"/>
  <c r="B3418" i="2"/>
  <c r="C3417" i="2"/>
  <c r="B3417" i="2"/>
  <c r="C3416" i="2"/>
  <c r="B3416" i="2"/>
  <c r="C3415" i="2"/>
  <c r="B3415" i="2"/>
  <c r="C3414" i="2"/>
  <c r="B3414" i="2"/>
  <c r="C3413" i="2"/>
  <c r="B3413" i="2"/>
  <c r="C3412" i="2"/>
  <c r="B3412" i="2"/>
  <c r="C3411" i="2"/>
  <c r="B3411" i="2"/>
  <c r="C3410" i="2"/>
  <c r="B3410" i="2"/>
  <c r="C3409" i="2"/>
  <c r="B3409" i="2"/>
  <c r="C3408" i="2"/>
  <c r="B3408" i="2"/>
  <c r="C3407" i="2"/>
  <c r="B3407" i="2"/>
  <c r="C3406" i="2"/>
  <c r="B3406" i="2"/>
  <c r="C3405" i="2"/>
  <c r="B3405" i="2"/>
  <c r="C3404" i="2"/>
  <c r="B3404" i="2"/>
  <c r="C3403" i="2"/>
  <c r="B3403" i="2"/>
  <c r="C3402" i="2"/>
  <c r="B3402" i="2"/>
  <c r="C3401" i="2"/>
  <c r="B3401" i="2"/>
  <c r="C3400" i="2"/>
  <c r="B3400" i="2"/>
  <c r="C3399" i="2"/>
  <c r="B3399" i="2"/>
  <c r="C3398" i="2"/>
  <c r="B3398" i="2"/>
  <c r="C3397" i="2"/>
  <c r="B3397" i="2"/>
  <c r="C3396" i="2"/>
  <c r="B3396" i="2"/>
  <c r="C3395" i="2"/>
  <c r="B3395" i="2"/>
  <c r="C3394" i="2"/>
  <c r="B3394" i="2"/>
  <c r="C3393" i="2"/>
  <c r="B3393" i="2"/>
  <c r="C3392" i="2"/>
  <c r="B3392" i="2"/>
  <c r="C3391" i="2"/>
  <c r="B3391" i="2"/>
  <c r="C3390" i="2"/>
  <c r="B3390" i="2"/>
  <c r="C3389" i="2"/>
  <c r="B3389" i="2"/>
  <c r="C3388" i="2"/>
  <c r="B3388" i="2"/>
  <c r="C3387" i="2"/>
  <c r="B3387" i="2"/>
  <c r="C3386" i="2"/>
  <c r="B3386" i="2"/>
  <c r="C3385" i="2"/>
  <c r="B3385" i="2"/>
  <c r="C3384" i="2"/>
  <c r="B3384" i="2"/>
  <c r="C3383" i="2"/>
  <c r="B3383" i="2"/>
  <c r="C3382" i="2"/>
  <c r="B3382" i="2"/>
  <c r="C3381" i="2"/>
  <c r="B3381" i="2"/>
  <c r="C3380" i="2"/>
  <c r="B3380" i="2"/>
  <c r="C3379" i="2"/>
  <c r="B3379" i="2"/>
  <c r="C3378" i="2"/>
  <c r="B3378" i="2"/>
  <c r="C3377" i="2"/>
  <c r="B3377" i="2"/>
  <c r="C3376" i="2"/>
  <c r="B3376" i="2"/>
  <c r="C3375" i="2"/>
  <c r="B3375" i="2"/>
  <c r="C3374" i="2"/>
  <c r="B3374" i="2"/>
  <c r="C3373" i="2"/>
  <c r="B3373" i="2"/>
  <c r="C3372" i="2"/>
  <c r="B3372" i="2"/>
  <c r="C3371" i="2"/>
  <c r="B3371" i="2"/>
  <c r="C3370" i="2"/>
  <c r="B3370" i="2"/>
  <c r="C3369" i="2"/>
  <c r="B3369" i="2"/>
  <c r="C3368" i="2"/>
  <c r="B3368" i="2"/>
  <c r="C3367" i="2"/>
  <c r="B3367" i="2"/>
  <c r="C3366" i="2"/>
  <c r="B3366" i="2"/>
  <c r="C3365" i="2"/>
  <c r="B3365" i="2"/>
  <c r="C3364" i="2"/>
  <c r="B3364" i="2"/>
  <c r="C3363" i="2"/>
  <c r="B3363" i="2"/>
  <c r="C3362" i="2"/>
  <c r="B3362" i="2"/>
  <c r="C3361" i="2"/>
  <c r="B3361" i="2"/>
  <c r="C3360" i="2"/>
  <c r="B3360" i="2"/>
  <c r="C3359" i="2"/>
  <c r="B3359" i="2"/>
  <c r="C3358" i="2"/>
  <c r="B3358" i="2"/>
  <c r="C3357" i="2"/>
  <c r="B3357" i="2"/>
  <c r="C3356" i="2"/>
  <c r="B3356" i="2"/>
  <c r="C3355" i="2"/>
  <c r="B3355" i="2"/>
  <c r="C3354" i="2"/>
  <c r="B3354" i="2"/>
  <c r="C3353" i="2"/>
  <c r="B3353" i="2"/>
  <c r="C3352" i="2"/>
  <c r="B3352" i="2"/>
  <c r="C3351" i="2"/>
  <c r="B3351" i="2"/>
  <c r="C3350" i="2"/>
  <c r="B3350" i="2"/>
  <c r="C3349" i="2"/>
  <c r="B3349" i="2"/>
  <c r="C3348" i="2"/>
  <c r="B3348" i="2"/>
  <c r="C3347" i="2"/>
  <c r="B3347" i="2"/>
  <c r="C3346" i="2"/>
  <c r="B3346" i="2"/>
  <c r="C3345" i="2"/>
  <c r="B3345" i="2"/>
  <c r="C3344" i="2"/>
  <c r="B3344" i="2"/>
  <c r="C3343" i="2"/>
  <c r="B3343" i="2"/>
  <c r="C3342" i="2"/>
  <c r="B3342" i="2"/>
  <c r="C3341" i="2"/>
  <c r="B3341" i="2"/>
  <c r="C3340" i="2"/>
  <c r="B3340" i="2"/>
  <c r="C3339" i="2"/>
  <c r="B3339" i="2"/>
  <c r="C3338" i="2"/>
  <c r="B3338" i="2"/>
  <c r="C3337" i="2"/>
  <c r="B3337" i="2"/>
  <c r="C3336" i="2"/>
  <c r="B3336" i="2"/>
  <c r="C3335" i="2"/>
  <c r="B3335" i="2"/>
  <c r="C3334" i="2"/>
  <c r="B3334" i="2"/>
  <c r="C3333" i="2"/>
  <c r="B3333" i="2"/>
  <c r="C3332" i="2"/>
  <c r="B3332" i="2"/>
  <c r="C3331" i="2"/>
  <c r="B3331" i="2"/>
  <c r="C3330" i="2"/>
  <c r="B3330" i="2"/>
  <c r="C3329" i="2"/>
  <c r="B3329" i="2"/>
  <c r="C3328" i="2"/>
  <c r="B3328" i="2"/>
  <c r="C3327" i="2"/>
  <c r="B3327" i="2"/>
  <c r="C3326" i="2"/>
  <c r="B3326" i="2"/>
  <c r="C3325" i="2"/>
  <c r="B3325" i="2"/>
  <c r="C3324" i="2"/>
  <c r="B3324" i="2"/>
  <c r="C3323" i="2"/>
  <c r="B3323" i="2"/>
  <c r="C3322" i="2"/>
  <c r="B3322" i="2"/>
  <c r="C3321" i="2"/>
  <c r="B3321" i="2"/>
  <c r="C3320" i="2"/>
  <c r="B3320" i="2"/>
  <c r="C3319" i="2"/>
  <c r="B3319" i="2"/>
  <c r="C3318" i="2"/>
  <c r="B3318" i="2"/>
  <c r="C3317" i="2"/>
  <c r="B3317" i="2"/>
  <c r="C3316" i="2"/>
  <c r="B3316" i="2"/>
  <c r="C3315" i="2"/>
  <c r="B3315" i="2"/>
  <c r="C3314" i="2"/>
  <c r="B3314" i="2"/>
  <c r="C3313" i="2"/>
  <c r="B3313" i="2"/>
  <c r="C3312" i="2"/>
  <c r="B3312" i="2"/>
  <c r="C3311" i="2"/>
  <c r="B3311" i="2"/>
  <c r="C3310" i="2"/>
  <c r="B3310" i="2"/>
  <c r="C3309" i="2"/>
  <c r="B3309" i="2"/>
  <c r="C3308" i="2"/>
  <c r="B3308" i="2"/>
  <c r="C3307" i="2"/>
  <c r="B3307" i="2"/>
  <c r="C3306" i="2"/>
  <c r="B3306" i="2"/>
  <c r="C3305" i="2"/>
  <c r="B3305" i="2"/>
  <c r="C3304" i="2"/>
  <c r="B3304" i="2"/>
  <c r="C3303" i="2"/>
  <c r="B3303" i="2"/>
  <c r="C3302" i="2"/>
  <c r="B3302" i="2"/>
  <c r="C3301" i="2"/>
  <c r="B3301" i="2"/>
  <c r="C3300" i="2"/>
  <c r="B3300" i="2"/>
  <c r="C3299" i="2"/>
  <c r="B3299" i="2"/>
  <c r="C3298" i="2"/>
  <c r="B3298" i="2"/>
  <c r="C3297" i="2"/>
  <c r="B3297" i="2"/>
  <c r="C3296" i="2"/>
  <c r="B3296" i="2"/>
  <c r="C3295" i="2"/>
  <c r="B3295" i="2"/>
  <c r="C3294" i="2"/>
  <c r="B3294" i="2"/>
  <c r="C3293" i="2"/>
  <c r="B3293" i="2"/>
  <c r="C3292" i="2"/>
  <c r="B3292" i="2"/>
  <c r="C3291" i="2"/>
  <c r="B3291" i="2"/>
  <c r="C3290" i="2"/>
  <c r="B3290" i="2"/>
  <c r="C3289" i="2"/>
  <c r="B3289" i="2"/>
  <c r="C3288" i="2"/>
  <c r="B3288" i="2"/>
  <c r="C3287" i="2"/>
  <c r="B3287" i="2"/>
  <c r="C3286" i="2"/>
  <c r="B3286" i="2"/>
  <c r="C3285" i="2"/>
  <c r="B3285" i="2"/>
  <c r="C3284" i="2"/>
  <c r="B3284" i="2"/>
  <c r="C3283" i="2"/>
  <c r="B3283" i="2"/>
  <c r="C3282" i="2"/>
  <c r="B3282" i="2"/>
  <c r="C3281" i="2"/>
  <c r="B3281" i="2"/>
  <c r="C3280" i="2"/>
  <c r="B3280" i="2"/>
  <c r="C3279" i="2"/>
  <c r="B3279" i="2"/>
  <c r="C3278" i="2"/>
  <c r="B3278" i="2"/>
  <c r="C3277" i="2"/>
  <c r="B3277" i="2"/>
  <c r="C3276" i="2"/>
  <c r="B3276" i="2"/>
  <c r="C3275" i="2"/>
  <c r="B3275" i="2"/>
  <c r="C3274" i="2"/>
  <c r="B3274" i="2"/>
  <c r="C3273" i="2"/>
  <c r="B3273" i="2"/>
  <c r="C3272" i="2"/>
  <c r="B3272" i="2"/>
  <c r="C3271" i="2"/>
  <c r="B3271" i="2"/>
  <c r="C3270" i="2"/>
  <c r="B3270" i="2"/>
  <c r="C3269" i="2"/>
  <c r="B3269" i="2"/>
  <c r="C3268" i="2"/>
  <c r="B3268" i="2"/>
  <c r="C3267" i="2"/>
  <c r="B3267" i="2"/>
  <c r="C3266" i="2"/>
  <c r="B3266" i="2"/>
  <c r="C3265" i="2"/>
  <c r="B3265" i="2"/>
  <c r="C3264" i="2"/>
  <c r="B3264" i="2"/>
  <c r="C3263" i="2"/>
  <c r="B3263" i="2"/>
  <c r="C3262" i="2"/>
  <c r="B3262" i="2"/>
  <c r="C3261" i="2"/>
  <c r="B3261" i="2"/>
  <c r="C3260" i="2"/>
  <c r="B3260" i="2"/>
  <c r="C3259" i="2"/>
  <c r="B3259" i="2"/>
  <c r="C3258" i="2"/>
  <c r="B3258" i="2"/>
  <c r="C3257" i="2"/>
  <c r="B3257" i="2"/>
  <c r="C3256" i="2"/>
  <c r="B3256" i="2"/>
  <c r="C3255" i="2"/>
  <c r="B3255" i="2"/>
  <c r="C3254" i="2"/>
  <c r="B3254" i="2"/>
  <c r="C3253" i="2"/>
  <c r="B3253" i="2"/>
  <c r="C3252" i="2"/>
  <c r="B3252" i="2"/>
  <c r="C3251" i="2"/>
  <c r="B3251" i="2"/>
  <c r="C3250" i="2"/>
  <c r="B3250" i="2"/>
  <c r="C3249" i="2"/>
  <c r="B3249" i="2"/>
  <c r="C3248" i="2"/>
  <c r="B3248" i="2"/>
  <c r="C3247" i="2"/>
  <c r="B3247" i="2"/>
  <c r="C3246" i="2"/>
  <c r="B3246" i="2"/>
  <c r="C3245" i="2"/>
  <c r="B3245" i="2"/>
  <c r="C3244" i="2"/>
  <c r="B3244" i="2"/>
  <c r="C3243" i="2"/>
  <c r="B3243" i="2"/>
  <c r="C3242" i="2"/>
  <c r="B3242" i="2"/>
  <c r="C3241" i="2"/>
  <c r="B3241" i="2"/>
  <c r="C3240" i="2"/>
  <c r="B3240" i="2"/>
  <c r="C3239" i="2"/>
  <c r="B3239" i="2"/>
  <c r="C3238" i="2"/>
  <c r="B3238" i="2"/>
  <c r="C3237" i="2"/>
  <c r="B3237" i="2"/>
  <c r="C3236" i="2"/>
  <c r="B3236" i="2"/>
  <c r="C3235" i="2"/>
  <c r="B3235" i="2"/>
  <c r="C3234" i="2"/>
  <c r="B3234" i="2"/>
  <c r="C3233" i="2"/>
  <c r="B3233" i="2"/>
  <c r="C3232" i="2"/>
  <c r="B3232" i="2"/>
  <c r="C3231" i="2"/>
  <c r="B3231" i="2"/>
  <c r="C3230" i="2"/>
  <c r="B3230" i="2"/>
  <c r="C3229" i="2"/>
  <c r="B3229" i="2"/>
  <c r="C3228" i="2"/>
  <c r="B3228" i="2"/>
  <c r="C3227" i="2"/>
  <c r="B3227" i="2"/>
  <c r="C3226" i="2"/>
  <c r="B3226" i="2"/>
  <c r="C3225" i="2"/>
  <c r="B3225" i="2"/>
  <c r="C3224" i="2"/>
  <c r="B3224" i="2"/>
  <c r="C3223" i="2"/>
  <c r="B3223" i="2"/>
  <c r="C3222" i="2"/>
  <c r="B3222" i="2"/>
  <c r="C3221" i="2"/>
  <c r="B3221" i="2"/>
  <c r="C3220" i="2"/>
  <c r="B3220" i="2"/>
  <c r="C3219" i="2"/>
  <c r="B3219" i="2"/>
  <c r="C3218" i="2"/>
  <c r="B3218" i="2"/>
  <c r="C3217" i="2"/>
  <c r="B3217" i="2"/>
  <c r="C3216" i="2"/>
  <c r="B3216" i="2"/>
  <c r="C3215" i="2"/>
  <c r="B3215" i="2"/>
  <c r="C3214" i="2"/>
  <c r="B3214" i="2"/>
  <c r="C3213" i="2"/>
  <c r="B3213" i="2"/>
  <c r="C3212" i="2"/>
  <c r="B3212" i="2"/>
  <c r="C3211" i="2"/>
  <c r="B3211" i="2"/>
  <c r="C3210" i="2"/>
  <c r="B3210" i="2"/>
  <c r="C3209" i="2"/>
  <c r="B3209" i="2"/>
  <c r="C3208" i="2"/>
  <c r="B3208" i="2"/>
  <c r="C3207" i="2"/>
  <c r="B3207" i="2"/>
  <c r="C3206" i="2"/>
  <c r="B3206" i="2"/>
  <c r="C3205" i="2"/>
  <c r="B3205" i="2"/>
  <c r="C3204" i="2"/>
  <c r="B3204" i="2"/>
  <c r="C3203" i="2"/>
  <c r="B3203" i="2"/>
  <c r="C3202" i="2"/>
  <c r="B3202" i="2"/>
  <c r="C3201" i="2"/>
  <c r="B3201" i="2"/>
  <c r="C3200" i="2"/>
  <c r="B3200" i="2"/>
  <c r="C3199" i="2"/>
  <c r="B3199" i="2"/>
  <c r="C3198" i="2"/>
  <c r="B3198" i="2"/>
  <c r="C3197" i="2"/>
  <c r="B3197" i="2"/>
  <c r="C3196" i="2"/>
  <c r="B3196" i="2"/>
  <c r="C3195" i="2"/>
  <c r="B3195" i="2"/>
  <c r="C3194" i="2"/>
  <c r="B3194" i="2"/>
  <c r="C3193" i="2"/>
  <c r="B3193" i="2"/>
  <c r="C3192" i="2"/>
  <c r="B3192" i="2"/>
  <c r="C3191" i="2"/>
  <c r="B3191" i="2"/>
  <c r="C3190" i="2"/>
  <c r="B3190" i="2"/>
  <c r="C3189" i="2"/>
  <c r="B3189" i="2"/>
  <c r="C3188" i="2"/>
  <c r="B3188" i="2"/>
  <c r="C3187" i="2"/>
  <c r="B3187" i="2"/>
  <c r="C3186" i="2"/>
  <c r="B3186" i="2"/>
  <c r="C3185" i="2"/>
  <c r="B3185" i="2"/>
  <c r="C3184" i="2"/>
  <c r="B3184" i="2"/>
  <c r="C3183" i="2"/>
  <c r="B3183" i="2"/>
  <c r="C3182" i="2"/>
  <c r="B3182" i="2"/>
  <c r="C3181" i="2"/>
  <c r="B3181" i="2"/>
  <c r="C3180" i="2"/>
  <c r="B3180" i="2"/>
  <c r="C3179" i="2"/>
  <c r="B3179" i="2"/>
  <c r="C3178" i="2"/>
  <c r="B3178" i="2"/>
  <c r="C3177" i="2"/>
  <c r="B3177" i="2"/>
  <c r="C3176" i="2"/>
  <c r="B3176" i="2"/>
  <c r="C3175" i="2"/>
  <c r="B3175" i="2"/>
  <c r="C3174" i="2"/>
  <c r="B3174" i="2"/>
  <c r="C3173" i="2"/>
  <c r="B3173" i="2"/>
  <c r="C3172" i="2"/>
  <c r="B3172" i="2"/>
  <c r="C3171" i="2"/>
  <c r="B3171" i="2"/>
  <c r="C3170" i="2"/>
  <c r="B3170" i="2"/>
  <c r="C3169" i="2"/>
  <c r="B3169" i="2"/>
  <c r="C3168" i="2"/>
  <c r="B3168" i="2"/>
  <c r="C3167" i="2"/>
  <c r="B3167" i="2"/>
  <c r="C3166" i="2"/>
  <c r="B3166" i="2"/>
  <c r="C3165" i="2"/>
  <c r="B3165" i="2"/>
  <c r="C3164" i="2"/>
  <c r="B3164" i="2"/>
  <c r="C3163" i="2"/>
  <c r="B3163" i="2"/>
  <c r="C3162" i="2"/>
  <c r="B3162" i="2"/>
  <c r="C3161" i="2"/>
  <c r="B3161" i="2"/>
  <c r="C3160" i="2"/>
  <c r="B3160" i="2"/>
  <c r="C3159" i="2"/>
  <c r="B3159" i="2"/>
  <c r="C3158" i="2"/>
  <c r="B3158" i="2"/>
  <c r="C3157" i="2"/>
  <c r="B3157" i="2"/>
  <c r="C3156" i="2"/>
  <c r="B3156" i="2"/>
  <c r="C3155" i="2"/>
  <c r="B3155" i="2"/>
  <c r="C3154" i="2"/>
  <c r="B3154" i="2"/>
  <c r="C3153" i="2"/>
  <c r="B3153" i="2"/>
  <c r="C3152" i="2"/>
  <c r="B3152" i="2"/>
  <c r="C3151" i="2"/>
  <c r="B3151" i="2"/>
  <c r="C3150" i="2"/>
  <c r="B3150" i="2"/>
  <c r="C3149" i="2"/>
  <c r="B3149" i="2"/>
  <c r="C3148" i="2"/>
  <c r="B3148" i="2"/>
  <c r="C3147" i="2"/>
  <c r="B3147" i="2"/>
  <c r="C3146" i="2"/>
  <c r="B3146" i="2"/>
  <c r="C3145" i="2"/>
  <c r="B3145" i="2"/>
  <c r="C3144" i="2"/>
  <c r="B3144" i="2"/>
  <c r="C3143" i="2"/>
  <c r="B3143" i="2"/>
  <c r="C3142" i="2"/>
  <c r="B3142" i="2"/>
  <c r="C3141" i="2"/>
  <c r="B3141" i="2"/>
  <c r="C3140" i="2"/>
  <c r="B3140" i="2"/>
  <c r="C3139" i="2"/>
  <c r="B3139" i="2"/>
  <c r="C3138" i="2"/>
  <c r="B3138" i="2"/>
  <c r="C3137" i="2"/>
  <c r="B3137" i="2"/>
  <c r="C3136" i="2"/>
  <c r="B3136" i="2"/>
  <c r="C3135" i="2"/>
  <c r="B3135" i="2"/>
  <c r="C3134" i="2"/>
  <c r="B3134" i="2"/>
  <c r="C3133" i="2"/>
  <c r="B3133" i="2"/>
  <c r="C3132" i="2"/>
  <c r="B3132" i="2"/>
  <c r="C3131" i="2"/>
  <c r="B3131" i="2"/>
  <c r="C3130" i="2"/>
  <c r="B3130" i="2"/>
  <c r="C3129" i="2"/>
  <c r="B3129" i="2"/>
  <c r="C3128" i="2"/>
  <c r="B3128" i="2"/>
  <c r="C3127" i="2"/>
  <c r="B3127" i="2"/>
  <c r="C3126" i="2"/>
  <c r="B3126" i="2"/>
  <c r="C3125" i="2"/>
  <c r="B3125" i="2"/>
  <c r="C3124" i="2"/>
  <c r="B3124" i="2"/>
  <c r="C3123" i="2"/>
  <c r="B3123" i="2"/>
  <c r="C3122" i="2"/>
  <c r="B3122" i="2"/>
  <c r="C3121" i="2"/>
  <c r="B3121" i="2"/>
  <c r="C3120" i="2"/>
  <c r="B3120" i="2"/>
  <c r="C3119" i="2"/>
  <c r="B3119" i="2"/>
  <c r="C3118" i="2"/>
  <c r="B3118" i="2"/>
  <c r="C3117" i="2"/>
  <c r="B3117" i="2"/>
  <c r="C3116" i="2"/>
  <c r="B3116" i="2"/>
  <c r="C3115" i="2"/>
  <c r="B3115" i="2"/>
  <c r="C3114" i="2"/>
  <c r="B3114" i="2"/>
  <c r="C3113" i="2"/>
  <c r="B3113" i="2"/>
  <c r="C3112" i="2"/>
  <c r="B3112" i="2"/>
  <c r="C3111" i="2"/>
  <c r="B3111" i="2"/>
  <c r="C3110" i="2"/>
  <c r="B3110" i="2"/>
  <c r="C3109" i="2"/>
  <c r="B3109" i="2"/>
  <c r="C3108" i="2"/>
  <c r="B3108" i="2"/>
  <c r="C3107" i="2"/>
  <c r="B3107" i="2"/>
  <c r="C3106" i="2"/>
  <c r="B3106" i="2"/>
  <c r="C3105" i="2"/>
  <c r="B3105" i="2"/>
  <c r="C3104" i="2"/>
  <c r="B3104" i="2"/>
  <c r="C3103" i="2"/>
  <c r="B3103" i="2"/>
  <c r="C3102" i="2"/>
  <c r="B3102" i="2"/>
  <c r="C3101" i="2"/>
  <c r="B3101" i="2"/>
  <c r="C3100" i="2"/>
  <c r="B3100" i="2"/>
  <c r="C3099" i="2"/>
  <c r="B3099" i="2"/>
  <c r="C3098" i="2"/>
  <c r="B3098" i="2"/>
  <c r="C3097" i="2"/>
  <c r="B3097" i="2"/>
  <c r="C3096" i="2"/>
  <c r="B3096" i="2"/>
  <c r="C3095" i="2"/>
  <c r="B3095" i="2"/>
  <c r="C3094" i="2"/>
  <c r="B3094" i="2"/>
  <c r="C3093" i="2"/>
  <c r="B3093" i="2"/>
  <c r="C3092" i="2"/>
  <c r="B3092" i="2"/>
  <c r="C3091" i="2"/>
  <c r="B3091" i="2"/>
  <c r="C3090" i="2"/>
  <c r="B3090" i="2"/>
  <c r="C3089" i="2"/>
  <c r="B3089" i="2"/>
  <c r="C3088" i="2"/>
  <c r="B3088" i="2"/>
  <c r="C3087" i="2"/>
  <c r="B3087" i="2"/>
  <c r="C3086" i="2"/>
  <c r="B3086" i="2"/>
  <c r="C3085" i="2"/>
  <c r="B3085" i="2"/>
  <c r="C3084" i="2"/>
  <c r="B3084" i="2"/>
  <c r="C3083" i="2"/>
  <c r="B3083" i="2"/>
  <c r="C3082" i="2"/>
  <c r="B3082" i="2"/>
  <c r="C3081" i="2"/>
  <c r="B3081" i="2"/>
  <c r="C3080" i="2"/>
  <c r="B3080" i="2"/>
  <c r="C3079" i="2"/>
  <c r="B3079" i="2"/>
  <c r="C3078" i="2"/>
  <c r="B3078" i="2"/>
  <c r="C3077" i="2"/>
  <c r="B3077" i="2"/>
  <c r="C3076" i="2"/>
  <c r="B3076" i="2"/>
  <c r="C3075" i="2"/>
  <c r="B3075" i="2"/>
  <c r="C3074" i="2"/>
  <c r="B3074" i="2"/>
  <c r="C3073" i="2"/>
  <c r="B3073" i="2"/>
  <c r="C3072" i="2"/>
  <c r="B3072" i="2"/>
  <c r="C3071" i="2"/>
  <c r="B3071" i="2"/>
  <c r="C3070" i="2"/>
  <c r="B3070" i="2"/>
  <c r="C3069" i="2"/>
  <c r="B3069" i="2"/>
  <c r="C3068" i="2"/>
  <c r="B3068" i="2"/>
  <c r="C3067" i="2"/>
  <c r="B3067" i="2"/>
  <c r="C3066" i="2"/>
  <c r="B3066" i="2"/>
  <c r="C3065" i="2"/>
  <c r="B3065" i="2"/>
  <c r="C3064" i="2"/>
  <c r="B3064" i="2"/>
  <c r="C3063" i="2"/>
  <c r="B3063" i="2"/>
  <c r="C3062" i="2"/>
  <c r="B3062" i="2"/>
  <c r="C3061" i="2"/>
  <c r="B3061" i="2"/>
  <c r="C3060" i="2"/>
  <c r="B3060" i="2"/>
  <c r="C3059" i="2"/>
  <c r="B3059" i="2"/>
  <c r="C3058" i="2"/>
  <c r="B3058" i="2"/>
  <c r="C3057" i="2"/>
  <c r="B3057" i="2"/>
  <c r="C3056" i="2"/>
  <c r="B3056" i="2"/>
  <c r="C3055" i="2"/>
  <c r="B3055" i="2"/>
  <c r="C3054" i="2"/>
  <c r="B3054" i="2"/>
  <c r="C3053" i="2"/>
  <c r="B3053" i="2"/>
  <c r="C3052" i="2"/>
  <c r="B3052" i="2"/>
  <c r="C3051" i="2"/>
  <c r="B3051" i="2"/>
  <c r="C3050" i="2"/>
  <c r="B3050" i="2"/>
  <c r="C3049" i="2"/>
  <c r="B3049" i="2"/>
  <c r="C3048" i="2"/>
  <c r="B3048" i="2"/>
  <c r="C3047" i="2"/>
  <c r="B3047" i="2"/>
  <c r="C3046" i="2"/>
  <c r="B3046" i="2"/>
  <c r="C3045" i="2"/>
  <c r="B3045" i="2"/>
  <c r="C3044" i="2"/>
  <c r="B3044" i="2"/>
  <c r="C3043" i="2"/>
  <c r="B3043" i="2"/>
  <c r="C3042" i="2"/>
  <c r="B3042" i="2"/>
  <c r="C3041" i="2"/>
  <c r="B3041" i="2"/>
  <c r="C3040" i="2"/>
  <c r="B3040" i="2"/>
  <c r="C3039" i="2"/>
  <c r="B3039" i="2"/>
  <c r="C3038" i="2"/>
  <c r="B3038" i="2"/>
  <c r="C3037" i="2"/>
  <c r="B3037" i="2"/>
  <c r="C3036" i="2"/>
  <c r="B3036" i="2"/>
  <c r="C3035" i="2"/>
  <c r="B3035" i="2"/>
  <c r="C3034" i="2"/>
  <c r="B3034" i="2"/>
  <c r="C3033" i="2"/>
  <c r="B3033" i="2"/>
  <c r="C3032" i="2"/>
  <c r="B3032" i="2"/>
  <c r="C3031" i="2"/>
  <c r="B3031" i="2"/>
  <c r="C3030" i="2"/>
  <c r="B3030" i="2"/>
  <c r="C3029" i="2"/>
  <c r="B3029" i="2"/>
  <c r="C3028" i="2"/>
  <c r="B3028" i="2"/>
  <c r="C3027" i="2"/>
  <c r="B3027" i="2"/>
  <c r="C3026" i="2"/>
  <c r="B3026" i="2"/>
  <c r="C3025" i="2"/>
  <c r="B3025" i="2"/>
  <c r="C3024" i="2"/>
  <c r="B3024" i="2"/>
  <c r="C3023" i="2"/>
  <c r="B3023" i="2"/>
  <c r="C3022" i="2"/>
  <c r="B3022" i="2"/>
  <c r="C3021" i="2"/>
  <c r="B3021" i="2"/>
  <c r="C3020" i="2"/>
  <c r="B3020" i="2"/>
  <c r="C3019" i="2"/>
  <c r="B3019" i="2"/>
  <c r="C3018" i="2"/>
  <c r="B3018" i="2"/>
  <c r="C3017" i="2"/>
  <c r="B3017" i="2"/>
  <c r="C3016" i="2"/>
  <c r="B3016" i="2"/>
  <c r="C3015" i="2"/>
  <c r="B3015" i="2"/>
  <c r="C3014" i="2"/>
  <c r="B3014" i="2"/>
  <c r="C3013" i="2"/>
  <c r="B3013" i="2"/>
  <c r="C3012" i="2"/>
  <c r="B3012" i="2"/>
  <c r="C3011" i="2"/>
  <c r="B3011" i="2"/>
  <c r="C3010" i="2"/>
  <c r="B3010" i="2"/>
  <c r="C3009" i="2"/>
  <c r="B3009" i="2"/>
  <c r="C3008" i="2"/>
  <c r="B3008" i="2"/>
  <c r="C3007" i="2"/>
  <c r="B3007" i="2"/>
  <c r="C3006" i="2"/>
  <c r="B3006" i="2"/>
  <c r="C3005" i="2"/>
  <c r="B3005" i="2"/>
  <c r="C3004" i="2"/>
  <c r="B3004" i="2"/>
  <c r="C3003" i="2"/>
  <c r="B3003" i="2"/>
  <c r="C3002" i="2"/>
  <c r="B3002" i="2"/>
  <c r="C3001" i="2"/>
  <c r="B3001" i="2"/>
  <c r="C3000" i="2"/>
  <c r="B3000" i="2"/>
  <c r="C2999" i="2"/>
  <c r="B2999" i="2"/>
  <c r="C2998" i="2"/>
  <c r="B2998" i="2"/>
  <c r="C2997" i="2"/>
  <c r="B2997" i="2"/>
  <c r="C2996" i="2"/>
  <c r="B2996" i="2"/>
  <c r="C2995" i="2"/>
  <c r="B2995" i="2"/>
  <c r="C2994" i="2"/>
  <c r="B2994" i="2"/>
  <c r="C2993" i="2"/>
  <c r="B2993" i="2"/>
  <c r="C2992" i="2"/>
  <c r="B2992" i="2"/>
  <c r="C2991" i="2"/>
  <c r="B2991" i="2"/>
  <c r="C2990" i="2"/>
  <c r="B2990" i="2"/>
  <c r="C2989" i="2"/>
  <c r="B2989" i="2"/>
  <c r="C2988" i="2"/>
  <c r="B2988" i="2"/>
  <c r="C2987" i="2"/>
  <c r="B2987" i="2"/>
  <c r="C2986" i="2"/>
  <c r="B2986" i="2"/>
  <c r="C2985" i="2"/>
  <c r="B2985" i="2"/>
  <c r="C2984" i="2"/>
  <c r="B2984" i="2"/>
  <c r="C2983" i="2"/>
  <c r="B2983" i="2"/>
  <c r="C2982" i="2"/>
  <c r="B2982" i="2"/>
  <c r="C2981" i="2"/>
  <c r="B2981" i="2"/>
  <c r="C2980" i="2"/>
  <c r="B2980" i="2"/>
  <c r="C2979" i="2"/>
  <c r="B2979" i="2"/>
  <c r="C2978" i="2"/>
  <c r="B2978" i="2"/>
  <c r="C2977" i="2"/>
  <c r="B2977" i="2"/>
  <c r="C2976" i="2"/>
  <c r="B2976" i="2"/>
  <c r="C2975" i="2"/>
  <c r="B2975" i="2"/>
  <c r="C2974" i="2"/>
  <c r="B2974" i="2"/>
  <c r="C2973" i="2"/>
  <c r="B2973" i="2"/>
  <c r="C2972" i="2"/>
  <c r="B2972" i="2"/>
  <c r="C2971" i="2"/>
  <c r="B2971" i="2"/>
  <c r="C2970" i="2"/>
  <c r="B2970" i="2"/>
  <c r="C2969" i="2"/>
  <c r="B2969" i="2"/>
  <c r="C2968" i="2"/>
  <c r="B2968" i="2"/>
  <c r="C2967" i="2"/>
  <c r="B2967" i="2"/>
  <c r="C2966" i="2"/>
  <c r="B2966" i="2"/>
  <c r="C2965" i="2"/>
  <c r="B2965" i="2"/>
  <c r="C2964" i="2"/>
  <c r="B2964" i="2"/>
  <c r="C2963" i="2"/>
  <c r="B2963" i="2"/>
  <c r="C2962" i="2"/>
  <c r="B2962" i="2"/>
  <c r="C2961" i="2"/>
  <c r="B2961" i="2"/>
  <c r="C2960" i="2"/>
  <c r="B2960" i="2"/>
  <c r="C2959" i="2"/>
  <c r="B2959" i="2"/>
  <c r="C2958" i="2"/>
  <c r="B2958" i="2"/>
  <c r="C2957" i="2"/>
  <c r="B2957" i="2"/>
  <c r="C2956" i="2"/>
  <c r="B2956" i="2"/>
  <c r="C2955" i="2"/>
  <c r="B2955" i="2"/>
  <c r="C2954" i="2"/>
  <c r="B2954" i="2"/>
  <c r="C2953" i="2"/>
  <c r="B2953" i="2"/>
  <c r="C2952" i="2"/>
  <c r="B2952" i="2"/>
  <c r="C2951" i="2"/>
  <c r="B2951" i="2"/>
  <c r="C2950" i="2"/>
  <c r="B2950" i="2"/>
  <c r="C2949" i="2"/>
  <c r="B2949" i="2"/>
  <c r="C2948" i="2"/>
  <c r="B2948" i="2"/>
  <c r="C2947" i="2"/>
  <c r="B2947" i="2"/>
  <c r="C2946" i="2"/>
  <c r="B2946" i="2"/>
  <c r="C2945" i="2"/>
  <c r="B2945" i="2"/>
  <c r="C2944" i="2"/>
  <c r="B2944" i="2"/>
  <c r="C2943" i="2"/>
  <c r="B2943" i="2"/>
  <c r="C2942" i="2"/>
  <c r="B2942" i="2"/>
  <c r="C2941" i="2"/>
  <c r="B2941" i="2"/>
  <c r="C2940" i="2"/>
  <c r="B2940" i="2"/>
  <c r="C2939" i="2"/>
  <c r="B2939" i="2"/>
  <c r="C2938" i="2"/>
  <c r="B2938" i="2"/>
  <c r="C2937" i="2"/>
  <c r="B2937" i="2"/>
  <c r="C2936" i="2"/>
  <c r="B2936" i="2"/>
  <c r="C2935" i="2"/>
  <c r="B2935" i="2"/>
  <c r="C2934" i="2"/>
  <c r="B2934" i="2"/>
  <c r="C2933" i="2"/>
  <c r="B2933" i="2"/>
  <c r="C2932" i="2"/>
  <c r="B2932" i="2"/>
  <c r="C2931" i="2"/>
  <c r="B2931" i="2"/>
  <c r="C2930" i="2"/>
  <c r="B2930" i="2"/>
  <c r="C2929" i="2"/>
  <c r="B2929" i="2"/>
  <c r="C2928" i="2"/>
  <c r="B2928" i="2"/>
  <c r="C2927" i="2"/>
  <c r="B2927" i="2"/>
  <c r="C2926" i="2"/>
  <c r="B2926" i="2"/>
  <c r="C2925" i="2"/>
  <c r="B2925" i="2"/>
  <c r="C2924" i="2"/>
  <c r="B2924" i="2"/>
  <c r="C2923" i="2"/>
  <c r="B2923" i="2"/>
  <c r="C2922" i="2"/>
  <c r="B2922" i="2"/>
  <c r="C2921" i="2"/>
  <c r="B2921" i="2"/>
  <c r="C2920" i="2"/>
  <c r="B2920" i="2"/>
  <c r="C2919" i="2"/>
  <c r="B2919" i="2"/>
  <c r="C2918" i="2"/>
  <c r="B2918" i="2"/>
  <c r="C2917" i="2"/>
  <c r="B2917" i="2"/>
  <c r="C2916" i="2"/>
  <c r="B2916" i="2"/>
  <c r="C2915" i="2"/>
  <c r="B2915" i="2"/>
  <c r="C2914" i="2"/>
  <c r="B2914" i="2"/>
  <c r="C2913" i="2"/>
  <c r="B2913" i="2"/>
  <c r="C2912" i="2"/>
  <c r="B2912" i="2"/>
  <c r="C2911" i="2"/>
  <c r="B2911" i="2"/>
  <c r="C2910" i="2"/>
  <c r="B2910" i="2"/>
  <c r="C2909" i="2"/>
  <c r="B2909" i="2"/>
  <c r="C2908" i="2"/>
  <c r="B2908" i="2"/>
  <c r="C2907" i="2"/>
  <c r="B2907" i="2"/>
  <c r="C2906" i="2"/>
  <c r="B2906" i="2"/>
  <c r="C2905" i="2"/>
  <c r="B2905" i="2"/>
  <c r="C2904" i="2"/>
  <c r="B2904" i="2"/>
  <c r="C2903" i="2"/>
  <c r="B2903" i="2"/>
  <c r="C2902" i="2"/>
  <c r="B2902" i="2"/>
  <c r="C2901" i="2"/>
  <c r="B2901" i="2"/>
  <c r="C2900" i="2"/>
  <c r="B2900" i="2"/>
  <c r="C2899" i="2"/>
  <c r="B2899" i="2"/>
  <c r="C2898" i="2"/>
  <c r="B2898" i="2"/>
  <c r="C2897" i="2"/>
  <c r="B2897" i="2"/>
  <c r="C2896" i="2"/>
  <c r="B2896" i="2"/>
  <c r="C2895" i="2"/>
  <c r="B2895" i="2"/>
  <c r="C2894" i="2"/>
  <c r="B2894" i="2"/>
  <c r="C2893" i="2"/>
  <c r="B2893" i="2"/>
  <c r="C2892" i="2"/>
  <c r="B2892" i="2"/>
  <c r="C2891" i="2"/>
  <c r="B2891" i="2"/>
  <c r="C2890" i="2"/>
  <c r="B2890" i="2"/>
  <c r="C2889" i="2"/>
  <c r="B2889" i="2"/>
  <c r="C2888" i="2"/>
  <c r="B2888" i="2"/>
  <c r="C2887" i="2"/>
  <c r="B2887" i="2"/>
  <c r="C2886" i="2"/>
  <c r="B2886" i="2"/>
  <c r="C2885" i="2"/>
  <c r="B2885" i="2"/>
  <c r="C2884" i="2"/>
  <c r="B2884" i="2"/>
  <c r="C2883" i="2"/>
  <c r="B2883" i="2"/>
  <c r="C2882" i="2"/>
  <c r="B2882" i="2"/>
  <c r="C2881" i="2"/>
  <c r="B2881" i="2"/>
  <c r="C2880" i="2"/>
  <c r="B2880" i="2"/>
  <c r="C2879" i="2"/>
  <c r="B2879" i="2"/>
  <c r="C2878" i="2"/>
  <c r="B2878" i="2"/>
  <c r="C2877" i="2"/>
  <c r="B2877" i="2"/>
  <c r="C2876" i="2"/>
  <c r="B2876" i="2"/>
  <c r="C2875" i="2"/>
  <c r="B2875" i="2"/>
  <c r="C2874" i="2"/>
  <c r="B2874" i="2"/>
  <c r="C2873" i="2"/>
  <c r="B2873" i="2"/>
  <c r="C2872" i="2"/>
  <c r="B2872" i="2"/>
  <c r="C2871" i="2"/>
  <c r="B2871" i="2"/>
  <c r="C2870" i="2"/>
  <c r="B2870" i="2"/>
  <c r="C2869" i="2"/>
  <c r="B2869" i="2"/>
  <c r="C2868" i="2"/>
  <c r="B2868" i="2"/>
  <c r="C2867" i="2"/>
  <c r="B2867" i="2"/>
  <c r="C2866" i="2"/>
  <c r="B2866" i="2"/>
  <c r="C2865" i="2"/>
  <c r="B2865" i="2"/>
  <c r="C2864" i="2"/>
  <c r="B2864" i="2"/>
  <c r="C2863" i="2"/>
  <c r="B2863" i="2"/>
  <c r="C2862" i="2"/>
  <c r="B2862" i="2"/>
  <c r="C2861" i="2"/>
  <c r="B2861" i="2"/>
  <c r="C2860" i="2"/>
  <c r="B2860" i="2"/>
  <c r="C2859" i="2"/>
  <c r="B2859" i="2"/>
  <c r="C2858" i="2"/>
  <c r="B2858" i="2"/>
  <c r="C2857" i="2"/>
  <c r="B2857" i="2"/>
  <c r="C2856" i="2"/>
  <c r="B2856" i="2"/>
  <c r="C2855" i="2"/>
  <c r="B2855" i="2"/>
  <c r="C2854" i="2"/>
  <c r="B2854" i="2"/>
  <c r="C2853" i="2"/>
  <c r="B2853" i="2"/>
  <c r="C2852" i="2"/>
  <c r="B2852" i="2"/>
  <c r="C2851" i="2"/>
  <c r="B2851" i="2"/>
  <c r="C2850" i="2"/>
  <c r="B2850" i="2"/>
  <c r="C2849" i="2"/>
  <c r="B2849" i="2"/>
  <c r="C2848" i="2"/>
  <c r="B2848" i="2"/>
  <c r="C2847" i="2"/>
  <c r="B2847" i="2"/>
  <c r="C2846" i="2"/>
  <c r="B2846" i="2"/>
  <c r="C2845" i="2"/>
  <c r="B2845" i="2"/>
  <c r="C2844" i="2"/>
  <c r="B2844" i="2"/>
  <c r="C2843" i="2"/>
  <c r="B2843" i="2"/>
  <c r="C2842" i="2"/>
  <c r="B2842" i="2"/>
  <c r="C2841" i="2"/>
  <c r="B2841" i="2"/>
  <c r="C2840" i="2"/>
  <c r="B2840" i="2"/>
  <c r="C2839" i="2"/>
  <c r="B2839" i="2"/>
  <c r="C2838" i="2"/>
  <c r="B2838" i="2"/>
  <c r="C2837" i="2"/>
  <c r="B2837" i="2"/>
  <c r="C2836" i="2"/>
  <c r="B2836" i="2"/>
  <c r="C2835" i="2"/>
  <c r="B2835" i="2"/>
  <c r="C2834" i="2"/>
  <c r="B2834" i="2"/>
  <c r="C2833" i="2"/>
  <c r="B2833" i="2"/>
  <c r="C2832" i="2"/>
  <c r="B2832" i="2"/>
  <c r="C2831" i="2"/>
  <c r="B2831" i="2"/>
  <c r="C2830" i="2"/>
  <c r="B2830" i="2"/>
  <c r="C2829" i="2"/>
  <c r="B2829" i="2"/>
  <c r="C2828" i="2"/>
  <c r="B2828" i="2"/>
  <c r="C2827" i="2"/>
  <c r="B2827" i="2"/>
  <c r="C2826" i="2"/>
  <c r="B2826" i="2"/>
  <c r="C2825" i="2"/>
  <c r="B2825" i="2"/>
  <c r="C2824" i="2"/>
  <c r="B2824" i="2"/>
  <c r="C2823" i="2"/>
  <c r="B2823" i="2"/>
  <c r="C2822" i="2"/>
  <c r="B2822" i="2"/>
  <c r="C2821" i="2"/>
  <c r="B2821" i="2"/>
  <c r="C2820" i="2"/>
  <c r="B2820" i="2"/>
  <c r="C2819" i="2"/>
  <c r="B2819" i="2"/>
  <c r="C2818" i="2"/>
  <c r="B2818" i="2"/>
  <c r="C2817" i="2"/>
  <c r="B2817" i="2"/>
  <c r="C2816" i="2"/>
  <c r="B2816" i="2"/>
  <c r="C2815" i="2"/>
  <c r="B2815" i="2"/>
  <c r="C2814" i="2"/>
  <c r="B2814" i="2"/>
  <c r="C2813" i="2"/>
  <c r="B2813" i="2"/>
  <c r="C2812" i="2"/>
  <c r="B2812" i="2"/>
  <c r="C2811" i="2"/>
  <c r="B2811" i="2"/>
  <c r="C2810" i="2"/>
  <c r="B2810" i="2"/>
  <c r="C2809" i="2"/>
  <c r="B2809" i="2"/>
  <c r="C2808" i="2"/>
  <c r="B2808" i="2"/>
  <c r="C2807" i="2"/>
  <c r="B2807" i="2"/>
  <c r="C2806" i="2"/>
  <c r="B2806" i="2"/>
  <c r="C2805" i="2"/>
  <c r="B2805" i="2"/>
  <c r="C2804" i="2"/>
  <c r="B2804" i="2"/>
  <c r="C2803" i="2"/>
  <c r="B2803" i="2"/>
  <c r="C2802" i="2"/>
  <c r="B2802" i="2"/>
  <c r="C2801" i="2"/>
  <c r="B2801" i="2"/>
  <c r="C2800" i="2"/>
  <c r="B2800" i="2"/>
  <c r="C2799" i="2"/>
  <c r="B2799" i="2"/>
  <c r="C2798" i="2"/>
  <c r="B2798" i="2"/>
  <c r="C2797" i="2"/>
  <c r="B2797" i="2"/>
  <c r="C2796" i="2"/>
  <c r="B2796" i="2"/>
  <c r="C2795" i="2"/>
  <c r="B2795" i="2"/>
  <c r="C2794" i="2"/>
  <c r="B2794" i="2"/>
  <c r="C2793" i="2"/>
  <c r="B2793" i="2"/>
  <c r="C2792" i="2"/>
  <c r="B2792" i="2"/>
  <c r="C2791" i="2"/>
  <c r="B2791" i="2"/>
  <c r="C2790" i="2"/>
  <c r="B2790" i="2"/>
  <c r="C2789" i="2"/>
  <c r="B2789" i="2"/>
  <c r="C2788" i="2"/>
  <c r="B2788" i="2"/>
  <c r="C2787" i="2"/>
  <c r="B2787" i="2"/>
  <c r="C2786" i="2"/>
  <c r="B2786" i="2"/>
  <c r="C2785" i="2"/>
  <c r="B2785" i="2"/>
  <c r="C2784" i="2"/>
  <c r="B2784" i="2"/>
  <c r="C2783" i="2"/>
  <c r="B2783" i="2"/>
  <c r="C2782" i="2"/>
  <c r="B2782" i="2"/>
  <c r="C2781" i="2"/>
  <c r="B2781" i="2"/>
  <c r="C2780" i="2"/>
  <c r="B2780" i="2"/>
  <c r="C2779" i="2"/>
  <c r="B2779" i="2"/>
  <c r="C2778" i="2"/>
  <c r="B2778" i="2"/>
  <c r="C2777" i="2"/>
  <c r="B2777" i="2"/>
  <c r="C2776" i="2"/>
  <c r="B2776" i="2"/>
  <c r="C2775" i="2"/>
  <c r="B2775" i="2"/>
  <c r="C2774" i="2"/>
  <c r="B2774" i="2"/>
  <c r="C2773" i="2"/>
  <c r="B2773" i="2"/>
  <c r="C2772" i="2"/>
  <c r="B2772" i="2"/>
  <c r="C2771" i="2"/>
  <c r="B2771" i="2"/>
  <c r="C2770" i="2"/>
  <c r="B2770" i="2"/>
  <c r="C2769" i="2"/>
  <c r="B2769" i="2"/>
  <c r="C2768" i="2"/>
  <c r="B2768" i="2"/>
  <c r="C2767" i="2"/>
  <c r="B2767" i="2"/>
  <c r="C2766" i="2"/>
  <c r="B2766" i="2"/>
  <c r="C2765" i="2"/>
  <c r="B2765" i="2"/>
  <c r="C2764" i="2"/>
  <c r="B2764" i="2"/>
  <c r="C2763" i="2"/>
  <c r="B2763" i="2"/>
  <c r="C2762" i="2"/>
  <c r="B2762" i="2"/>
  <c r="C2761" i="2"/>
  <c r="B2761" i="2"/>
  <c r="C2760" i="2"/>
  <c r="B2760" i="2"/>
  <c r="C2759" i="2"/>
  <c r="B2759" i="2"/>
  <c r="C2758" i="2"/>
  <c r="B2758" i="2"/>
  <c r="C2757" i="2"/>
  <c r="B2757" i="2"/>
  <c r="C2756" i="2"/>
  <c r="B2756" i="2"/>
  <c r="C2755" i="2"/>
  <c r="B2755" i="2"/>
  <c r="C2754" i="2"/>
  <c r="B2754" i="2"/>
  <c r="C2753" i="2"/>
  <c r="B2753" i="2"/>
  <c r="C2752" i="2"/>
  <c r="B2752" i="2"/>
  <c r="C2751" i="2"/>
  <c r="B2751" i="2"/>
  <c r="C2750" i="2"/>
  <c r="B2750" i="2"/>
  <c r="C2749" i="2"/>
  <c r="B2749" i="2"/>
  <c r="C2748" i="2"/>
  <c r="B2748" i="2"/>
  <c r="C2747" i="2"/>
  <c r="B2747" i="2"/>
  <c r="C2746" i="2"/>
  <c r="B2746" i="2"/>
  <c r="C2745" i="2"/>
  <c r="B2745" i="2"/>
  <c r="C2744" i="2"/>
  <c r="B2744" i="2"/>
  <c r="C2743" i="2"/>
  <c r="B2743" i="2"/>
  <c r="C2742" i="2"/>
  <c r="B2742" i="2"/>
  <c r="C2741" i="2"/>
  <c r="B2741" i="2"/>
  <c r="C2740" i="2"/>
  <c r="B2740" i="2"/>
  <c r="C2739" i="2"/>
  <c r="B2739" i="2"/>
  <c r="C2738" i="2"/>
  <c r="B2738" i="2"/>
  <c r="C2737" i="2"/>
  <c r="B2737" i="2"/>
  <c r="C2736" i="2"/>
  <c r="B2736" i="2"/>
  <c r="C2735" i="2"/>
  <c r="B2735" i="2"/>
  <c r="C2734" i="2"/>
  <c r="B2734" i="2"/>
  <c r="C2733" i="2"/>
  <c r="B2733" i="2"/>
  <c r="C2732" i="2"/>
  <c r="B2732" i="2"/>
  <c r="C2731" i="2"/>
  <c r="B2731" i="2"/>
  <c r="C2730" i="2"/>
  <c r="B2730" i="2"/>
  <c r="C2729" i="2"/>
  <c r="B2729" i="2"/>
  <c r="C2728" i="2"/>
  <c r="B2728" i="2"/>
  <c r="C2727" i="2"/>
  <c r="B2727" i="2"/>
  <c r="C2726" i="2"/>
  <c r="B2726" i="2"/>
  <c r="C2725" i="2"/>
  <c r="B2725" i="2"/>
  <c r="C2724" i="2"/>
  <c r="B2724" i="2"/>
  <c r="C2723" i="2"/>
  <c r="B2723" i="2"/>
  <c r="C2722" i="2"/>
  <c r="B2722" i="2"/>
  <c r="C2721" i="2"/>
  <c r="B2721" i="2"/>
  <c r="C2720" i="2"/>
  <c r="B2720" i="2"/>
  <c r="C2719" i="2"/>
  <c r="B2719" i="2"/>
  <c r="C2718" i="2"/>
  <c r="B2718" i="2"/>
  <c r="C2717" i="2"/>
  <c r="B2717" i="2"/>
  <c r="C2716" i="2"/>
  <c r="B2716" i="2"/>
  <c r="C2715" i="2"/>
  <c r="B2715" i="2"/>
  <c r="C2714" i="2"/>
  <c r="B2714" i="2"/>
  <c r="C2713" i="2"/>
  <c r="B2713" i="2"/>
  <c r="C2712" i="2"/>
  <c r="B2712" i="2"/>
  <c r="C2711" i="2"/>
  <c r="B2711" i="2"/>
  <c r="C2710" i="2"/>
  <c r="B2710" i="2"/>
  <c r="C2709" i="2"/>
  <c r="B2709" i="2"/>
  <c r="C2708" i="2"/>
  <c r="B2708" i="2"/>
  <c r="C2707" i="2"/>
  <c r="B2707" i="2"/>
  <c r="C2706" i="2"/>
  <c r="B2706" i="2"/>
  <c r="C2705" i="2"/>
  <c r="B2705" i="2"/>
  <c r="C2704" i="2"/>
  <c r="B2704" i="2"/>
  <c r="C2703" i="2"/>
  <c r="B2703" i="2"/>
  <c r="C2702" i="2"/>
  <c r="B2702" i="2"/>
  <c r="C2701" i="2"/>
  <c r="B2701" i="2"/>
  <c r="C2700" i="2"/>
  <c r="B2700" i="2"/>
  <c r="C2699" i="2"/>
  <c r="B2699" i="2"/>
  <c r="C2698" i="2"/>
  <c r="B2698" i="2"/>
  <c r="C2697" i="2"/>
  <c r="B2697" i="2"/>
  <c r="C2696" i="2"/>
  <c r="B2696" i="2"/>
  <c r="C2695" i="2"/>
  <c r="B2695" i="2"/>
  <c r="C2694" i="2"/>
  <c r="B2694" i="2"/>
  <c r="C2693" i="2"/>
  <c r="B2693" i="2"/>
  <c r="C2692" i="2"/>
  <c r="B2692" i="2"/>
  <c r="C2691" i="2"/>
  <c r="B2691" i="2"/>
  <c r="C2690" i="2"/>
  <c r="B2690" i="2"/>
  <c r="C2689" i="2"/>
  <c r="B2689" i="2"/>
  <c r="C2688" i="2"/>
  <c r="B2688" i="2"/>
  <c r="C2687" i="2"/>
  <c r="B2687" i="2"/>
  <c r="C2686" i="2"/>
  <c r="B2686" i="2"/>
  <c r="C2685" i="2"/>
  <c r="B2685" i="2"/>
  <c r="C2684" i="2"/>
  <c r="B2684" i="2"/>
  <c r="C2683" i="2"/>
  <c r="B2683" i="2"/>
  <c r="C2682" i="2"/>
  <c r="B2682" i="2"/>
  <c r="C2681" i="2"/>
  <c r="B2681" i="2"/>
  <c r="C2680" i="2"/>
  <c r="B2680" i="2"/>
  <c r="C2679" i="2"/>
  <c r="B2679" i="2"/>
  <c r="C2678" i="2"/>
  <c r="B2678" i="2"/>
  <c r="C2677" i="2"/>
  <c r="B2677" i="2"/>
  <c r="C2676" i="2"/>
  <c r="B2676" i="2"/>
  <c r="C2675" i="2"/>
  <c r="B2675" i="2"/>
  <c r="C2674" i="2"/>
  <c r="B2674" i="2"/>
  <c r="C2673" i="2"/>
  <c r="B2673" i="2"/>
  <c r="C2672" i="2"/>
  <c r="B2672" i="2"/>
  <c r="C2671" i="2"/>
  <c r="B2671" i="2"/>
  <c r="C2670" i="2"/>
  <c r="B2670" i="2"/>
  <c r="C2669" i="2"/>
  <c r="B2669" i="2"/>
  <c r="C2668" i="2"/>
  <c r="B2668" i="2"/>
  <c r="C2667" i="2"/>
  <c r="B2667" i="2"/>
  <c r="C2666" i="2"/>
  <c r="B2666" i="2"/>
  <c r="C2665" i="2"/>
  <c r="B2665" i="2"/>
  <c r="C2664" i="2"/>
  <c r="B2664" i="2"/>
  <c r="C2663" i="2"/>
  <c r="B2663" i="2"/>
  <c r="C2662" i="2"/>
  <c r="B2662" i="2"/>
  <c r="C2661" i="2"/>
  <c r="B2661" i="2"/>
  <c r="C2660" i="2"/>
  <c r="B2660" i="2"/>
  <c r="C2659" i="2"/>
  <c r="B2659" i="2"/>
  <c r="C2658" i="2"/>
  <c r="B2658" i="2"/>
  <c r="C2657" i="2"/>
  <c r="B2657" i="2"/>
  <c r="C2656" i="2"/>
  <c r="B2656" i="2"/>
  <c r="C2655" i="2"/>
  <c r="B2655" i="2"/>
  <c r="C2654" i="2"/>
  <c r="B2654" i="2"/>
  <c r="C2653" i="2"/>
  <c r="B2653" i="2"/>
  <c r="C2652" i="2"/>
  <c r="B2652" i="2"/>
  <c r="C2651" i="2"/>
  <c r="B2651" i="2"/>
  <c r="C2650" i="2"/>
  <c r="B2650" i="2"/>
  <c r="C2649" i="2"/>
  <c r="B2649" i="2"/>
  <c r="C2648" i="2"/>
  <c r="B2648" i="2"/>
  <c r="C2647" i="2"/>
  <c r="B2647" i="2"/>
  <c r="C2646" i="2"/>
  <c r="B2646" i="2"/>
  <c r="C2645" i="2"/>
  <c r="B2645" i="2"/>
  <c r="C2644" i="2"/>
  <c r="B2644" i="2"/>
  <c r="C2643" i="2"/>
  <c r="B2643" i="2"/>
  <c r="C2642" i="2"/>
  <c r="B2642" i="2"/>
  <c r="C2641" i="2"/>
  <c r="B2641" i="2"/>
  <c r="C2640" i="2"/>
  <c r="B2640" i="2"/>
  <c r="C2639" i="2"/>
  <c r="B2639" i="2"/>
  <c r="C2638" i="2"/>
  <c r="B2638" i="2"/>
  <c r="C2637" i="2"/>
  <c r="B2637" i="2"/>
  <c r="C2636" i="2"/>
  <c r="B2636" i="2"/>
  <c r="C2635" i="2"/>
  <c r="B2635" i="2"/>
  <c r="C2634" i="2"/>
  <c r="B2634" i="2"/>
  <c r="C2633" i="2"/>
  <c r="B2633" i="2"/>
  <c r="C2632" i="2"/>
  <c r="B2632" i="2"/>
  <c r="C2631" i="2"/>
  <c r="B2631" i="2"/>
  <c r="C2630" i="2"/>
  <c r="B2630" i="2"/>
  <c r="C2629" i="2"/>
  <c r="B2629" i="2"/>
  <c r="C2628" i="2"/>
  <c r="B2628" i="2"/>
  <c r="C2627" i="2"/>
  <c r="B2627" i="2"/>
  <c r="C2626" i="2"/>
  <c r="B2626" i="2"/>
  <c r="C2625" i="2"/>
  <c r="B2625" i="2"/>
  <c r="C2624" i="2"/>
  <c r="B2624" i="2"/>
  <c r="C2623" i="2"/>
  <c r="B2623" i="2"/>
  <c r="C2622" i="2"/>
  <c r="B2622" i="2"/>
  <c r="C2621" i="2"/>
  <c r="B2621" i="2"/>
  <c r="C2620" i="2"/>
  <c r="B2620" i="2"/>
  <c r="C2619" i="2"/>
  <c r="B2619" i="2"/>
  <c r="C2618" i="2"/>
  <c r="B2618" i="2"/>
  <c r="C2617" i="2"/>
  <c r="B2617" i="2"/>
  <c r="C2616" i="2"/>
  <c r="B2616" i="2"/>
  <c r="C2615" i="2"/>
  <c r="B2615" i="2"/>
  <c r="C2614" i="2"/>
  <c r="B2614" i="2"/>
  <c r="C2613" i="2"/>
  <c r="B2613" i="2"/>
  <c r="C2612" i="2"/>
  <c r="B2612" i="2"/>
  <c r="C2611" i="2"/>
  <c r="B2611" i="2"/>
  <c r="C2610" i="2"/>
  <c r="B2610" i="2"/>
  <c r="C2609" i="2"/>
  <c r="B2609" i="2"/>
  <c r="C2608" i="2"/>
  <c r="B2608" i="2"/>
  <c r="C2607" i="2"/>
  <c r="B2607" i="2"/>
  <c r="C2606" i="2"/>
  <c r="B2606" i="2"/>
  <c r="C2605" i="2"/>
  <c r="B2605" i="2"/>
  <c r="C2604" i="2"/>
  <c r="B2604" i="2"/>
  <c r="C2603" i="2"/>
  <c r="B2603" i="2"/>
  <c r="C2602" i="2"/>
  <c r="B2602" i="2"/>
  <c r="C2601" i="2"/>
  <c r="B2601" i="2"/>
  <c r="C2600" i="2"/>
  <c r="B2600" i="2"/>
  <c r="C2599" i="2"/>
  <c r="B2599" i="2"/>
  <c r="C2598" i="2"/>
  <c r="B2598" i="2"/>
  <c r="C2597" i="2"/>
  <c r="B2597" i="2"/>
  <c r="C2596" i="2"/>
  <c r="B2596" i="2"/>
  <c r="C2595" i="2"/>
  <c r="B2595" i="2"/>
  <c r="C2594" i="2"/>
  <c r="B2594" i="2"/>
  <c r="C2593" i="2"/>
  <c r="B2593" i="2"/>
  <c r="C2592" i="2"/>
  <c r="B2592" i="2"/>
  <c r="C2591" i="2"/>
  <c r="B2591" i="2"/>
  <c r="C2590" i="2"/>
  <c r="B2590" i="2"/>
  <c r="C2589" i="2"/>
  <c r="B2589" i="2"/>
  <c r="C2588" i="2"/>
  <c r="B2588" i="2"/>
  <c r="C2587" i="2"/>
  <c r="B2587" i="2"/>
  <c r="C2586" i="2"/>
  <c r="B2586" i="2"/>
  <c r="C2585" i="2"/>
  <c r="B2585" i="2"/>
  <c r="C2584" i="2"/>
  <c r="B2584" i="2"/>
  <c r="C2583" i="2"/>
  <c r="B2583" i="2"/>
  <c r="C2582" i="2"/>
  <c r="B2582" i="2"/>
  <c r="C2581" i="2"/>
  <c r="B2581" i="2"/>
  <c r="C2580" i="2"/>
  <c r="B2580" i="2"/>
  <c r="C2579" i="2"/>
  <c r="B2579" i="2"/>
  <c r="C2578" i="2"/>
  <c r="B2578" i="2"/>
  <c r="C2577" i="2"/>
  <c r="B2577" i="2"/>
  <c r="C2576" i="2"/>
  <c r="B2576" i="2"/>
  <c r="C2575" i="2"/>
  <c r="B2575" i="2"/>
  <c r="C2574" i="2"/>
  <c r="B2574" i="2"/>
  <c r="C2573" i="2"/>
  <c r="B2573" i="2"/>
  <c r="C2572" i="2"/>
  <c r="B2572" i="2"/>
  <c r="C2571" i="2"/>
  <c r="B2571" i="2"/>
  <c r="C2570" i="2"/>
  <c r="B2570" i="2"/>
  <c r="C2569" i="2"/>
  <c r="B2569" i="2"/>
  <c r="C2568" i="2"/>
  <c r="B2568" i="2"/>
  <c r="C2567" i="2"/>
  <c r="B2567" i="2"/>
  <c r="C2566" i="2"/>
  <c r="B2566" i="2"/>
  <c r="C2565" i="2"/>
  <c r="B2565" i="2"/>
  <c r="C2564" i="2"/>
  <c r="B2564" i="2"/>
  <c r="C2563" i="2"/>
  <c r="B2563" i="2"/>
  <c r="C2562" i="2"/>
  <c r="B2562" i="2"/>
  <c r="C2561" i="2"/>
  <c r="B2561" i="2"/>
  <c r="C2560" i="2"/>
  <c r="B2560" i="2"/>
  <c r="C2559" i="2"/>
  <c r="B2559" i="2"/>
  <c r="C2558" i="2"/>
  <c r="B2558" i="2"/>
  <c r="C2557" i="2"/>
  <c r="B2557" i="2"/>
  <c r="C2556" i="2"/>
  <c r="B2556" i="2"/>
  <c r="C2555" i="2"/>
  <c r="B2555" i="2"/>
  <c r="C2554" i="2"/>
  <c r="B2554" i="2"/>
  <c r="C2553" i="2"/>
  <c r="B2553" i="2"/>
  <c r="C2552" i="2"/>
  <c r="B2552" i="2"/>
  <c r="C2551" i="2"/>
  <c r="B2551" i="2"/>
  <c r="C2550" i="2"/>
  <c r="B2550" i="2"/>
  <c r="C2549" i="2"/>
  <c r="B2549" i="2"/>
  <c r="C2548" i="2"/>
  <c r="B2548" i="2"/>
  <c r="C2547" i="2"/>
  <c r="B2547" i="2"/>
  <c r="C2546" i="2"/>
  <c r="B2546" i="2"/>
  <c r="C2545" i="2"/>
  <c r="B2545" i="2"/>
  <c r="C2544" i="2"/>
  <c r="B2544" i="2"/>
  <c r="C2543" i="2"/>
  <c r="B2543" i="2"/>
  <c r="C2542" i="2"/>
  <c r="B2542" i="2"/>
  <c r="C2541" i="2"/>
  <c r="B2541" i="2"/>
  <c r="C2540" i="2"/>
  <c r="B2540" i="2"/>
  <c r="C2539" i="2"/>
  <c r="B2539" i="2"/>
  <c r="C2538" i="2"/>
  <c r="B2538" i="2"/>
  <c r="C2537" i="2"/>
  <c r="B2537" i="2"/>
  <c r="C2536" i="2"/>
  <c r="B2536" i="2"/>
  <c r="C2535" i="2"/>
  <c r="B2535" i="2"/>
  <c r="C2534" i="2"/>
  <c r="B2534" i="2"/>
  <c r="C2533" i="2"/>
  <c r="B2533" i="2"/>
  <c r="C2532" i="2"/>
  <c r="B2532" i="2"/>
  <c r="C2531" i="2"/>
  <c r="B2531" i="2"/>
  <c r="C2530" i="2"/>
  <c r="B2530" i="2"/>
  <c r="C2529" i="2"/>
  <c r="B2529" i="2"/>
  <c r="C2528" i="2"/>
  <c r="B2528" i="2"/>
  <c r="C2527" i="2"/>
  <c r="B2527" i="2"/>
  <c r="C2526" i="2"/>
  <c r="B2526" i="2"/>
  <c r="C2525" i="2"/>
  <c r="B2525" i="2"/>
  <c r="C2524" i="2"/>
  <c r="B2524" i="2"/>
  <c r="C2523" i="2"/>
  <c r="B2523" i="2"/>
  <c r="C2522" i="2"/>
  <c r="B2522" i="2"/>
  <c r="C2521" i="2"/>
  <c r="B2521" i="2"/>
  <c r="C2520" i="2"/>
  <c r="B2520" i="2"/>
  <c r="C2519" i="2"/>
  <c r="B2519" i="2"/>
  <c r="C2518" i="2"/>
  <c r="B2518" i="2"/>
  <c r="C2517" i="2"/>
  <c r="B2517" i="2"/>
  <c r="C2516" i="2"/>
  <c r="B2516" i="2"/>
  <c r="C2515" i="2"/>
  <c r="B2515" i="2"/>
  <c r="C2514" i="2"/>
  <c r="B2514" i="2"/>
  <c r="C2513" i="2"/>
  <c r="B2513" i="2"/>
  <c r="C2512" i="2"/>
  <c r="B2512" i="2"/>
  <c r="C2511" i="2"/>
  <c r="B2511" i="2"/>
  <c r="C2510" i="2"/>
  <c r="B2510" i="2"/>
  <c r="C2509" i="2"/>
  <c r="B2509" i="2"/>
  <c r="C2508" i="2"/>
  <c r="B2508" i="2"/>
  <c r="C2507" i="2"/>
  <c r="B2507" i="2"/>
  <c r="C2506" i="2"/>
  <c r="B2506" i="2"/>
  <c r="C2505" i="2"/>
  <c r="B2505" i="2"/>
  <c r="C2504" i="2"/>
  <c r="B2504" i="2"/>
  <c r="C2503" i="2"/>
  <c r="B2503" i="2"/>
  <c r="C2502" i="2"/>
  <c r="B2502" i="2"/>
  <c r="C2501" i="2"/>
  <c r="B2501" i="2"/>
  <c r="C2500" i="2"/>
  <c r="B2500" i="2"/>
  <c r="C2499" i="2"/>
  <c r="B2499" i="2"/>
  <c r="C2498" i="2"/>
  <c r="B2498" i="2"/>
  <c r="C2497" i="2"/>
  <c r="B2497" i="2"/>
  <c r="C2496" i="2"/>
  <c r="B2496" i="2"/>
  <c r="C2495" i="2"/>
  <c r="B2495" i="2"/>
  <c r="C2494" i="2"/>
  <c r="B2494" i="2"/>
  <c r="C2493" i="2"/>
  <c r="B2493" i="2"/>
  <c r="C2492" i="2"/>
  <c r="B2492" i="2"/>
  <c r="C2491" i="2"/>
  <c r="B2491" i="2"/>
  <c r="C2490" i="2"/>
  <c r="B2490" i="2"/>
  <c r="C2489" i="2"/>
  <c r="B2489" i="2"/>
  <c r="C2488" i="2"/>
  <c r="B2488" i="2"/>
  <c r="C2487" i="2"/>
  <c r="B2487" i="2"/>
  <c r="C2486" i="2"/>
  <c r="B2486" i="2"/>
  <c r="C2485" i="2"/>
  <c r="B2485" i="2"/>
  <c r="C2484" i="2"/>
  <c r="B2484" i="2"/>
  <c r="C2483" i="2"/>
  <c r="B2483" i="2"/>
  <c r="C2482" i="2"/>
  <c r="B2482" i="2"/>
  <c r="C2481" i="2"/>
  <c r="B2481" i="2"/>
  <c r="C2480" i="2"/>
  <c r="B2480" i="2"/>
  <c r="C2479" i="2"/>
  <c r="B2479" i="2"/>
  <c r="C2478" i="2"/>
  <c r="B2478" i="2"/>
  <c r="C2477" i="2"/>
  <c r="B2477" i="2"/>
  <c r="C2476" i="2"/>
  <c r="B2476" i="2"/>
  <c r="C2475" i="2"/>
  <c r="B2475" i="2"/>
  <c r="C2474" i="2"/>
  <c r="B2474" i="2"/>
  <c r="C2473" i="2"/>
  <c r="B2473" i="2"/>
  <c r="C2472" i="2"/>
  <c r="B2472" i="2"/>
  <c r="C2471" i="2"/>
  <c r="B2471" i="2"/>
  <c r="C2470" i="2"/>
  <c r="B2470" i="2"/>
  <c r="C2469" i="2"/>
  <c r="B2469" i="2"/>
  <c r="C2468" i="2"/>
  <c r="B2468" i="2"/>
  <c r="C2467" i="2"/>
  <c r="B2467" i="2"/>
  <c r="C2466" i="2"/>
  <c r="B2466" i="2"/>
  <c r="C2465" i="2"/>
  <c r="B2465" i="2"/>
  <c r="C2464" i="2"/>
  <c r="B2464" i="2"/>
  <c r="C2463" i="2"/>
  <c r="B2463" i="2"/>
  <c r="C2462" i="2"/>
  <c r="B2462" i="2"/>
  <c r="C2461" i="2"/>
  <c r="B2461" i="2"/>
  <c r="C2460" i="2"/>
  <c r="B2460" i="2"/>
  <c r="C2459" i="2"/>
  <c r="B2459" i="2"/>
  <c r="C2458" i="2"/>
  <c r="B2458" i="2"/>
  <c r="C2457" i="2"/>
  <c r="B2457" i="2"/>
  <c r="C2456" i="2"/>
  <c r="B2456" i="2"/>
  <c r="C2455" i="2"/>
  <c r="B2455" i="2"/>
  <c r="C2454" i="2"/>
  <c r="B2454" i="2"/>
  <c r="C2453" i="2"/>
  <c r="B2453" i="2"/>
  <c r="C2452" i="2"/>
  <c r="B2452" i="2"/>
  <c r="C2451" i="2"/>
  <c r="B2451" i="2"/>
  <c r="C2450" i="2"/>
  <c r="B2450" i="2"/>
  <c r="C2449" i="2"/>
  <c r="B2449" i="2"/>
  <c r="C2448" i="2"/>
  <c r="B2448" i="2"/>
  <c r="C2447" i="2"/>
  <c r="B2447" i="2"/>
  <c r="C2446" i="2"/>
  <c r="B2446" i="2"/>
  <c r="C2445" i="2"/>
  <c r="B2445" i="2"/>
  <c r="C2444" i="2"/>
  <c r="B2444" i="2"/>
  <c r="C2443" i="2"/>
  <c r="B2443" i="2"/>
  <c r="C2442" i="2"/>
  <c r="B2442" i="2"/>
  <c r="C2441" i="2"/>
  <c r="B2441" i="2"/>
  <c r="C2440" i="2"/>
  <c r="B2440" i="2"/>
  <c r="C2439" i="2"/>
  <c r="B2439" i="2"/>
  <c r="C2438" i="2"/>
  <c r="B2438" i="2"/>
  <c r="C2437" i="2"/>
  <c r="B2437" i="2"/>
  <c r="C2436" i="2"/>
  <c r="B2436" i="2"/>
  <c r="C2435" i="2"/>
  <c r="B2435" i="2"/>
  <c r="C2434" i="2"/>
  <c r="B2434" i="2"/>
  <c r="C2433" i="2"/>
  <c r="B2433" i="2"/>
  <c r="C2432" i="2"/>
  <c r="B2432" i="2"/>
  <c r="C2431" i="2"/>
  <c r="B2431" i="2"/>
  <c r="C2430" i="2"/>
  <c r="B2430" i="2"/>
  <c r="C2429" i="2"/>
  <c r="B2429" i="2"/>
  <c r="C2428" i="2"/>
  <c r="B2428" i="2"/>
  <c r="C2427" i="2"/>
  <c r="B2427" i="2"/>
  <c r="C2426" i="2"/>
  <c r="B2426" i="2"/>
  <c r="C2425" i="2"/>
  <c r="B2425" i="2"/>
  <c r="C2424" i="2"/>
  <c r="B2424" i="2"/>
  <c r="C2423" i="2"/>
  <c r="B2423" i="2"/>
  <c r="C2422" i="2"/>
  <c r="B2422" i="2"/>
  <c r="C2421" i="2"/>
  <c r="B2421" i="2"/>
  <c r="C2420" i="2"/>
  <c r="B2420" i="2"/>
  <c r="C2419" i="2"/>
  <c r="B2419" i="2"/>
  <c r="C2418" i="2"/>
  <c r="B2418" i="2"/>
  <c r="C2417" i="2"/>
  <c r="B2417" i="2"/>
  <c r="C2416" i="2"/>
  <c r="B2416" i="2"/>
  <c r="C2415" i="2"/>
  <c r="B2415" i="2"/>
  <c r="C2414" i="2"/>
  <c r="B2414" i="2"/>
  <c r="C2413" i="2"/>
  <c r="B2413" i="2"/>
  <c r="C2412" i="2"/>
  <c r="B2412" i="2"/>
  <c r="C2411" i="2"/>
  <c r="B2411" i="2"/>
  <c r="C2410" i="2"/>
  <c r="B2410" i="2"/>
  <c r="C2409" i="2"/>
  <c r="B2409" i="2"/>
  <c r="C2408" i="2"/>
  <c r="B2408" i="2"/>
  <c r="C2407" i="2"/>
  <c r="B2407" i="2"/>
  <c r="C2406" i="2"/>
  <c r="B2406" i="2"/>
  <c r="C2405" i="2"/>
  <c r="B2405" i="2"/>
  <c r="C2404" i="2"/>
  <c r="B2404" i="2"/>
  <c r="C2403" i="2"/>
  <c r="B2403" i="2"/>
  <c r="C2402" i="2"/>
  <c r="B2402" i="2"/>
  <c r="C2401" i="2"/>
  <c r="B2401" i="2"/>
  <c r="C2400" i="2"/>
  <c r="B2400" i="2"/>
  <c r="C2399" i="2"/>
  <c r="B2399" i="2"/>
  <c r="C2398" i="2"/>
  <c r="B2398" i="2"/>
  <c r="C2397" i="2"/>
  <c r="B2397" i="2"/>
  <c r="C2396" i="2"/>
  <c r="B2396" i="2"/>
  <c r="C2395" i="2"/>
  <c r="B2395" i="2"/>
  <c r="C2394" i="2"/>
  <c r="B2394" i="2"/>
  <c r="C2393" i="2"/>
  <c r="B2393" i="2"/>
  <c r="C2392" i="2"/>
  <c r="B2392" i="2"/>
  <c r="C2391" i="2"/>
  <c r="B2391" i="2"/>
  <c r="C2390" i="2"/>
  <c r="B2390" i="2"/>
  <c r="C2389" i="2"/>
  <c r="B2389" i="2"/>
  <c r="C2388" i="2"/>
  <c r="B2388" i="2"/>
  <c r="C2387" i="2"/>
  <c r="B2387" i="2"/>
  <c r="C2386" i="2"/>
  <c r="B2386" i="2"/>
  <c r="C2385" i="2"/>
  <c r="B2385" i="2"/>
  <c r="C2384" i="2"/>
  <c r="B2384" i="2"/>
  <c r="C2383" i="2"/>
  <c r="B2383" i="2"/>
  <c r="C2382" i="2"/>
  <c r="B2382" i="2"/>
  <c r="C2381" i="2"/>
  <c r="B2381" i="2"/>
  <c r="C2380" i="2"/>
  <c r="B2380" i="2"/>
  <c r="C2379" i="2"/>
  <c r="B2379" i="2"/>
  <c r="C2378" i="2"/>
  <c r="B2378" i="2"/>
  <c r="C2377" i="2"/>
  <c r="B2377" i="2"/>
  <c r="C2376" i="2"/>
  <c r="B2376" i="2"/>
  <c r="C2375" i="2"/>
  <c r="B2375" i="2"/>
  <c r="C2374" i="2"/>
  <c r="B2374" i="2"/>
  <c r="C2373" i="2"/>
  <c r="B2373" i="2"/>
  <c r="C2372" i="2"/>
  <c r="B2372" i="2"/>
  <c r="C2371" i="2"/>
  <c r="B2371" i="2"/>
  <c r="C2370" i="2"/>
  <c r="B2370" i="2"/>
  <c r="C2369" i="2"/>
  <c r="B2369" i="2"/>
  <c r="C2368" i="2"/>
  <c r="B2368" i="2"/>
  <c r="C2367" i="2"/>
  <c r="B2367" i="2"/>
  <c r="C2366" i="2"/>
  <c r="B2366" i="2"/>
  <c r="C2365" i="2"/>
  <c r="B2365" i="2"/>
  <c r="C2364" i="2"/>
  <c r="B2364" i="2"/>
  <c r="C2363" i="2"/>
  <c r="B2363" i="2"/>
  <c r="C2362" i="2"/>
  <c r="B2362" i="2"/>
  <c r="C2361" i="2"/>
  <c r="B2361" i="2"/>
  <c r="C2360" i="2"/>
  <c r="B2360" i="2"/>
  <c r="C2359" i="2"/>
  <c r="B2359" i="2"/>
  <c r="C2358" i="2"/>
  <c r="B2358" i="2"/>
  <c r="C2357" i="2"/>
  <c r="B2357" i="2"/>
  <c r="C2356" i="2"/>
  <c r="B2356" i="2"/>
  <c r="C2355" i="2"/>
  <c r="B2355" i="2"/>
  <c r="C2354" i="2"/>
  <c r="B2354" i="2"/>
  <c r="C2353" i="2"/>
  <c r="B2353" i="2"/>
  <c r="C2352" i="2"/>
  <c r="B2352" i="2"/>
  <c r="C2351" i="2"/>
  <c r="B2351" i="2"/>
  <c r="C2350" i="2"/>
  <c r="B2350" i="2"/>
  <c r="C2349" i="2"/>
  <c r="B2349" i="2"/>
  <c r="C2348" i="2"/>
  <c r="B2348" i="2"/>
  <c r="C2347" i="2"/>
  <c r="B2347" i="2"/>
  <c r="C2346" i="2"/>
  <c r="B2346" i="2"/>
  <c r="C2345" i="2"/>
  <c r="B2345" i="2"/>
  <c r="C2344" i="2"/>
  <c r="B2344" i="2"/>
  <c r="C2343" i="2"/>
  <c r="B2343" i="2"/>
  <c r="C2342" i="2"/>
  <c r="B2342" i="2"/>
  <c r="C2341" i="2"/>
  <c r="B2341" i="2"/>
  <c r="C2340" i="2"/>
  <c r="B2340" i="2"/>
  <c r="C2339" i="2"/>
  <c r="B2339" i="2"/>
  <c r="C2338" i="2"/>
  <c r="B2338" i="2"/>
  <c r="C2337" i="2"/>
  <c r="B2337" i="2"/>
  <c r="C2336" i="2"/>
  <c r="B2336" i="2"/>
  <c r="C2335" i="2"/>
  <c r="B2335" i="2"/>
  <c r="C2334" i="2"/>
  <c r="B2334" i="2"/>
  <c r="C2333" i="2"/>
  <c r="B2333" i="2"/>
  <c r="C2332" i="2"/>
  <c r="B2332" i="2"/>
  <c r="C2331" i="2"/>
  <c r="B2331" i="2"/>
  <c r="C2330" i="2"/>
  <c r="B2330" i="2"/>
  <c r="C2329" i="2"/>
  <c r="B2329" i="2"/>
  <c r="C2328" i="2"/>
  <c r="B2328" i="2"/>
  <c r="C2327" i="2"/>
  <c r="B2327" i="2"/>
  <c r="C2326" i="2"/>
  <c r="B2326" i="2"/>
  <c r="C2325" i="2"/>
  <c r="B2325" i="2"/>
  <c r="C2324" i="2"/>
  <c r="B2324" i="2"/>
  <c r="C2323" i="2"/>
  <c r="B2323" i="2"/>
  <c r="C2322" i="2"/>
  <c r="B2322" i="2"/>
  <c r="C2321" i="2"/>
  <c r="B2321" i="2"/>
  <c r="C2320" i="2"/>
  <c r="B2320" i="2"/>
  <c r="C2319" i="2"/>
  <c r="B2319" i="2"/>
  <c r="C2318" i="2"/>
  <c r="B2318" i="2"/>
  <c r="C2317" i="2"/>
  <c r="B2317" i="2"/>
  <c r="C2316" i="2"/>
  <c r="B2316" i="2"/>
  <c r="C2315" i="2"/>
  <c r="B2315" i="2"/>
  <c r="C2314" i="2"/>
  <c r="B2314" i="2"/>
  <c r="C2313" i="2"/>
  <c r="B2313" i="2"/>
  <c r="C2312" i="2"/>
  <c r="B2312" i="2"/>
  <c r="C2311" i="2"/>
  <c r="B2311" i="2"/>
  <c r="C2310" i="2"/>
  <c r="B2310" i="2"/>
  <c r="C2309" i="2"/>
  <c r="B2309" i="2"/>
  <c r="C2308" i="2"/>
  <c r="B2308" i="2"/>
  <c r="C2307" i="2"/>
  <c r="B2307" i="2"/>
  <c r="C2306" i="2"/>
  <c r="B2306" i="2"/>
  <c r="C2305" i="2"/>
  <c r="B2305" i="2"/>
  <c r="C2304" i="2"/>
  <c r="B2304" i="2"/>
  <c r="C2303" i="2"/>
  <c r="B2303" i="2"/>
  <c r="C2302" i="2"/>
  <c r="B2302" i="2"/>
  <c r="C2301" i="2"/>
  <c r="B2301" i="2"/>
  <c r="C2300" i="2"/>
  <c r="B2300" i="2"/>
  <c r="C2299" i="2"/>
  <c r="B2299" i="2"/>
  <c r="C2298" i="2"/>
  <c r="B2298" i="2"/>
  <c r="C2297" i="2"/>
  <c r="B2297" i="2"/>
  <c r="C2296" i="2"/>
  <c r="B2296" i="2"/>
  <c r="C2295" i="2"/>
  <c r="B2295" i="2"/>
  <c r="C2294" i="2"/>
  <c r="B2294" i="2"/>
  <c r="C2293" i="2"/>
  <c r="B2293" i="2"/>
  <c r="C2292" i="2"/>
  <c r="B2292" i="2"/>
  <c r="C2291" i="2"/>
  <c r="B2291" i="2"/>
  <c r="C2290" i="2"/>
  <c r="B2290" i="2"/>
  <c r="C2289" i="2"/>
  <c r="B2289" i="2"/>
  <c r="C2288" i="2"/>
  <c r="B2288" i="2"/>
  <c r="C2287" i="2"/>
  <c r="B2287" i="2"/>
  <c r="C2286" i="2"/>
  <c r="B2286" i="2"/>
  <c r="C2285" i="2"/>
  <c r="B2285" i="2"/>
  <c r="C2284" i="2"/>
  <c r="B2284" i="2"/>
  <c r="C2283" i="2"/>
  <c r="B2283" i="2"/>
  <c r="C2282" i="2"/>
  <c r="B2282" i="2"/>
  <c r="C2281" i="2"/>
  <c r="B2281" i="2"/>
  <c r="C2280" i="2"/>
  <c r="B2280" i="2"/>
  <c r="C2279" i="2"/>
  <c r="B2279" i="2"/>
  <c r="C2278" i="2"/>
  <c r="B2278" i="2"/>
  <c r="C2277" i="2"/>
  <c r="B2277" i="2"/>
  <c r="C2276" i="2"/>
  <c r="B2276" i="2"/>
  <c r="C2275" i="2"/>
  <c r="B2275" i="2"/>
  <c r="C2274" i="2"/>
  <c r="B2274" i="2"/>
  <c r="C2273" i="2"/>
  <c r="B2273" i="2"/>
  <c r="C2272" i="2"/>
  <c r="B2272" i="2"/>
  <c r="C2271" i="2"/>
  <c r="B2271" i="2"/>
  <c r="C2270" i="2"/>
  <c r="B2270" i="2"/>
  <c r="C2269" i="2"/>
  <c r="B2269" i="2"/>
  <c r="C2268" i="2"/>
  <c r="B2268" i="2"/>
  <c r="C2267" i="2"/>
  <c r="B2267" i="2"/>
  <c r="C2266" i="2"/>
  <c r="B2266" i="2"/>
  <c r="C2265" i="2"/>
  <c r="B2265" i="2"/>
  <c r="C2264" i="2"/>
  <c r="B2264" i="2"/>
  <c r="C2263" i="2"/>
  <c r="B2263" i="2"/>
  <c r="C2262" i="2"/>
  <c r="B2262" i="2"/>
  <c r="C2261" i="2"/>
  <c r="B2261" i="2"/>
  <c r="C2260" i="2"/>
  <c r="B2260" i="2"/>
  <c r="C2259" i="2"/>
  <c r="B2259" i="2"/>
  <c r="C2258" i="2"/>
  <c r="B2258" i="2"/>
  <c r="C2257" i="2"/>
  <c r="B2257" i="2"/>
  <c r="C2256" i="2"/>
  <c r="B2256" i="2"/>
  <c r="C2255" i="2"/>
  <c r="B2255" i="2"/>
  <c r="C2254" i="2"/>
  <c r="B2254" i="2"/>
  <c r="C2253" i="2"/>
  <c r="B2253" i="2"/>
  <c r="C2252" i="2"/>
  <c r="B2252" i="2"/>
  <c r="C2251" i="2"/>
  <c r="B2251" i="2"/>
  <c r="C2250" i="2"/>
  <c r="B2250" i="2"/>
  <c r="C2249" i="2"/>
  <c r="B2249" i="2"/>
  <c r="C2248" i="2"/>
  <c r="B2248" i="2"/>
  <c r="C2247" i="2"/>
  <c r="B2247" i="2"/>
  <c r="C2246" i="2"/>
  <c r="B2246" i="2"/>
  <c r="C2245" i="2"/>
  <c r="B2245" i="2"/>
  <c r="C2244" i="2"/>
  <c r="B2244" i="2"/>
  <c r="C2243" i="2"/>
  <c r="B2243" i="2"/>
  <c r="C2242" i="2"/>
  <c r="B2242" i="2"/>
  <c r="C2241" i="2"/>
  <c r="B2241" i="2"/>
  <c r="C2240" i="2"/>
  <c r="B2240" i="2"/>
  <c r="C2239" i="2"/>
  <c r="B2239" i="2"/>
  <c r="C2238" i="2"/>
  <c r="B2238" i="2"/>
  <c r="C2237" i="2"/>
  <c r="B2237" i="2"/>
  <c r="C2236" i="2"/>
  <c r="B2236" i="2"/>
  <c r="C2235" i="2"/>
  <c r="B2235" i="2"/>
  <c r="C2234" i="2"/>
  <c r="B2234" i="2"/>
  <c r="C2233" i="2"/>
  <c r="B2233" i="2"/>
  <c r="C2232" i="2"/>
  <c r="B2232" i="2"/>
  <c r="C2231" i="2"/>
  <c r="B2231" i="2"/>
  <c r="C2230" i="2"/>
  <c r="B2230" i="2"/>
  <c r="C2229" i="2"/>
  <c r="B2229" i="2"/>
  <c r="C2228" i="2"/>
  <c r="B2228" i="2"/>
  <c r="C2227" i="2"/>
  <c r="B2227" i="2"/>
  <c r="C2226" i="2"/>
  <c r="B2226" i="2"/>
  <c r="C2225" i="2"/>
  <c r="B2225" i="2"/>
  <c r="C2224" i="2"/>
  <c r="B2224" i="2"/>
  <c r="C2223" i="2"/>
  <c r="B2223" i="2"/>
  <c r="C2222" i="2"/>
  <c r="B2222" i="2"/>
  <c r="C2221" i="2"/>
  <c r="B2221" i="2"/>
  <c r="C2220" i="2"/>
  <c r="B2220" i="2"/>
  <c r="C2219" i="2"/>
  <c r="B2219" i="2"/>
  <c r="C2218" i="2"/>
  <c r="B2218" i="2"/>
  <c r="C2217" i="2"/>
  <c r="B2217" i="2"/>
  <c r="C2216" i="2"/>
  <c r="B2216" i="2"/>
  <c r="C2215" i="2"/>
  <c r="B2215" i="2"/>
  <c r="C2214" i="2"/>
  <c r="B2214" i="2"/>
  <c r="C2213" i="2"/>
  <c r="B2213" i="2"/>
  <c r="C2212" i="2"/>
  <c r="B2212" i="2"/>
  <c r="C2211" i="2"/>
  <c r="B2211" i="2"/>
  <c r="C2210" i="2"/>
  <c r="B2210" i="2"/>
  <c r="C2209" i="2"/>
  <c r="B2209" i="2"/>
  <c r="C2208" i="2"/>
  <c r="B2208" i="2"/>
  <c r="C2207" i="2"/>
  <c r="B2207" i="2"/>
  <c r="C2206" i="2"/>
  <c r="B2206" i="2"/>
  <c r="C2205" i="2"/>
  <c r="B2205" i="2"/>
  <c r="C2204" i="2"/>
  <c r="B2204" i="2"/>
  <c r="C2203" i="2"/>
  <c r="B2203" i="2"/>
  <c r="C2202" i="2"/>
  <c r="B2202" i="2"/>
  <c r="C2201" i="2"/>
  <c r="B2201" i="2"/>
  <c r="C2200" i="2"/>
  <c r="B2200" i="2"/>
  <c r="C2199" i="2"/>
  <c r="B2199" i="2"/>
  <c r="C2198" i="2"/>
  <c r="B2198" i="2"/>
  <c r="C2197" i="2"/>
  <c r="B2197" i="2"/>
  <c r="C2196" i="2"/>
  <c r="B2196" i="2"/>
  <c r="C2195" i="2"/>
  <c r="B2195" i="2"/>
  <c r="C2194" i="2"/>
  <c r="B2194" i="2"/>
  <c r="C2193" i="2"/>
  <c r="B2193" i="2"/>
  <c r="C2192" i="2"/>
  <c r="B2192" i="2"/>
  <c r="C2191" i="2"/>
  <c r="B2191" i="2"/>
  <c r="C2190" i="2"/>
  <c r="B2190" i="2"/>
  <c r="C2189" i="2"/>
  <c r="B2189" i="2"/>
  <c r="C2188" i="2"/>
  <c r="B2188" i="2"/>
  <c r="C2187" i="2"/>
  <c r="B2187" i="2"/>
  <c r="C2186" i="2"/>
  <c r="B2186" i="2"/>
  <c r="C2185" i="2"/>
  <c r="B2185" i="2"/>
  <c r="C2184" i="2"/>
  <c r="B2184" i="2"/>
  <c r="C2183" i="2"/>
  <c r="B2183" i="2"/>
  <c r="C2182" i="2"/>
  <c r="B2182" i="2"/>
  <c r="C2181" i="2"/>
  <c r="B2181" i="2"/>
  <c r="C2180" i="2"/>
  <c r="B2180" i="2"/>
  <c r="C2179" i="2"/>
  <c r="B2179" i="2"/>
  <c r="C2178" i="2"/>
  <c r="B2178" i="2"/>
  <c r="C2177" i="2"/>
  <c r="B2177" i="2"/>
  <c r="C2176" i="2"/>
  <c r="B2176" i="2"/>
  <c r="C2175" i="2"/>
  <c r="B2175" i="2"/>
  <c r="C2174" i="2"/>
  <c r="B2174" i="2"/>
  <c r="C2173" i="2"/>
  <c r="B2173" i="2"/>
  <c r="C2172" i="2"/>
  <c r="B2172" i="2"/>
  <c r="C2171" i="2"/>
  <c r="B2171" i="2"/>
  <c r="C2170" i="2"/>
  <c r="B2170" i="2"/>
  <c r="C2169" i="2"/>
  <c r="B2169" i="2"/>
  <c r="C2168" i="2"/>
  <c r="B2168" i="2"/>
  <c r="C2167" i="2"/>
  <c r="B2167" i="2"/>
  <c r="C2166" i="2"/>
  <c r="B2166" i="2"/>
  <c r="C2165" i="2"/>
  <c r="B2165" i="2"/>
  <c r="C2164" i="2"/>
  <c r="B2164" i="2"/>
  <c r="C2163" i="2"/>
  <c r="B2163" i="2"/>
  <c r="C2162" i="2"/>
  <c r="B2162" i="2"/>
  <c r="C2161" i="2"/>
  <c r="B2161" i="2"/>
  <c r="C2160" i="2"/>
  <c r="B2160" i="2"/>
  <c r="C2159" i="2"/>
  <c r="B2159" i="2"/>
  <c r="C2158" i="2"/>
  <c r="B2158" i="2"/>
  <c r="C2157" i="2"/>
  <c r="B2157" i="2"/>
  <c r="C2156" i="2"/>
  <c r="B2156" i="2"/>
  <c r="C2155" i="2"/>
  <c r="B2155" i="2"/>
  <c r="C2154" i="2"/>
  <c r="B2154" i="2"/>
  <c r="C2153" i="2"/>
  <c r="B2153" i="2"/>
  <c r="C2152" i="2"/>
  <c r="B2152" i="2"/>
  <c r="C2151" i="2"/>
  <c r="B2151" i="2"/>
  <c r="C2150" i="2"/>
  <c r="B2150" i="2"/>
  <c r="C2149" i="2"/>
  <c r="B2149" i="2"/>
  <c r="C2148" i="2"/>
  <c r="B2148" i="2"/>
  <c r="C2147" i="2"/>
  <c r="B2147" i="2"/>
  <c r="C2146" i="2"/>
  <c r="B2146" i="2"/>
  <c r="C2145" i="2"/>
  <c r="B2145" i="2"/>
  <c r="C2144" i="2"/>
  <c r="B2144" i="2"/>
  <c r="C2143" i="2"/>
  <c r="B2143" i="2"/>
  <c r="C2142" i="2"/>
  <c r="B2142" i="2"/>
  <c r="C2141" i="2"/>
  <c r="B2141" i="2"/>
  <c r="C2140" i="2"/>
  <c r="B2140" i="2"/>
  <c r="C2139" i="2"/>
  <c r="B2139" i="2"/>
  <c r="C2138" i="2"/>
  <c r="B2138" i="2"/>
  <c r="C2137" i="2"/>
  <c r="B2137" i="2"/>
  <c r="C2136" i="2"/>
  <c r="B2136" i="2"/>
  <c r="C2135" i="2"/>
  <c r="B2135" i="2"/>
  <c r="C2134" i="2"/>
  <c r="B2134" i="2"/>
  <c r="C2133" i="2"/>
  <c r="B2133" i="2"/>
  <c r="C2132" i="2"/>
  <c r="B2132" i="2"/>
  <c r="C2131" i="2"/>
  <c r="B2131" i="2"/>
  <c r="C2130" i="2"/>
  <c r="B2130" i="2"/>
  <c r="C2129" i="2"/>
  <c r="B2129" i="2"/>
  <c r="C2128" i="2"/>
  <c r="B2128" i="2"/>
  <c r="C2127" i="2"/>
  <c r="B2127" i="2"/>
  <c r="C2126" i="2"/>
  <c r="B2126" i="2"/>
  <c r="C2125" i="2"/>
  <c r="B2125" i="2"/>
  <c r="C2124" i="2"/>
  <c r="B2124" i="2"/>
  <c r="C2123" i="2"/>
  <c r="B2123" i="2"/>
  <c r="C2122" i="2"/>
  <c r="B2122" i="2"/>
  <c r="C2121" i="2"/>
  <c r="B2121" i="2"/>
  <c r="C2120" i="2"/>
  <c r="B2120" i="2"/>
  <c r="C2119" i="2"/>
  <c r="B2119" i="2"/>
  <c r="C2118" i="2"/>
  <c r="B2118" i="2"/>
  <c r="C2117" i="2"/>
  <c r="B2117" i="2"/>
  <c r="C2116" i="2"/>
  <c r="B2116" i="2"/>
  <c r="C2115" i="2"/>
  <c r="B2115" i="2"/>
  <c r="C2114" i="2"/>
  <c r="B2114" i="2"/>
  <c r="C2113" i="2"/>
  <c r="B2113" i="2"/>
  <c r="C2112" i="2"/>
  <c r="B2112" i="2"/>
  <c r="C2111" i="2"/>
  <c r="B2111" i="2"/>
  <c r="C2110" i="2"/>
  <c r="B2110" i="2"/>
  <c r="C2109" i="2"/>
  <c r="B2109" i="2"/>
  <c r="C2108" i="2"/>
  <c r="B2108" i="2"/>
  <c r="C2107" i="2"/>
  <c r="B2107" i="2"/>
  <c r="C2106" i="2"/>
  <c r="B2106" i="2"/>
  <c r="C2105" i="2"/>
  <c r="B2105" i="2"/>
  <c r="C2104" i="2"/>
  <c r="B2104" i="2"/>
  <c r="C2103" i="2"/>
  <c r="B2103" i="2"/>
  <c r="C2102" i="2"/>
  <c r="B2102" i="2"/>
  <c r="C2101" i="2"/>
  <c r="B2101" i="2"/>
  <c r="C2100" i="2"/>
  <c r="B2100" i="2"/>
  <c r="C2099" i="2"/>
  <c r="B2099" i="2"/>
  <c r="C2098" i="2"/>
  <c r="B2098" i="2"/>
  <c r="C2097" i="2"/>
  <c r="B2097" i="2"/>
  <c r="C2096" i="2"/>
  <c r="B2096" i="2"/>
  <c r="C2095" i="2"/>
  <c r="B2095" i="2"/>
  <c r="C2094" i="2"/>
  <c r="B2094" i="2"/>
  <c r="C2093" i="2"/>
  <c r="B2093" i="2"/>
  <c r="C2092" i="2"/>
  <c r="B2092" i="2"/>
  <c r="C2091" i="2"/>
  <c r="B2091" i="2"/>
  <c r="C2090" i="2"/>
  <c r="B2090" i="2"/>
  <c r="C2089" i="2"/>
  <c r="B2089" i="2"/>
  <c r="C2088" i="2"/>
  <c r="B2088" i="2"/>
  <c r="C2087" i="2"/>
  <c r="B2087" i="2"/>
  <c r="C2086" i="2"/>
  <c r="B2086" i="2"/>
  <c r="C2085" i="2"/>
  <c r="B2085" i="2"/>
  <c r="C2084" i="2"/>
  <c r="B2084" i="2"/>
  <c r="C2083" i="2"/>
  <c r="B2083" i="2"/>
  <c r="C2082" i="2"/>
  <c r="B2082" i="2"/>
  <c r="C2081" i="2"/>
  <c r="B2081" i="2"/>
  <c r="C2080" i="2"/>
  <c r="B2080" i="2"/>
  <c r="C2079" i="2"/>
  <c r="B2079" i="2"/>
  <c r="C2078" i="2"/>
  <c r="B2078" i="2"/>
  <c r="C2077" i="2"/>
  <c r="B2077" i="2"/>
  <c r="C2076" i="2"/>
  <c r="B2076" i="2"/>
  <c r="C2075" i="2"/>
  <c r="B2075" i="2"/>
  <c r="C2074" i="2"/>
  <c r="B2074" i="2"/>
  <c r="C2073" i="2"/>
  <c r="B2073" i="2"/>
  <c r="C2072" i="2"/>
  <c r="B2072" i="2"/>
  <c r="C2071" i="2"/>
  <c r="B2071" i="2"/>
  <c r="C2070" i="2"/>
  <c r="B2070" i="2"/>
  <c r="C2069" i="2"/>
  <c r="B2069" i="2"/>
  <c r="C2068" i="2"/>
  <c r="B2068" i="2"/>
  <c r="C2067" i="2"/>
  <c r="B2067" i="2"/>
  <c r="C2066" i="2"/>
  <c r="B2066" i="2"/>
  <c r="C2065" i="2"/>
  <c r="B2065" i="2"/>
  <c r="C2064" i="2"/>
  <c r="B2064" i="2"/>
  <c r="C2063" i="2"/>
  <c r="B2063" i="2"/>
  <c r="C2062" i="2"/>
  <c r="B2062" i="2"/>
  <c r="C2061" i="2"/>
  <c r="B2061" i="2"/>
  <c r="C2060" i="2"/>
  <c r="B2060" i="2"/>
  <c r="C2059" i="2"/>
  <c r="B2059" i="2"/>
  <c r="C2058" i="2"/>
  <c r="B2058" i="2"/>
  <c r="C2057" i="2"/>
  <c r="B2057" i="2"/>
  <c r="C2056" i="2"/>
  <c r="B2056" i="2"/>
  <c r="C2055" i="2"/>
  <c r="B2055" i="2"/>
  <c r="C2054" i="2"/>
  <c r="B2054" i="2"/>
  <c r="C2053" i="2"/>
  <c r="B2053" i="2"/>
  <c r="C2052" i="2"/>
  <c r="B2052" i="2"/>
  <c r="C2051" i="2"/>
  <c r="B2051" i="2"/>
  <c r="C2050" i="2"/>
  <c r="B2050" i="2"/>
  <c r="C2049" i="2"/>
  <c r="B2049" i="2"/>
  <c r="C2048" i="2"/>
  <c r="B2048" i="2"/>
  <c r="C2047" i="2"/>
  <c r="B2047" i="2"/>
  <c r="C2046" i="2"/>
  <c r="B2046" i="2"/>
  <c r="C2045" i="2"/>
  <c r="B2045" i="2"/>
  <c r="C2044" i="2"/>
  <c r="B2044" i="2"/>
  <c r="C2043" i="2"/>
  <c r="B2043" i="2"/>
  <c r="C2042" i="2"/>
  <c r="B2042" i="2"/>
  <c r="C2041" i="2"/>
  <c r="B2041" i="2"/>
  <c r="C2040" i="2"/>
  <c r="B2040" i="2"/>
  <c r="C2039" i="2"/>
  <c r="B2039" i="2"/>
  <c r="C2038" i="2"/>
  <c r="B2038" i="2"/>
  <c r="C2037" i="2"/>
  <c r="B2037" i="2"/>
  <c r="C2036" i="2"/>
  <c r="B2036" i="2"/>
  <c r="C2035" i="2"/>
  <c r="B2035" i="2"/>
  <c r="C2034" i="2"/>
  <c r="B2034" i="2"/>
  <c r="C2033" i="2"/>
  <c r="B2033" i="2"/>
  <c r="C2032" i="2"/>
  <c r="B2032" i="2"/>
  <c r="C2031" i="2"/>
  <c r="B2031" i="2"/>
  <c r="C2030" i="2"/>
  <c r="B2030" i="2"/>
  <c r="C2029" i="2"/>
  <c r="B2029" i="2"/>
  <c r="C2028" i="2"/>
  <c r="B2028" i="2"/>
  <c r="C2027" i="2"/>
  <c r="B2027" i="2"/>
  <c r="C2026" i="2"/>
  <c r="B2026" i="2"/>
  <c r="C2025" i="2"/>
  <c r="B2025" i="2"/>
  <c r="C2024" i="2"/>
  <c r="B2024" i="2"/>
  <c r="C2023" i="2"/>
  <c r="B2023" i="2"/>
  <c r="C2022" i="2"/>
  <c r="B2022" i="2"/>
  <c r="C2021" i="2"/>
  <c r="B2021" i="2"/>
  <c r="C2020" i="2"/>
  <c r="B2020" i="2"/>
  <c r="C2019" i="2"/>
  <c r="B2019" i="2"/>
  <c r="C2018" i="2"/>
  <c r="B2018" i="2"/>
  <c r="C2017" i="2"/>
  <c r="B2017" i="2"/>
  <c r="C2016" i="2"/>
  <c r="B2016" i="2"/>
  <c r="C2015" i="2"/>
  <c r="B2015" i="2"/>
  <c r="C2014" i="2"/>
  <c r="B2014" i="2"/>
  <c r="C2013" i="2"/>
  <c r="B2013" i="2"/>
  <c r="C2012" i="2"/>
  <c r="B2012" i="2"/>
  <c r="C2011" i="2"/>
  <c r="B2011" i="2"/>
  <c r="C2010" i="2"/>
  <c r="B2010" i="2"/>
  <c r="C2009" i="2"/>
  <c r="B2009" i="2"/>
  <c r="C2008" i="2"/>
  <c r="B2008" i="2"/>
  <c r="C2007" i="2"/>
  <c r="B2007" i="2"/>
  <c r="C2006" i="2"/>
  <c r="B2006" i="2"/>
  <c r="C2005" i="2"/>
  <c r="B2005" i="2"/>
  <c r="C2004" i="2"/>
  <c r="B2004" i="2"/>
  <c r="C2003" i="2"/>
  <c r="B2003" i="2"/>
  <c r="C2002" i="2"/>
  <c r="B2002" i="2"/>
  <c r="C2001" i="2"/>
  <c r="B2001" i="2"/>
  <c r="C2000" i="2"/>
  <c r="B2000" i="2"/>
  <c r="C1999" i="2"/>
  <c r="B1999" i="2"/>
  <c r="C1998" i="2"/>
  <c r="B1998" i="2"/>
  <c r="C1997" i="2"/>
  <c r="B1997" i="2"/>
  <c r="C1996" i="2"/>
  <c r="B1996" i="2"/>
  <c r="C1995" i="2"/>
  <c r="B1995" i="2"/>
  <c r="C1994" i="2"/>
  <c r="B1994" i="2"/>
  <c r="C1993" i="2"/>
  <c r="B1993" i="2"/>
  <c r="C1992" i="2"/>
  <c r="B1992" i="2"/>
  <c r="C1991" i="2"/>
  <c r="B1991" i="2"/>
  <c r="C1990" i="2"/>
  <c r="B1990" i="2"/>
  <c r="C1989" i="2"/>
  <c r="B1989" i="2"/>
  <c r="C1988" i="2"/>
  <c r="B1988" i="2"/>
  <c r="C1987" i="2"/>
  <c r="B1987" i="2"/>
  <c r="C1986" i="2"/>
  <c r="B1986" i="2"/>
  <c r="C1985" i="2"/>
  <c r="B1985" i="2"/>
  <c r="C1984" i="2"/>
  <c r="B1984" i="2"/>
  <c r="C1983" i="2"/>
  <c r="B1983" i="2"/>
  <c r="C1982" i="2"/>
  <c r="B1982" i="2"/>
  <c r="C1981" i="2"/>
  <c r="B1981" i="2"/>
  <c r="C1980" i="2"/>
  <c r="B1980" i="2"/>
  <c r="C1979" i="2"/>
  <c r="B1979" i="2"/>
  <c r="C1978" i="2"/>
  <c r="B1978" i="2"/>
  <c r="C1977" i="2"/>
  <c r="B1977" i="2"/>
  <c r="C1976" i="2"/>
  <c r="B1976" i="2"/>
  <c r="C1975" i="2"/>
  <c r="B1975" i="2"/>
  <c r="C1974" i="2"/>
  <c r="B1974" i="2"/>
  <c r="C1973" i="2"/>
  <c r="B1973" i="2"/>
  <c r="C1972" i="2"/>
  <c r="B1972" i="2"/>
  <c r="C1971" i="2"/>
  <c r="B1971" i="2"/>
  <c r="C1970" i="2"/>
  <c r="B1970" i="2"/>
  <c r="C1969" i="2"/>
  <c r="B1969" i="2"/>
  <c r="C1968" i="2"/>
  <c r="B1968" i="2"/>
  <c r="C1967" i="2"/>
  <c r="B1967" i="2"/>
  <c r="C1966" i="2"/>
  <c r="B1966" i="2"/>
  <c r="C1965" i="2"/>
  <c r="B1965" i="2"/>
  <c r="C1964" i="2"/>
  <c r="B1964" i="2"/>
  <c r="C1963" i="2"/>
  <c r="B1963" i="2"/>
  <c r="C1962" i="2"/>
  <c r="B1962" i="2"/>
  <c r="C1961" i="2"/>
  <c r="B1961" i="2"/>
  <c r="C1960" i="2"/>
  <c r="B1960" i="2"/>
  <c r="C1959" i="2"/>
  <c r="B1959" i="2"/>
  <c r="C1958" i="2"/>
  <c r="B1958" i="2"/>
  <c r="C1957" i="2"/>
  <c r="B1957" i="2"/>
  <c r="C1956" i="2"/>
  <c r="B1956" i="2"/>
  <c r="C1955" i="2"/>
  <c r="B1955" i="2"/>
  <c r="C1954" i="2"/>
  <c r="B1954" i="2"/>
  <c r="C1953" i="2"/>
  <c r="B1953" i="2"/>
  <c r="C1952" i="2"/>
  <c r="B1952" i="2"/>
  <c r="C1951" i="2"/>
  <c r="B1951" i="2"/>
  <c r="C1950" i="2"/>
  <c r="B1950" i="2"/>
  <c r="C1949" i="2"/>
  <c r="B1949" i="2"/>
  <c r="C1948" i="2"/>
  <c r="B1948" i="2"/>
  <c r="C1947" i="2"/>
  <c r="B1947" i="2"/>
  <c r="C1946" i="2"/>
  <c r="B1946" i="2"/>
  <c r="C1945" i="2"/>
  <c r="B1945" i="2"/>
  <c r="C1944" i="2"/>
  <c r="B1944" i="2"/>
  <c r="C1943" i="2"/>
  <c r="B1943" i="2"/>
  <c r="C1942" i="2"/>
  <c r="B1942" i="2"/>
  <c r="C1941" i="2"/>
  <c r="B1941" i="2"/>
  <c r="C1940" i="2"/>
  <c r="B1940" i="2"/>
  <c r="C1939" i="2"/>
  <c r="B1939" i="2"/>
  <c r="C1938" i="2"/>
  <c r="B1938" i="2"/>
  <c r="C1937" i="2"/>
  <c r="B1937" i="2"/>
  <c r="C1936" i="2"/>
  <c r="B1936" i="2"/>
  <c r="C1935" i="2"/>
  <c r="B1935" i="2"/>
  <c r="C1934" i="2"/>
  <c r="B1934" i="2"/>
  <c r="C1933" i="2"/>
  <c r="B1933" i="2"/>
  <c r="C1932" i="2"/>
  <c r="B1932" i="2"/>
  <c r="C1931" i="2"/>
  <c r="B1931" i="2"/>
  <c r="C1930" i="2"/>
  <c r="B1930" i="2"/>
  <c r="C1929" i="2"/>
  <c r="B1929" i="2"/>
  <c r="C1928" i="2"/>
  <c r="B1928" i="2"/>
  <c r="C1927" i="2"/>
  <c r="B1927" i="2"/>
  <c r="C1926" i="2"/>
  <c r="B1926" i="2"/>
  <c r="C1925" i="2"/>
  <c r="B1925" i="2"/>
  <c r="C1924" i="2"/>
  <c r="B1924" i="2"/>
  <c r="C1923" i="2"/>
  <c r="B1923" i="2"/>
  <c r="C1922" i="2"/>
  <c r="B1922" i="2"/>
  <c r="C1921" i="2"/>
  <c r="B1921" i="2"/>
  <c r="C1920" i="2"/>
  <c r="B1920" i="2"/>
  <c r="C1919" i="2"/>
  <c r="B1919" i="2"/>
  <c r="C1918" i="2"/>
  <c r="B1918" i="2"/>
  <c r="C1917" i="2"/>
  <c r="B1917" i="2"/>
  <c r="C1916" i="2"/>
  <c r="B1916" i="2"/>
  <c r="C1915" i="2"/>
  <c r="B1915" i="2"/>
  <c r="C1914" i="2"/>
  <c r="B1914" i="2"/>
  <c r="C1913" i="2"/>
  <c r="B1913" i="2"/>
  <c r="C1912" i="2"/>
  <c r="B1912" i="2"/>
  <c r="C1911" i="2"/>
  <c r="B1911" i="2"/>
  <c r="C1910" i="2"/>
  <c r="B1910" i="2"/>
  <c r="C1909" i="2"/>
  <c r="B1909" i="2"/>
  <c r="C1908" i="2"/>
  <c r="B1908" i="2"/>
  <c r="C1907" i="2"/>
  <c r="B1907" i="2"/>
  <c r="C1906" i="2"/>
  <c r="B1906" i="2"/>
  <c r="C1905" i="2"/>
  <c r="B1905" i="2"/>
  <c r="C1904" i="2"/>
  <c r="B1904" i="2"/>
  <c r="C1903" i="2"/>
  <c r="B1903" i="2"/>
  <c r="C1902" i="2"/>
  <c r="B1902" i="2"/>
  <c r="C1901" i="2"/>
  <c r="B1901" i="2"/>
  <c r="C1900" i="2"/>
  <c r="B1900" i="2"/>
  <c r="C1899" i="2"/>
  <c r="B1899" i="2"/>
  <c r="C1898" i="2"/>
  <c r="B1898" i="2"/>
  <c r="C1897" i="2"/>
  <c r="B1897" i="2"/>
  <c r="C1896" i="2"/>
  <c r="B1896" i="2"/>
  <c r="C1895" i="2"/>
  <c r="B1895" i="2"/>
  <c r="C1894" i="2"/>
  <c r="B1894" i="2"/>
  <c r="C1893" i="2"/>
  <c r="B1893" i="2"/>
  <c r="C1892" i="2"/>
  <c r="B1892" i="2"/>
  <c r="C1891" i="2"/>
  <c r="B1891" i="2"/>
  <c r="C1890" i="2"/>
  <c r="B1890" i="2"/>
  <c r="C1889" i="2"/>
  <c r="B1889" i="2"/>
  <c r="C1888" i="2"/>
  <c r="B1888" i="2"/>
  <c r="C1887" i="2"/>
  <c r="B1887" i="2"/>
  <c r="C1886" i="2"/>
  <c r="B1886" i="2"/>
  <c r="C1885" i="2"/>
  <c r="B1885" i="2"/>
  <c r="C1884" i="2"/>
  <c r="B1884" i="2"/>
  <c r="C1883" i="2"/>
  <c r="B1883" i="2"/>
  <c r="C1882" i="2"/>
  <c r="B1882" i="2"/>
  <c r="C1881" i="2"/>
  <c r="B1881" i="2"/>
  <c r="C1880" i="2"/>
  <c r="B1880" i="2"/>
  <c r="C1879" i="2"/>
  <c r="B1879" i="2"/>
  <c r="C1878" i="2"/>
  <c r="B1878" i="2"/>
  <c r="C1877" i="2"/>
  <c r="B1877" i="2"/>
  <c r="C1876" i="2"/>
  <c r="B1876" i="2"/>
  <c r="C1875" i="2"/>
  <c r="B1875" i="2"/>
  <c r="C1874" i="2"/>
  <c r="B1874" i="2"/>
  <c r="C1873" i="2"/>
  <c r="B1873" i="2"/>
  <c r="C1872" i="2"/>
  <c r="B1872" i="2"/>
  <c r="C1871" i="2"/>
  <c r="B1871" i="2"/>
  <c r="C1870" i="2"/>
  <c r="B1870" i="2"/>
  <c r="C1869" i="2"/>
  <c r="B1869" i="2"/>
  <c r="C1868" i="2"/>
  <c r="B1868" i="2"/>
  <c r="C1867" i="2"/>
  <c r="B1867" i="2"/>
  <c r="C1866" i="2"/>
  <c r="B1866" i="2"/>
  <c r="C1865" i="2"/>
  <c r="B1865" i="2"/>
  <c r="C1864" i="2"/>
  <c r="B1864" i="2"/>
  <c r="C1863" i="2"/>
  <c r="B1863" i="2"/>
  <c r="C1862" i="2"/>
  <c r="B1862" i="2"/>
  <c r="C1861" i="2"/>
  <c r="B1861" i="2"/>
  <c r="C1860" i="2"/>
  <c r="B1860" i="2"/>
  <c r="C1859" i="2"/>
  <c r="B1859" i="2"/>
  <c r="C1858" i="2"/>
  <c r="B1858" i="2"/>
  <c r="C1857" i="2"/>
  <c r="B1857" i="2"/>
  <c r="C1856" i="2"/>
  <c r="B1856" i="2"/>
  <c r="C1855" i="2"/>
  <c r="B1855" i="2"/>
  <c r="C1854" i="2"/>
  <c r="B1854" i="2"/>
  <c r="C1853" i="2"/>
  <c r="B1853" i="2"/>
  <c r="C1852" i="2"/>
  <c r="B1852" i="2"/>
  <c r="C1851" i="2"/>
  <c r="B1851" i="2"/>
  <c r="C1850" i="2"/>
  <c r="B1850" i="2"/>
  <c r="C1849" i="2"/>
  <c r="B1849" i="2"/>
  <c r="C1848" i="2"/>
  <c r="B1848" i="2"/>
  <c r="C1847" i="2"/>
  <c r="B1847" i="2"/>
  <c r="C1846" i="2"/>
  <c r="B1846" i="2"/>
  <c r="C1845" i="2"/>
  <c r="B1845" i="2"/>
  <c r="C1844" i="2"/>
  <c r="B1844" i="2"/>
  <c r="C1843" i="2"/>
  <c r="B1843" i="2"/>
  <c r="C1842" i="2"/>
  <c r="B1842" i="2"/>
  <c r="C1841" i="2"/>
  <c r="B1841" i="2"/>
  <c r="C1840" i="2"/>
  <c r="B1840" i="2"/>
  <c r="C1839" i="2"/>
  <c r="B1839" i="2"/>
  <c r="C1838" i="2"/>
  <c r="B1838" i="2"/>
  <c r="C1837" i="2"/>
  <c r="B1837" i="2"/>
  <c r="C1836" i="2"/>
  <c r="B1836" i="2"/>
  <c r="C1835" i="2"/>
  <c r="B1835" i="2"/>
  <c r="C1834" i="2"/>
  <c r="B1834" i="2"/>
  <c r="C1833" i="2"/>
  <c r="B1833" i="2"/>
  <c r="C1832" i="2"/>
  <c r="B1832" i="2"/>
  <c r="C1831" i="2"/>
  <c r="B1831" i="2"/>
  <c r="C1830" i="2"/>
  <c r="B1830" i="2"/>
  <c r="C1829" i="2"/>
  <c r="B1829" i="2"/>
  <c r="C1828" i="2"/>
  <c r="B1828" i="2"/>
  <c r="C1827" i="2"/>
  <c r="B1827" i="2"/>
  <c r="C1826" i="2"/>
  <c r="B1826" i="2"/>
  <c r="C1825" i="2"/>
  <c r="B1825" i="2"/>
  <c r="C1824" i="2"/>
  <c r="B1824" i="2"/>
  <c r="C1823" i="2"/>
  <c r="B1823" i="2"/>
  <c r="C1822" i="2"/>
  <c r="B1822" i="2"/>
  <c r="C1821" i="2"/>
  <c r="B1821" i="2"/>
  <c r="C1820" i="2"/>
  <c r="B1820" i="2"/>
  <c r="C1819" i="2"/>
  <c r="B1819" i="2"/>
  <c r="C1818" i="2"/>
  <c r="B1818" i="2"/>
  <c r="C1817" i="2"/>
  <c r="B1817" i="2"/>
  <c r="C1816" i="2"/>
  <c r="B1816" i="2"/>
  <c r="C1815" i="2"/>
  <c r="B1815" i="2"/>
  <c r="C1814" i="2"/>
  <c r="B1814" i="2"/>
  <c r="C1813" i="2"/>
  <c r="B1813" i="2"/>
  <c r="C1812" i="2"/>
  <c r="B1812" i="2"/>
  <c r="C1811" i="2"/>
  <c r="B1811" i="2"/>
  <c r="C1810" i="2"/>
  <c r="B1810" i="2"/>
  <c r="C1809" i="2"/>
  <c r="B1809" i="2"/>
  <c r="C1808" i="2"/>
  <c r="B1808" i="2"/>
  <c r="C1807" i="2"/>
  <c r="B1807" i="2"/>
  <c r="C1806" i="2"/>
  <c r="B1806" i="2"/>
  <c r="C1805" i="2"/>
  <c r="B1805" i="2"/>
  <c r="C1804" i="2"/>
  <c r="B1804" i="2"/>
  <c r="C1803" i="2"/>
  <c r="B1803" i="2"/>
  <c r="C1802" i="2"/>
  <c r="B1802" i="2"/>
  <c r="C1801" i="2"/>
  <c r="B1801" i="2"/>
  <c r="C1800" i="2"/>
  <c r="B1800" i="2"/>
  <c r="C1799" i="2"/>
  <c r="B1799" i="2"/>
  <c r="C1798" i="2"/>
  <c r="B1798" i="2"/>
  <c r="C1797" i="2"/>
  <c r="B1797" i="2"/>
  <c r="C1796" i="2"/>
  <c r="B1796" i="2"/>
  <c r="C1795" i="2"/>
  <c r="B1795" i="2"/>
  <c r="C1794" i="2"/>
  <c r="B1794" i="2"/>
  <c r="C1793" i="2"/>
  <c r="B1793" i="2"/>
  <c r="C1792" i="2"/>
  <c r="B1792" i="2"/>
  <c r="C1791" i="2"/>
  <c r="B1791" i="2"/>
  <c r="C1790" i="2"/>
  <c r="B1790" i="2"/>
  <c r="C1789" i="2"/>
  <c r="B1789" i="2"/>
  <c r="C1788" i="2"/>
  <c r="B1788" i="2"/>
  <c r="C1787" i="2"/>
  <c r="B1787" i="2"/>
  <c r="C1786" i="2"/>
  <c r="B1786" i="2"/>
  <c r="C1785" i="2"/>
  <c r="B1785" i="2"/>
  <c r="C1784" i="2"/>
  <c r="B1784" i="2"/>
  <c r="C1783" i="2"/>
  <c r="B1783" i="2"/>
  <c r="C1782" i="2"/>
  <c r="B1782" i="2"/>
  <c r="C1781" i="2"/>
  <c r="B1781" i="2"/>
  <c r="C1780" i="2"/>
  <c r="B1780" i="2"/>
  <c r="C1779" i="2"/>
  <c r="B1779" i="2"/>
  <c r="C1778" i="2"/>
  <c r="B1778" i="2"/>
  <c r="C1777" i="2"/>
  <c r="B1777" i="2"/>
  <c r="C1776" i="2"/>
  <c r="B1776" i="2"/>
  <c r="C1775" i="2"/>
  <c r="B1775" i="2"/>
  <c r="C1774" i="2"/>
  <c r="B1774" i="2"/>
  <c r="C1773" i="2"/>
  <c r="B1773" i="2"/>
  <c r="C1772" i="2"/>
  <c r="B1772" i="2"/>
  <c r="C1771" i="2"/>
  <c r="B1771" i="2"/>
  <c r="C1770" i="2"/>
  <c r="B1770" i="2"/>
  <c r="C1769" i="2"/>
  <c r="B1769" i="2"/>
  <c r="C1768" i="2"/>
  <c r="B1768" i="2"/>
  <c r="C1767" i="2"/>
  <c r="B1767" i="2"/>
  <c r="C1766" i="2"/>
  <c r="B1766" i="2"/>
  <c r="C1765" i="2"/>
  <c r="B1765" i="2"/>
  <c r="C1764" i="2"/>
  <c r="B1764" i="2"/>
  <c r="C1763" i="2"/>
  <c r="B1763" i="2"/>
  <c r="C1762" i="2"/>
  <c r="B1762" i="2"/>
  <c r="C1761" i="2"/>
  <c r="B1761" i="2"/>
  <c r="C1760" i="2"/>
  <c r="B1760" i="2"/>
  <c r="C1759" i="2"/>
  <c r="B1759" i="2"/>
  <c r="C1758" i="2"/>
  <c r="B1758" i="2"/>
  <c r="C1757" i="2"/>
  <c r="B1757" i="2"/>
  <c r="C1756" i="2"/>
  <c r="B1756" i="2"/>
  <c r="C1755" i="2"/>
  <c r="B1755" i="2"/>
  <c r="C1754" i="2"/>
  <c r="B1754" i="2"/>
  <c r="C1753" i="2"/>
  <c r="B1753" i="2"/>
  <c r="C1752" i="2"/>
  <c r="B1752" i="2"/>
  <c r="C1751" i="2"/>
  <c r="B1751" i="2"/>
  <c r="C1750" i="2"/>
  <c r="B1750" i="2"/>
  <c r="C1749" i="2"/>
  <c r="B1749" i="2"/>
  <c r="C1748" i="2"/>
  <c r="B1748" i="2"/>
  <c r="C1747" i="2"/>
  <c r="B1747" i="2"/>
  <c r="C1746" i="2"/>
  <c r="B1746" i="2"/>
  <c r="C1745" i="2"/>
  <c r="B1745" i="2"/>
  <c r="C1744" i="2"/>
  <c r="B1744" i="2"/>
  <c r="C1743" i="2"/>
  <c r="B1743" i="2"/>
  <c r="C1742" i="2"/>
  <c r="B1742" i="2"/>
  <c r="C1741" i="2"/>
  <c r="B1741" i="2"/>
  <c r="C1740" i="2"/>
  <c r="B1740" i="2"/>
  <c r="C1739" i="2"/>
  <c r="B1739" i="2"/>
  <c r="C1738" i="2"/>
  <c r="B1738" i="2"/>
  <c r="C1737" i="2"/>
  <c r="B1737" i="2"/>
  <c r="C1736" i="2"/>
  <c r="B1736" i="2"/>
  <c r="C1735" i="2"/>
  <c r="B1735" i="2"/>
  <c r="C1734" i="2"/>
  <c r="B1734" i="2"/>
  <c r="C1733" i="2"/>
  <c r="B1733" i="2"/>
  <c r="C1732" i="2"/>
  <c r="B1732" i="2"/>
  <c r="C1731" i="2"/>
  <c r="B1731" i="2"/>
  <c r="C1730" i="2"/>
  <c r="B1730" i="2"/>
  <c r="C1729" i="2"/>
  <c r="B1729" i="2"/>
  <c r="C1728" i="2"/>
  <c r="B1728" i="2"/>
  <c r="C1727" i="2"/>
  <c r="B1727" i="2"/>
  <c r="C1726" i="2"/>
  <c r="B1726" i="2"/>
  <c r="C1725" i="2"/>
  <c r="B1725" i="2"/>
  <c r="C1724" i="2"/>
  <c r="B1724" i="2"/>
  <c r="C1723" i="2"/>
  <c r="B1723" i="2"/>
  <c r="C1722" i="2"/>
  <c r="B1722" i="2"/>
  <c r="C1721" i="2"/>
  <c r="B1721" i="2"/>
  <c r="C1720" i="2"/>
  <c r="B1720" i="2"/>
  <c r="C1719" i="2"/>
  <c r="B1719" i="2"/>
  <c r="C1718" i="2"/>
  <c r="B1718" i="2"/>
  <c r="C1717" i="2"/>
  <c r="B1717" i="2"/>
  <c r="C1716" i="2"/>
  <c r="B1716" i="2"/>
  <c r="C1715" i="2"/>
  <c r="B1715" i="2"/>
  <c r="C1714" i="2"/>
  <c r="B1714" i="2"/>
  <c r="C1713" i="2"/>
  <c r="B1713" i="2"/>
  <c r="C1712" i="2"/>
  <c r="B1712" i="2"/>
  <c r="C1711" i="2"/>
  <c r="B1711" i="2"/>
  <c r="C1710" i="2"/>
  <c r="B1710" i="2"/>
  <c r="C1709" i="2"/>
  <c r="B1709" i="2"/>
  <c r="C1708" i="2"/>
  <c r="B1708" i="2"/>
  <c r="C1707" i="2"/>
  <c r="B1707" i="2"/>
  <c r="C1706" i="2"/>
  <c r="B1706" i="2"/>
  <c r="C1705" i="2"/>
  <c r="B1705" i="2"/>
  <c r="C1704" i="2"/>
  <c r="B1704" i="2"/>
  <c r="C1703" i="2"/>
  <c r="B1703" i="2"/>
  <c r="C1702" i="2"/>
  <c r="B1702" i="2"/>
  <c r="C1701" i="2"/>
  <c r="B1701" i="2"/>
  <c r="C1700" i="2"/>
  <c r="B1700" i="2"/>
  <c r="C1699" i="2"/>
  <c r="B1699" i="2"/>
  <c r="C1698" i="2"/>
  <c r="B1698" i="2"/>
  <c r="C1697" i="2"/>
  <c r="B1697" i="2"/>
  <c r="C1696" i="2"/>
  <c r="B1696" i="2"/>
  <c r="C1695" i="2"/>
  <c r="B1695" i="2"/>
  <c r="C1694" i="2"/>
  <c r="B1694" i="2"/>
  <c r="C1693" i="2"/>
  <c r="B1693" i="2"/>
  <c r="C1692" i="2"/>
  <c r="B1692" i="2"/>
  <c r="C1691" i="2"/>
  <c r="B1691" i="2"/>
  <c r="C1690" i="2"/>
  <c r="B1690" i="2"/>
  <c r="C1689" i="2"/>
  <c r="B1689" i="2"/>
  <c r="C1688" i="2"/>
  <c r="B1688" i="2"/>
  <c r="C1687" i="2"/>
  <c r="B1687" i="2"/>
  <c r="C1686" i="2"/>
  <c r="B1686" i="2"/>
  <c r="C1685" i="2"/>
  <c r="B1685" i="2"/>
  <c r="C1684" i="2"/>
  <c r="B1684" i="2"/>
  <c r="C1683" i="2"/>
  <c r="B1683" i="2"/>
  <c r="C1682" i="2"/>
  <c r="B1682" i="2"/>
  <c r="C1681" i="2"/>
  <c r="B1681" i="2"/>
  <c r="C1680" i="2"/>
  <c r="B1680" i="2"/>
  <c r="C1679" i="2"/>
  <c r="B1679" i="2"/>
  <c r="C1678" i="2"/>
  <c r="B1678" i="2"/>
  <c r="C1677" i="2"/>
  <c r="B1677" i="2"/>
  <c r="C1676" i="2"/>
  <c r="B1676" i="2"/>
  <c r="C1675" i="2"/>
  <c r="B1675" i="2"/>
  <c r="C1674" i="2"/>
  <c r="B1674" i="2"/>
  <c r="C1673" i="2"/>
  <c r="B1673" i="2"/>
  <c r="C1672" i="2"/>
  <c r="B1672" i="2"/>
  <c r="C1671" i="2"/>
  <c r="B1671" i="2"/>
  <c r="C1670" i="2"/>
  <c r="B1670" i="2"/>
  <c r="C1669" i="2"/>
  <c r="B1669" i="2"/>
  <c r="C1668" i="2"/>
  <c r="B1668" i="2"/>
  <c r="C1667" i="2"/>
  <c r="B1667" i="2"/>
  <c r="C1666" i="2"/>
  <c r="B1666" i="2"/>
  <c r="C1665" i="2"/>
  <c r="B1665" i="2"/>
  <c r="C1664" i="2"/>
  <c r="B1664" i="2"/>
  <c r="C1663" i="2"/>
  <c r="B1663" i="2"/>
  <c r="C1662" i="2"/>
  <c r="B1662" i="2"/>
  <c r="C1661" i="2"/>
  <c r="B1661" i="2"/>
  <c r="C1660" i="2"/>
  <c r="B1660" i="2"/>
  <c r="C1659" i="2"/>
  <c r="B1659" i="2"/>
  <c r="C1658" i="2"/>
  <c r="B1658" i="2"/>
  <c r="C1657" i="2"/>
  <c r="B1657" i="2"/>
  <c r="C1656" i="2"/>
  <c r="B1656" i="2"/>
  <c r="C1655" i="2"/>
  <c r="B1655" i="2"/>
  <c r="C1654" i="2"/>
  <c r="B1654" i="2"/>
  <c r="C1653" i="2"/>
  <c r="B1653" i="2"/>
  <c r="C1652" i="2"/>
  <c r="B1652" i="2"/>
  <c r="C1651" i="2"/>
  <c r="B1651" i="2"/>
  <c r="C1650" i="2"/>
  <c r="B1650" i="2"/>
  <c r="C1649" i="2"/>
  <c r="B1649" i="2"/>
  <c r="C1648" i="2"/>
  <c r="B1648" i="2"/>
  <c r="C1647" i="2"/>
  <c r="B1647" i="2"/>
  <c r="C1646" i="2"/>
  <c r="B1646" i="2"/>
  <c r="C1645" i="2"/>
  <c r="B1645" i="2"/>
  <c r="C1644" i="2"/>
  <c r="B1644" i="2"/>
  <c r="C1643" i="2"/>
  <c r="B1643" i="2"/>
  <c r="C1642" i="2"/>
  <c r="B1642" i="2"/>
  <c r="C1641" i="2"/>
  <c r="B1641" i="2"/>
  <c r="C1640" i="2"/>
  <c r="B1640" i="2"/>
  <c r="C1639" i="2"/>
  <c r="B1639" i="2"/>
  <c r="C1638" i="2"/>
  <c r="B1638" i="2"/>
  <c r="C1637" i="2"/>
  <c r="B1637" i="2"/>
  <c r="C1636" i="2"/>
  <c r="B1636" i="2"/>
  <c r="C1635" i="2"/>
  <c r="B1635" i="2"/>
  <c r="C1634" i="2"/>
  <c r="B1634" i="2"/>
  <c r="C1633" i="2"/>
  <c r="B1633" i="2"/>
  <c r="C1632" i="2"/>
  <c r="B1632" i="2"/>
  <c r="C1631" i="2"/>
  <c r="B1631" i="2"/>
  <c r="C1630" i="2"/>
  <c r="B1630" i="2"/>
  <c r="C1629" i="2"/>
  <c r="B1629" i="2"/>
  <c r="C1628" i="2"/>
  <c r="B1628" i="2"/>
  <c r="C1627" i="2"/>
  <c r="B1627" i="2"/>
  <c r="C1626" i="2"/>
  <c r="B1626" i="2"/>
  <c r="C1625" i="2"/>
  <c r="B1625" i="2"/>
  <c r="C1624" i="2"/>
  <c r="B1624" i="2"/>
  <c r="C1623" i="2"/>
  <c r="B1623" i="2"/>
  <c r="C1622" i="2"/>
  <c r="B1622" i="2"/>
  <c r="C1621" i="2"/>
  <c r="B1621" i="2"/>
  <c r="C1620" i="2"/>
  <c r="B1620" i="2"/>
  <c r="C1619" i="2"/>
  <c r="B1619" i="2"/>
  <c r="C1618" i="2"/>
  <c r="B1618" i="2"/>
  <c r="C1617" i="2"/>
  <c r="B1617" i="2"/>
  <c r="C1616" i="2"/>
  <c r="B1616" i="2"/>
  <c r="C1615" i="2"/>
  <c r="B1615" i="2"/>
  <c r="C1614" i="2"/>
  <c r="B1614" i="2"/>
  <c r="C1613" i="2"/>
  <c r="B1613" i="2"/>
  <c r="C1612" i="2"/>
  <c r="B1612" i="2"/>
  <c r="C1611" i="2"/>
  <c r="B1611" i="2"/>
  <c r="C1610" i="2"/>
  <c r="B1610" i="2"/>
  <c r="C1609" i="2"/>
  <c r="B1609" i="2"/>
  <c r="C1608" i="2"/>
  <c r="B1608" i="2"/>
  <c r="C1607" i="2"/>
  <c r="B1607" i="2"/>
  <c r="C1606" i="2"/>
  <c r="B1606" i="2"/>
  <c r="C1605" i="2"/>
  <c r="B1605" i="2"/>
  <c r="C1604" i="2"/>
  <c r="B1604" i="2"/>
  <c r="C1603" i="2"/>
  <c r="B1603" i="2"/>
  <c r="C1602" i="2"/>
  <c r="B1602" i="2"/>
  <c r="C1601" i="2"/>
  <c r="B1601" i="2"/>
  <c r="C1600" i="2"/>
  <c r="B1600" i="2"/>
  <c r="C1599" i="2"/>
  <c r="B1599" i="2"/>
  <c r="C1598" i="2"/>
  <c r="B1598" i="2"/>
  <c r="C1597" i="2"/>
  <c r="B1597" i="2"/>
  <c r="C1596" i="2"/>
  <c r="B1596" i="2"/>
  <c r="C1595" i="2"/>
  <c r="B1595" i="2"/>
  <c r="C1594" i="2"/>
  <c r="B1594" i="2"/>
  <c r="C1593" i="2"/>
  <c r="B1593" i="2"/>
  <c r="C1592" i="2"/>
  <c r="B1592" i="2"/>
  <c r="C1591" i="2"/>
  <c r="B1591" i="2"/>
  <c r="C1590" i="2"/>
  <c r="B1590" i="2"/>
  <c r="C1589" i="2"/>
  <c r="B1589" i="2"/>
  <c r="C1588" i="2"/>
  <c r="B1588" i="2"/>
  <c r="C1587" i="2"/>
  <c r="B1587" i="2"/>
  <c r="C1586" i="2"/>
  <c r="B1586" i="2"/>
  <c r="C1585" i="2"/>
  <c r="B1585" i="2"/>
  <c r="C1584" i="2"/>
  <c r="B1584" i="2"/>
  <c r="C1583" i="2"/>
  <c r="B1583" i="2"/>
  <c r="C1582" i="2"/>
  <c r="B1582" i="2"/>
  <c r="C1581" i="2"/>
  <c r="B1581" i="2"/>
  <c r="C1580" i="2"/>
  <c r="B1580" i="2"/>
  <c r="C1579" i="2"/>
  <c r="B1579" i="2"/>
  <c r="C1578" i="2"/>
  <c r="B1578" i="2"/>
  <c r="C1577" i="2"/>
  <c r="B1577" i="2"/>
  <c r="C1576" i="2"/>
  <c r="B1576" i="2"/>
  <c r="C1575" i="2"/>
  <c r="B1575" i="2"/>
  <c r="C1574" i="2"/>
  <c r="B1574" i="2"/>
  <c r="C1573" i="2"/>
  <c r="B1573" i="2"/>
  <c r="C1572" i="2"/>
  <c r="B1572" i="2"/>
  <c r="C1571" i="2"/>
  <c r="B1571" i="2"/>
  <c r="C1570" i="2"/>
  <c r="B1570" i="2"/>
  <c r="C1569" i="2"/>
  <c r="B1569" i="2"/>
  <c r="C1568" i="2"/>
  <c r="B1568" i="2"/>
  <c r="C1567" i="2"/>
  <c r="B1567" i="2"/>
  <c r="C1566" i="2"/>
  <c r="B1566" i="2"/>
  <c r="C1565" i="2"/>
  <c r="B1565" i="2"/>
  <c r="C1564" i="2"/>
  <c r="B1564" i="2"/>
  <c r="C1563" i="2"/>
  <c r="B1563" i="2"/>
  <c r="C1562" i="2"/>
  <c r="B1562" i="2"/>
  <c r="C1561" i="2"/>
  <c r="B1561" i="2"/>
  <c r="C1560" i="2"/>
  <c r="B1560" i="2"/>
  <c r="C1559" i="2"/>
  <c r="B1559" i="2"/>
  <c r="C1558" i="2"/>
  <c r="B1558" i="2"/>
  <c r="C1557" i="2"/>
  <c r="B1557" i="2"/>
  <c r="C1556" i="2"/>
  <c r="B1556" i="2"/>
  <c r="C1555" i="2"/>
  <c r="B1555" i="2"/>
  <c r="C1554" i="2"/>
  <c r="B1554" i="2"/>
  <c r="C1553" i="2"/>
  <c r="B1553" i="2"/>
  <c r="C1552" i="2"/>
  <c r="B1552" i="2"/>
  <c r="C1551" i="2"/>
  <c r="B1551" i="2"/>
  <c r="C1550" i="2"/>
  <c r="B1550" i="2"/>
  <c r="C1549" i="2"/>
  <c r="B1549" i="2"/>
  <c r="C1548" i="2"/>
  <c r="B1548" i="2"/>
  <c r="C1547" i="2"/>
  <c r="B1547" i="2"/>
  <c r="C1546" i="2"/>
  <c r="B1546" i="2"/>
  <c r="C1545" i="2"/>
  <c r="B1545" i="2"/>
  <c r="C1544" i="2"/>
  <c r="B1544" i="2"/>
  <c r="C1543" i="2"/>
  <c r="B1543" i="2"/>
  <c r="C1542" i="2"/>
  <c r="B1542" i="2"/>
  <c r="C1541" i="2"/>
  <c r="B1541" i="2"/>
  <c r="C1540" i="2"/>
  <c r="B1540" i="2"/>
  <c r="C1539" i="2"/>
  <c r="B1539" i="2"/>
  <c r="C1538" i="2"/>
  <c r="B1538" i="2"/>
  <c r="C1537" i="2"/>
  <c r="B1537" i="2"/>
  <c r="C1536" i="2"/>
  <c r="B1536" i="2"/>
  <c r="C1535" i="2"/>
  <c r="B1535" i="2"/>
  <c r="C1534" i="2"/>
  <c r="B1534" i="2"/>
  <c r="C1533" i="2"/>
  <c r="B1533" i="2"/>
  <c r="C1532" i="2"/>
  <c r="B1532" i="2"/>
  <c r="C1531" i="2"/>
  <c r="B1531" i="2"/>
  <c r="C1530" i="2"/>
  <c r="B1530" i="2"/>
  <c r="C1529" i="2"/>
  <c r="B1529" i="2"/>
  <c r="C1528" i="2"/>
  <c r="B1528" i="2"/>
  <c r="C1527" i="2"/>
  <c r="B1527" i="2"/>
  <c r="C1526" i="2"/>
  <c r="B1526" i="2"/>
  <c r="C1525" i="2"/>
  <c r="B1525" i="2"/>
  <c r="C1524" i="2"/>
  <c r="B1524" i="2"/>
  <c r="C1523" i="2"/>
  <c r="B1523" i="2"/>
  <c r="C1522" i="2"/>
  <c r="B1522" i="2"/>
  <c r="C1521" i="2"/>
  <c r="B1521" i="2"/>
  <c r="C1520" i="2"/>
  <c r="B1520" i="2"/>
  <c r="C1519" i="2"/>
  <c r="B1519" i="2"/>
  <c r="C1518" i="2"/>
  <c r="B1518" i="2"/>
  <c r="C1517" i="2"/>
  <c r="B1517" i="2"/>
  <c r="C1516" i="2"/>
  <c r="B1516" i="2"/>
  <c r="C1515" i="2"/>
  <c r="B1515" i="2"/>
  <c r="C1514" i="2"/>
  <c r="B1514" i="2"/>
  <c r="C1513" i="2"/>
  <c r="B1513" i="2"/>
  <c r="C1512" i="2"/>
  <c r="B1512" i="2"/>
  <c r="C1511" i="2"/>
  <c r="B1511" i="2"/>
  <c r="C1510" i="2"/>
  <c r="B1510" i="2"/>
  <c r="C1509" i="2"/>
  <c r="B1509" i="2"/>
  <c r="C1508" i="2"/>
  <c r="B1508" i="2"/>
  <c r="C1507" i="2"/>
  <c r="B1507" i="2"/>
  <c r="C1506" i="2"/>
  <c r="B1506" i="2"/>
  <c r="C1505" i="2"/>
  <c r="B1505" i="2"/>
  <c r="C1504" i="2"/>
  <c r="B1504" i="2"/>
  <c r="C1503" i="2"/>
  <c r="B1503" i="2"/>
  <c r="C1502" i="2"/>
  <c r="B1502" i="2"/>
  <c r="C1501" i="2"/>
  <c r="B1501" i="2"/>
  <c r="C1500" i="2"/>
  <c r="B1500" i="2"/>
  <c r="C1499" i="2"/>
  <c r="B1499" i="2"/>
  <c r="C1498" i="2"/>
  <c r="B1498" i="2"/>
  <c r="C1497" i="2"/>
  <c r="B1497" i="2"/>
  <c r="C1496" i="2"/>
  <c r="B1496" i="2"/>
  <c r="C1495" i="2"/>
  <c r="B1495" i="2"/>
  <c r="C1494" i="2"/>
  <c r="B1494" i="2"/>
  <c r="C1493" i="2"/>
  <c r="B1493" i="2"/>
  <c r="C1492" i="2"/>
  <c r="B1492" i="2"/>
  <c r="C1491" i="2"/>
  <c r="B1491" i="2"/>
  <c r="C1490" i="2"/>
  <c r="B1490" i="2"/>
  <c r="C1489" i="2"/>
  <c r="B1489" i="2"/>
  <c r="C1488" i="2"/>
  <c r="B1488" i="2"/>
  <c r="C1487" i="2"/>
  <c r="B1487" i="2"/>
  <c r="C1486" i="2"/>
  <c r="B1486" i="2"/>
  <c r="C1485" i="2"/>
  <c r="B1485" i="2"/>
  <c r="C1484" i="2"/>
  <c r="B1484" i="2"/>
  <c r="C1483" i="2"/>
  <c r="B1483" i="2"/>
  <c r="C1482" i="2"/>
  <c r="B1482" i="2"/>
  <c r="C1481" i="2"/>
  <c r="B1481" i="2"/>
  <c r="C1480" i="2"/>
  <c r="B1480" i="2"/>
  <c r="C1479" i="2"/>
  <c r="B1479" i="2"/>
  <c r="C1478" i="2"/>
  <c r="B1478" i="2"/>
  <c r="C1477" i="2"/>
  <c r="B1477" i="2"/>
  <c r="C1476" i="2"/>
  <c r="B1476" i="2"/>
  <c r="C1475" i="2"/>
  <c r="B1475" i="2"/>
  <c r="C1474" i="2"/>
  <c r="B1474" i="2"/>
  <c r="C1473" i="2"/>
  <c r="B1473" i="2"/>
  <c r="C1472" i="2"/>
  <c r="B1472" i="2"/>
  <c r="C1471" i="2"/>
  <c r="B1471" i="2"/>
  <c r="C1470" i="2"/>
  <c r="B1470" i="2"/>
  <c r="C1469" i="2"/>
  <c r="B1469" i="2"/>
  <c r="C1468" i="2"/>
  <c r="B1468" i="2"/>
  <c r="C1467" i="2"/>
  <c r="B1467" i="2"/>
  <c r="C1466" i="2"/>
  <c r="B1466" i="2"/>
  <c r="C1465" i="2"/>
  <c r="B1465" i="2"/>
  <c r="C1464" i="2"/>
  <c r="B1464" i="2"/>
  <c r="C1463" i="2"/>
  <c r="B1463" i="2"/>
  <c r="C1462" i="2"/>
  <c r="B1462" i="2"/>
  <c r="C1461" i="2"/>
  <c r="B1461" i="2"/>
  <c r="C1460" i="2"/>
  <c r="B1460" i="2"/>
  <c r="C1459" i="2"/>
  <c r="B1459" i="2"/>
  <c r="C1458" i="2"/>
  <c r="B1458" i="2"/>
  <c r="C1457" i="2"/>
  <c r="B1457" i="2"/>
  <c r="C1456" i="2"/>
  <c r="B1456" i="2"/>
  <c r="C1455" i="2"/>
  <c r="B1455" i="2"/>
  <c r="C1454" i="2"/>
  <c r="B1454" i="2"/>
  <c r="C1453" i="2"/>
  <c r="B1453" i="2"/>
  <c r="C1452" i="2"/>
  <c r="B1452" i="2"/>
  <c r="C1451" i="2"/>
  <c r="B1451" i="2"/>
  <c r="C1450" i="2"/>
  <c r="B1450" i="2"/>
  <c r="C1449" i="2"/>
  <c r="B1449" i="2"/>
  <c r="C1448" i="2"/>
  <c r="B1448" i="2"/>
  <c r="C1447" i="2"/>
  <c r="B1447" i="2"/>
  <c r="C1446" i="2"/>
  <c r="B1446" i="2"/>
  <c r="C1445" i="2"/>
  <c r="B1445" i="2"/>
  <c r="C1444" i="2"/>
  <c r="B1444" i="2"/>
  <c r="C1443" i="2"/>
  <c r="B1443" i="2"/>
  <c r="C1442" i="2"/>
  <c r="B1442" i="2"/>
  <c r="C1441" i="2"/>
  <c r="B1441" i="2"/>
  <c r="C1440" i="2"/>
  <c r="B1440" i="2"/>
  <c r="C1439" i="2"/>
  <c r="B1439" i="2"/>
  <c r="C1438" i="2"/>
  <c r="B1438" i="2"/>
  <c r="C1437" i="2"/>
  <c r="B1437" i="2"/>
  <c r="C1436" i="2"/>
  <c r="B1436" i="2"/>
  <c r="C1435" i="2"/>
  <c r="B1435" i="2"/>
  <c r="C1434" i="2"/>
  <c r="B1434" i="2"/>
  <c r="C1433" i="2"/>
  <c r="B1433" i="2"/>
  <c r="C1432" i="2"/>
  <c r="B1432" i="2"/>
  <c r="C1431" i="2"/>
  <c r="B1431" i="2"/>
  <c r="C1430" i="2"/>
  <c r="B1430" i="2"/>
  <c r="C1429" i="2"/>
  <c r="B1429" i="2"/>
  <c r="C1428" i="2"/>
  <c r="B1428" i="2"/>
  <c r="C1427" i="2"/>
  <c r="B1427" i="2"/>
  <c r="C1426" i="2"/>
  <c r="B1426" i="2"/>
  <c r="C1425" i="2"/>
  <c r="B1425" i="2"/>
  <c r="C1424" i="2"/>
  <c r="B1424" i="2"/>
  <c r="C1423" i="2"/>
  <c r="B1423" i="2"/>
  <c r="C1422" i="2"/>
  <c r="B1422" i="2"/>
  <c r="C1421" i="2"/>
  <c r="B1421" i="2"/>
  <c r="C1420" i="2"/>
  <c r="B1420" i="2"/>
  <c r="C1419" i="2"/>
  <c r="B1419" i="2"/>
  <c r="C1418" i="2"/>
  <c r="B1418" i="2"/>
  <c r="C1417" i="2"/>
  <c r="B1417" i="2"/>
  <c r="C1416" i="2"/>
  <c r="B1416" i="2"/>
  <c r="C1415" i="2"/>
  <c r="B1415" i="2"/>
  <c r="C1414" i="2"/>
  <c r="B1414" i="2"/>
  <c r="C1413" i="2"/>
  <c r="B1413" i="2"/>
  <c r="C1412" i="2"/>
  <c r="B1412" i="2"/>
  <c r="C1411" i="2"/>
  <c r="B1411" i="2"/>
  <c r="C1410" i="2"/>
  <c r="B1410" i="2"/>
  <c r="C1409" i="2"/>
  <c r="B1409" i="2"/>
  <c r="C1408" i="2"/>
  <c r="B1408" i="2"/>
  <c r="C1407" i="2"/>
  <c r="B1407" i="2"/>
  <c r="C1406" i="2"/>
  <c r="B1406" i="2"/>
  <c r="C1405" i="2"/>
  <c r="B1405" i="2"/>
  <c r="C1404" i="2"/>
  <c r="B1404" i="2"/>
  <c r="C1403" i="2"/>
  <c r="B1403" i="2"/>
  <c r="C1402" i="2"/>
  <c r="B1402" i="2"/>
  <c r="C1401" i="2"/>
  <c r="B1401" i="2"/>
  <c r="C1400" i="2"/>
  <c r="B1400" i="2"/>
  <c r="C1399" i="2"/>
  <c r="B1399" i="2"/>
  <c r="C1398" i="2"/>
  <c r="B1398" i="2"/>
  <c r="C1397" i="2"/>
  <c r="B1397" i="2"/>
  <c r="C1396" i="2"/>
  <c r="B1396" i="2"/>
  <c r="C1395" i="2"/>
  <c r="B1395" i="2"/>
  <c r="C1394" i="2"/>
  <c r="B1394" i="2"/>
  <c r="C1393" i="2"/>
  <c r="B1393" i="2"/>
  <c r="C1392" i="2"/>
  <c r="B1392" i="2"/>
  <c r="C1391" i="2"/>
  <c r="B1391" i="2"/>
  <c r="C1390" i="2"/>
  <c r="B1390" i="2"/>
  <c r="C1389" i="2"/>
  <c r="B1389" i="2"/>
  <c r="C1388" i="2"/>
  <c r="B1388" i="2"/>
  <c r="C1387" i="2"/>
  <c r="B1387" i="2"/>
  <c r="C1386" i="2"/>
  <c r="B1386" i="2"/>
  <c r="C1385" i="2"/>
  <c r="B1385" i="2"/>
  <c r="C1384" i="2"/>
  <c r="B1384" i="2"/>
  <c r="C1383" i="2"/>
  <c r="B1383" i="2"/>
  <c r="C1382" i="2"/>
  <c r="B1382" i="2"/>
  <c r="C1381" i="2"/>
  <c r="B1381" i="2"/>
  <c r="C1380" i="2"/>
  <c r="B1380" i="2"/>
  <c r="C1379" i="2"/>
  <c r="B1379" i="2"/>
  <c r="C1378" i="2"/>
  <c r="B1378" i="2"/>
  <c r="C1377" i="2"/>
  <c r="B1377" i="2"/>
  <c r="C1376" i="2"/>
  <c r="B1376" i="2"/>
  <c r="C1375" i="2"/>
  <c r="B1375" i="2"/>
  <c r="C1374" i="2"/>
  <c r="B1374" i="2"/>
  <c r="C1373" i="2"/>
  <c r="B1373" i="2"/>
  <c r="C1372" i="2"/>
  <c r="B1372" i="2"/>
  <c r="C1371" i="2"/>
  <c r="B1371" i="2"/>
  <c r="C1370" i="2"/>
  <c r="B1370" i="2"/>
  <c r="C1369" i="2"/>
  <c r="B1369" i="2"/>
  <c r="C1368" i="2"/>
  <c r="B1368" i="2"/>
  <c r="C1367" i="2"/>
  <c r="B1367" i="2"/>
  <c r="C1366" i="2"/>
  <c r="B1366" i="2"/>
  <c r="C1365" i="2"/>
  <c r="B1365" i="2"/>
  <c r="C1364" i="2"/>
  <c r="B1364" i="2"/>
  <c r="C1363" i="2"/>
  <c r="B1363" i="2"/>
  <c r="C1362" i="2"/>
  <c r="B1362" i="2"/>
  <c r="C1361" i="2"/>
  <c r="B1361" i="2"/>
  <c r="C1360" i="2"/>
  <c r="B1360" i="2"/>
  <c r="C1359" i="2"/>
  <c r="B1359" i="2"/>
  <c r="C1358" i="2"/>
  <c r="B1358" i="2"/>
  <c r="C1357" i="2"/>
  <c r="B1357" i="2"/>
  <c r="C1356" i="2"/>
  <c r="B1356" i="2"/>
  <c r="C1355" i="2"/>
  <c r="B1355" i="2"/>
  <c r="C1354" i="2"/>
  <c r="B1354" i="2"/>
  <c r="C1353" i="2"/>
  <c r="B1353" i="2"/>
  <c r="C1352" i="2"/>
  <c r="B1352" i="2"/>
  <c r="C1351" i="2"/>
  <c r="B1351" i="2"/>
  <c r="C1350" i="2"/>
  <c r="B1350" i="2"/>
  <c r="C1349" i="2"/>
  <c r="B1349" i="2"/>
  <c r="C1348" i="2"/>
  <c r="B1348" i="2"/>
  <c r="C1347" i="2"/>
  <c r="B1347" i="2"/>
  <c r="C1346" i="2"/>
  <c r="B1346" i="2"/>
  <c r="C1345" i="2"/>
  <c r="B1345" i="2"/>
  <c r="C1344" i="2"/>
  <c r="B1344" i="2"/>
  <c r="C1343" i="2"/>
  <c r="B1343" i="2"/>
  <c r="C1342" i="2"/>
  <c r="B1342" i="2"/>
  <c r="C1341" i="2"/>
  <c r="B1341" i="2"/>
  <c r="C1340" i="2"/>
  <c r="B1340" i="2"/>
  <c r="C1339" i="2"/>
  <c r="B1339" i="2"/>
  <c r="C1338" i="2"/>
  <c r="B1338" i="2"/>
  <c r="C1337" i="2"/>
  <c r="B1337" i="2"/>
  <c r="C1336" i="2"/>
  <c r="B1336" i="2"/>
  <c r="C1335" i="2"/>
  <c r="B1335" i="2"/>
  <c r="C1334" i="2"/>
  <c r="B1334" i="2"/>
  <c r="C1333" i="2"/>
  <c r="B1333" i="2"/>
  <c r="C1332" i="2"/>
  <c r="B1332" i="2"/>
  <c r="C1331" i="2"/>
  <c r="B1331" i="2"/>
  <c r="C1330" i="2"/>
  <c r="B1330" i="2"/>
  <c r="C1329" i="2"/>
  <c r="B1329" i="2"/>
  <c r="C1328" i="2"/>
  <c r="B1328" i="2"/>
  <c r="C1327" i="2"/>
  <c r="B1327" i="2"/>
  <c r="C1326" i="2"/>
  <c r="B1326" i="2"/>
  <c r="C1325" i="2"/>
  <c r="B1325" i="2"/>
  <c r="C1324" i="2"/>
  <c r="B1324" i="2"/>
  <c r="C1323" i="2"/>
  <c r="B1323" i="2"/>
  <c r="C1322" i="2"/>
  <c r="B1322" i="2"/>
  <c r="C1321" i="2"/>
  <c r="B1321" i="2"/>
  <c r="C1320" i="2"/>
  <c r="B1320" i="2"/>
  <c r="C1319" i="2"/>
  <c r="B1319" i="2"/>
  <c r="C1318" i="2"/>
  <c r="B1318" i="2"/>
  <c r="C1317" i="2"/>
  <c r="B1317" i="2"/>
  <c r="C1316" i="2"/>
  <c r="B1316" i="2"/>
  <c r="C1315" i="2"/>
  <c r="B1315" i="2"/>
  <c r="C1314" i="2"/>
  <c r="B1314" i="2"/>
  <c r="C1313" i="2"/>
  <c r="B1313" i="2"/>
  <c r="C1312" i="2"/>
  <c r="B1312" i="2"/>
  <c r="C1311" i="2"/>
  <c r="B1311" i="2"/>
  <c r="C1310" i="2"/>
  <c r="B1310" i="2"/>
  <c r="C1309" i="2"/>
  <c r="B1309" i="2"/>
  <c r="C1308" i="2"/>
  <c r="B1308" i="2"/>
  <c r="C1307" i="2"/>
  <c r="B1307" i="2"/>
  <c r="C1306" i="2"/>
  <c r="B1306" i="2"/>
  <c r="C1305" i="2"/>
  <c r="B1305" i="2"/>
  <c r="C1304" i="2"/>
  <c r="B1304" i="2"/>
  <c r="C1303" i="2"/>
  <c r="B1303" i="2"/>
  <c r="C1302" i="2"/>
  <c r="B1302" i="2"/>
  <c r="C1301" i="2"/>
  <c r="B1301" i="2"/>
  <c r="C1300" i="2"/>
  <c r="B1300" i="2"/>
  <c r="C1299" i="2"/>
  <c r="B1299" i="2"/>
  <c r="C1298" i="2"/>
  <c r="B1298" i="2"/>
  <c r="C1297" i="2"/>
  <c r="B1297" i="2"/>
  <c r="C1296" i="2"/>
  <c r="B1296" i="2"/>
  <c r="C1295" i="2"/>
  <c r="B1295" i="2"/>
  <c r="C1294" i="2"/>
  <c r="B1294" i="2"/>
  <c r="C1293" i="2"/>
  <c r="B1293" i="2"/>
  <c r="C1292" i="2"/>
  <c r="B1292" i="2"/>
  <c r="C1291" i="2"/>
  <c r="B1291" i="2"/>
  <c r="C1290" i="2"/>
  <c r="B1290" i="2"/>
  <c r="C1289" i="2"/>
  <c r="B1289" i="2"/>
  <c r="C1288" i="2"/>
  <c r="B1288" i="2"/>
  <c r="C1287" i="2"/>
  <c r="B1287" i="2"/>
  <c r="C1286" i="2"/>
  <c r="B1286" i="2"/>
  <c r="C1285" i="2"/>
  <c r="B1285" i="2"/>
  <c r="C1284" i="2"/>
  <c r="B1284" i="2"/>
  <c r="C1283" i="2"/>
  <c r="B1283" i="2"/>
  <c r="C1282" i="2"/>
  <c r="B1282" i="2"/>
  <c r="C1281" i="2"/>
  <c r="B1281" i="2"/>
  <c r="C1280" i="2"/>
  <c r="B1280" i="2"/>
  <c r="C1279" i="2"/>
  <c r="B1279" i="2"/>
  <c r="C1278" i="2"/>
  <c r="B1278" i="2"/>
  <c r="C1277" i="2"/>
  <c r="B1277" i="2"/>
  <c r="C1276" i="2"/>
  <c r="B1276" i="2"/>
  <c r="C1275" i="2"/>
  <c r="B1275" i="2"/>
  <c r="C1274" i="2"/>
  <c r="B1274" i="2"/>
  <c r="C1273" i="2"/>
  <c r="B1273" i="2"/>
  <c r="C1272" i="2"/>
  <c r="B1272" i="2"/>
  <c r="C1271" i="2"/>
  <c r="B1271" i="2"/>
  <c r="C1270" i="2"/>
  <c r="B1270" i="2"/>
  <c r="C1269" i="2"/>
  <c r="B1269" i="2"/>
  <c r="C1268" i="2"/>
  <c r="B1268" i="2"/>
  <c r="C1267" i="2"/>
  <c r="B1267" i="2"/>
  <c r="C1266" i="2"/>
  <c r="B1266" i="2"/>
  <c r="C1265" i="2"/>
  <c r="B1265" i="2"/>
  <c r="C1264" i="2"/>
  <c r="B1264" i="2"/>
  <c r="C1263" i="2"/>
  <c r="B1263" i="2"/>
  <c r="C1262" i="2"/>
  <c r="B1262" i="2"/>
  <c r="C1261" i="2"/>
  <c r="B1261" i="2"/>
  <c r="C1260" i="2"/>
  <c r="B1260" i="2"/>
  <c r="C1259" i="2"/>
  <c r="B1259" i="2"/>
  <c r="C1258" i="2"/>
  <c r="B1258" i="2"/>
  <c r="C1257" i="2"/>
  <c r="B1257" i="2"/>
  <c r="C1256" i="2"/>
  <c r="B1256" i="2"/>
  <c r="C1255" i="2"/>
  <c r="B1255" i="2"/>
  <c r="C1254" i="2"/>
  <c r="B1254" i="2"/>
  <c r="C1253" i="2"/>
  <c r="B1253" i="2"/>
  <c r="C1252" i="2"/>
  <c r="B1252" i="2"/>
  <c r="C1251" i="2"/>
  <c r="B1251" i="2"/>
  <c r="C1250" i="2"/>
  <c r="B1250" i="2"/>
  <c r="C1249" i="2"/>
  <c r="B1249" i="2"/>
  <c r="C1248" i="2"/>
  <c r="B1248" i="2"/>
  <c r="C1247" i="2"/>
  <c r="B1247" i="2"/>
  <c r="C1246" i="2"/>
  <c r="B1246" i="2"/>
  <c r="C1245" i="2"/>
  <c r="B1245" i="2"/>
  <c r="C1244" i="2"/>
  <c r="B1244" i="2"/>
  <c r="C1243" i="2"/>
  <c r="B1243" i="2"/>
  <c r="C1242" i="2"/>
  <c r="B1242" i="2"/>
  <c r="C1241" i="2"/>
  <c r="B1241" i="2"/>
  <c r="C1240" i="2"/>
  <c r="B1240" i="2"/>
  <c r="C1239" i="2"/>
  <c r="B1239" i="2"/>
  <c r="C1238" i="2"/>
  <c r="B1238" i="2"/>
  <c r="C1237" i="2"/>
  <c r="B1237" i="2"/>
  <c r="C1236" i="2"/>
  <c r="B1236" i="2"/>
  <c r="C1235" i="2"/>
  <c r="B1235" i="2"/>
  <c r="C1234" i="2"/>
  <c r="B1234" i="2"/>
  <c r="C1233" i="2"/>
  <c r="B1233" i="2"/>
  <c r="C1232" i="2"/>
  <c r="B1232" i="2"/>
  <c r="C1231" i="2"/>
  <c r="B1231" i="2"/>
  <c r="C1230" i="2"/>
  <c r="B1230" i="2"/>
  <c r="C1229" i="2"/>
  <c r="B1229" i="2"/>
  <c r="C1228" i="2"/>
  <c r="B1228" i="2"/>
  <c r="C1227" i="2"/>
  <c r="B1227" i="2"/>
  <c r="C1226" i="2"/>
  <c r="B1226" i="2"/>
  <c r="C1225" i="2"/>
  <c r="B1225" i="2"/>
  <c r="C1224" i="2"/>
  <c r="B1224" i="2"/>
  <c r="C1223" i="2"/>
  <c r="B1223" i="2"/>
  <c r="C1222" i="2"/>
  <c r="B1222" i="2"/>
  <c r="C1221" i="2"/>
  <c r="B1221" i="2"/>
  <c r="C1220" i="2"/>
  <c r="B1220" i="2"/>
  <c r="C1219" i="2"/>
  <c r="B1219" i="2"/>
  <c r="C1218" i="2"/>
  <c r="B1218" i="2"/>
  <c r="C1217" i="2"/>
  <c r="B1217" i="2"/>
  <c r="C1216" i="2"/>
  <c r="B1216" i="2"/>
  <c r="C1215" i="2"/>
  <c r="B1215" i="2"/>
  <c r="C1214" i="2"/>
  <c r="B1214" i="2"/>
  <c r="C1213" i="2"/>
  <c r="B1213" i="2"/>
  <c r="C1212" i="2"/>
  <c r="B1212" i="2"/>
  <c r="C1211" i="2"/>
  <c r="B1211" i="2"/>
  <c r="C1210" i="2"/>
  <c r="B1210" i="2"/>
  <c r="C1209" i="2"/>
  <c r="B1209" i="2"/>
  <c r="C1208" i="2"/>
  <c r="B1208" i="2"/>
  <c r="C1207" i="2"/>
  <c r="B1207" i="2"/>
  <c r="C1206" i="2"/>
  <c r="B1206" i="2"/>
  <c r="C1205" i="2"/>
  <c r="B1205" i="2"/>
  <c r="C1204" i="2"/>
  <c r="B1204" i="2"/>
  <c r="C1203" i="2"/>
  <c r="B1203" i="2"/>
  <c r="C1202" i="2"/>
  <c r="B1202" i="2"/>
  <c r="C1201" i="2"/>
  <c r="B1201" i="2"/>
  <c r="C1200" i="2"/>
  <c r="B1200" i="2"/>
  <c r="C1199" i="2"/>
  <c r="B1199" i="2"/>
  <c r="C1198" i="2"/>
  <c r="B1198" i="2"/>
  <c r="C1197" i="2"/>
  <c r="B1197" i="2"/>
  <c r="C1196" i="2"/>
  <c r="B1196" i="2"/>
  <c r="C1195" i="2"/>
  <c r="B1195" i="2"/>
  <c r="C1194" i="2"/>
  <c r="B1194" i="2"/>
  <c r="C1193" i="2"/>
  <c r="B1193" i="2"/>
  <c r="C1192" i="2"/>
  <c r="B1192" i="2"/>
  <c r="C1191" i="2"/>
  <c r="B1191" i="2"/>
  <c r="C1190" i="2"/>
  <c r="B1190" i="2"/>
  <c r="C1189" i="2"/>
  <c r="B1189" i="2"/>
  <c r="C1188" i="2"/>
  <c r="B1188" i="2"/>
  <c r="C1187" i="2"/>
  <c r="B1187" i="2"/>
  <c r="C1186" i="2"/>
  <c r="B1186" i="2"/>
  <c r="C1185" i="2"/>
  <c r="B1185" i="2"/>
  <c r="C1184" i="2"/>
  <c r="B1184" i="2"/>
  <c r="C1183" i="2"/>
  <c r="B1183" i="2"/>
  <c r="C1182" i="2"/>
  <c r="B1182" i="2"/>
  <c r="C1181" i="2"/>
  <c r="B1181" i="2"/>
  <c r="C1180" i="2"/>
  <c r="B1180" i="2"/>
  <c r="C1179" i="2"/>
  <c r="B1179" i="2"/>
  <c r="C1178" i="2"/>
  <c r="B1178" i="2"/>
  <c r="C1177" i="2"/>
  <c r="B1177" i="2"/>
  <c r="C1176" i="2"/>
  <c r="B1176" i="2"/>
  <c r="C1175" i="2"/>
  <c r="B1175" i="2"/>
  <c r="C1174" i="2"/>
  <c r="B1174" i="2"/>
  <c r="C1173" i="2"/>
  <c r="B1173" i="2"/>
  <c r="C1172" i="2"/>
  <c r="B1172" i="2"/>
  <c r="C1171" i="2"/>
  <c r="B1171" i="2"/>
  <c r="C1170" i="2"/>
  <c r="B1170" i="2"/>
  <c r="C1169" i="2"/>
  <c r="B1169" i="2"/>
  <c r="C1168" i="2"/>
  <c r="B1168" i="2"/>
  <c r="C1167" i="2"/>
  <c r="B1167" i="2"/>
  <c r="C1166" i="2"/>
  <c r="B1166" i="2"/>
  <c r="C1165" i="2"/>
  <c r="B1165" i="2"/>
  <c r="C1164" i="2"/>
  <c r="B1164" i="2"/>
  <c r="C1163" i="2"/>
  <c r="B1163" i="2"/>
  <c r="C1162" i="2"/>
  <c r="B1162" i="2"/>
  <c r="C1161" i="2"/>
  <c r="B1161" i="2"/>
  <c r="C1160" i="2"/>
  <c r="B1160" i="2"/>
  <c r="C1159" i="2"/>
  <c r="B1159" i="2"/>
  <c r="C1158" i="2"/>
  <c r="B1158" i="2"/>
  <c r="C1157" i="2"/>
  <c r="B1157" i="2"/>
  <c r="C1156" i="2"/>
  <c r="B1156" i="2"/>
  <c r="C1155" i="2"/>
  <c r="B1155" i="2"/>
  <c r="C1154" i="2"/>
  <c r="B1154" i="2"/>
  <c r="C1153" i="2"/>
  <c r="B1153" i="2"/>
  <c r="C1152" i="2"/>
  <c r="B1152" i="2"/>
  <c r="C1151" i="2"/>
  <c r="B1151" i="2"/>
  <c r="C1150" i="2"/>
  <c r="B1150" i="2"/>
  <c r="C1149" i="2"/>
  <c r="B1149" i="2"/>
  <c r="C1148" i="2"/>
  <c r="B1148" i="2"/>
  <c r="C1147" i="2"/>
  <c r="B1147" i="2"/>
  <c r="C1146" i="2"/>
  <c r="B1146" i="2"/>
  <c r="C1145" i="2"/>
  <c r="B1145" i="2"/>
  <c r="C1144" i="2"/>
  <c r="B1144" i="2"/>
  <c r="C1143" i="2"/>
  <c r="B1143" i="2"/>
  <c r="C1142" i="2"/>
  <c r="B1142" i="2"/>
  <c r="C1141" i="2"/>
  <c r="B1141" i="2"/>
  <c r="C1140" i="2"/>
  <c r="B1140" i="2"/>
  <c r="C1139" i="2"/>
  <c r="B1139" i="2"/>
  <c r="C1138" i="2"/>
  <c r="B1138" i="2"/>
  <c r="C1137" i="2"/>
  <c r="B1137" i="2"/>
  <c r="C1136" i="2"/>
  <c r="B1136" i="2"/>
  <c r="C1135" i="2"/>
  <c r="B1135" i="2"/>
  <c r="C1134" i="2"/>
  <c r="B1134" i="2"/>
  <c r="C1133" i="2"/>
  <c r="B1133" i="2"/>
  <c r="C1132" i="2"/>
  <c r="B1132" i="2"/>
  <c r="C1131" i="2"/>
  <c r="B1131" i="2"/>
  <c r="C1130" i="2"/>
  <c r="B1130" i="2"/>
  <c r="C1129" i="2"/>
  <c r="B1129" i="2"/>
  <c r="C1128" i="2"/>
  <c r="B1128" i="2"/>
  <c r="C1127" i="2"/>
  <c r="B1127" i="2"/>
  <c r="C1126" i="2"/>
  <c r="B1126" i="2"/>
  <c r="C1125" i="2"/>
  <c r="B1125" i="2"/>
  <c r="C1124" i="2"/>
  <c r="B1124" i="2"/>
  <c r="C1123" i="2"/>
  <c r="B1123" i="2"/>
  <c r="C1122" i="2"/>
  <c r="B1122" i="2"/>
  <c r="C1121" i="2"/>
  <c r="B1121" i="2"/>
  <c r="C1120" i="2"/>
  <c r="B1120" i="2"/>
  <c r="C1119" i="2"/>
  <c r="B1119" i="2"/>
  <c r="C1118" i="2"/>
  <c r="B1118" i="2"/>
  <c r="C1117" i="2"/>
  <c r="B1117" i="2"/>
  <c r="C1116" i="2"/>
  <c r="B1116" i="2"/>
  <c r="C1115" i="2"/>
  <c r="B1115" i="2"/>
  <c r="C1114" i="2"/>
  <c r="B1114" i="2"/>
  <c r="C1113" i="2"/>
  <c r="B1113" i="2"/>
  <c r="C1112" i="2"/>
  <c r="B1112" i="2"/>
  <c r="C1111" i="2"/>
  <c r="B1111" i="2"/>
  <c r="C1110" i="2"/>
  <c r="B1110" i="2"/>
  <c r="C1109" i="2"/>
  <c r="B1109" i="2"/>
  <c r="C1108" i="2"/>
  <c r="B1108" i="2"/>
  <c r="C1107" i="2"/>
  <c r="B1107" i="2"/>
  <c r="C1106" i="2"/>
  <c r="B1106" i="2"/>
  <c r="C1105" i="2"/>
  <c r="B1105" i="2"/>
  <c r="C1104" i="2"/>
  <c r="B1104" i="2"/>
  <c r="C1103" i="2"/>
  <c r="B1103" i="2"/>
  <c r="C1102" i="2"/>
  <c r="B1102" i="2"/>
  <c r="C1101" i="2"/>
  <c r="B1101" i="2"/>
  <c r="C1100" i="2"/>
  <c r="B1100" i="2"/>
  <c r="C1099" i="2"/>
  <c r="B1099" i="2"/>
  <c r="C1098" i="2"/>
  <c r="B1098" i="2"/>
  <c r="C1097" i="2"/>
  <c r="B1097" i="2"/>
  <c r="C1096" i="2"/>
  <c r="B1096" i="2"/>
  <c r="C1095" i="2"/>
  <c r="B1095" i="2"/>
  <c r="C1094" i="2"/>
  <c r="B1094" i="2"/>
  <c r="C1093" i="2"/>
  <c r="B1093" i="2"/>
  <c r="C1092" i="2"/>
  <c r="B1092" i="2"/>
  <c r="C1091" i="2"/>
  <c r="B1091" i="2"/>
  <c r="C1090" i="2"/>
  <c r="B1090" i="2"/>
  <c r="C1089" i="2"/>
  <c r="B1089" i="2"/>
  <c r="C1088" i="2"/>
  <c r="B1088" i="2"/>
  <c r="C1087" i="2"/>
  <c r="B1087" i="2"/>
  <c r="C1086" i="2"/>
  <c r="B1086" i="2"/>
  <c r="C1085" i="2"/>
  <c r="B1085" i="2"/>
  <c r="C1084" i="2"/>
  <c r="B1084" i="2"/>
  <c r="C1083" i="2"/>
  <c r="B1083" i="2"/>
  <c r="C1082" i="2"/>
  <c r="B1082" i="2"/>
  <c r="C1081" i="2"/>
  <c r="B1081" i="2"/>
  <c r="C1080" i="2"/>
  <c r="B1080" i="2"/>
  <c r="C1079" i="2"/>
  <c r="B1079" i="2"/>
  <c r="C1078" i="2"/>
  <c r="B1078" i="2"/>
  <c r="C1077" i="2"/>
  <c r="B1077" i="2"/>
  <c r="C1076" i="2"/>
  <c r="B1076" i="2"/>
  <c r="C1075" i="2"/>
  <c r="B1075" i="2"/>
  <c r="C1074" i="2"/>
  <c r="B1074" i="2"/>
  <c r="C1073" i="2"/>
  <c r="B1073" i="2"/>
  <c r="C1072" i="2"/>
  <c r="B1072" i="2"/>
  <c r="C1071" i="2"/>
  <c r="B1071" i="2"/>
  <c r="C1070" i="2"/>
  <c r="B1070" i="2"/>
  <c r="C1069" i="2"/>
  <c r="B1069" i="2"/>
  <c r="C1068" i="2"/>
  <c r="B1068" i="2"/>
  <c r="C1067" i="2"/>
  <c r="B1067" i="2"/>
  <c r="C1066" i="2"/>
  <c r="B1066" i="2"/>
  <c r="C1065" i="2"/>
  <c r="B1065" i="2"/>
  <c r="C1064" i="2"/>
  <c r="B1064" i="2"/>
  <c r="C1063" i="2"/>
  <c r="B1063" i="2"/>
  <c r="C1062" i="2"/>
  <c r="B1062" i="2"/>
  <c r="C1061" i="2"/>
  <c r="B1061" i="2"/>
  <c r="C1060" i="2"/>
  <c r="B1060" i="2"/>
  <c r="C1059" i="2"/>
  <c r="B1059" i="2"/>
  <c r="C1058" i="2"/>
  <c r="B1058" i="2"/>
  <c r="C1057" i="2"/>
  <c r="B1057" i="2"/>
  <c r="C1056" i="2"/>
  <c r="B1056" i="2"/>
  <c r="C1055" i="2"/>
  <c r="B1055" i="2"/>
  <c r="C1054" i="2"/>
  <c r="B1054" i="2"/>
  <c r="C1053" i="2"/>
  <c r="B1053" i="2"/>
  <c r="C1052" i="2"/>
  <c r="B1052" i="2"/>
  <c r="C1051" i="2"/>
  <c r="B1051" i="2"/>
  <c r="C1050" i="2"/>
  <c r="B1050" i="2"/>
  <c r="C1049" i="2"/>
  <c r="B1049" i="2"/>
  <c r="C1048" i="2"/>
  <c r="B1048" i="2"/>
  <c r="C1047" i="2"/>
  <c r="B1047" i="2"/>
  <c r="C1046" i="2"/>
  <c r="B1046" i="2"/>
  <c r="C1045" i="2"/>
  <c r="B1045" i="2"/>
  <c r="C1044" i="2"/>
  <c r="B1044" i="2"/>
  <c r="C1043" i="2"/>
  <c r="B1043" i="2"/>
  <c r="C1042" i="2"/>
  <c r="B1042" i="2"/>
  <c r="C1041" i="2"/>
  <c r="B1041" i="2"/>
  <c r="C1040" i="2"/>
  <c r="B1040" i="2"/>
  <c r="C1039" i="2"/>
  <c r="B1039" i="2"/>
  <c r="C1038" i="2"/>
  <c r="B1038" i="2"/>
  <c r="C1037" i="2"/>
  <c r="B1037" i="2"/>
  <c r="C1036" i="2"/>
  <c r="B1036" i="2"/>
  <c r="C1035" i="2"/>
  <c r="B1035" i="2"/>
  <c r="C1034" i="2"/>
  <c r="B1034" i="2"/>
  <c r="C1033" i="2"/>
  <c r="B1033" i="2"/>
  <c r="C1032" i="2"/>
  <c r="B1032" i="2"/>
  <c r="C1031" i="2"/>
  <c r="B1031" i="2"/>
  <c r="C1030" i="2"/>
  <c r="B1030" i="2"/>
  <c r="C1029" i="2"/>
  <c r="B1029" i="2"/>
  <c r="C1028" i="2"/>
  <c r="B1028" i="2"/>
  <c r="C1027" i="2"/>
  <c r="B1027" i="2"/>
  <c r="C1026" i="2"/>
  <c r="B1026" i="2"/>
  <c r="C1025" i="2"/>
  <c r="B1025" i="2"/>
  <c r="C1024" i="2"/>
  <c r="B1024" i="2"/>
  <c r="C1023" i="2"/>
  <c r="B1023" i="2"/>
  <c r="C1022" i="2"/>
  <c r="B1022" i="2"/>
  <c r="C1021" i="2"/>
  <c r="B1021" i="2"/>
  <c r="C1020" i="2"/>
  <c r="B1020" i="2"/>
  <c r="C1019" i="2"/>
  <c r="B1019" i="2"/>
  <c r="C1018" i="2"/>
  <c r="B1018" i="2"/>
  <c r="C1017" i="2"/>
  <c r="B1017" i="2"/>
  <c r="C1016" i="2"/>
  <c r="B1016" i="2"/>
  <c r="C1015" i="2"/>
  <c r="B1015" i="2"/>
  <c r="C1014" i="2"/>
  <c r="B1014" i="2"/>
  <c r="C1013" i="2"/>
  <c r="B1013" i="2"/>
  <c r="C1012" i="2"/>
  <c r="B1012" i="2"/>
  <c r="C1011" i="2"/>
  <c r="B1011" i="2"/>
  <c r="C1010" i="2"/>
  <c r="B1010" i="2"/>
  <c r="C1009" i="2"/>
  <c r="B1009" i="2"/>
  <c r="C1008" i="2"/>
  <c r="B1008" i="2"/>
  <c r="C1007" i="2"/>
  <c r="B1007" i="2"/>
  <c r="C1006" i="2"/>
  <c r="B1006" i="2"/>
  <c r="C1005" i="2"/>
  <c r="B1005" i="2"/>
  <c r="C1004" i="2"/>
  <c r="B1004" i="2"/>
  <c r="C1003" i="2"/>
  <c r="B1003" i="2"/>
  <c r="C1002" i="2"/>
  <c r="B1002" i="2"/>
  <c r="C1001" i="2"/>
  <c r="B1001" i="2"/>
  <c r="C1000" i="2"/>
  <c r="B1000" i="2"/>
  <c r="C999" i="2"/>
  <c r="B999" i="2"/>
  <c r="C998" i="2"/>
  <c r="B998" i="2"/>
  <c r="C997" i="2"/>
  <c r="B997" i="2"/>
  <c r="C996" i="2"/>
  <c r="B996" i="2"/>
  <c r="C995" i="2"/>
  <c r="B995" i="2"/>
  <c r="C994" i="2"/>
  <c r="B994" i="2"/>
  <c r="C993" i="2"/>
  <c r="B993" i="2"/>
  <c r="C992" i="2"/>
  <c r="B992" i="2"/>
  <c r="C991" i="2"/>
  <c r="B991" i="2"/>
  <c r="C990" i="2"/>
  <c r="B990" i="2"/>
  <c r="C989" i="2"/>
  <c r="B989" i="2"/>
  <c r="C988" i="2"/>
  <c r="B988" i="2"/>
  <c r="C987" i="2"/>
  <c r="B987" i="2"/>
  <c r="C986" i="2"/>
  <c r="B986" i="2"/>
  <c r="C985" i="2"/>
  <c r="B985" i="2"/>
  <c r="C984" i="2"/>
  <c r="B984" i="2"/>
  <c r="C983" i="2"/>
  <c r="B983" i="2"/>
  <c r="C982" i="2"/>
  <c r="B982" i="2"/>
  <c r="C981" i="2"/>
  <c r="B981" i="2"/>
  <c r="C980" i="2"/>
  <c r="B980" i="2"/>
  <c r="C979" i="2"/>
  <c r="B979" i="2"/>
  <c r="C978" i="2"/>
  <c r="B978" i="2"/>
  <c r="C977" i="2"/>
  <c r="B977" i="2"/>
  <c r="C976" i="2"/>
  <c r="B976" i="2"/>
  <c r="C975" i="2"/>
  <c r="B975" i="2"/>
  <c r="C974" i="2"/>
  <c r="B974" i="2"/>
  <c r="C973" i="2"/>
  <c r="B973" i="2"/>
  <c r="C972" i="2"/>
  <c r="B972" i="2"/>
  <c r="C971" i="2"/>
  <c r="B971" i="2"/>
  <c r="C970" i="2"/>
  <c r="B970" i="2"/>
  <c r="C969" i="2"/>
  <c r="B969" i="2"/>
  <c r="C968" i="2"/>
  <c r="B968" i="2"/>
  <c r="C967" i="2"/>
  <c r="B967" i="2"/>
  <c r="C966" i="2"/>
  <c r="B966" i="2"/>
  <c r="C965" i="2"/>
  <c r="B965" i="2"/>
  <c r="C964" i="2"/>
  <c r="B964" i="2"/>
  <c r="C963" i="2"/>
  <c r="B963" i="2"/>
  <c r="C962" i="2"/>
  <c r="B962" i="2"/>
  <c r="C961" i="2"/>
  <c r="B961" i="2"/>
  <c r="C960" i="2"/>
  <c r="B960" i="2"/>
  <c r="C959" i="2"/>
  <c r="B959" i="2"/>
  <c r="C958" i="2"/>
  <c r="B958" i="2"/>
  <c r="C957" i="2"/>
  <c r="B957" i="2"/>
  <c r="C956" i="2"/>
  <c r="B956" i="2"/>
  <c r="C955" i="2"/>
  <c r="B955" i="2"/>
  <c r="C954" i="2"/>
  <c r="B954" i="2"/>
  <c r="C953" i="2"/>
  <c r="B953" i="2"/>
  <c r="C952" i="2"/>
  <c r="B952" i="2"/>
  <c r="C951" i="2"/>
  <c r="B951" i="2"/>
  <c r="C950" i="2"/>
  <c r="B950" i="2"/>
  <c r="C949" i="2"/>
  <c r="B949" i="2"/>
  <c r="C948" i="2"/>
  <c r="B948" i="2"/>
  <c r="C947" i="2"/>
  <c r="B947" i="2"/>
  <c r="C946" i="2"/>
  <c r="B946" i="2"/>
  <c r="C945" i="2"/>
  <c r="B945" i="2"/>
  <c r="C944" i="2"/>
  <c r="B944" i="2"/>
  <c r="C943" i="2"/>
  <c r="B943" i="2"/>
  <c r="C942" i="2"/>
  <c r="B942" i="2"/>
  <c r="C941" i="2"/>
  <c r="B941" i="2"/>
  <c r="C940" i="2"/>
  <c r="B940" i="2"/>
  <c r="C939" i="2"/>
  <c r="B939" i="2"/>
  <c r="C938" i="2"/>
  <c r="B938" i="2"/>
  <c r="C937" i="2"/>
  <c r="B937" i="2"/>
  <c r="C936" i="2"/>
  <c r="B936" i="2"/>
  <c r="C935" i="2"/>
  <c r="B935" i="2"/>
  <c r="C934" i="2"/>
  <c r="B934" i="2"/>
  <c r="C933" i="2"/>
  <c r="B933" i="2"/>
  <c r="C932" i="2"/>
  <c r="B932" i="2"/>
  <c r="C931" i="2"/>
  <c r="B931" i="2"/>
  <c r="C930" i="2"/>
  <c r="B930" i="2"/>
  <c r="C929" i="2"/>
  <c r="B929" i="2"/>
  <c r="C928" i="2"/>
  <c r="B928" i="2"/>
  <c r="C927" i="2"/>
  <c r="B927" i="2"/>
  <c r="C926" i="2"/>
  <c r="B926" i="2"/>
  <c r="C925" i="2"/>
  <c r="B925" i="2"/>
  <c r="C924" i="2"/>
  <c r="B924" i="2"/>
  <c r="C923" i="2"/>
  <c r="B923" i="2"/>
  <c r="C922" i="2"/>
  <c r="B922" i="2"/>
  <c r="C921" i="2"/>
  <c r="B921" i="2"/>
  <c r="C920" i="2"/>
  <c r="B920" i="2"/>
  <c r="C919" i="2"/>
  <c r="B919" i="2"/>
  <c r="C918" i="2"/>
  <c r="B918" i="2"/>
  <c r="C917" i="2"/>
  <c r="B917" i="2"/>
  <c r="C916" i="2"/>
  <c r="B916" i="2"/>
  <c r="C915" i="2"/>
  <c r="B915" i="2"/>
  <c r="C914" i="2"/>
  <c r="B914" i="2"/>
  <c r="C913" i="2"/>
  <c r="B913" i="2"/>
  <c r="C912" i="2"/>
  <c r="B912" i="2"/>
  <c r="C911" i="2"/>
  <c r="B911" i="2"/>
  <c r="C910" i="2"/>
  <c r="B910" i="2"/>
  <c r="C909" i="2"/>
  <c r="B909" i="2"/>
  <c r="C908" i="2"/>
  <c r="B908" i="2"/>
  <c r="C907" i="2"/>
  <c r="B907" i="2"/>
  <c r="C906" i="2"/>
  <c r="B906" i="2"/>
  <c r="C905" i="2"/>
  <c r="B905" i="2"/>
  <c r="C904" i="2"/>
  <c r="B904" i="2"/>
  <c r="C903" i="2"/>
  <c r="B903" i="2"/>
  <c r="C902" i="2"/>
  <c r="B902" i="2"/>
  <c r="C901" i="2"/>
  <c r="B901" i="2"/>
  <c r="C900" i="2"/>
  <c r="B900" i="2"/>
  <c r="C899" i="2"/>
  <c r="B899" i="2"/>
  <c r="C898" i="2"/>
  <c r="B898" i="2"/>
  <c r="C897" i="2"/>
  <c r="B897" i="2"/>
  <c r="C896" i="2"/>
  <c r="B896" i="2"/>
  <c r="C895" i="2"/>
  <c r="B895" i="2"/>
  <c r="C894" i="2"/>
  <c r="B894" i="2"/>
  <c r="C893" i="2"/>
  <c r="B893" i="2"/>
  <c r="C892" i="2"/>
  <c r="B892" i="2"/>
  <c r="C891" i="2"/>
  <c r="B891" i="2"/>
  <c r="C890" i="2"/>
  <c r="B890" i="2"/>
  <c r="C889" i="2"/>
  <c r="B889" i="2"/>
  <c r="C888" i="2"/>
  <c r="B888" i="2"/>
  <c r="C887" i="2"/>
  <c r="B887" i="2"/>
  <c r="C886" i="2"/>
  <c r="B886" i="2"/>
  <c r="C885" i="2"/>
  <c r="B885" i="2"/>
  <c r="C884" i="2"/>
  <c r="B884" i="2"/>
  <c r="C883" i="2"/>
  <c r="B883" i="2"/>
  <c r="C882" i="2"/>
  <c r="B882" i="2"/>
  <c r="C881" i="2"/>
  <c r="B881" i="2"/>
  <c r="C880" i="2"/>
  <c r="B880" i="2"/>
  <c r="C879" i="2"/>
  <c r="B879" i="2"/>
  <c r="C878" i="2"/>
  <c r="B878" i="2"/>
  <c r="C877" i="2"/>
  <c r="B877" i="2"/>
  <c r="C876" i="2"/>
  <c r="B876" i="2"/>
  <c r="C875" i="2"/>
  <c r="B875" i="2"/>
  <c r="C874" i="2"/>
  <c r="B874" i="2"/>
  <c r="C873" i="2"/>
  <c r="B873" i="2"/>
  <c r="C872" i="2"/>
  <c r="B872" i="2"/>
  <c r="C871" i="2"/>
  <c r="B871" i="2"/>
  <c r="C870" i="2"/>
  <c r="B870" i="2"/>
  <c r="C869" i="2"/>
  <c r="B869" i="2"/>
  <c r="C868" i="2"/>
  <c r="B868" i="2"/>
  <c r="C867" i="2"/>
  <c r="B867" i="2"/>
  <c r="C866" i="2"/>
  <c r="B866" i="2"/>
  <c r="C865" i="2"/>
  <c r="B865" i="2"/>
  <c r="C864" i="2"/>
  <c r="B864" i="2"/>
  <c r="C863" i="2"/>
  <c r="B863" i="2"/>
  <c r="C862" i="2"/>
  <c r="B862" i="2"/>
  <c r="C861" i="2"/>
  <c r="B861" i="2"/>
  <c r="C860" i="2"/>
  <c r="B860" i="2"/>
  <c r="C859" i="2"/>
  <c r="B859" i="2"/>
  <c r="C858" i="2"/>
  <c r="B858" i="2"/>
  <c r="C857" i="2"/>
  <c r="B857" i="2"/>
  <c r="C856" i="2"/>
  <c r="B856" i="2"/>
  <c r="C855" i="2"/>
  <c r="B855" i="2"/>
  <c r="C854" i="2"/>
  <c r="B854" i="2"/>
  <c r="C853" i="2"/>
  <c r="B853" i="2"/>
  <c r="C852" i="2"/>
  <c r="B852" i="2"/>
  <c r="C851" i="2"/>
  <c r="B851" i="2"/>
  <c r="C850" i="2"/>
  <c r="B850" i="2"/>
  <c r="C849" i="2"/>
  <c r="B849" i="2"/>
  <c r="C848" i="2"/>
  <c r="B848" i="2"/>
  <c r="C847" i="2"/>
  <c r="B847" i="2"/>
  <c r="C846" i="2"/>
  <c r="B846" i="2"/>
  <c r="C845" i="2"/>
  <c r="B845" i="2"/>
  <c r="C844" i="2"/>
  <c r="B844" i="2"/>
  <c r="C843" i="2"/>
  <c r="B843" i="2"/>
  <c r="C842" i="2"/>
  <c r="B842" i="2"/>
  <c r="C841" i="2"/>
  <c r="B841" i="2"/>
  <c r="C840" i="2"/>
  <c r="B840" i="2"/>
  <c r="C839" i="2"/>
  <c r="B839" i="2"/>
  <c r="C838" i="2"/>
  <c r="B838" i="2"/>
  <c r="C837" i="2"/>
  <c r="B837" i="2"/>
  <c r="C836" i="2"/>
  <c r="B836" i="2"/>
  <c r="C835" i="2"/>
  <c r="B835" i="2"/>
  <c r="C834" i="2"/>
  <c r="B834" i="2"/>
  <c r="C833" i="2"/>
  <c r="B833" i="2"/>
  <c r="C832" i="2"/>
  <c r="B832" i="2"/>
  <c r="C831" i="2"/>
  <c r="B831" i="2"/>
  <c r="C830" i="2"/>
  <c r="B830" i="2"/>
  <c r="C829" i="2"/>
  <c r="B829" i="2"/>
  <c r="C828" i="2"/>
  <c r="B828" i="2"/>
  <c r="C827" i="2"/>
  <c r="B827" i="2"/>
  <c r="C826" i="2"/>
  <c r="B826" i="2"/>
  <c r="C825" i="2"/>
  <c r="B825" i="2"/>
  <c r="C824" i="2"/>
  <c r="B824" i="2"/>
  <c r="C823" i="2"/>
  <c r="B823" i="2"/>
  <c r="C822" i="2"/>
  <c r="B822" i="2"/>
  <c r="C821" i="2"/>
  <c r="B821" i="2"/>
  <c r="C820" i="2"/>
  <c r="B820" i="2"/>
  <c r="C819" i="2"/>
  <c r="B819" i="2"/>
  <c r="C818" i="2"/>
  <c r="B818" i="2"/>
  <c r="C817" i="2"/>
  <c r="B817" i="2"/>
  <c r="C816" i="2"/>
  <c r="B816" i="2"/>
  <c r="C815" i="2"/>
  <c r="B815" i="2"/>
  <c r="C814" i="2"/>
  <c r="B814" i="2"/>
  <c r="C813" i="2"/>
  <c r="B813" i="2"/>
  <c r="C812" i="2"/>
  <c r="B812" i="2"/>
  <c r="C811" i="2"/>
  <c r="B811" i="2"/>
  <c r="C810" i="2"/>
  <c r="B810" i="2"/>
  <c r="C809" i="2"/>
  <c r="B809" i="2"/>
  <c r="C808" i="2"/>
  <c r="B808" i="2"/>
  <c r="C807" i="2"/>
  <c r="B807" i="2"/>
  <c r="C806" i="2"/>
  <c r="B806" i="2"/>
  <c r="C805" i="2"/>
  <c r="B805" i="2"/>
  <c r="C804" i="2"/>
  <c r="B804" i="2"/>
  <c r="C803" i="2"/>
  <c r="B803" i="2"/>
  <c r="C802" i="2"/>
  <c r="B802" i="2"/>
  <c r="C801" i="2"/>
  <c r="B801" i="2"/>
  <c r="C800" i="2"/>
  <c r="B800" i="2"/>
  <c r="C799" i="2"/>
  <c r="B799" i="2"/>
  <c r="C798" i="2"/>
  <c r="B798" i="2"/>
  <c r="C797" i="2"/>
  <c r="B797" i="2"/>
  <c r="C796" i="2"/>
  <c r="B796" i="2"/>
  <c r="C795" i="2"/>
  <c r="B795" i="2"/>
  <c r="C794" i="2"/>
  <c r="B794" i="2"/>
  <c r="C793" i="2"/>
  <c r="B793" i="2"/>
  <c r="C792" i="2"/>
  <c r="B792" i="2"/>
  <c r="C791" i="2"/>
  <c r="B791" i="2"/>
  <c r="C790" i="2"/>
  <c r="B790" i="2"/>
  <c r="C789" i="2"/>
  <c r="B789" i="2"/>
  <c r="C788" i="2"/>
  <c r="B788" i="2"/>
  <c r="C787" i="2"/>
  <c r="B787" i="2"/>
  <c r="C786" i="2"/>
  <c r="B786" i="2"/>
  <c r="C785" i="2"/>
  <c r="B785" i="2"/>
  <c r="C784" i="2"/>
  <c r="B784" i="2"/>
  <c r="C783" i="2"/>
  <c r="B783" i="2"/>
  <c r="C782" i="2"/>
  <c r="B782" i="2"/>
  <c r="C781" i="2"/>
  <c r="B781" i="2"/>
  <c r="C780" i="2"/>
  <c r="B780" i="2"/>
  <c r="C779" i="2"/>
  <c r="B779" i="2"/>
  <c r="C778" i="2"/>
  <c r="B778" i="2"/>
  <c r="C777" i="2"/>
  <c r="B777" i="2"/>
  <c r="C776" i="2"/>
  <c r="B776" i="2"/>
  <c r="C775" i="2"/>
  <c r="B775" i="2"/>
  <c r="C774" i="2"/>
  <c r="B774" i="2"/>
  <c r="C773" i="2"/>
  <c r="B773" i="2"/>
  <c r="C772" i="2"/>
  <c r="B772" i="2"/>
  <c r="C771" i="2"/>
  <c r="B771" i="2"/>
  <c r="C770" i="2"/>
  <c r="B770" i="2"/>
  <c r="C769" i="2"/>
  <c r="B769" i="2"/>
  <c r="C768" i="2"/>
  <c r="B768" i="2"/>
  <c r="C767" i="2"/>
  <c r="B767" i="2"/>
  <c r="C766" i="2"/>
  <c r="B766" i="2"/>
  <c r="C765" i="2"/>
  <c r="B765" i="2"/>
  <c r="C764" i="2"/>
  <c r="B764" i="2"/>
  <c r="C763" i="2"/>
  <c r="B763" i="2"/>
  <c r="C762" i="2"/>
  <c r="B762" i="2"/>
  <c r="C761" i="2"/>
  <c r="B761" i="2"/>
  <c r="C760" i="2"/>
  <c r="B760" i="2"/>
  <c r="C759" i="2"/>
  <c r="B759" i="2"/>
  <c r="C758" i="2"/>
  <c r="B758" i="2"/>
  <c r="C757" i="2"/>
  <c r="B757" i="2"/>
  <c r="C756" i="2"/>
  <c r="B756" i="2"/>
  <c r="C755" i="2"/>
  <c r="B755" i="2"/>
  <c r="C754" i="2"/>
  <c r="B754" i="2"/>
  <c r="C753" i="2"/>
  <c r="B753" i="2"/>
  <c r="C752" i="2"/>
  <c r="B752" i="2"/>
  <c r="C751" i="2"/>
  <c r="B751" i="2"/>
  <c r="C750" i="2"/>
  <c r="B750" i="2"/>
  <c r="C749" i="2"/>
  <c r="B749" i="2"/>
  <c r="C748" i="2"/>
  <c r="B748" i="2"/>
  <c r="C747" i="2"/>
  <c r="B747" i="2"/>
  <c r="C746" i="2"/>
  <c r="B746" i="2"/>
  <c r="C745" i="2"/>
  <c r="B745" i="2"/>
  <c r="C744" i="2"/>
  <c r="B744" i="2"/>
  <c r="C743" i="2"/>
  <c r="B743" i="2"/>
  <c r="C742" i="2"/>
  <c r="B742" i="2"/>
  <c r="C741" i="2"/>
  <c r="B741" i="2"/>
  <c r="C740" i="2"/>
  <c r="B740" i="2"/>
  <c r="C739" i="2"/>
  <c r="B739" i="2"/>
  <c r="C738" i="2"/>
  <c r="B738" i="2"/>
  <c r="C737" i="2"/>
  <c r="B737" i="2"/>
  <c r="C736" i="2"/>
  <c r="B736" i="2"/>
  <c r="C735" i="2"/>
  <c r="B735" i="2"/>
  <c r="C734" i="2"/>
  <c r="B734" i="2"/>
  <c r="C733" i="2"/>
  <c r="B733" i="2"/>
  <c r="C732" i="2"/>
  <c r="B732" i="2"/>
  <c r="C731" i="2"/>
  <c r="B731" i="2"/>
  <c r="C730" i="2"/>
  <c r="B730" i="2"/>
  <c r="C729" i="2"/>
  <c r="B729" i="2"/>
  <c r="C728" i="2"/>
  <c r="B728" i="2"/>
  <c r="C727" i="2"/>
  <c r="B727" i="2"/>
  <c r="C726" i="2"/>
  <c r="B726" i="2"/>
  <c r="C725" i="2"/>
  <c r="B725" i="2"/>
  <c r="C724" i="2"/>
  <c r="B724" i="2"/>
  <c r="C723" i="2"/>
  <c r="B723" i="2"/>
  <c r="C722" i="2"/>
  <c r="B722" i="2"/>
  <c r="C721" i="2"/>
  <c r="B721" i="2"/>
  <c r="C720" i="2"/>
  <c r="B720" i="2"/>
  <c r="C719" i="2"/>
  <c r="B719" i="2"/>
  <c r="C718" i="2"/>
  <c r="B718" i="2"/>
  <c r="C717" i="2"/>
  <c r="B717" i="2"/>
  <c r="C716" i="2"/>
  <c r="B716" i="2"/>
  <c r="C715" i="2"/>
  <c r="B715" i="2"/>
  <c r="C714" i="2"/>
  <c r="B714" i="2"/>
  <c r="C713" i="2"/>
  <c r="B713" i="2"/>
  <c r="C712" i="2"/>
  <c r="B712" i="2"/>
  <c r="C711" i="2"/>
  <c r="B711" i="2"/>
  <c r="C710" i="2"/>
  <c r="B710" i="2"/>
  <c r="C709" i="2"/>
  <c r="B709" i="2"/>
  <c r="C708" i="2"/>
  <c r="B708" i="2"/>
  <c r="C707" i="2"/>
  <c r="B707" i="2"/>
  <c r="C706" i="2"/>
  <c r="B706" i="2"/>
  <c r="C705" i="2"/>
  <c r="B705" i="2"/>
  <c r="C704" i="2"/>
  <c r="B704" i="2"/>
  <c r="C703" i="2"/>
  <c r="B703" i="2"/>
  <c r="C702" i="2"/>
  <c r="B702" i="2"/>
  <c r="C701" i="2"/>
  <c r="B701" i="2"/>
  <c r="C700" i="2"/>
  <c r="B700" i="2"/>
  <c r="C699" i="2"/>
  <c r="B699" i="2"/>
  <c r="C698" i="2"/>
  <c r="B698" i="2"/>
  <c r="C697" i="2"/>
  <c r="B697" i="2"/>
  <c r="C696" i="2"/>
  <c r="B696" i="2"/>
  <c r="C695" i="2"/>
  <c r="B695" i="2"/>
  <c r="C694" i="2"/>
  <c r="B694" i="2"/>
  <c r="C693" i="2"/>
  <c r="B693" i="2"/>
  <c r="C692" i="2"/>
  <c r="B692" i="2"/>
  <c r="C691" i="2"/>
  <c r="B691" i="2"/>
  <c r="C690" i="2"/>
  <c r="B690" i="2"/>
  <c r="C689" i="2"/>
  <c r="B689" i="2"/>
  <c r="C688" i="2"/>
  <c r="B688" i="2"/>
  <c r="C687" i="2"/>
  <c r="B687" i="2"/>
  <c r="C686" i="2"/>
  <c r="B686" i="2"/>
  <c r="C685" i="2"/>
  <c r="B685" i="2"/>
  <c r="C684" i="2"/>
  <c r="B684" i="2"/>
  <c r="C683" i="2"/>
  <c r="B683" i="2"/>
  <c r="C682" i="2"/>
  <c r="B682" i="2"/>
  <c r="C681" i="2"/>
  <c r="B681" i="2"/>
  <c r="C680" i="2"/>
  <c r="B680" i="2"/>
  <c r="C679" i="2"/>
  <c r="B679" i="2"/>
  <c r="C678" i="2"/>
  <c r="B678" i="2"/>
  <c r="C677" i="2"/>
  <c r="B677" i="2"/>
  <c r="C676" i="2"/>
  <c r="B676" i="2"/>
  <c r="C675" i="2"/>
  <c r="B675" i="2"/>
  <c r="C674" i="2"/>
  <c r="B674" i="2"/>
  <c r="C673" i="2"/>
  <c r="B673" i="2"/>
  <c r="C672" i="2"/>
  <c r="B672" i="2"/>
  <c r="C671" i="2"/>
  <c r="B671" i="2"/>
  <c r="C670" i="2"/>
  <c r="B670" i="2"/>
  <c r="C669" i="2"/>
  <c r="B669" i="2"/>
  <c r="C668" i="2"/>
  <c r="B668" i="2"/>
  <c r="C667" i="2"/>
  <c r="B667" i="2"/>
  <c r="C666" i="2"/>
  <c r="B666" i="2"/>
  <c r="C665" i="2"/>
  <c r="B665" i="2"/>
  <c r="C664" i="2"/>
  <c r="B664" i="2"/>
  <c r="C663" i="2"/>
  <c r="B663" i="2"/>
  <c r="C662" i="2"/>
  <c r="B662" i="2"/>
  <c r="C661" i="2"/>
  <c r="B661" i="2"/>
  <c r="C660" i="2"/>
  <c r="B660" i="2"/>
  <c r="C659" i="2"/>
  <c r="B659" i="2"/>
  <c r="C658" i="2"/>
  <c r="B658" i="2"/>
  <c r="C657" i="2"/>
  <c r="B657" i="2"/>
  <c r="C656" i="2"/>
  <c r="B656" i="2"/>
  <c r="C655" i="2"/>
  <c r="B655" i="2"/>
  <c r="C654" i="2"/>
  <c r="B654" i="2"/>
  <c r="C653" i="2"/>
  <c r="B653" i="2"/>
  <c r="C652" i="2"/>
  <c r="B652" i="2"/>
  <c r="C651" i="2"/>
  <c r="B651" i="2"/>
  <c r="C650" i="2"/>
  <c r="B650" i="2"/>
  <c r="C649" i="2"/>
  <c r="B649" i="2"/>
  <c r="C648" i="2"/>
  <c r="B648" i="2"/>
  <c r="C647" i="2"/>
  <c r="B647" i="2"/>
  <c r="C646" i="2"/>
  <c r="B646" i="2"/>
  <c r="C645" i="2"/>
  <c r="B645" i="2"/>
  <c r="C644" i="2"/>
  <c r="B644" i="2"/>
  <c r="C643" i="2"/>
  <c r="B643" i="2"/>
  <c r="C642" i="2"/>
  <c r="B642" i="2"/>
  <c r="C641" i="2"/>
  <c r="B641" i="2"/>
  <c r="C640" i="2"/>
  <c r="B640" i="2"/>
  <c r="C639" i="2"/>
  <c r="B639" i="2"/>
  <c r="C638" i="2"/>
  <c r="B638" i="2"/>
  <c r="C637" i="2"/>
  <c r="B637" i="2"/>
  <c r="C636" i="2"/>
  <c r="B636" i="2"/>
  <c r="C635" i="2"/>
  <c r="B635" i="2"/>
  <c r="C634" i="2"/>
  <c r="B634" i="2"/>
  <c r="C633" i="2"/>
  <c r="B633" i="2"/>
  <c r="C632" i="2"/>
  <c r="B632" i="2"/>
  <c r="C631" i="2"/>
  <c r="B631" i="2"/>
  <c r="C630" i="2"/>
  <c r="B630" i="2"/>
  <c r="C629" i="2"/>
  <c r="B629" i="2"/>
  <c r="C628" i="2"/>
  <c r="B628" i="2"/>
  <c r="C627" i="2"/>
  <c r="B627" i="2"/>
  <c r="C626" i="2"/>
  <c r="B626" i="2"/>
  <c r="C625" i="2"/>
  <c r="B625" i="2"/>
  <c r="C624" i="2"/>
  <c r="B624" i="2"/>
  <c r="C623" i="2"/>
  <c r="B623" i="2"/>
  <c r="C622" i="2"/>
  <c r="B622" i="2"/>
  <c r="C621" i="2"/>
  <c r="B621" i="2"/>
  <c r="C620" i="2"/>
  <c r="B620" i="2"/>
  <c r="C619" i="2"/>
  <c r="B619" i="2"/>
  <c r="C618" i="2"/>
  <c r="B618" i="2"/>
  <c r="C617" i="2"/>
  <c r="B617" i="2"/>
  <c r="C616" i="2"/>
  <c r="B616" i="2"/>
  <c r="C615" i="2"/>
  <c r="B615" i="2"/>
  <c r="C614" i="2"/>
  <c r="B614" i="2"/>
  <c r="C613" i="2"/>
  <c r="B613" i="2"/>
  <c r="C612" i="2"/>
  <c r="B612" i="2"/>
  <c r="C611" i="2"/>
  <c r="B611" i="2"/>
  <c r="C610" i="2"/>
  <c r="B610" i="2"/>
  <c r="C609" i="2"/>
  <c r="B609" i="2"/>
  <c r="C608" i="2"/>
  <c r="B608" i="2"/>
  <c r="C607" i="2"/>
  <c r="B607" i="2"/>
  <c r="C606" i="2"/>
  <c r="B606" i="2"/>
  <c r="C605" i="2"/>
  <c r="B605" i="2"/>
  <c r="C604" i="2"/>
  <c r="B604" i="2"/>
  <c r="C603" i="2"/>
  <c r="B603" i="2"/>
  <c r="C602" i="2"/>
  <c r="B602" i="2"/>
  <c r="C601" i="2"/>
  <c r="B601" i="2"/>
  <c r="C600" i="2"/>
  <c r="B600" i="2"/>
  <c r="C599" i="2"/>
  <c r="B599" i="2"/>
  <c r="C598" i="2"/>
  <c r="B598" i="2"/>
  <c r="C597" i="2"/>
  <c r="B597" i="2"/>
  <c r="C596" i="2"/>
  <c r="B596" i="2"/>
  <c r="C595" i="2"/>
  <c r="B595" i="2"/>
  <c r="C594" i="2"/>
  <c r="B594" i="2"/>
  <c r="C593" i="2"/>
  <c r="B593" i="2"/>
  <c r="C592" i="2"/>
  <c r="B592" i="2"/>
  <c r="C591" i="2"/>
  <c r="B591" i="2"/>
  <c r="C590" i="2"/>
  <c r="B590" i="2"/>
  <c r="C589" i="2"/>
  <c r="B589" i="2"/>
  <c r="C588" i="2"/>
  <c r="B588" i="2"/>
  <c r="C587" i="2"/>
  <c r="B587" i="2"/>
  <c r="C586" i="2"/>
  <c r="B586" i="2"/>
  <c r="C585" i="2"/>
  <c r="B585" i="2"/>
  <c r="C584" i="2"/>
  <c r="B584" i="2"/>
  <c r="C583" i="2"/>
  <c r="B583" i="2"/>
  <c r="C582" i="2"/>
  <c r="B582" i="2"/>
  <c r="C581" i="2"/>
  <c r="B581" i="2"/>
  <c r="C580" i="2"/>
  <c r="B580" i="2"/>
  <c r="C579" i="2"/>
  <c r="B579" i="2"/>
  <c r="C578" i="2"/>
  <c r="B578" i="2"/>
  <c r="C577" i="2"/>
  <c r="B577" i="2"/>
  <c r="C576" i="2"/>
  <c r="B576" i="2"/>
  <c r="C575" i="2"/>
  <c r="B575" i="2"/>
  <c r="C574" i="2"/>
  <c r="B574" i="2"/>
  <c r="C573" i="2"/>
  <c r="B573" i="2"/>
  <c r="C572" i="2"/>
  <c r="B572" i="2"/>
  <c r="C571" i="2"/>
  <c r="B571" i="2"/>
  <c r="C570" i="2"/>
  <c r="B570" i="2"/>
  <c r="C569" i="2"/>
  <c r="B569" i="2"/>
  <c r="C568" i="2"/>
  <c r="B568" i="2"/>
  <c r="C567" i="2"/>
  <c r="B567" i="2"/>
  <c r="C566" i="2"/>
  <c r="B566" i="2"/>
  <c r="C565" i="2"/>
  <c r="B565" i="2"/>
  <c r="C564" i="2"/>
  <c r="B564" i="2"/>
  <c r="C563" i="2"/>
  <c r="B563" i="2"/>
  <c r="C562" i="2"/>
  <c r="B562" i="2"/>
  <c r="C561" i="2"/>
  <c r="B561" i="2"/>
  <c r="C560" i="2"/>
  <c r="B560" i="2"/>
  <c r="C559" i="2"/>
  <c r="B559" i="2"/>
  <c r="C558" i="2"/>
  <c r="B558" i="2"/>
  <c r="C557" i="2"/>
  <c r="B557" i="2"/>
  <c r="C556" i="2"/>
  <c r="B556" i="2"/>
  <c r="C555" i="2"/>
  <c r="B555" i="2"/>
  <c r="C554" i="2"/>
  <c r="B554" i="2"/>
  <c r="C553" i="2"/>
  <c r="B553" i="2"/>
  <c r="C552" i="2"/>
  <c r="B552" i="2"/>
  <c r="C551" i="2"/>
  <c r="B551" i="2"/>
  <c r="C550" i="2"/>
  <c r="B550" i="2"/>
  <c r="C549" i="2"/>
  <c r="B549" i="2"/>
  <c r="C548" i="2"/>
  <c r="B548" i="2"/>
  <c r="C547" i="2"/>
  <c r="B547" i="2"/>
  <c r="C546" i="2"/>
  <c r="B546" i="2"/>
  <c r="C545" i="2"/>
  <c r="B545" i="2"/>
  <c r="C544" i="2"/>
  <c r="B544" i="2"/>
  <c r="C543" i="2"/>
  <c r="B543" i="2"/>
  <c r="C542" i="2"/>
  <c r="B542" i="2"/>
  <c r="C541" i="2"/>
  <c r="B541" i="2"/>
  <c r="C540" i="2"/>
  <c r="B540" i="2"/>
  <c r="C539" i="2"/>
  <c r="B539" i="2"/>
  <c r="C538" i="2"/>
  <c r="B538" i="2"/>
  <c r="C537" i="2"/>
  <c r="B537" i="2"/>
  <c r="C536" i="2"/>
  <c r="B536" i="2"/>
  <c r="C535" i="2"/>
  <c r="B535" i="2"/>
  <c r="C534" i="2"/>
  <c r="B534" i="2"/>
  <c r="C533" i="2"/>
  <c r="B533" i="2"/>
  <c r="C532" i="2"/>
  <c r="B532" i="2"/>
  <c r="C531" i="2"/>
  <c r="B531" i="2"/>
  <c r="C530" i="2"/>
  <c r="B530" i="2"/>
  <c r="C529" i="2"/>
  <c r="B529" i="2"/>
  <c r="C528" i="2"/>
  <c r="B528" i="2"/>
  <c r="C527" i="2"/>
  <c r="B527" i="2"/>
  <c r="C526" i="2"/>
  <c r="B526" i="2"/>
  <c r="C525" i="2"/>
  <c r="B525" i="2"/>
  <c r="C524" i="2"/>
  <c r="B524" i="2"/>
  <c r="C523" i="2"/>
  <c r="B523" i="2"/>
  <c r="C522" i="2"/>
  <c r="B522" i="2"/>
  <c r="C521" i="2"/>
  <c r="B521" i="2"/>
  <c r="C520" i="2"/>
  <c r="B520" i="2"/>
  <c r="C519" i="2"/>
  <c r="B519" i="2"/>
  <c r="C518" i="2"/>
  <c r="B518" i="2"/>
  <c r="C517" i="2"/>
  <c r="B517" i="2"/>
  <c r="C516" i="2"/>
  <c r="B516" i="2"/>
  <c r="C515" i="2"/>
  <c r="B515" i="2"/>
  <c r="C514" i="2"/>
  <c r="B514" i="2"/>
  <c r="C513" i="2"/>
  <c r="B513" i="2"/>
  <c r="C512" i="2"/>
  <c r="B512" i="2"/>
  <c r="C511" i="2"/>
  <c r="B511" i="2"/>
  <c r="C510" i="2"/>
  <c r="B510" i="2"/>
  <c r="C509" i="2"/>
  <c r="B509" i="2"/>
  <c r="C508" i="2"/>
  <c r="B508" i="2"/>
  <c r="C507" i="2"/>
  <c r="B507" i="2"/>
  <c r="C506" i="2"/>
  <c r="B506" i="2"/>
  <c r="C505" i="2"/>
  <c r="B505" i="2"/>
  <c r="C504" i="2"/>
  <c r="B504" i="2"/>
  <c r="C503" i="2"/>
  <c r="B503" i="2"/>
  <c r="C502" i="2"/>
  <c r="B502" i="2"/>
  <c r="C501" i="2"/>
  <c r="B501" i="2"/>
  <c r="C500" i="2"/>
  <c r="B500" i="2"/>
  <c r="C499" i="2"/>
  <c r="B499" i="2"/>
  <c r="C498" i="2"/>
  <c r="B498" i="2"/>
  <c r="C497" i="2"/>
  <c r="B497" i="2"/>
  <c r="C496" i="2"/>
  <c r="B496" i="2"/>
  <c r="C495" i="2"/>
  <c r="B495" i="2"/>
  <c r="C494" i="2"/>
  <c r="B494" i="2"/>
  <c r="C493" i="2"/>
  <c r="B493" i="2"/>
  <c r="C492" i="2"/>
  <c r="B492" i="2"/>
  <c r="C491" i="2"/>
  <c r="B491" i="2"/>
  <c r="C490" i="2"/>
  <c r="B490" i="2"/>
  <c r="C489" i="2"/>
  <c r="B489" i="2"/>
  <c r="C488" i="2"/>
  <c r="B488" i="2"/>
  <c r="C487" i="2"/>
  <c r="B487" i="2"/>
  <c r="C486" i="2"/>
  <c r="B486" i="2"/>
  <c r="C485" i="2"/>
  <c r="B485" i="2"/>
  <c r="C484" i="2"/>
  <c r="B484" i="2"/>
  <c r="C483" i="2"/>
  <c r="B483" i="2"/>
  <c r="C482" i="2"/>
  <c r="B482" i="2"/>
  <c r="C481" i="2"/>
  <c r="B481" i="2"/>
  <c r="C480" i="2"/>
  <c r="B480" i="2"/>
  <c r="C479" i="2"/>
  <c r="B479" i="2"/>
  <c r="C478" i="2"/>
  <c r="B478" i="2"/>
  <c r="C477" i="2"/>
  <c r="B477" i="2"/>
  <c r="C476" i="2"/>
  <c r="B476" i="2"/>
  <c r="C475" i="2"/>
  <c r="B475" i="2"/>
  <c r="C474" i="2"/>
  <c r="B474" i="2"/>
  <c r="C473" i="2"/>
  <c r="B473" i="2"/>
  <c r="C472" i="2"/>
  <c r="B472" i="2"/>
  <c r="C471" i="2"/>
  <c r="B471" i="2"/>
  <c r="C470" i="2"/>
  <c r="B470" i="2"/>
  <c r="C469" i="2"/>
  <c r="B469" i="2"/>
  <c r="C468" i="2"/>
  <c r="B468" i="2"/>
  <c r="C467" i="2"/>
  <c r="B467" i="2"/>
  <c r="C466" i="2"/>
  <c r="B466" i="2"/>
  <c r="C465" i="2"/>
  <c r="B465" i="2"/>
  <c r="C464" i="2"/>
  <c r="B464" i="2"/>
  <c r="C463" i="2"/>
  <c r="B463" i="2"/>
  <c r="C462" i="2"/>
  <c r="B462" i="2"/>
  <c r="C461" i="2"/>
  <c r="B461" i="2"/>
  <c r="C460" i="2"/>
  <c r="B460" i="2"/>
  <c r="C459" i="2"/>
  <c r="B459" i="2"/>
  <c r="C458" i="2"/>
  <c r="B458" i="2"/>
  <c r="C457" i="2"/>
  <c r="B457" i="2"/>
  <c r="C456" i="2"/>
  <c r="B456" i="2"/>
  <c r="C455" i="2"/>
  <c r="B455" i="2"/>
  <c r="C454" i="2"/>
  <c r="B454" i="2"/>
  <c r="C453" i="2"/>
  <c r="B453" i="2"/>
  <c r="C452" i="2"/>
  <c r="B452" i="2"/>
  <c r="C451" i="2"/>
  <c r="B451" i="2"/>
  <c r="C450" i="2"/>
  <c r="B450" i="2"/>
  <c r="C449" i="2"/>
  <c r="B449" i="2"/>
  <c r="C448" i="2"/>
  <c r="B448" i="2"/>
  <c r="C447" i="2"/>
  <c r="B447" i="2"/>
  <c r="C446" i="2"/>
  <c r="B446" i="2"/>
  <c r="C445" i="2"/>
  <c r="B445" i="2"/>
  <c r="C444" i="2"/>
  <c r="B444" i="2"/>
  <c r="C443" i="2"/>
  <c r="B443" i="2"/>
  <c r="C442" i="2"/>
  <c r="B442" i="2"/>
  <c r="C441" i="2"/>
  <c r="B441" i="2"/>
  <c r="C440" i="2"/>
  <c r="B440" i="2"/>
  <c r="C439" i="2"/>
  <c r="B439" i="2"/>
  <c r="C438" i="2"/>
  <c r="B438" i="2"/>
  <c r="C437" i="2"/>
  <c r="B437" i="2"/>
  <c r="C436" i="2"/>
  <c r="B436" i="2"/>
  <c r="C435" i="2"/>
  <c r="B435" i="2"/>
  <c r="C434" i="2"/>
  <c r="B434" i="2"/>
  <c r="C433" i="2"/>
  <c r="B433" i="2"/>
  <c r="C432" i="2"/>
  <c r="B432" i="2"/>
  <c r="C431" i="2"/>
  <c r="B431" i="2"/>
  <c r="C430" i="2"/>
  <c r="B430" i="2"/>
  <c r="C429" i="2"/>
  <c r="B429" i="2"/>
  <c r="C428" i="2"/>
  <c r="B428" i="2"/>
  <c r="C427" i="2"/>
  <c r="B427" i="2"/>
  <c r="C426" i="2"/>
  <c r="B426" i="2"/>
  <c r="C425" i="2"/>
  <c r="B425" i="2"/>
  <c r="C424" i="2"/>
  <c r="B424" i="2"/>
  <c r="C423" i="2"/>
  <c r="B423" i="2"/>
  <c r="C422" i="2"/>
  <c r="B422" i="2"/>
  <c r="C421" i="2"/>
  <c r="B421" i="2"/>
  <c r="C420" i="2"/>
  <c r="B420" i="2"/>
  <c r="C419" i="2"/>
  <c r="B419" i="2"/>
  <c r="C418" i="2"/>
  <c r="B418" i="2"/>
  <c r="C417" i="2"/>
  <c r="B417" i="2"/>
  <c r="C416" i="2"/>
  <c r="B416" i="2"/>
  <c r="C415" i="2"/>
  <c r="B415" i="2"/>
  <c r="C414" i="2"/>
  <c r="B414" i="2"/>
  <c r="C413" i="2"/>
  <c r="B413" i="2"/>
  <c r="C412" i="2"/>
  <c r="B412" i="2"/>
  <c r="C411" i="2"/>
  <c r="B411" i="2"/>
  <c r="C410" i="2"/>
  <c r="B410" i="2"/>
  <c r="C409" i="2"/>
  <c r="B409" i="2"/>
  <c r="C408" i="2"/>
  <c r="B408" i="2"/>
  <c r="C407" i="2"/>
  <c r="B407" i="2"/>
  <c r="C406" i="2"/>
  <c r="B406" i="2"/>
  <c r="C405" i="2"/>
  <c r="B405" i="2"/>
  <c r="C404" i="2"/>
  <c r="B404" i="2"/>
  <c r="C403" i="2"/>
  <c r="B403" i="2"/>
  <c r="C402" i="2"/>
  <c r="B402" i="2"/>
  <c r="C401" i="2"/>
  <c r="B401" i="2"/>
  <c r="C400" i="2"/>
  <c r="B400" i="2"/>
  <c r="C399" i="2"/>
  <c r="B399" i="2"/>
  <c r="C398" i="2"/>
  <c r="B398" i="2"/>
  <c r="C397" i="2"/>
  <c r="B397" i="2"/>
  <c r="C396" i="2"/>
  <c r="B396" i="2"/>
  <c r="C395" i="2"/>
  <c r="B395" i="2"/>
  <c r="C394" i="2"/>
  <c r="B394" i="2"/>
  <c r="C393" i="2"/>
  <c r="B393" i="2"/>
  <c r="C392" i="2"/>
  <c r="B392" i="2"/>
  <c r="C391" i="2"/>
  <c r="B391" i="2"/>
  <c r="C390" i="2"/>
  <c r="B390" i="2"/>
  <c r="C389" i="2"/>
  <c r="B389" i="2"/>
  <c r="C388" i="2"/>
  <c r="B388" i="2"/>
  <c r="C387" i="2"/>
  <c r="B387" i="2"/>
  <c r="C386" i="2"/>
  <c r="B386" i="2"/>
  <c r="C385" i="2"/>
  <c r="B385" i="2"/>
  <c r="C384" i="2"/>
  <c r="B384" i="2"/>
  <c r="C383" i="2"/>
  <c r="B383" i="2"/>
  <c r="C382" i="2"/>
  <c r="B382" i="2"/>
  <c r="C381" i="2"/>
  <c r="B381" i="2"/>
  <c r="C380" i="2"/>
  <c r="B380" i="2"/>
  <c r="C379" i="2"/>
  <c r="B379" i="2"/>
  <c r="C378" i="2"/>
  <c r="B378" i="2"/>
  <c r="C377" i="2"/>
  <c r="B377" i="2"/>
  <c r="C376" i="2"/>
  <c r="B376" i="2"/>
  <c r="C375" i="2"/>
  <c r="B375" i="2"/>
  <c r="C374" i="2"/>
  <c r="B374" i="2"/>
  <c r="C373" i="2"/>
  <c r="B373" i="2"/>
  <c r="C372" i="2"/>
  <c r="B372" i="2"/>
  <c r="C371" i="2"/>
  <c r="B371" i="2"/>
  <c r="C370" i="2"/>
  <c r="B370" i="2"/>
  <c r="C369" i="2"/>
  <c r="B369" i="2"/>
  <c r="C368" i="2"/>
  <c r="B368" i="2"/>
  <c r="C367" i="2"/>
  <c r="B367" i="2"/>
  <c r="C366" i="2"/>
  <c r="B366" i="2"/>
  <c r="C365" i="2"/>
  <c r="B365" i="2"/>
  <c r="C364" i="2"/>
  <c r="B364" i="2"/>
  <c r="C363" i="2"/>
  <c r="B363" i="2"/>
  <c r="C362" i="2"/>
  <c r="B362" i="2"/>
  <c r="C361" i="2"/>
  <c r="B361" i="2"/>
  <c r="C360" i="2"/>
  <c r="B360" i="2"/>
  <c r="C359" i="2"/>
  <c r="B359" i="2"/>
  <c r="C358" i="2"/>
  <c r="B358" i="2"/>
  <c r="C357" i="2"/>
  <c r="B357" i="2"/>
  <c r="C356" i="2"/>
  <c r="B356" i="2"/>
  <c r="C355" i="2"/>
  <c r="B355" i="2"/>
  <c r="C354" i="2"/>
  <c r="B354" i="2"/>
  <c r="C353" i="2"/>
  <c r="B353" i="2"/>
  <c r="C352" i="2"/>
  <c r="B352" i="2"/>
  <c r="C351" i="2"/>
  <c r="B351" i="2"/>
  <c r="C350" i="2"/>
  <c r="B350" i="2"/>
  <c r="C349" i="2"/>
  <c r="B349" i="2"/>
  <c r="C348" i="2"/>
  <c r="B348" i="2"/>
  <c r="C347" i="2"/>
  <c r="B347" i="2"/>
  <c r="C346" i="2"/>
  <c r="B346" i="2"/>
  <c r="C345" i="2"/>
  <c r="B345" i="2"/>
  <c r="C344" i="2"/>
  <c r="B344" i="2"/>
  <c r="C343" i="2"/>
  <c r="B343" i="2"/>
  <c r="C342" i="2"/>
  <c r="B342" i="2"/>
  <c r="C341" i="2"/>
  <c r="B341" i="2"/>
  <c r="C340" i="2"/>
  <c r="B340" i="2"/>
  <c r="C339" i="2"/>
  <c r="B339" i="2"/>
  <c r="C338" i="2"/>
  <c r="B338" i="2"/>
  <c r="C337" i="2"/>
  <c r="B337" i="2"/>
  <c r="C336" i="2"/>
  <c r="B336" i="2"/>
  <c r="C335" i="2"/>
  <c r="B335" i="2"/>
  <c r="C334" i="2"/>
  <c r="B334" i="2"/>
  <c r="C333" i="2"/>
  <c r="B333" i="2"/>
  <c r="C332" i="2"/>
  <c r="B332" i="2"/>
  <c r="C331" i="2"/>
  <c r="B331" i="2"/>
  <c r="C330" i="2"/>
  <c r="B330" i="2"/>
  <c r="C329" i="2"/>
  <c r="B329" i="2"/>
  <c r="C328" i="2"/>
  <c r="B328" i="2"/>
  <c r="C327" i="2"/>
  <c r="B327" i="2"/>
  <c r="C326" i="2"/>
  <c r="B326" i="2"/>
  <c r="C325" i="2"/>
  <c r="B325" i="2"/>
  <c r="C324" i="2"/>
  <c r="B324" i="2"/>
  <c r="C323" i="2"/>
  <c r="B323" i="2"/>
  <c r="C322" i="2"/>
  <c r="B322" i="2"/>
  <c r="C321" i="2"/>
  <c r="B321" i="2"/>
  <c r="C320" i="2"/>
  <c r="B320" i="2"/>
  <c r="C319" i="2"/>
  <c r="B319" i="2"/>
  <c r="C318" i="2"/>
  <c r="B318" i="2"/>
  <c r="C317" i="2"/>
  <c r="B317" i="2"/>
  <c r="C316" i="2"/>
  <c r="B316" i="2"/>
  <c r="C315" i="2"/>
  <c r="B315" i="2"/>
  <c r="C314" i="2"/>
  <c r="B314" i="2"/>
  <c r="C313" i="2"/>
  <c r="B313" i="2"/>
  <c r="C312" i="2"/>
  <c r="B312" i="2"/>
  <c r="C311" i="2"/>
  <c r="B311" i="2"/>
  <c r="C310" i="2"/>
  <c r="B310" i="2"/>
  <c r="C309" i="2"/>
  <c r="B309" i="2"/>
  <c r="C308" i="2"/>
  <c r="B308" i="2"/>
  <c r="C307" i="2"/>
  <c r="B307" i="2"/>
  <c r="C306" i="2"/>
  <c r="B306" i="2"/>
  <c r="C305" i="2"/>
  <c r="B305" i="2"/>
  <c r="C304" i="2"/>
  <c r="B304" i="2"/>
  <c r="C303" i="2"/>
  <c r="B303" i="2"/>
  <c r="C302" i="2"/>
  <c r="B302" i="2"/>
  <c r="C301" i="2"/>
  <c r="B301" i="2"/>
  <c r="C300" i="2"/>
  <c r="B300" i="2"/>
  <c r="C299" i="2"/>
  <c r="B299" i="2"/>
  <c r="C298" i="2"/>
  <c r="B298" i="2"/>
  <c r="C297" i="2"/>
  <c r="B297" i="2"/>
  <c r="C296" i="2"/>
  <c r="B296" i="2"/>
  <c r="C295" i="2"/>
  <c r="B295" i="2"/>
  <c r="C294" i="2"/>
  <c r="B294" i="2"/>
  <c r="C293" i="2"/>
  <c r="B293" i="2"/>
  <c r="C292" i="2"/>
  <c r="B292" i="2"/>
  <c r="C291" i="2"/>
  <c r="B291" i="2"/>
  <c r="C290" i="2"/>
  <c r="B290" i="2"/>
  <c r="C289" i="2"/>
  <c r="B289" i="2"/>
  <c r="C288" i="2"/>
  <c r="B288" i="2"/>
  <c r="C287" i="2"/>
  <c r="B287" i="2"/>
  <c r="C286" i="2"/>
  <c r="B286" i="2"/>
  <c r="C285" i="2"/>
  <c r="B285" i="2"/>
  <c r="C284" i="2"/>
  <c r="B284" i="2"/>
  <c r="C283" i="2"/>
  <c r="B283" i="2"/>
  <c r="C282" i="2"/>
  <c r="B282" i="2"/>
  <c r="C281" i="2"/>
  <c r="B281" i="2"/>
  <c r="C280" i="2"/>
  <c r="B280" i="2"/>
  <c r="C279" i="2"/>
  <c r="B279" i="2"/>
  <c r="C278" i="2"/>
  <c r="B278" i="2"/>
  <c r="C277" i="2"/>
  <c r="B277" i="2"/>
  <c r="C276" i="2"/>
  <c r="B276" i="2"/>
  <c r="C275" i="2"/>
  <c r="B275" i="2"/>
  <c r="C274" i="2"/>
  <c r="B274" i="2"/>
  <c r="C273" i="2"/>
  <c r="B273" i="2"/>
  <c r="C272" i="2"/>
  <c r="B272" i="2"/>
  <c r="C271" i="2"/>
  <c r="B271" i="2"/>
  <c r="C270" i="2"/>
  <c r="B270" i="2"/>
  <c r="C269" i="2"/>
  <c r="B269" i="2"/>
  <c r="C268" i="2"/>
  <c r="B268" i="2"/>
  <c r="C267" i="2"/>
  <c r="B267" i="2"/>
  <c r="C266" i="2"/>
  <c r="B266" i="2"/>
  <c r="C265" i="2"/>
  <c r="B265" i="2"/>
  <c r="C264" i="2"/>
  <c r="B264" i="2"/>
  <c r="C263" i="2"/>
  <c r="B263" i="2"/>
  <c r="C262" i="2"/>
  <c r="B262" i="2"/>
  <c r="C261" i="2"/>
  <c r="B261" i="2"/>
  <c r="C260" i="2"/>
  <c r="B260" i="2"/>
  <c r="C259" i="2"/>
  <c r="B259" i="2"/>
  <c r="C258" i="2"/>
  <c r="B258" i="2"/>
  <c r="C257" i="2"/>
  <c r="B257" i="2"/>
  <c r="C256" i="2"/>
  <c r="B256" i="2"/>
  <c r="C255" i="2"/>
  <c r="B255" i="2"/>
  <c r="C254" i="2"/>
  <c r="B254" i="2"/>
  <c r="C253" i="2"/>
  <c r="B253" i="2"/>
  <c r="C252" i="2"/>
  <c r="B252" i="2"/>
  <c r="C251" i="2"/>
  <c r="B251" i="2"/>
  <c r="C250" i="2"/>
  <c r="B250" i="2"/>
  <c r="C249" i="2"/>
  <c r="B249" i="2"/>
  <c r="C248" i="2"/>
  <c r="B248" i="2"/>
  <c r="C247" i="2"/>
  <c r="B247" i="2"/>
  <c r="C246" i="2"/>
  <c r="B246" i="2"/>
  <c r="C245" i="2"/>
  <c r="B245" i="2"/>
  <c r="C244" i="2"/>
  <c r="B244" i="2"/>
  <c r="C243" i="2"/>
  <c r="B243" i="2"/>
  <c r="C242" i="2"/>
  <c r="B242" i="2"/>
  <c r="C241" i="2"/>
  <c r="B241" i="2"/>
  <c r="C240" i="2"/>
  <c r="B240" i="2"/>
  <c r="C239" i="2"/>
  <c r="B239" i="2"/>
  <c r="C238" i="2"/>
  <c r="B238" i="2"/>
  <c r="C237" i="2"/>
  <c r="B237" i="2"/>
  <c r="C236" i="2"/>
  <c r="B236" i="2"/>
  <c r="C235" i="2"/>
  <c r="B235" i="2"/>
  <c r="C234" i="2"/>
  <c r="B234" i="2"/>
  <c r="C233" i="2"/>
  <c r="B233" i="2"/>
  <c r="C232" i="2"/>
  <c r="B232" i="2"/>
  <c r="C231" i="2"/>
  <c r="B231" i="2"/>
  <c r="C230" i="2"/>
  <c r="B230" i="2"/>
  <c r="C229" i="2"/>
  <c r="B229" i="2"/>
  <c r="C228" i="2"/>
  <c r="B228" i="2"/>
  <c r="C227" i="2"/>
  <c r="B227" i="2"/>
  <c r="C226" i="2"/>
  <c r="B226" i="2"/>
  <c r="C225" i="2"/>
  <c r="B225" i="2"/>
  <c r="C224" i="2"/>
  <c r="B224" i="2"/>
  <c r="C223" i="2"/>
  <c r="B223" i="2"/>
  <c r="C222" i="2"/>
  <c r="B222" i="2"/>
  <c r="C221" i="2"/>
  <c r="B221" i="2"/>
  <c r="C220" i="2"/>
  <c r="B220" i="2"/>
  <c r="C219" i="2"/>
  <c r="B219" i="2"/>
  <c r="C218" i="2"/>
  <c r="B218" i="2"/>
  <c r="C217" i="2"/>
  <c r="B217" i="2"/>
  <c r="C216" i="2"/>
  <c r="B216" i="2"/>
  <c r="C215" i="2"/>
  <c r="B215" i="2"/>
  <c r="C214" i="2"/>
  <c r="B214" i="2"/>
  <c r="C213" i="2"/>
  <c r="B213" i="2"/>
  <c r="C212" i="2"/>
  <c r="B212" i="2"/>
  <c r="C211" i="2"/>
  <c r="B211" i="2"/>
  <c r="C210" i="2"/>
  <c r="B210" i="2"/>
  <c r="C209" i="2"/>
  <c r="B209" i="2"/>
  <c r="C208" i="2"/>
  <c r="B208" i="2"/>
  <c r="C207" i="2"/>
  <c r="B207" i="2"/>
  <c r="C206" i="2"/>
  <c r="B206" i="2"/>
  <c r="C205" i="2"/>
  <c r="B205" i="2"/>
  <c r="C204" i="2"/>
  <c r="B204" i="2"/>
  <c r="C203" i="2"/>
  <c r="B203" i="2"/>
  <c r="C202" i="2"/>
  <c r="B202" i="2"/>
  <c r="C201" i="2"/>
  <c r="B201" i="2"/>
  <c r="C200" i="2"/>
  <c r="B200" i="2"/>
  <c r="C199" i="2"/>
  <c r="B199" i="2"/>
  <c r="C198" i="2"/>
  <c r="B198" i="2"/>
  <c r="C197" i="2"/>
  <c r="B197" i="2"/>
  <c r="C196" i="2"/>
  <c r="B196" i="2"/>
  <c r="C195" i="2"/>
  <c r="B195" i="2"/>
  <c r="C194" i="2"/>
  <c r="B194" i="2"/>
  <c r="C193" i="2"/>
  <c r="B193" i="2"/>
  <c r="C192" i="2"/>
  <c r="B192" i="2"/>
  <c r="C191" i="2"/>
  <c r="B191" i="2"/>
  <c r="C190" i="2"/>
  <c r="B190" i="2"/>
  <c r="C189" i="2"/>
  <c r="B189" i="2"/>
  <c r="C188" i="2"/>
  <c r="B188" i="2"/>
  <c r="C187" i="2"/>
  <c r="B187" i="2"/>
  <c r="C186" i="2"/>
  <c r="B186" i="2"/>
  <c r="C185" i="2"/>
  <c r="B185" i="2"/>
  <c r="C184" i="2"/>
  <c r="B184" i="2"/>
  <c r="C183" i="2"/>
  <c r="B183" i="2"/>
  <c r="C182" i="2"/>
  <c r="B182" i="2"/>
  <c r="C181" i="2"/>
  <c r="B181" i="2"/>
  <c r="C180" i="2"/>
  <c r="B180" i="2"/>
  <c r="C179" i="2"/>
  <c r="B179" i="2"/>
  <c r="C178" i="2"/>
  <c r="B178" i="2"/>
  <c r="C177" i="2"/>
  <c r="B177" i="2"/>
  <c r="C176" i="2"/>
  <c r="B176" i="2"/>
  <c r="C175" i="2"/>
  <c r="B175" i="2"/>
  <c r="C174" i="2"/>
  <c r="B174" i="2"/>
  <c r="C173" i="2"/>
  <c r="B173" i="2"/>
  <c r="C172" i="2"/>
  <c r="B172" i="2"/>
  <c r="C171" i="2"/>
  <c r="B171" i="2"/>
  <c r="C170" i="2"/>
  <c r="B170" i="2"/>
  <c r="C169" i="2"/>
  <c r="B169" i="2"/>
  <c r="C168" i="2"/>
  <c r="B168" i="2"/>
  <c r="C167" i="2"/>
  <c r="B167" i="2"/>
  <c r="C166" i="2"/>
  <c r="B166" i="2"/>
  <c r="C165" i="2"/>
  <c r="B165" i="2"/>
  <c r="C164" i="2"/>
  <c r="B164" i="2"/>
  <c r="C163" i="2"/>
  <c r="B163" i="2"/>
  <c r="C162" i="2"/>
  <c r="B162" i="2"/>
  <c r="C161" i="2"/>
  <c r="B161" i="2"/>
  <c r="C160" i="2"/>
  <c r="B160" i="2"/>
  <c r="C159" i="2"/>
  <c r="B159" i="2"/>
  <c r="C158" i="2"/>
  <c r="B158" i="2"/>
  <c r="C157" i="2"/>
  <c r="B157" i="2"/>
  <c r="C156" i="2"/>
  <c r="B156" i="2"/>
  <c r="C155" i="2"/>
  <c r="B155" i="2"/>
  <c r="C154" i="2"/>
  <c r="B154" i="2"/>
  <c r="C153" i="2"/>
  <c r="B153" i="2"/>
  <c r="C152" i="2"/>
  <c r="B152" i="2"/>
  <c r="C151" i="2"/>
  <c r="B151" i="2"/>
  <c r="C150" i="2"/>
  <c r="B150" i="2"/>
  <c r="C149" i="2"/>
  <c r="B149" i="2"/>
  <c r="C148" i="2"/>
  <c r="B148" i="2"/>
  <c r="C147" i="2"/>
  <c r="B147" i="2"/>
  <c r="C146" i="2"/>
  <c r="B146" i="2"/>
  <c r="C145" i="2"/>
  <c r="B145" i="2"/>
  <c r="C144" i="2"/>
  <c r="B144" i="2"/>
  <c r="C143" i="2"/>
  <c r="B143" i="2"/>
  <c r="C142" i="2"/>
  <c r="B142" i="2"/>
  <c r="C141" i="2"/>
  <c r="B141" i="2"/>
  <c r="C140" i="2"/>
  <c r="B140" i="2"/>
  <c r="C139" i="2"/>
  <c r="B139" i="2"/>
  <c r="C138" i="2"/>
  <c r="B138" i="2"/>
  <c r="C137" i="2"/>
  <c r="B137" i="2"/>
  <c r="C136" i="2"/>
  <c r="B136" i="2"/>
  <c r="C135" i="2"/>
  <c r="B135" i="2"/>
  <c r="C134" i="2"/>
  <c r="B134" i="2"/>
  <c r="C133" i="2"/>
  <c r="B133" i="2"/>
  <c r="C132" i="2"/>
  <c r="B132" i="2"/>
  <c r="C131" i="2"/>
  <c r="B131" i="2"/>
  <c r="C130" i="2"/>
  <c r="B130" i="2"/>
  <c r="C129" i="2"/>
  <c r="B129" i="2"/>
  <c r="C128" i="2"/>
  <c r="B128" i="2"/>
  <c r="C127" i="2"/>
  <c r="B127" i="2"/>
  <c r="C126" i="2"/>
  <c r="B126" i="2"/>
  <c r="C125" i="2"/>
  <c r="B125" i="2"/>
  <c r="C124" i="2"/>
  <c r="B124" i="2"/>
  <c r="C123" i="2"/>
  <c r="B123" i="2"/>
  <c r="C122" i="2"/>
  <c r="B122" i="2"/>
  <c r="C121" i="2"/>
  <c r="B121" i="2"/>
  <c r="C120" i="2"/>
  <c r="B120" i="2"/>
  <c r="C119" i="2"/>
  <c r="B119" i="2"/>
  <c r="C118" i="2"/>
  <c r="B118" i="2"/>
  <c r="C117" i="2"/>
  <c r="B117" i="2"/>
  <c r="C116" i="2"/>
  <c r="B116" i="2"/>
  <c r="C115" i="2"/>
  <c r="B115" i="2"/>
  <c r="C114" i="2"/>
  <c r="B114" i="2"/>
  <c r="C113" i="2"/>
  <c r="B113" i="2"/>
  <c r="C112" i="2"/>
  <c r="B112" i="2"/>
  <c r="C111" i="2"/>
  <c r="B111" i="2"/>
  <c r="C110" i="2"/>
  <c r="B110" i="2"/>
  <c r="C109" i="2"/>
  <c r="B109" i="2"/>
  <c r="C108" i="2"/>
  <c r="B108" i="2"/>
  <c r="C107" i="2"/>
  <c r="B107" i="2"/>
  <c r="C106" i="2"/>
  <c r="B106" i="2"/>
  <c r="C105" i="2"/>
  <c r="B105" i="2"/>
  <c r="C104" i="2"/>
  <c r="B104" i="2"/>
  <c r="C103" i="2"/>
  <c r="B103" i="2"/>
  <c r="C102" i="2"/>
  <c r="B102" i="2"/>
  <c r="C101" i="2"/>
  <c r="B101" i="2"/>
  <c r="C100" i="2"/>
  <c r="B100" i="2"/>
  <c r="C99" i="2"/>
  <c r="B99" i="2"/>
  <c r="C98" i="2"/>
  <c r="B98" i="2"/>
  <c r="C97" i="2"/>
  <c r="B97" i="2"/>
  <c r="C96" i="2"/>
  <c r="B96" i="2"/>
  <c r="C95" i="2"/>
  <c r="B95" i="2"/>
  <c r="C94" i="2"/>
  <c r="B94" i="2"/>
  <c r="C93" i="2"/>
  <c r="B93" i="2"/>
  <c r="C92" i="2"/>
  <c r="B92" i="2"/>
  <c r="C91" i="2"/>
  <c r="B91" i="2"/>
  <c r="C90" i="2"/>
  <c r="B90" i="2"/>
  <c r="C89" i="2"/>
  <c r="B89" i="2"/>
  <c r="C88" i="2"/>
  <c r="B88" i="2"/>
  <c r="C87" i="2"/>
  <c r="B87" i="2"/>
  <c r="C86" i="2"/>
  <c r="B86" i="2"/>
  <c r="C85" i="2"/>
  <c r="B85" i="2"/>
  <c r="C84" i="2"/>
  <c r="B84" i="2"/>
  <c r="C83" i="2"/>
  <c r="B83" i="2"/>
  <c r="C82" i="2"/>
  <c r="B82" i="2"/>
  <c r="C81" i="2"/>
  <c r="B81" i="2"/>
  <c r="C80" i="2"/>
  <c r="B80" i="2"/>
  <c r="C79" i="2"/>
  <c r="B79" i="2"/>
  <c r="C78" i="2"/>
  <c r="B78" i="2"/>
  <c r="C77" i="2"/>
  <c r="B77" i="2"/>
  <c r="C76" i="2"/>
  <c r="B76" i="2"/>
  <c r="C75" i="2"/>
  <c r="B75" i="2"/>
  <c r="C74" i="2"/>
  <c r="B74" i="2"/>
  <c r="C73" i="2"/>
  <c r="B73" i="2"/>
  <c r="C72" i="2"/>
  <c r="B72" i="2"/>
  <c r="C71" i="2"/>
  <c r="B71" i="2"/>
  <c r="C70" i="2"/>
  <c r="B70" i="2"/>
  <c r="C69" i="2"/>
  <c r="B69" i="2"/>
  <c r="C68" i="2"/>
  <c r="B68" i="2"/>
  <c r="C67" i="2"/>
  <c r="B67" i="2"/>
  <c r="C66" i="2"/>
  <c r="B66" i="2"/>
  <c r="C65" i="2"/>
  <c r="B65" i="2"/>
  <c r="C64" i="2"/>
  <c r="B64" i="2"/>
  <c r="C63" i="2"/>
  <c r="B63" i="2"/>
  <c r="C62" i="2"/>
  <c r="B62" i="2"/>
  <c r="C61" i="2"/>
  <c r="B61" i="2"/>
  <c r="C60" i="2"/>
  <c r="B60" i="2"/>
  <c r="C59" i="2"/>
  <c r="B59" i="2"/>
  <c r="C58" i="2"/>
  <c r="B58" i="2"/>
  <c r="C57" i="2"/>
  <c r="B57" i="2"/>
  <c r="C56" i="2"/>
  <c r="B56" i="2"/>
  <c r="C55" i="2"/>
  <c r="B55" i="2"/>
  <c r="C54" i="2"/>
  <c r="B54" i="2"/>
  <c r="C53" i="2"/>
  <c r="B53" i="2"/>
  <c r="C52" i="2"/>
  <c r="B52" i="2"/>
  <c r="C51" i="2"/>
  <c r="B51" i="2"/>
  <c r="C50" i="2"/>
  <c r="B50" i="2"/>
  <c r="C49" i="2"/>
  <c r="B49" i="2"/>
  <c r="C48" i="2"/>
  <c r="B48" i="2"/>
  <c r="C47" i="2"/>
  <c r="B47" i="2"/>
  <c r="C46" i="2"/>
  <c r="B46" i="2"/>
  <c r="C45" i="2"/>
  <c r="B45" i="2"/>
  <c r="C44" i="2"/>
  <c r="B44" i="2"/>
  <c r="C43" i="2"/>
  <c r="B43" i="2"/>
  <c r="C42" i="2"/>
  <c r="B42" i="2"/>
  <c r="C41" i="2"/>
  <c r="B41" i="2"/>
  <c r="C40" i="2"/>
  <c r="B40" i="2"/>
  <c r="C39" i="2"/>
  <c r="B39" i="2"/>
  <c r="C38" i="2"/>
  <c r="B38" i="2"/>
  <c r="C37" i="2"/>
  <c r="B37" i="2"/>
  <c r="C36" i="2"/>
  <c r="B36" i="2"/>
  <c r="C35" i="2"/>
  <c r="B35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5" i="2"/>
  <c r="B5" i="2"/>
  <c r="C4" i="2"/>
  <c r="B4" i="2"/>
  <c r="C3" i="2"/>
  <c r="B3" i="2"/>
  <c r="C2" i="2"/>
  <c r="B2" i="2"/>
  <c r="K3" i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K83" i="1"/>
  <c r="L83" i="1"/>
  <c r="K84" i="1"/>
  <c r="L84" i="1"/>
  <c r="K85" i="1"/>
  <c r="L85" i="1"/>
  <c r="K86" i="1"/>
  <c r="L86" i="1"/>
  <c r="K87" i="1"/>
  <c r="L87" i="1"/>
  <c r="K88" i="1"/>
  <c r="L88" i="1"/>
  <c r="K89" i="1"/>
  <c r="L89" i="1"/>
  <c r="K90" i="1"/>
  <c r="L90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K119" i="1"/>
  <c r="L119" i="1"/>
  <c r="K120" i="1"/>
  <c r="L120" i="1"/>
  <c r="K121" i="1"/>
  <c r="L121" i="1"/>
  <c r="K122" i="1"/>
  <c r="L122" i="1"/>
  <c r="K123" i="1"/>
  <c r="L123" i="1"/>
  <c r="K124" i="1"/>
  <c r="L124" i="1"/>
  <c r="K125" i="1"/>
  <c r="L125" i="1"/>
  <c r="K126" i="1"/>
  <c r="L126" i="1"/>
  <c r="K127" i="1"/>
  <c r="L127" i="1"/>
  <c r="K128" i="1"/>
  <c r="L128" i="1"/>
  <c r="K129" i="1"/>
  <c r="L129" i="1"/>
  <c r="K130" i="1"/>
  <c r="L130" i="1"/>
  <c r="K131" i="1"/>
  <c r="L131" i="1"/>
  <c r="K132" i="1"/>
  <c r="L132" i="1"/>
  <c r="K133" i="1"/>
  <c r="L133" i="1"/>
  <c r="K134" i="1"/>
  <c r="L134" i="1"/>
  <c r="K135" i="1"/>
  <c r="L135" i="1"/>
  <c r="K136" i="1"/>
  <c r="L136" i="1"/>
  <c r="K137" i="1"/>
  <c r="L137" i="1"/>
  <c r="K138" i="1"/>
  <c r="L138" i="1"/>
  <c r="K139" i="1"/>
  <c r="L139" i="1"/>
  <c r="K140" i="1"/>
  <c r="L140" i="1"/>
  <c r="K141" i="1"/>
  <c r="L141" i="1"/>
  <c r="K142" i="1"/>
  <c r="L142" i="1"/>
  <c r="K143" i="1"/>
  <c r="L143" i="1"/>
  <c r="K144" i="1"/>
  <c r="L144" i="1"/>
  <c r="K145" i="1"/>
  <c r="L145" i="1"/>
  <c r="K146" i="1"/>
  <c r="L146" i="1"/>
  <c r="K147" i="1"/>
  <c r="L147" i="1"/>
  <c r="K148" i="1"/>
  <c r="L148" i="1"/>
  <c r="K149" i="1"/>
  <c r="L149" i="1"/>
  <c r="K150" i="1"/>
  <c r="L150" i="1"/>
  <c r="K151" i="1"/>
  <c r="L151" i="1"/>
  <c r="K152" i="1"/>
  <c r="L152" i="1"/>
  <c r="K153" i="1"/>
  <c r="L153" i="1"/>
  <c r="K154" i="1"/>
  <c r="L154" i="1"/>
  <c r="K155" i="1"/>
  <c r="L155" i="1"/>
  <c r="K156" i="1"/>
  <c r="L156" i="1"/>
  <c r="K157" i="1"/>
  <c r="L157" i="1"/>
  <c r="K158" i="1"/>
  <c r="L158" i="1"/>
  <c r="K159" i="1"/>
  <c r="L159" i="1"/>
  <c r="K160" i="1"/>
  <c r="L160" i="1"/>
  <c r="K161" i="1"/>
  <c r="L161" i="1"/>
  <c r="K162" i="1"/>
  <c r="L162" i="1"/>
  <c r="K163" i="1"/>
  <c r="L163" i="1"/>
  <c r="K164" i="1"/>
  <c r="L164" i="1"/>
  <c r="K165" i="1"/>
  <c r="L165" i="1"/>
  <c r="K166" i="1"/>
  <c r="L166" i="1"/>
  <c r="K167" i="1"/>
  <c r="L167" i="1"/>
  <c r="K168" i="1"/>
  <c r="L168" i="1"/>
  <c r="K169" i="1"/>
  <c r="L169" i="1"/>
  <c r="K170" i="1"/>
  <c r="L170" i="1"/>
  <c r="K171" i="1"/>
  <c r="L171" i="1"/>
  <c r="K172" i="1"/>
  <c r="L172" i="1"/>
  <c r="K173" i="1"/>
  <c r="L173" i="1"/>
  <c r="K174" i="1"/>
  <c r="L174" i="1"/>
  <c r="K175" i="1"/>
  <c r="L175" i="1"/>
  <c r="K176" i="1"/>
  <c r="L176" i="1"/>
  <c r="K177" i="1"/>
  <c r="L177" i="1"/>
  <c r="K178" i="1"/>
  <c r="L178" i="1"/>
  <c r="K179" i="1"/>
  <c r="L179" i="1"/>
  <c r="K180" i="1"/>
  <c r="L180" i="1"/>
  <c r="K181" i="1"/>
  <c r="L181" i="1"/>
  <c r="K182" i="1"/>
  <c r="L182" i="1"/>
  <c r="K183" i="1"/>
  <c r="L183" i="1"/>
  <c r="K184" i="1"/>
  <c r="L184" i="1"/>
  <c r="K185" i="1"/>
  <c r="L185" i="1"/>
  <c r="K186" i="1"/>
  <c r="L186" i="1"/>
  <c r="K187" i="1"/>
  <c r="L187" i="1"/>
  <c r="K188" i="1"/>
  <c r="L188" i="1"/>
  <c r="K189" i="1"/>
  <c r="L189" i="1"/>
  <c r="K190" i="1"/>
  <c r="L190" i="1"/>
  <c r="K191" i="1"/>
  <c r="L191" i="1"/>
  <c r="K192" i="1"/>
  <c r="L192" i="1"/>
  <c r="K193" i="1"/>
  <c r="L193" i="1"/>
  <c r="K194" i="1"/>
  <c r="L194" i="1"/>
  <c r="K195" i="1"/>
  <c r="L195" i="1"/>
  <c r="K196" i="1"/>
  <c r="L196" i="1"/>
  <c r="K197" i="1"/>
  <c r="L197" i="1"/>
  <c r="K198" i="1"/>
  <c r="L198" i="1"/>
  <c r="K199" i="1"/>
  <c r="L199" i="1"/>
  <c r="K200" i="1"/>
  <c r="L200" i="1"/>
  <c r="K201" i="1"/>
  <c r="L201" i="1"/>
  <c r="K202" i="1"/>
  <c r="L202" i="1"/>
  <c r="K203" i="1"/>
  <c r="L203" i="1"/>
  <c r="K204" i="1"/>
  <c r="L204" i="1"/>
  <c r="K205" i="1"/>
  <c r="L205" i="1"/>
  <c r="K206" i="1"/>
  <c r="L206" i="1"/>
  <c r="K207" i="1"/>
  <c r="L207" i="1"/>
  <c r="K208" i="1"/>
  <c r="L208" i="1"/>
  <c r="K209" i="1"/>
  <c r="L209" i="1"/>
  <c r="K210" i="1"/>
  <c r="L210" i="1"/>
  <c r="K211" i="1"/>
  <c r="L211" i="1"/>
  <c r="K212" i="1"/>
  <c r="L212" i="1"/>
  <c r="K213" i="1"/>
  <c r="L213" i="1"/>
  <c r="K214" i="1"/>
  <c r="L214" i="1"/>
  <c r="K215" i="1"/>
  <c r="L215" i="1"/>
  <c r="K216" i="1"/>
  <c r="L216" i="1"/>
  <c r="K217" i="1"/>
  <c r="L217" i="1"/>
  <c r="K218" i="1"/>
  <c r="L218" i="1"/>
  <c r="K219" i="1"/>
  <c r="L219" i="1"/>
  <c r="K220" i="1"/>
  <c r="L220" i="1"/>
  <c r="K221" i="1"/>
  <c r="L221" i="1"/>
  <c r="K222" i="1"/>
  <c r="L222" i="1"/>
  <c r="K223" i="1"/>
  <c r="L223" i="1"/>
  <c r="K224" i="1"/>
  <c r="L224" i="1"/>
  <c r="K225" i="1"/>
  <c r="L225" i="1"/>
  <c r="K226" i="1"/>
  <c r="L226" i="1"/>
  <c r="K227" i="1"/>
  <c r="L227" i="1"/>
  <c r="K228" i="1"/>
  <c r="L228" i="1"/>
  <c r="K229" i="1"/>
  <c r="L229" i="1"/>
  <c r="K230" i="1"/>
  <c r="L230" i="1"/>
  <c r="K231" i="1"/>
  <c r="L231" i="1"/>
  <c r="K232" i="1"/>
  <c r="L232" i="1"/>
  <c r="K233" i="1"/>
  <c r="L233" i="1"/>
  <c r="K234" i="1"/>
  <c r="L234" i="1"/>
  <c r="K235" i="1"/>
  <c r="L235" i="1"/>
  <c r="K236" i="1"/>
  <c r="L236" i="1"/>
  <c r="K237" i="1"/>
  <c r="L237" i="1"/>
  <c r="K238" i="1"/>
  <c r="L238" i="1"/>
  <c r="K239" i="1"/>
  <c r="L239" i="1"/>
  <c r="K240" i="1"/>
  <c r="L240" i="1"/>
  <c r="K241" i="1"/>
  <c r="L241" i="1"/>
  <c r="K242" i="1"/>
  <c r="L242" i="1"/>
  <c r="K243" i="1"/>
  <c r="L243" i="1"/>
  <c r="K244" i="1"/>
  <c r="L244" i="1"/>
  <c r="K245" i="1"/>
  <c r="L245" i="1"/>
  <c r="K246" i="1"/>
  <c r="L246" i="1"/>
  <c r="K247" i="1"/>
  <c r="L247" i="1"/>
  <c r="K248" i="1"/>
  <c r="L248" i="1"/>
  <c r="K249" i="1"/>
  <c r="L249" i="1"/>
  <c r="K250" i="1"/>
  <c r="L250" i="1"/>
  <c r="K251" i="1"/>
  <c r="L251" i="1"/>
  <c r="K252" i="1"/>
  <c r="L252" i="1"/>
  <c r="K253" i="1"/>
  <c r="L253" i="1"/>
  <c r="K254" i="1"/>
  <c r="L254" i="1"/>
  <c r="K255" i="1"/>
  <c r="L255" i="1"/>
  <c r="K256" i="1"/>
  <c r="L256" i="1"/>
  <c r="K257" i="1"/>
  <c r="L257" i="1"/>
  <c r="K258" i="1"/>
  <c r="L258" i="1"/>
  <c r="K259" i="1"/>
  <c r="L259" i="1"/>
  <c r="K260" i="1"/>
  <c r="L260" i="1"/>
  <c r="K261" i="1"/>
  <c r="L261" i="1"/>
  <c r="K262" i="1"/>
  <c r="L262" i="1"/>
  <c r="K263" i="1"/>
  <c r="L263" i="1"/>
  <c r="K264" i="1"/>
  <c r="L264" i="1"/>
  <c r="K265" i="1"/>
  <c r="L265" i="1"/>
  <c r="K266" i="1"/>
  <c r="L266" i="1"/>
  <c r="K267" i="1"/>
  <c r="L267" i="1"/>
  <c r="K268" i="1"/>
  <c r="L268" i="1"/>
  <c r="K269" i="1"/>
  <c r="L269" i="1"/>
  <c r="K270" i="1"/>
  <c r="L270" i="1"/>
  <c r="K271" i="1"/>
  <c r="L271" i="1"/>
  <c r="K272" i="1"/>
  <c r="L272" i="1"/>
  <c r="K273" i="1"/>
  <c r="L273" i="1"/>
  <c r="K274" i="1"/>
  <c r="L274" i="1"/>
  <c r="K275" i="1"/>
  <c r="L275" i="1"/>
  <c r="K276" i="1"/>
  <c r="L276" i="1"/>
  <c r="K277" i="1"/>
  <c r="L277" i="1"/>
  <c r="K278" i="1"/>
  <c r="L278" i="1"/>
  <c r="K279" i="1"/>
  <c r="L279" i="1"/>
  <c r="K280" i="1"/>
  <c r="L280" i="1"/>
  <c r="K281" i="1"/>
  <c r="L281" i="1"/>
  <c r="K282" i="1"/>
  <c r="L282" i="1"/>
  <c r="K283" i="1"/>
  <c r="L283" i="1"/>
  <c r="K284" i="1"/>
  <c r="L284" i="1"/>
  <c r="K285" i="1"/>
  <c r="L285" i="1"/>
  <c r="K286" i="1"/>
  <c r="L286" i="1"/>
  <c r="K287" i="1"/>
  <c r="L287" i="1"/>
  <c r="K288" i="1"/>
  <c r="L288" i="1"/>
  <c r="K289" i="1"/>
  <c r="L289" i="1"/>
  <c r="K290" i="1"/>
  <c r="L290" i="1"/>
  <c r="K291" i="1"/>
  <c r="L291" i="1"/>
  <c r="K292" i="1"/>
  <c r="L292" i="1"/>
  <c r="K293" i="1"/>
  <c r="L293" i="1"/>
  <c r="K294" i="1"/>
  <c r="L294" i="1"/>
  <c r="K295" i="1"/>
  <c r="L295" i="1"/>
  <c r="K296" i="1"/>
  <c r="L296" i="1"/>
  <c r="K297" i="1"/>
  <c r="L297" i="1"/>
  <c r="K298" i="1"/>
  <c r="L298" i="1"/>
  <c r="K299" i="1"/>
  <c r="L299" i="1"/>
  <c r="K300" i="1"/>
  <c r="L300" i="1"/>
  <c r="K301" i="1"/>
  <c r="L301" i="1"/>
  <c r="K302" i="1"/>
  <c r="L302" i="1"/>
  <c r="K303" i="1"/>
  <c r="L303" i="1"/>
  <c r="K304" i="1"/>
  <c r="L304" i="1"/>
  <c r="K305" i="1"/>
  <c r="L305" i="1"/>
  <c r="K306" i="1"/>
  <c r="L306" i="1"/>
  <c r="K307" i="1"/>
  <c r="L307" i="1"/>
  <c r="K308" i="1"/>
  <c r="L308" i="1"/>
  <c r="K309" i="1"/>
  <c r="L309" i="1"/>
  <c r="K310" i="1"/>
  <c r="L310" i="1"/>
  <c r="K311" i="1"/>
  <c r="L311" i="1"/>
  <c r="K312" i="1"/>
  <c r="L312" i="1"/>
  <c r="K313" i="1"/>
  <c r="L313" i="1"/>
  <c r="K314" i="1"/>
  <c r="L314" i="1"/>
  <c r="K315" i="1"/>
  <c r="L315" i="1"/>
  <c r="K316" i="1"/>
  <c r="L316" i="1"/>
  <c r="K317" i="1"/>
  <c r="L317" i="1"/>
  <c r="K318" i="1"/>
  <c r="L318" i="1"/>
  <c r="K319" i="1"/>
  <c r="L319" i="1"/>
  <c r="K320" i="1"/>
  <c r="L320" i="1"/>
  <c r="K321" i="1"/>
  <c r="L321" i="1"/>
  <c r="K322" i="1"/>
  <c r="L322" i="1"/>
  <c r="K323" i="1"/>
  <c r="L323" i="1"/>
  <c r="K324" i="1"/>
  <c r="L324" i="1"/>
  <c r="K325" i="1"/>
  <c r="L325" i="1"/>
  <c r="K326" i="1"/>
  <c r="L326" i="1"/>
  <c r="K327" i="1"/>
  <c r="L327" i="1"/>
  <c r="K328" i="1"/>
  <c r="L328" i="1"/>
  <c r="K329" i="1"/>
  <c r="L329" i="1"/>
  <c r="K330" i="1"/>
  <c r="L330" i="1"/>
  <c r="K331" i="1"/>
  <c r="L331" i="1"/>
  <c r="K332" i="1"/>
  <c r="L332" i="1"/>
  <c r="K333" i="1"/>
  <c r="L333" i="1"/>
  <c r="K334" i="1"/>
  <c r="L334" i="1"/>
  <c r="K335" i="1"/>
  <c r="L335" i="1"/>
  <c r="K336" i="1"/>
  <c r="L336" i="1"/>
  <c r="K337" i="1"/>
  <c r="L337" i="1"/>
  <c r="K338" i="1"/>
  <c r="L338" i="1"/>
  <c r="K339" i="1"/>
  <c r="L339" i="1"/>
  <c r="K340" i="1"/>
  <c r="L340" i="1"/>
  <c r="K341" i="1"/>
  <c r="L341" i="1"/>
  <c r="K342" i="1"/>
  <c r="L342" i="1"/>
  <c r="K343" i="1"/>
  <c r="L343" i="1"/>
  <c r="K344" i="1"/>
  <c r="L344" i="1"/>
  <c r="K345" i="1"/>
  <c r="L345" i="1"/>
  <c r="K346" i="1"/>
  <c r="L346" i="1"/>
  <c r="K347" i="1"/>
  <c r="L347" i="1"/>
  <c r="K348" i="1"/>
  <c r="L348" i="1"/>
  <c r="K349" i="1"/>
  <c r="L349" i="1"/>
  <c r="K350" i="1"/>
  <c r="L350" i="1"/>
  <c r="K351" i="1"/>
  <c r="L351" i="1"/>
  <c r="K352" i="1"/>
  <c r="L352" i="1"/>
  <c r="K353" i="1"/>
  <c r="L353" i="1"/>
  <c r="K354" i="1"/>
  <c r="L354" i="1"/>
  <c r="K355" i="1"/>
  <c r="L355" i="1"/>
  <c r="K356" i="1"/>
  <c r="L356" i="1"/>
  <c r="K357" i="1"/>
  <c r="L357" i="1"/>
  <c r="K358" i="1"/>
  <c r="L358" i="1"/>
  <c r="K359" i="1"/>
  <c r="L359" i="1"/>
  <c r="K360" i="1"/>
  <c r="L360" i="1"/>
  <c r="K361" i="1"/>
  <c r="L361" i="1"/>
  <c r="K362" i="1"/>
  <c r="L362" i="1"/>
  <c r="K363" i="1"/>
  <c r="L363" i="1"/>
  <c r="K364" i="1"/>
  <c r="L364" i="1"/>
  <c r="K365" i="1"/>
  <c r="L365" i="1"/>
  <c r="K366" i="1"/>
  <c r="L366" i="1"/>
  <c r="K367" i="1"/>
  <c r="L367" i="1"/>
  <c r="K368" i="1"/>
  <c r="L368" i="1"/>
  <c r="K369" i="1"/>
  <c r="L369" i="1"/>
  <c r="K370" i="1"/>
  <c r="L370" i="1"/>
  <c r="K371" i="1"/>
  <c r="L371" i="1"/>
  <c r="K372" i="1"/>
  <c r="L372" i="1"/>
  <c r="K373" i="1"/>
  <c r="L373" i="1"/>
  <c r="K374" i="1"/>
  <c r="L374" i="1"/>
  <c r="K375" i="1"/>
  <c r="L375" i="1"/>
  <c r="K376" i="1"/>
  <c r="L376" i="1"/>
  <c r="K377" i="1"/>
  <c r="L377" i="1"/>
  <c r="K378" i="1"/>
  <c r="L378" i="1"/>
  <c r="K379" i="1"/>
  <c r="L379" i="1"/>
  <c r="K380" i="1"/>
  <c r="L380" i="1"/>
  <c r="K381" i="1"/>
  <c r="L381" i="1"/>
  <c r="K382" i="1"/>
  <c r="L382" i="1"/>
  <c r="K383" i="1"/>
  <c r="L383" i="1"/>
  <c r="K384" i="1"/>
  <c r="L384" i="1"/>
  <c r="K385" i="1"/>
  <c r="L385" i="1"/>
  <c r="K386" i="1"/>
  <c r="L386" i="1"/>
  <c r="K387" i="1"/>
  <c r="L387" i="1"/>
  <c r="K388" i="1"/>
  <c r="L388" i="1"/>
  <c r="K389" i="1"/>
  <c r="L389" i="1"/>
  <c r="K390" i="1"/>
  <c r="L390" i="1"/>
  <c r="K391" i="1"/>
  <c r="L391" i="1"/>
  <c r="K392" i="1"/>
  <c r="L392" i="1"/>
  <c r="K393" i="1"/>
  <c r="L393" i="1"/>
  <c r="K394" i="1"/>
  <c r="L394" i="1"/>
  <c r="K395" i="1"/>
  <c r="L395" i="1"/>
  <c r="K396" i="1"/>
  <c r="L396" i="1"/>
  <c r="K397" i="1"/>
  <c r="L397" i="1"/>
  <c r="K398" i="1"/>
  <c r="L398" i="1"/>
  <c r="K399" i="1"/>
  <c r="L399" i="1"/>
  <c r="K400" i="1"/>
  <c r="L400" i="1"/>
  <c r="K401" i="1"/>
  <c r="L401" i="1"/>
  <c r="K402" i="1"/>
  <c r="L402" i="1"/>
  <c r="K403" i="1"/>
  <c r="L403" i="1"/>
  <c r="K404" i="1"/>
  <c r="L404" i="1"/>
  <c r="K405" i="1"/>
  <c r="L405" i="1"/>
  <c r="K406" i="1"/>
  <c r="L406" i="1"/>
  <c r="K407" i="1"/>
  <c r="L407" i="1"/>
  <c r="K408" i="1"/>
  <c r="L408" i="1"/>
  <c r="K409" i="1"/>
  <c r="L409" i="1"/>
  <c r="K410" i="1"/>
  <c r="L410" i="1"/>
  <c r="K411" i="1"/>
  <c r="L411" i="1"/>
  <c r="K412" i="1"/>
  <c r="L412" i="1"/>
  <c r="K413" i="1"/>
  <c r="L413" i="1"/>
  <c r="K414" i="1"/>
  <c r="L414" i="1"/>
  <c r="K415" i="1"/>
  <c r="L415" i="1"/>
  <c r="K416" i="1"/>
  <c r="L416" i="1"/>
  <c r="K417" i="1"/>
  <c r="L417" i="1"/>
  <c r="K418" i="1"/>
  <c r="L418" i="1"/>
  <c r="K419" i="1"/>
  <c r="L419" i="1"/>
  <c r="K420" i="1"/>
  <c r="L420" i="1"/>
  <c r="K421" i="1"/>
  <c r="L421" i="1"/>
  <c r="K422" i="1"/>
  <c r="L422" i="1"/>
  <c r="K423" i="1"/>
  <c r="L423" i="1"/>
  <c r="K424" i="1"/>
  <c r="L424" i="1"/>
  <c r="K425" i="1"/>
  <c r="L425" i="1"/>
  <c r="K426" i="1"/>
  <c r="L426" i="1"/>
  <c r="K427" i="1"/>
  <c r="L427" i="1"/>
  <c r="K428" i="1"/>
  <c r="L428" i="1"/>
  <c r="K429" i="1"/>
  <c r="L429" i="1"/>
  <c r="K430" i="1"/>
  <c r="L430" i="1"/>
  <c r="K431" i="1"/>
  <c r="L431" i="1"/>
  <c r="K432" i="1"/>
  <c r="L432" i="1"/>
  <c r="K433" i="1"/>
  <c r="L433" i="1"/>
  <c r="K434" i="1"/>
  <c r="L434" i="1"/>
  <c r="K435" i="1"/>
  <c r="L435" i="1"/>
  <c r="K436" i="1"/>
  <c r="L436" i="1"/>
  <c r="K437" i="1"/>
  <c r="L437" i="1"/>
  <c r="K438" i="1"/>
  <c r="L438" i="1"/>
  <c r="K439" i="1"/>
  <c r="L439" i="1"/>
  <c r="K440" i="1"/>
  <c r="L440" i="1"/>
  <c r="K441" i="1"/>
  <c r="L441" i="1"/>
  <c r="K442" i="1"/>
  <c r="L442" i="1"/>
  <c r="K443" i="1"/>
  <c r="L443" i="1"/>
  <c r="K444" i="1"/>
  <c r="L444" i="1"/>
  <c r="K445" i="1"/>
  <c r="L445" i="1"/>
  <c r="K446" i="1"/>
  <c r="L446" i="1"/>
  <c r="K447" i="1"/>
  <c r="L447" i="1"/>
  <c r="K448" i="1"/>
  <c r="L448" i="1"/>
  <c r="K449" i="1"/>
  <c r="L449" i="1"/>
  <c r="K450" i="1"/>
  <c r="L450" i="1"/>
  <c r="K451" i="1"/>
  <c r="L451" i="1"/>
  <c r="K452" i="1"/>
  <c r="L452" i="1"/>
  <c r="K453" i="1"/>
  <c r="L453" i="1"/>
  <c r="K454" i="1"/>
  <c r="L454" i="1"/>
  <c r="K455" i="1"/>
  <c r="L455" i="1"/>
  <c r="K456" i="1"/>
  <c r="L456" i="1"/>
  <c r="K457" i="1"/>
  <c r="L457" i="1"/>
  <c r="K458" i="1"/>
  <c r="L458" i="1"/>
  <c r="K459" i="1"/>
  <c r="L459" i="1"/>
  <c r="K460" i="1"/>
  <c r="L460" i="1"/>
  <c r="K461" i="1"/>
  <c r="L461" i="1"/>
  <c r="K462" i="1"/>
  <c r="L462" i="1"/>
  <c r="K463" i="1"/>
  <c r="L463" i="1"/>
  <c r="K464" i="1"/>
  <c r="L464" i="1"/>
  <c r="K465" i="1"/>
  <c r="L465" i="1"/>
  <c r="K466" i="1"/>
  <c r="L466" i="1"/>
  <c r="K467" i="1"/>
  <c r="L467" i="1"/>
  <c r="K468" i="1"/>
  <c r="L468" i="1"/>
  <c r="K469" i="1"/>
  <c r="L469" i="1"/>
  <c r="K470" i="1"/>
  <c r="L470" i="1"/>
  <c r="K471" i="1"/>
  <c r="L471" i="1"/>
  <c r="K472" i="1"/>
  <c r="L472" i="1"/>
  <c r="K473" i="1"/>
  <c r="L473" i="1"/>
  <c r="K474" i="1"/>
  <c r="L474" i="1"/>
  <c r="K475" i="1"/>
  <c r="L475" i="1"/>
  <c r="K476" i="1"/>
  <c r="L476" i="1"/>
  <c r="K477" i="1"/>
  <c r="L477" i="1"/>
  <c r="K478" i="1"/>
  <c r="L478" i="1"/>
  <c r="K479" i="1"/>
  <c r="L479" i="1"/>
  <c r="K480" i="1"/>
  <c r="L480" i="1"/>
  <c r="K481" i="1"/>
  <c r="L481" i="1"/>
  <c r="K482" i="1"/>
  <c r="L482" i="1"/>
  <c r="K483" i="1"/>
  <c r="L483" i="1"/>
  <c r="K484" i="1"/>
  <c r="L484" i="1"/>
  <c r="K485" i="1"/>
  <c r="L485" i="1"/>
  <c r="K486" i="1"/>
  <c r="L486" i="1"/>
  <c r="K487" i="1"/>
  <c r="L487" i="1"/>
  <c r="K488" i="1"/>
  <c r="L488" i="1"/>
  <c r="K489" i="1"/>
  <c r="L489" i="1"/>
  <c r="K490" i="1"/>
  <c r="L490" i="1"/>
  <c r="K491" i="1"/>
  <c r="L491" i="1"/>
  <c r="K492" i="1"/>
  <c r="L492" i="1"/>
  <c r="K493" i="1"/>
  <c r="L493" i="1"/>
  <c r="K494" i="1"/>
  <c r="L494" i="1"/>
  <c r="K495" i="1"/>
  <c r="L495" i="1"/>
  <c r="K496" i="1"/>
  <c r="L496" i="1"/>
  <c r="K497" i="1"/>
  <c r="L497" i="1"/>
  <c r="K498" i="1"/>
  <c r="L498" i="1"/>
  <c r="K499" i="1"/>
  <c r="L499" i="1"/>
  <c r="K500" i="1"/>
  <c r="L500" i="1"/>
  <c r="K501" i="1"/>
  <c r="L501" i="1"/>
  <c r="K502" i="1"/>
  <c r="L502" i="1"/>
  <c r="K503" i="1"/>
  <c r="L503" i="1"/>
  <c r="K504" i="1"/>
  <c r="L504" i="1"/>
  <c r="K505" i="1"/>
  <c r="L505" i="1"/>
  <c r="K506" i="1"/>
  <c r="L506" i="1"/>
  <c r="K507" i="1"/>
  <c r="L507" i="1"/>
  <c r="K508" i="1"/>
  <c r="L508" i="1"/>
  <c r="K509" i="1"/>
  <c r="L509" i="1"/>
  <c r="K510" i="1"/>
  <c r="L510" i="1"/>
  <c r="K511" i="1"/>
  <c r="L511" i="1"/>
  <c r="K512" i="1"/>
  <c r="L512" i="1"/>
  <c r="K513" i="1"/>
  <c r="L513" i="1"/>
  <c r="K514" i="1"/>
  <c r="L514" i="1"/>
  <c r="K515" i="1"/>
  <c r="L515" i="1"/>
  <c r="K516" i="1"/>
  <c r="L516" i="1"/>
  <c r="K517" i="1"/>
  <c r="L517" i="1"/>
  <c r="K518" i="1"/>
  <c r="L518" i="1"/>
  <c r="K519" i="1"/>
  <c r="L519" i="1"/>
  <c r="K520" i="1"/>
  <c r="L520" i="1"/>
  <c r="K521" i="1"/>
  <c r="L521" i="1"/>
  <c r="K522" i="1"/>
  <c r="L522" i="1"/>
  <c r="K523" i="1"/>
  <c r="L523" i="1"/>
  <c r="K524" i="1"/>
  <c r="L524" i="1"/>
  <c r="K525" i="1"/>
  <c r="L525" i="1"/>
  <c r="K526" i="1"/>
  <c r="L526" i="1"/>
  <c r="K527" i="1"/>
  <c r="L527" i="1"/>
  <c r="K528" i="1"/>
  <c r="L528" i="1"/>
  <c r="K529" i="1"/>
  <c r="L529" i="1"/>
  <c r="K530" i="1"/>
  <c r="L530" i="1"/>
  <c r="K531" i="1"/>
  <c r="L531" i="1"/>
  <c r="K532" i="1"/>
  <c r="L532" i="1"/>
  <c r="K533" i="1"/>
  <c r="L533" i="1"/>
  <c r="K534" i="1"/>
  <c r="L534" i="1"/>
  <c r="K535" i="1"/>
  <c r="L535" i="1"/>
  <c r="K536" i="1"/>
  <c r="L536" i="1"/>
  <c r="K537" i="1"/>
  <c r="L537" i="1"/>
  <c r="K538" i="1"/>
  <c r="L538" i="1"/>
  <c r="K539" i="1"/>
  <c r="L539" i="1"/>
  <c r="K540" i="1"/>
  <c r="L540" i="1"/>
  <c r="K541" i="1"/>
  <c r="L541" i="1"/>
  <c r="K542" i="1"/>
  <c r="L542" i="1"/>
  <c r="K543" i="1"/>
  <c r="L543" i="1"/>
  <c r="K544" i="1"/>
  <c r="L544" i="1"/>
  <c r="K545" i="1"/>
  <c r="L545" i="1"/>
  <c r="K546" i="1"/>
  <c r="L546" i="1"/>
  <c r="K547" i="1"/>
  <c r="L547" i="1"/>
  <c r="K548" i="1"/>
  <c r="L548" i="1"/>
  <c r="K549" i="1"/>
  <c r="L549" i="1"/>
  <c r="K550" i="1"/>
  <c r="L550" i="1"/>
  <c r="K551" i="1"/>
  <c r="L551" i="1"/>
  <c r="K552" i="1"/>
  <c r="L552" i="1"/>
  <c r="K553" i="1"/>
  <c r="L553" i="1"/>
  <c r="K554" i="1"/>
  <c r="L554" i="1"/>
  <c r="K555" i="1"/>
  <c r="L555" i="1"/>
  <c r="K556" i="1"/>
  <c r="L556" i="1"/>
  <c r="K557" i="1"/>
  <c r="L557" i="1"/>
  <c r="K558" i="1"/>
  <c r="L558" i="1"/>
  <c r="K559" i="1"/>
  <c r="L559" i="1"/>
  <c r="K560" i="1"/>
  <c r="L560" i="1"/>
  <c r="K561" i="1"/>
  <c r="L561" i="1"/>
  <c r="K562" i="1"/>
  <c r="L562" i="1"/>
  <c r="K563" i="1"/>
  <c r="L563" i="1"/>
  <c r="K564" i="1"/>
  <c r="L564" i="1"/>
  <c r="K565" i="1"/>
  <c r="L565" i="1"/>
  <c r="K566" i="1"/>
  <c r="L566" i="1"/>
  <c r="K567" i="1"/>
  <c r="L567" i="1"/>
  <c r="K568" i="1"/>
  <c r="L568" i="1"/>
  <c r="K569" i="1"/>
  <c r="L569" i="1"/>
  <c r="K570" i="1"/>
  <c r="L570" i="1"/>
  <c r="K571" i="1"/>
  <c r="L571" i="1"/>
  <c r="K572" i="1"/>
  <c r="L572" i="1"/>
  <c r="K573" i="1"/>
  <c r="L573" i="1"/>
  <c r="K574" i="1"/>
  <c r="L574" i="1"/>
  <c r="K575" i="1"/>
  <c r="L575" i="1"/>
  <c r="K576" i="1"/>
  <c r="L576" i="1"/>
  <c r="K577" i="1"/>
  <c r="L577" i="1"/>
  <c r="K578" i="1"/>
  <c r="L578" i="1"/>
  <c r="K579" i="1"/>
  <c r="L579" i="1"/>
  <c r="K580" i="1"/>
  <c r="L580" i="1"/>
  <c r="K581" i="1"/>
  <c r="L581" i="1"/>
  <c r="K582" i="1"/>
  <c r="L582" i="1"/>
  <c r="K583" i="1"/>
  <c r="L583" i="1"/>
  <c r="K584" i="1"/>
  <c r="L584" i="1"/>
  <c r="K585" i="1"/>
  <c r="L585" i="1"/>
  <c r="K586" i="1"/>
  <c r="L586" i="1"/>
  <c r="K587" i="1"/>
  <c r="L587" i="1"/>
  <c r="K588" i="1"/>
  <c r="L588" i="1"/>
  <c r="K589" i="1"/>
  <c r="L589" i="1"/>
  <c r="K590" i="1"/>
  <c r="L590" i="1"/>
  <c r="K591" i="1"/>
  <c r="L591" i="1"/>
  <c r="K592" i="1"/>
  <c r="L592" i="1"/>
  <c r="K593" i="1"/>
  <c r="L593" i="1"/>
  <c r="K594" i="1"/>
  <c r="L594" i="1"/>
  <c r="K595" i="1"/>
  <c r="L595" i="1"/>
  <c r="K596" i="1"/>
  <c r="L596" i="1"/>
  <c r="K597" i="1"/>
  <c r="L597" i="1"/>
  <c r="K598" i="1"/>
  <c r="L598" i="1"/>
  <c r="K599" i="1"/>
  <c r="L599" i="1"/>
  <c r="K600" i="1"/>
  <c r="L600" i="1"/>
  <c r="K601" i="1"/>
  <c r="L601" i="1"/>
  <c r="K602" i="1"/>
  <c r="L602" i="1"/>
  <c r="K603" i="1"/>
  <c r="L603" i="1"/>
  <c r="K604" i="1"/>
  <c r="L604" i="1"/>
  <c r="K605" i="1"/>
  <c r="L605" i="1"/>
  <c r="K606" i="1"/>
  <c r="L606" i="1"/>
  <c r="K607" i="1"/>
  <c r="L607" i="1"/>
  <c r="K608" i="1"/>
  <c r="L608" i="1"/>
  <c r="K609" i="1"/>
  <c r="L609" i="1"/>
  <c r="K610" i="1"/>
  <c r="L610" i="1"/>
  <c r="K611" i="1"/>
  <c r="L611" i="1"/>
  <c r="K612" i="1"/>
  <c r="L612" i="1"/>
  <c r="K613" i="1"/>
  <c r="L613" i="1"/>
  <c r="K614" i="1"/>
  <c r="L614" i="1"/>
  <c r="K615" i="1"/>
  <c r="L615" i="1"/>
  <c r="K616" i="1"/>
  <c r="L616" i="1"/>
  <c r="K617" i="1"/>
  <c r="L617" i="1"/>
  <c r="K618" i="1"/>
  <c r="L618" i="1"/>
  <c r="K619" i="1"/>
  <c r="L619" i="1"/>
  <c r="K620" i="1"/>
  <c r="L620" i="1"/>
  <c r="K621" i="1"/>
  <c r="L621" i="1"/>
  <c r="K622" i="1"/>
  <c r="L622" i="1"/>
  <c r="K623" i="1"/>
  <c r="L623" i="1"/>
  <c r="K624" i="1"/>
  <c r="L624" i="1"/>
  <c r="K625" i="1"/>
  <c r="L625" i="1"/>
  <c r="K626" i="1"/>
  <c r="L626" i="1"/>
  <c r="K627" i="1"/>
  <c r="L627" i="1"/>
  <c r="K628" i="1"/>
  <c r="L628" i="1"/>
  <c r="K629" i="1"/>
  <c r="L629" i="1"/>
  <c r="K630" i="1"/>
  <c r="L630" i="1"/>
  <c r="K631" i="1"/>
  <c r="L631" i="1"/>
  <c r="K632" i="1"/>
  <c r="L632" i="1"/>
  <c r="K633" i="1"/>
  <c r="L633" i="1"/>
  <c r="K634" i="1"/>
  <c r="L634" i="1"/>
  <c r="K635" i="1"/>
  <c r="L635" i="1"/>
  <c r="K636" i="1"/>
  <c r="L636" i="1"/>
  <c r="K637" i="1"/>
  <c r="L637" i="1"/>
  <c r="K638" i="1"/>
  <c r="L638" i="1"/>
  <c r="K639" i="1"/>
  <c r="L639" i="1"/>
  <c r="K640" i="1"/>
  <c r="L640" i="1"/>
  <c r="K641" i="1"/>
  <c r="L641" i="1"/>
  <c r="K642" i="1"/>
  <c r="L642" i="1"/>
  <c r="K643" i="1"/>
  <c r="L643" i="1"/>
  <c r="K644" i="1"/>
  <c r="L644" i="1"/>
  <c r="K645" i="1"/>
  <c r="L645" i="1"/>
  <c r="K646" i="1"/>
  <c r="L646" i="1"/>
  <c r="K647" i="1"/>
  <c r="L647" i="1"/>
  <c r="K648" i="1"/>
  <c r="L648" i="1"/>
  <c r="K649" i="1"/>
  <c r="L649" i="1"/>
  <c r="K650" i="1"/>
  <c r="L650" i="1"/>
  <c r="K651" i="1"/>
  <c r="L651" i="1"/>
  <c r="K652" i="1"/>
  <c r="L652" i="1"/>
  <c r="K653" i="1"/>
  <c r="L653" i="1"/>
  <c r="K654" i="1"/>
  <c r="L654" i="1"/>
  <c r="K655" i="1"/>
  <c r="L655" i="1"/>
  <c r="K656" i="1"/>
  <c r="L656" i="1"/>
  <c r="K657" i="1"/>
  <c r="L657" i="1"/>
  <c r="K658" i="1"/>
  <c r="L658" i="1"/>
  <c r="K659" i="1"/>
  <c r="L659" i="1"/>
  <c r="K660" i="1"/>
  <c r="L660" i="1"/>
  <c r="K661" i="1"/>
  <c r="L661" i="1"/>
  <c r="K662" i="1"/>
  <c r="L662" i="1"/>
  <c r="K663" i="1"/>
  <c r="L663" i="1"/>
  <c r="K664" i="1"/>
  <c r="L664" i="1"/>
  <c r="K665" i="1"/>
  <c r="L665" i="1"/>
  <c r="K666" i="1"/>
  <c r="L666" i="1"/>
  <c r="K667" i="1"/>
  <c r="L667" i="1"/>
  <c r="K668" i="1"/>
  <c r="L668" i="1"/>
  <c r="K669" i="1"/>
  <c r="L669" i="1"/>
  <c r="K670" i="1"/>
  <c r="L670" i="1"/>
  <c r="K671" i="1"/>
  <c r="L671" i="1"/>
  <c r="K672" i="1"/>
  <c r="L672" i="1"/>
  <c r="K673" i="1"/>
  <c r="L673" i="1"/>
  <c r="K674" i="1"/>
  <c r="L674" i="1"/>
  <c r="K675" i="1"/>
  <c r="L675" i="1"/>
  <c r="K676" i="1"/>
  <c r="L676" i="1"/>
  <c r="K677" i="1"/>
  <c r="L677" i="1"/>
  <c r="K678" i="1"/>
  <c r="L678" i="1"/>
  <c r="K679" i="1"/>
  <c r="L679" i="1"/>
  <c r="K680" i="1"/>
  <c r="L680" i="1"/>
  <c r="K681" i="1"/>
  <c r="L681" i="1"/>
  <c r="K682" i="1"/>
  <c r="L682" i="1"/>
  <c r="K683" i="1"/>
  <c r="L683" i="1"/>
  <c r="K684" i="1"/>
  <c r="L684" i="1"/>
  <c r="K685" i="1"/>
  <c r="L685" i="1"/>
  <c r="K686" i="1"/>
  <c r="L686" i="1"/>
  <c r="K687" i="1"/>
  <c r="L687" i="1"/>
  <c r="K688" i="1"/>
  <c r="L688" i="1"/>
  <c r="K689" i="1"/>
  <c r="L689" i="1"/>
  <c r="K690" i="1"/>
  <c r="L690" i="1"/>
  <c r="K691" i="1"/>
  <c r="L691" i="1"/>
  <c r="K692" i="1"/>
  <c r="L692" i="1"/>
  <c r="K693" i="1"/>
  <c r="L693" i="1"/>
  <c r="K694" i="1"/>
  <c r="L694" i="1"/>
  <c r="K695" i="1"/>
  <c r="L695" i="1"/>
  <c r="K696" i="1"/>
  <c r="L696" i="1"/>
  <c r="K697" i="1"/>
  <c r="L697" i="1"/>
  <c r="K698" i="1"/>
  <c r="L698" i="1"/>
  <c r="K699" i="1"/>
  <c r="L699" i="1"/>
  <c r="K700" i="1"/>
  <c r="L700" i="1"/>
  <c r="K701" i="1"/>
  <c r="L701" i="1"/>
  <c r="K702" i="1"/>
  <c r="L702" i="1"/>
  <c r="K703" i="1"/>
  <c r="L703" i="1"/>
  <c r="K704" i="1"/>
  <c r="L704" i="1"/>
  <c r="K705" i="1"/>
  <c r="L705" i="1"/>
  <c r="K706" i="1"/>
  <c r="L706" i="1"/>
  <c r="K707" i="1"/>
  <c r="L707" i="1"/>
  <c r="K708" i="1"/>
  <c r="L708" i="1"/>
  <c r="K709" i="1"/>
  <c r="L709" i="1"/>
  <c r="K710" i="1"/>
  <c r="L710" i="1"/>
  <c r="K711" i="1"/>
  <c r="L711" i="1"/>
  <c r="K712" i="1"/>
  <c r="L712" i="1"/>
  <c r="K713" i="1"/>
  <c r="L713" i="1"/>
  <c r="K714" i="1"/>
  <c r="L714" i="1"/>
  <c r="K715" i="1"/>
  <c r="L715" i="1"/>
  <c r="K716" i="1"/>
  <c r="L716" i="1"/>
  <c r="K717" i="1"/>
  <c r="L717" i="1"/>
  <c r="K718" i="1"/>
  <c r="L718" i="1"/>
  <c r="K719" i="1"/>
  <c r="L719" i="1"/>
  <c r="K720" i="1"/>
  <c r="L720" i="1"/>
  <c r="K721" i="1"/>
  <c r="L721" i="1"/>
  <c r="K722" i="1"/>
  <c r="L722" i="1"/>
  <c r="K723" i="1"/>
  <c r="L723" i="1"/>
  <c r="K724" i="1"/>
  <c r="L724" i="1"/>
  <c r="K725" i="1"/>
  <c r="L725" i="1"/>
  <c r="K726" i="1"/>
  <c r="L726" i="1"/>
  <c r="K727" i="1"/>
  <c r="L727" i="1"/>
  <c r="K728" i="1"/>
  <c r="L728" i="1"/>
  <c r="K729" i="1"/>
  <c r="L729" i="1"/>
  <c r="K730" i="1"/>
  <c r="L730" i="1"/>
  <c r="K731" i="1"/>
  <c r="L731" i="1"/>
  <c r="K732" i="1"/>
  <c r="L732" i="1"/>
  <c r="K733" i="1"/>
  <c r="L733" i="1"/>
  <c r="K734" i="1"/>
  <c r="L734" i="1"/>
  <c r="K735" i="1"/>
  <c r="L735" i="1"/>
  <c r="K736" i="1"/>
  <c r="L736" i="1"/>
  <c r="K737" i="1"/>
  <c r="L737" i="1"/>
  <c r="K738" i="1"/>
  <c r="L738" i="1"/>
  <c r="K739" i="1"/>
  <c r="L739" i="1"/>
  <c r="K740" i="1"/>
  <c r="L740" i="1"/>
  <c r="K741" i="1"/>
  <c r="L741" i="1"/>
  <c r="K742" i="1"/>
  <c r="L742" i="1"/>
  <c r="K743" i="1"/>
  <c r="L743" i="1"/>
  <c r="K744" i="1"/>
  <c r="L744" i="1"/>
  <c r="K745" i="1"/>
  <c r="L745" i="1"/>
  <c r="K746" i="1"/>
  <c r="L746" i="1"/>
  <c r="K747" i="1"/>
  <c r="L747" i="1"/>
  <c r="K748" i="1"/>
  <c r="L748" i="1"/>
  <c r="K749" i="1"/>
  <c r="L749" i="1"/>
  <c r="K750" i="1"/>
  <c r="L750" i="1"/>
  <c r="K751" i="1"/>
  <c r="L751" i="1"/>
  <c r="K752" i="1"/>
  <c r="L752" i="1"/>
  <c r="K753" i="1"/>
  <c r="L753" i="1"/>
  <c r="K754" i="1"/>
  <c r="L754" i="1"/>
  <c r="K755" i="1"/>
  <c r="L755" i="1"/>
  <c r="K756" i="1"/>
  <c r="L756" i="1"/>
  <c r="K757" i="1"/>
  <c r="L757" i="1"/>
  <c r="K758" i="1"/>
  <c r="L758" i="1"/>
  <c r="K759" i="1"/>
  <c r="L759" i="1"/>
  <c r="K760" i="1"/>
  <c r="L760" i="1"/>
  <c r="K761" i="1"/>
  <c r="L761" i="1"/>
  <c r="K762" i="1"/>
  <c r="L762" i="1"/>
  <c r="K763" i="1"/>
  <c r="L763" i="1"/>
  <c r="K764" i="1"/>
  <c r="L764" i="1"/>
  <c r="K765" i="1"/>
  <c r="L765" i="1"/>
  <c r="K766" i="1"/>
  <c r="L766" i="1"/>
  <c r="K767" i="1"/>
  <c r="L767" i="1"/>
  <c r="K768" i="1"/>
  <c r="L768" i="1"/>
  <c r="K769" i="1"/>
  <c r="L769" i="1"/>
  <c r="K770" i="1"/>
  <c r="L770" i="1"/>
  <c r="K771" i="1"/>
  <c r="L771" i="1"/>
  <c r="K772" i="1"/>
  <c r="L772" i="1"/>
  <c r="K773" i="1"/>
  <c r="L773" i="1"/>
  <c r="K774" i="1"/>
  <c r="L774" i="1"/>
  <c r="K775" i="1"/>
  <c r="L775" i="1"/>
  <c r="K776" i="1"/>
  <c r="L776" i="1"/>
  <c r="K777" i="1"/>
  <c r="L777" i="1"/>
  <c r="K778" i="1"/>
  <c r="L778" i="1"/>
  <c r="K779" i="1"/>
  <c r="L779" i="1"/>
  <c r="K780" i="1"/>
  <c r="L780" i="1"/>
  <c r="K781" i="1"/>
  <c r="L781" i="1"/>
  <c r="K782" i="1"/>
  <c r="L782" i="1"/>
  <c r="K783" i="1"/>
  <c r="L783" i="1"/>
  <c r="K784" i="1"/>
  <c r="L784" i="1"/>
  <c r="K785" i="1"/>
  <c r="L785" i="1"/>
  <c r="K786" i="1"/>
  <c r="L786" i="1"/>
  <c r="K787" i="1"/>
  <c r="L787" i="1"/>
  <c r="K788" i="1"/>
  <c r="L788" i="1"/>
  <c r="K789" i="1"/>
  <c r="L789" i="1"/>
  <c r="K790" i="1"/>
  <c r="L790" i="1"/>
  <c r="K791" i="1"/>
  <c r="L791" i="1"/>
  <c r="K792" i="1"/>
  <c r="L792" i="1"/>
  <c r="K793" i="1"/>
  <c r="L793" i="1"/>
  <c r="K794" i="1"/>
  <c r="L794" i="1"/>
  <c r="K795" i="1"/>
  <c r="L795" i="1"/>
  <c r="K796" i="1"/>
  <c r="L796" i="1"/>
  <c r="K797" i="1"/>
  <c r="L797" i="1"/>
  <c r="K798" i="1"/>
  <c r="L798" i="1"/>
  <c r="K799" i="1"/>
  <c r="L799" i="1"/>
  <c r="K800" i="1"/>
  <c r="L800" i="1"/>
  <c r="K801" i="1"/>
  <c r="L801" i="1"/>
  <c r="K802" i="1"/>
  <c r="L802" i="1"/>
  <c r="K803" i="1"/>
  <c r="L803" i="1"/>
  <c r="K804" i="1"/>
  <c r="L804" i="1"/>
  <c r="K805" i="1"/>
  <c r="L805" i="1"/>
  <c r="K806" i="1"/>
  <c r="L806" i="1"/>
  <c r="K807" i="1"/>
  <c r="L807" i="1"/>
  <c r="K808" i="1"/>
  <c r="L808" i="1"/>
  <c r="K809" i="1"/>
  <c r="L809" i="1"/>
  <c r="K810" i="1"/>
  <c r="L810" i="1"/>
  <c r="K811" i="1"/>
  <c r="L811" i="1"/>
  <c r="K812" i="1"/>
  <c r="L812" i="1"/>
  <c r="K813" i="1"/>
  <c r="L813" i="1"/>
  <c r="K814" i="1"/>
  <c r="L814" i="1"/>
  <c r="K815" i="1"/>
  <c r="L815" i="1"/>
  <c r="K816" i="1"/>
  <c r="L816" i="1"/>
  <c r="K817" i="1"/>
  <c r="L817" i="1"/>
  <c r="K818" i="1"/>
  <c r="L818" i="1"/>
  <c r="K819" i="1"/>
  <c r="L819" i="1"/>
  <c r="K820" i="1"/>
  <c r="L820" i="1"/>
  <c r="K821" i="1"/>
  <c r="L821" i="1"/>
  <c r="K822" i="1"/>
  <c r="L822" i="1"/>
  <c r="K823" i="1"/>
  <c r="L823" i="1"/>
  <c r="K824" i="1"/>
  <c r="L824" i="1"/>
  <c r="K825" i="1"/>
  <c r="L825" i="1"/>
  <c r="K826" i="1"/>
  <c r="L826" i="1"/>
  <c r="K827" i="1"/>
  <c r="L827" i="1"/>
  <c r="K828" i="1"/>
  <c r="L828" i="1"/>
  <c r="K829" i="1"/>
  <c r="L829" i="1"/>
  <c r="K830" i="1"/>
  <c r="L830" i="1"/>
  <c r="K831" i="1"/>
  <c r="L831" i="1"/>
  <c r="K832" i="1"/>
  <c r="L832" i="1"/>
  <c r="K833" i="1"/>
  <c r="L833" i="1"/>
  <c r="K834" i="1"/>
  <c r="L834" i="1"/>
  <c r="K835" i="1"/>
  <c r="L835" i="1"/>
  <c r="K836" i="1"/>
  <c r="L836" i="1"/>
  <c r="K837" i="1"/>
  <c r="L837" i="1"/>
  <c r="K838" i="1"/>
  <c r="L838" i="1"/>
  <c r="K839" i="1"/>
  <c r="L839" i="1"/>
  <c r="K840" i="1"/>
  <c r="L840" i="1"/>
  <c r="K841" i="1"/>
  <c r="L841" i="1"/>
  <c r="K842" i="1"/>
  <c r="L842" i="1"/>
  <c r="K843" i="1"/>
  <c r="L843" i="1"/>
  <c r="K844" i="1"/>
  <c r="L844" i="1"/>
  <c r="K845" i="1"/>
  <c r="L845" i="1"/>
  <c r="K846" i="1"/>
  <c r="L846" i="1"/>
  <c r="K847" i="1"/>
  <c r="L847" i="1"/>
  <c r="K848" i="1"/>
  <c r="L848" i="1"/>
  <c r="K849" i="1"/>
  <c r="L849" i="1"/>
  <c r="K850" i="1"/>
  <c r="L850" i="1"/>
  <c r="K851" i="1"/>
  <c r="L851" i="1"/>
  <c r="K852" i="1"/>
  <c r="L852" i="1"/>
  <c r="K853" i="1"/>
  <c r="L853" i="1"/>
  <c r="K854" i="1"/>
  <c r="L854" i="1"/>
  <c r="K855" i="1"/>
  <c r="L855" i="1"/>
  <c r="K856" i="1"/>
  <c r="L856" i="1"/>
  <c r="K857" i="1"/>
  <c r="L857" i="1"/>
  <c r="K858" i="1"/>
  <c r="L858" i="1"/>
  <c r="K859" i="1"/>
  <c r="L859" i="1"/>
  <c r="K860" i="1"/>
  <c r="L860" i="1"/>
  <c r="K861" i="1"/>
  <c r="L861" i="1"/>
  <c r="K862" i="1"/>
  <c r="L862" i="1"/>
  <c r="K863" i="1"/>
  <c r="L863" i="1"/>
  <c r="K864" i="1"/>
  <c r="L864" i="1"/>
  <c r="K865" i="1"/>
  <c r="L865" i="1"/>
  <c r="K866" i="1"/>
  <c r="L866" i="1"/>
  <c r="K867" i="1"/>
  <c r="L867" i="1"/>
  <c r="K868" i="1"/>
  <c r="L868" i="1"/>
  <c r="K869" i="1"/>
  <c r="L869" i="1"/>
  <c r="K870" i="1"/>
  <c r="L870" i="1"/>
  <c r="K871" i="1"/>
  <c r="L871" i="1"/>
  <c r="K872" i="1"/>
  <c r="L872" i="1"/>
  <c r="K873" i="1"/>
  <c r="L873" i="1"/>
  <c r="K874" i="1"/>
  <c r="L874" i="1"/>
  <c r="K875" i="1"/>
  <c r="L875" i="1"/>
  <c r="K876" i="1"/>
  <c r="L876" i="1"/>
  <c r="K877" i="1"/>
  <c r="L877" i="1"/>
  <c r="K878" i="1"/>
  <c r="L878" i="1"/>
  <c r="K879" i="1"/>
  <c r="L879" i="1"/>
  <c r="K880" i="1"/>
  <c r="L880" i="1"/>
  <c r="K881" i="1"/>
  <c r="L881" i="1"/>
  <c r="K882" i="1"/>
  <c r="L882" i="1"/>
  <c r="K883" i="1"/>
  <c r="L883" i="1"/>
  <c r="K884" i="1"/>
  <c r="L884" i="1"/>
  <c r="K885" i="1"/>
  <c r="L885" i="1"/>
  <c r="K886" i="1"/>
  <c r="L886" i="1"/>
  <c r="K887" i="1"/>
  <c r="L887" i="1"/>
  <c r="K888" i="1"/>
  <c r="L888" i="1"/>
  <c r="K889" i="1"/>
  <c r="L889" i="1"/>
  <c r="K890" i="1"/>
  <c r="L890" i="1"/>
  <c r="K891" i="1"/>
  <c r="L891" i="1"/>
  <c r="K892" i="1"/>
  <c r="L892" i="1"/>
  <c r="K893" i="1"/>
  <c r="L893" i="1"/>
  <c r="K894" i="1"/>
  <c r="L894" i="1"/>
  <c r="K895" i="1"/>
  <c r="L895" i="1"/>
  <c r="K896" i="1"/>
  <c r="L896" i="1"/>
  <c r="K897" i="1"/>
  <c r="L897" i="1"/>
  <c r="K898" i="1"/>
  <c r="L898" i="1"/>
  <c r="K899" i="1"/>
  <c r="L899" i="1"/>
  <c r="K900" i="1"/>
  <c r="L900" i="1"/>
  <c r="K901" i="1"/>
  <c r="L901" i="1"/>
  <c r="K902" i="1"/>
  <c r="L902" i="1"/>
  <c r="K903" i="1"/>
  <c r="L903" i="1"/>
  <c r="K904" i="1"/>
  <c r="L904" i="1"/>
  <c r="K905" i="1"/>
  <c r="L905" i="1"/>
  <c r="K906" i="1"/>
  <c r="L906" i="1"/>
  <c r="K907" i="1"/>
  <c r="L907" i="1"/>
  <c r="K908" i="1"/>
  <c r="L908" i="1"/>
  <c r="K909" i="1"/>
  <c r="L909" i="1"/>
  <c r="K910" i="1"/>
  <c r="L910" i="1"/>
  <c r="K911" i="1"/>
  <c r="L911" i="1"/>
  <c r="K912" i="1"/>
  <c r="L912" i="1"/>
  <c r="K913" i="1"/>
  <c r="L913" i="1"/>
  <c r="K914" i="1"/>
  <c r="L914" i="1"/>
  <c r="K915" i="1"/>
  <c r="L915" i="1"/>
  <c r="K916" i="1"/>
  <c r="L916" i="1"/>
  <c r="K917" i="1"/>
  <c r="L917" i="1"/>
  <c r="K918" i="1"/>
  <c r="L918" i="1"/>
  <c r="K919" i="1"/>
  <c r="L919" i="1"/>
  <c r="K920" i="1"/>
  <c r="L920" i="1"/>
  <c r="K921" i="1"/>
  <c r="L921" i="1"/>
  <c r="K922" i="1"/>
  <c r="L922" i="1"/>
  <c r="K923" i="1"/>
  <c r="L923" i="1"/>
  <c r="K924" i="1"/>
  <c r="L924" i="1"/>
  <c r="K925" i="1"/>
  <c r="L925" i="1"/>
  <c r="K926" i="1"/>
  <c r="L926" i="1"/>
  <c r="K927" i="1"/>
  <c r="L927" i="1"/>
  <c r="K928" i="1"/>
  <c r="L928" i="1"/>
  <c r="K929" i="1"/>
  <c r="L929" i="1"/>
  <c r="K930" i="1"/>
  <c r="L930" i="1"/>
  <c r="K931" i="1"/>
  <c r="L931" i="1"/>
  <c r="K932" i="1"/>
  <c r="L932" i="1"/>
  <c r="K933" i="1"/>
  <c r="L933" i="1"/>
  <c r="K934" i="1"/>
  <c r="L934" i="1"/>
  <c r="K935" i="1"/>
  <c r="L935" i="1"/>
  <c r="K936" i="1"/>
  <c r="L936" i="1"/>
  <c r="K937" i="1"/>
  <c r="L937" i="1"/>
  <c r="K938" i="1"/>
  <c r="L938" i="1"/>
  <c r="K939" i="1"/>
  <c r="L939" i="1"/>
  <c r="K940" i="1"/>
  <c r="L940" i="1"/>
  <c r="K941" i="1"/>
  <c r="L941" i="1"/>
  <c r="K942" i="1"/>
  <c r="L942" i="1"/>
  <c r="K943" i="1"/>
  <c r="L943" i="1"/>
  <c r="K944" i="1"/>
  <c r="L944" i="1"/>
  <c r="K945" i="1"/>
  <c r="L945" i="1"/>
  <c r="K946" i="1"/>
  <c r="L946" i="1"/>
  <c r="K947" i="1"/>
  <c r="L947" i="1"/>
  <c r="K948" i="1"/>
  <c r="L948" i="1"/>
  <c r="K949" i="1"/>
  <c r="L949" i="1"/>
  <c r="K950" i="1"/>
  <c r="L950" i="1"/>
  <c r="K951" i="1"/>
  <c r="L951" i="1"/>
  <c r="K952" i="1"/>
  <c r="L952" i="1"/>
  <c r="K953" i="1"/>
  <c r="L953" i="1"/>
  <c r="K954" i="1"/>
  <c r="L954" i="1"/>
  <c r="K955" i="1"/>
  <c r="L955" i="1"/>
  <c r="K956" i="1"/>
  <c r="L956" i="1"/>
  <c r="K957" i="1"/>
  <c r="L957" i="1"/>
  <c r="K958" i="1"/>
  <c r="L958" i="1"/>
  <c r="K959" i="1"/>
  <c r="L959" i="1"/>
  <c r="K960" i="1"/>
  <c r="L960" i="1"/>
  <c r="K961" i="1"/>
  <c r="L961" i="1"/>
  <c r="K962" i="1"/>
  <c r="L962" i="1"/>
  <c r="K963" i="1"/>
  <c r="L963" i="1"/>
  <c r="K964" i="1"/>
  <c r="L964" i="1"/>
  <c r="K965" i="1"/>
  <c r="L965" i="1"/>
  <c r="K966" i="1"/>
  <c r="L966" i="1"/>
  <c r="K967" i="1"/>
  <c r="L967" i="1"/>
  <c r="K968" i="1"/>
  <c r="L968" i="1"/>
  <c r="K969" i="1"/>
  <c r="L969" i="1"/>
  <c r="K970" i="1"/>
  <c r="L970" i="1"/>
  <c r="K971" i="1"/>
  <c r="L971" i="1"/>
  <c r="K972" i="1"/>
  <c r="L972" i="1"/>
  <c r="K973" i="1"/>
  <c r="L973" i="1"/>
  <c r="K974" i="1"/>
  <c r="L974" i="1"/>
  <c r="K975" i="1"/>
  <c r="L975" i="1"/>
  <c r="K976" i="1"/>
  <c r="L976" i="1"/>
  <c r="K977" i="1"/>
  <c r="L977" i="1"/>
  <c r="K978" i="1"/>
  <c r="L978" i="1"/>
  <c r="K979" i="1"/>
  <c r="L979" i="1"/>
  <c r="K980" i="1"/>
  <c r="L980" i="1"/>
  <c r="K981" i="1"/>
  <c r="L981" i="1"/>
  <c r="K982" i="1"/>
  <c r="L982" i="1"/>
  <c r="K983" i="1"/>
  <c r="L983" i="1"/>
  <c r="K984" i="1"/>
  <c r="L984" i="1"/>
  <c r="K985" i="1"/>
  <c r="L985" i="1"/>
  <c r="K986" i="1"/>
  <c r="L986" i="1"/>
  <c r="K987" i="1"/>
  <c r="L987" i="1"/>
  <c r="K988" i="1"/>
  <c r="L988" i="1"/>
  <c r="K989" i="1"/>
  <c r="L989" i="1"/>
  <c r="K990" i="1"/>
  <c r="L990" i="1"/>
  <c r="K991" i="1"/>
  <c r="L991" i="1"/>
  <c r="K992" i="1"/>
  <c r="L992" i="1"/>
  <c r="K993" i="1"/>
  <c r="L993" i="1"/>
  <c r="K994" i="1"/>
  <c r="L994" i="1"/>
  <c r="K995" i="1"/>
  <c r="L995" i="1"/>
  <c r="K996" i="1"/>
  <c r="L996" i="1"/>
  <c r="K997" i="1"/>
  <c r="L997" i="1"/>
  <c r="K998" i="1"/>
  <c r="L998" i="1"/>
  <c r="K999" i="1"/>
  <c r="L999" i="1"/>
  <c r="K1000" i="1"/>
  <c r="L1000" i="1"/>
  <c r="K1001" i="1"/>
  <c r="L1001" i="1"/>
  <c r="K1002" i="1"/>
  <c r="L1002" i="1"/>
  <c r="K1003" i="1"/>
  <c r="L1003" i="1"/>
  <c r="K1004" i="1"/>
  <c r="L1004" i="1"/>
  <c r="K1005" i="1"/>
  <c r="L1005" i="1"/>
  <c r="K1006" i="1"/>
  <c r="L1006" i="1"/>
  <c r="K1007" i="1"/>
  <c r="L1007" i="1"/>
  <c r="K1008" i="1"/>
  <c r="L1008" i="1"/>
  <c r="K1009" i="1"/>
  <c r="L1009" i="1"/>
  <c r="K1010" i="1"/>
  <c r="L1010" i="1"/>
  <c r="K1011" i="1"/>
  <c r="L1011" i="1"/>
  <c r="K1012" i="1"/>
  <c r="L1012" i="1"/>
  <c r="K1013" i="1"/>
  <c r="L1013" i="1"/>
  <c r="K1014" i="1"/>
  <c r="L1014" i="1"/>
  <c r="K1015" i="1"/>
  <c r="L1015" i="1"/>
  <c r="K1016" i="1"/>
  <c r="L1016" i="1"/>
  <c r="K1017" i="1"/>
  <c r="L1017" i="1"/>
  <c r="K1018" i="1"/>
  <c r="L1018" i="1"/>
  <c r="K1019" i="1"/>
  <c r="L1019" i="1"/>
  <c r="K1020" i="1"/>
  <c r="L1020" i="1"/>
  <c r="K1021" i="1"/>
  <c r="L1021" i="1"/>
  <c r="K1022" i="1"/>
  <c r="L1022" i="1"/>
  <c r="K1023" i="1"/>
  <c r="L1023" i="1"/>
  <c r="K1024" i="1"/>
  <c r="L1024" i="1"/>
  <c r="K1025" i="1"/>
  <c r="L1025" i="1"/>
  <c r="K1026" i="1"/>
  <c r="L1026" i="1"/>
  <c r="K1027" i="1"/>
  <c r="L1027" i="1"/>
  <c r="K1028" i="1"/>
  <c r="L1028" i="1"/>
  <c r="K1029" i="1"/>
  <c r="L1029" i="1"/>
  <c r="K1030" i="1"/>
  <c r="L1030" i="1"/>
  <c r="K1031" i="1"/>
  <c r="L1031" i="1"/>
  <c r="K1032" i="1"/>
  <c r="L1032" i="1"/>
  <c r="K1033" i="1"/>
  <c r="L1033" i="1"/>
  <c r="K1034" i="1"/>
  <c r="L1034" i="1"/>
  <c r="K1035" i="1"/>
  <c r="L1035" i="1"/>
  <c r="K1036" i="1"/>
  <c r="L1036" i="1"/>
  <c r="K1037" i="1"/>
  <c r="L1037" i="1"/>
  <c r="K1038" i="1"/>
  <c r="L1038" i="1"/>
  <c r="K1039" i="1"/>
  <c r="L1039" i="1"/>
  <c r="K1040" i="1"/>
  <c r="L1040" i="1"/>
  <c r="K1041" i="1"/>
  <c r="L1041" i="1"/>
  <c r="K1042" i="1"/>
  <c r="L1042" i="1"/>
  <c r="K1043" i="1"/>
  <c r="L1043" i="1"/>
  <c r="K1044" i="1"/>
  <c r="L1044" i="1"/>
  <c r="K1045" i="1"/>
  <c r="L1045" i="1"/>
  <c r="K1046" i="1"/>
  <c r="L1046" i="1"/>
  <c r="K1047" i="1"/>
  <c r="L1047" i="1"/>
  <c r="K1048" i="1"/>
  <c r="L1048" i="1"/>
  <c r="K1049" i="1"/>
  <c r="L1049" i="1"/>
  <c r="K1050" i="1"/>
  <c r="L1050" i="1"/>
  <c r="K1051" i="1"/>
  <c r="L1051" i="1"/>
  <c r="K1052" i="1"/>
  <c r="L1052" i="1"/>
  <c r="K1053" i="1"/>
  <c r="L1053" i="1"/>
  <c r="K1054" i="1"/>
  <c r="L1054" i="1"/>
  <c r="K1055" i="1"/>
  <c r="L1055" i="1"/>
  <c r="K1056" i="1"/>
  <c r="L1056" i="1"/>
  <c r="K1057" i="1"/>
  <c r="L1057" i="1"/>
  <c r="K1058" i="1"/>
  <c r="L1058" i="1"/>
  <c r="K1059" i="1"/>
  <c r="L1059" i="1"/>
  <c r="K1060" i="1"/>
  <c r="L1060" i="1"/>
  <c r="K1061" i="1"/>
  <c r="L1061" i="1"/>
  <c r="K1062" i="1"/>
  <c r="L1062" i="1"/>
  <c r="K1063" i="1"/>
  <c r="L1063" i="1"/>
  <c r="K1064" i="1"/>
  <c r="L1064" i="1"/>
  <c r="K1065" i="1"/>
  <c r="L1065" i="1"/>
  <c r="K1066" i="1"/>
  <c r="L1066" i="1"/>
  <c r="K1067" i="1"/>
  <c r="L1067" i="1"/>
  <c r="K1068" i="1"/>
  <c r="L1068" i="1"/>
  <c r="K1069" i="1"/>
  <c r="L1069" i="1"/>
  <c r="K1070" i="1"/>
  <c r="L1070" i="1"/>
  <c r="K1071" i="1"/>
  <c r="L1071" i="1"/>
  <c r="K1072" i="1"/>
  <c r="L1072" i="1"/>
  <c r="K1073" i="1"/>
  <c r="L1073" i="1"/>
  <c r="K1074" i="1"/>
  <c r="L1074" i="1"/>
  <c r="K1075" i="1"/>
  <c r="L1075" i="1"/>
  <c r="K1076" i="1"/>
  <c r="L1076" i="1"/>
  <c r="K1077" i="1"/>
  <c r="L1077" i="1"/>
  <c r="K1078" i="1"/>
  <c r="L1078" i="1"/>
  <c r="K1079" i="1"/>
  <c r="L1079" i="1"/>
  <c r="K1080" i="1"/>
  <c r="L1080" i="1"/>
  <c r="K1081" i="1"/>
  <c r="L1081" i="1"/>
  <c r="K1082" i="1"/>
  <c r="L1082" i="1"/>
  <c r="K1083" i="1"/>
  <c r="L1083" i="1"/>
  <c r="K1084" i="1"/>
  <c r="L1084" i="1"/>
  <c r="K1085" i="1"/>
  <c r="L1085" i="1"/>
  <c r="K1086" i="1"/>
  <c r="L1086" i="1"/>
  <c r="K1087" i="1"/>
  <c r="L1087" i="1"/>
  <c r="K1088" i="1"/>
  <c r="L1088" i="1"/>
  <c r="K1089" i="1"/>
  <c r="L1089" i="1"/>
  <c r="K1090" i="1"/>
  <c r="L1090" i="1"/>
  <c r="K1091" i="1"/>
  <c r="L1091" i="1"/>
  <c r="K1092" i="1"/>
  <c r="L1092" i="1"/>
  <c r="K1093" i="1"/>
  <c r="L1093" i="1"/>
  <c r="K1094" i="1"/>
  <c r="L1094" i="1"/>
  <c r="K1095" i="1"/>
  <c r="L1095" i="1"/>
  <c r="K1096" i="1"/>
  <c r="L1096" i="1"/>
  <c r="K1097" i="1"/>
  <c r="L1097" i="1"/>
  <c r="K1098" i="1"/>
  <c r="L1098" i="1"/>
  <c r="K1099" i="1"/>
  <c r="L1099" i="1"/>
  <c r="K1100" i="1"/>
  <c r="L1100" i="1"/>
  <c r="K1101" i="1"/>
  <c r="L1101" i="1"/>
  <c r="K1102" i="1"/>
  <c r="L1102" i="1"/>
  <c r="K1103" i="1"/>
  <c r="L1103" i="1"/>
  <c r="K1104" i="1"/>
  <c r="L1104" i="1"/>
  <c r="K1105" i="1"/>
  <c r="L1105" i="1"/>
  <c r="K1106" i="1"/>
  <c r="L1106" i="1"/>
  <c r="K1107" i="1"/>
  <c r="L1107" i="1"/>
  <c r="K1108" i="1"/>
  <c r="L1108" i="1"/>
  <c r="K1109" i="1"/>
  <c r="L1109" i="1"/>
  <c r="K1110" i="1"/>
  <c r="L1110" i="1"/>
  <c r="K1111" i="1"/>
  <c r="L1111" i="1"/>
  <c r="K1112" i="1"/>
  <c r="L1112" i="1"/>
  <c r="K1113" i="1"/>
  <c r="L1113" i="1"/>
  <c r="K1114" i="1"/>
  <c r="L1114" i="1"/>
  <c r="K1115" i="1"/>
  <c r="L1115" i="1"/>
  <c r="K1116" i="1"/>
  <c r="L1116" i="1"/>
  <c r="K1117" i="1"/>
  <c r="L1117" i="1"/>
  <c r="K1118" i="1"/>
  <c r="L1118" i="1"/>
  <c r="K1119" i="1"/>
  <c r="L1119" i="1"/>
  <c r="K1120" i="1"/>
  <c r="L1120" i="1"/>
  <c r="K1121" i="1"/>
  <c r="L1121" i="1"/>
  <c r="K1122" i="1"/>
  <c r="L1122" i="1"/>
  <c r="K1123" i="1"/>
  <c r="L1123" i="1"/>
  <c r="K1124" i="1"/>
  <c r="L1124" i="1"/>
  <c r="K1125" i="1"/>
  <c r="L1125" i="1"/>
  <c r="K1126" i="1"/>
  <c r="L1126" i="1"/>
  <c r="K1127" i="1"/>
  <c r="L1127" i="1"/>
  <c r="K1128" i="1"/>
  <c r="L1128" i="1"/>
  <c r="K1129" i="1"/>
  <c r="L1129" i="1"/>
  <c r="K1130" i="1"/>
  <c r="L1130" i="1"/>
  <c r="K1131" i="1"/>
  <c r="L1131" i="1"/>
  <c r="K1132" i="1"/>
  <c r="L1132" i="1"/>
  <c r="K1133" i="1"/>
  <c r="L1133" i="1"/>
  <c r="K1134" i="1"/>
  <c r="L1134" i="1"/>
  <c r="K1135" i="1"/>
  <c r="L1135" i="1"/>
  <c r="K1136" i="1"/>
  <c r="L1136" i="1"/>
  <c r="K1137" i="1"/>
  <c r="L1137" i="1"/>
  <c r="K1138" i="1"/>
  <c r="L1138" i="1"/>
  <c r="K1139" i="1"/>
  <c r="L1139" i="1"/>
  <c r="K1140" i="1"/>
  <c r="L1140" i="1"/>
  <c r="K1141" i="1"/>
  <c r="L1141" i="1"/>
  <c r="K1142" i="1"/>
  <c r="L1142" i="1"/>
  <c r="K1143" i="1"/>
  <c r="L1143" i="1"/>
  <c r="K1144" i="1"/>
  <c r="L1144" i="1"/>
  <c r="K1145" i="1"/>
  <c r="L1145" i="1"/>
  <c r="K1146" i="1"/>
  <c r="L1146" i="1"/>
  <c r="K1147" i="1"/>
  <c r="L1147" i="1"/>
  <c r="K1148" i="1"/>
  <c r="L1148" i="1"/>
  <c r="K1149" i="1"/>
  <c r="L1149" i="1"/>
  <c r="K1150" i="1"/>
  <c r="L1150" i="1"/>
  <c r="K1151" i="1"/>
  <c r="L1151" i="1"/>
  <c r="K1152" i="1"/>
  <c r="L1152" i="1"/>
  <c r="K1153" i="1"/>
  <c r="L1153" i="1"/>
  <c r="K1154" i="1"/>
  <c r="L1154" i="1"/>
  <c r="K1155" i="1"/>
  <c r="L1155" i="1"/>
  <c r="K1156" i="1"/>
  <c r="L1156" i="1"/>
  <c r="K1157" i="1"/>
  <c r="L1157" i="1"/>
  <c r="K1158" i="1"/>
  <c r="L1158" i="1"/>
  <c r="K1159" i="1"/>
  <c r="L1159" i="1"/>
  <c r="K1160" i="1"/>
  <c r="L1160" i="1"/>
  <c r="K1161" i="1"/>
  <c r="L1161" i="1"/>
  <c r="K1162" i="1"/>
  <c r="L1162" i="1"/>
  <c r="K1163" i="1"/>
  <c r="L1163" i="1"/>
  <c r="K1164" i="1"/>
  <c r="L1164" i="1"/>
  <c r="K1165" i="1"/>
  <c r="L1165" i="1"/>
  <c r="K1166" i="1"/>
  <c r="L1166" i="1"/>
  <c r="K1167" i="1"/>
  <c r="L1167" i="1"/>
  <c r="K1168" i="1"/>
  <c r="L1168" i="1"/>
  <c r="K1169" i="1"/>
  <c r="L1169" i="1"/>
  <c r="K1170" i="1"/>
  <c r="L1170" i="1"/>
  <c r="K1171" i="1"/>
  <c r="L1171" i="1"/>
  <c r="K1172" i="1"/>
  <c r="L1172" i="1"/>
  <c r="K1173" i="1"/>
  <c r="L1173" i="1"/>
  <c r="K1174" i="1"/>
  <c r="L1174" i="1"/>
  <c r="K1175" i="1"/>
  <c r="L1175" i="1"/>
  <c r="K1176" i="1"/>
  <c r="L1176" i="1"/>
  <c r="K1177" i="1"/>
  <c r="L1177" i="1"/>
  <c r="K1178" i="1"/>
  <c r="L1178" i="1"/>
  <c r="K1179" i="1"/>
  <c r="L1179" i="1"/>
  <c r="K1180" i="1"/>
  <c r="L1180" i="1"/>
  <c r="K1181" i="1"/>
  <c r="L1181" i="1"/>
  <c r="K1182" i="1"/>
  <c r="L1182" i="1"/>
  <c r="K1183" i="1"/>
  <c r="L1183" i="1"/>
  <c r="K1184" i="1"/>
  <c r="L1184" i="1"/>
  <c r="K1185" i="1"/>
  <c r="L1185" i="1"/>
  <c r="K1186" i="1"/>
  <c r="L1186" i="1"/>
  <c r="K1187" i="1"/>
  <c r="L1187" i="1"/>
  <c r="K1188" i="1"/>
  <c r="L1188" i="1"/>
  <c r="K1189" i="1"/>
  <c r="L1189" i="1"/>
  <c r="K1190" i="1"/>
  <c r="L1190" i="1"/>
  <c r="K1191" i="1"/>
  <c r="L1191" i="1"/>
  <c r="K1192" i="1"/>
  <c r="L1192" i="1"/>
  <c r="K1193" i="1"/>
  <c r="L1193" i="1"/>
  <c r="K1194" i="1"/>
  <c r="L1194" i="1"/>
  <c r="K1195" i="1"/>
  <c r="L1195" i="1"/>
  <c r="K1196" i="1"/>
  <c r="L1196" i="1"/>
  <c r="K1197" i="1"/>
  <c r="L1197" i="1"/>
  <c r="K1198" i="1"/>
  <c r="L1198" i="1"/>
  <c r="K1199" i="1"/>
  <c r="L1199" i="1"/>
  <c r="K1200" i="1"/>
  <c r="L1200" i="1"/>
  <c r="K1201" i="1"/>
  <c r="L1201" i="1"/>
  <c r="K1202" i="1"/>
  <c r="L1202" i="1"/>
  <c r="K1203" i="1"/>
  <c r="L1203" i="1"/>
  <c r="K1204" i="1"/>
  <c r="L1204" i="1"/>
  <c r="K1205" i="1"/>
  <c r="L1205" i="1"/>
  <c r="K1206" i="1"/>
  <c r="L1206" i="1"/>
  <c r="K1207" i="1"/>
  <c r="L1207" i="1"/>
  <c r="K1208" i="1"/>
  <c r="L1208" i="1"/>
  <c r="K1209" i="1"/>
  <c r="L1209" i="1"/>
  <c r="K1210" i="1"/>
  <c r="L1210" i="1"/>
  <c r="K1211" i="1"/>
  <c r="L1211" i="1"/>
  <c r="K1212" i="1"/>
  <c r="L1212" i="1"/>
  <c r="K1213" i="1"/>
  <c r="L1213" i="1"/>
  <c r="K1214" i="1"/>
  <c r="L1214" i="1"/>
  <c r="K1215" i="1"/>
  <c r="L1215" i="1"/>
  <c r="K1216" i="1"/>
  <c r="L1216" i="1"/>
  <c r="K1217" i="1"/>
  <c r="L1217" i="1"/>
  <c r="K1218" i="1"/>
  <c r="L1218" i="1"/>
  <c r="K1219" i="1"/>
  <c r="L1219" i="1"/>
  <c r="K1220" i="1"/>
  <c r="L1220" i="1"/>
  <c r="K1221" i="1"/>
  <c r="L1221" i="1"/>
  <c r="K1222" i="1"/>
  <c r="L1222" i="1"/>
  <c r="K1223" i="1"/>
  <c r="L1223" i="1"/>
  <c r="K1224" i="1"/>
  <c r="L1224" i="1"/>
  <c r="K1225" i="1"/>
  <c r="L1225" i="1"/>
  <c r="K1226" i="1"/>
  <c r="L1226" i="1"/>
  <c r="K1227" i="1"/>
  <c r="L1227" i="1"/>
  <c r="K1228" i="1"/>
  <c r="L1228" i="1"/>
  <c r="K1229" i="1"/>
  <c r="L1229" i="1"/>
  <c r="K1230" i="1"/>
  <c r="L1230" i="1"/>
  <c r="K1231" i="1"/>
  <c r="L1231" i="1"/>
  <c r="K1232" i="1"/>
  <c r="L1232" i="1"/>
  <c r="K1233" i="1"/>
  <c r="L1233" i="1"/>
  <c r="K1234" i="1"/>
  <c r="L1234" i="1"/>
  <c r="K1235" i="1"/>
  <c r="L1235" i="1"/>
  <c r="K1236" i="1"/>
  <c r="L1236" i="1"/>
  <c r="K1237" i="1"/>
  <c r="L1237" i="1"/>
  <c r="K1238" i="1"/>
  <c r="L1238" i="1"/>
  <c r="K1239" i="1"/>
  <c r="L1239" i="1"/>
  <c r="K1240" i="1"/>
  <c r="L1240" i="1"/>
  <c r="K1241" i="1"/>
  <c r="L1241" i="1"/>
  <c r="K1242" i="1"/>
  <c r="L1242" i="1"/>
  <c r="K1243" i="1"/>
  <c r="L1243" i="1"/>
  <c r="K1244" i="1"/>
  <c r="L1244" i="1"/>
  <c r="K1245" i="1"/>
  <c r="L1245" i="1"/>
  <c r="K1246" i="1"/>
  <c r="L1246" i="1"/>
  <c r="K1247" i="1"/>
  <c r="L1247" i="1"/>
  <c r="K1248" i="1"/>
  <c r="L1248" i="1"/>
  <c r="K1249" i="1"/>
  <c r="L1249" i="1"/>
  <c r="K1250" i="1"/>
  <c r="L1250" i="1"/>
  <c r="K1251" i="1"/>
  <c r="L1251" i="1"/>
  <c r="K1252" i="1"/>
  <c r="L1252" i="1"/>
  <c r="K1253" i="1"/>
  <c r="L1253" i="1"/>
  <c r="K1254" i="1"/>
  <c r="L1254" i="1"/>
  <c r="K1255" i="1"/>
  <c r="L1255" i="1"/>
  <c r="K1256" i="1"/>
  <c r="L1256" i="1"/>
  <c r="K1257" i="1"/>
  <c r="L1257" i="1"/>
  <c r="K1258" i="1"/>
  <c r="L1258" i="1"/>
  <c r="K1259" i="1"/>
  <c r="L1259" i="1"/>
  <c r="K1260" i="1"/>
  <c r="L1260" i="1"/>
  <c r="K1261" i="1"/>
  <c r="L1261" i="1"/>
  <c r="K1262" i="1"/>
  <c r="L1262" i="1"/>
  <c r="K1263" i="1"/>
  <c r="L1263" i="1"/>
  <c r="K1264" i="1"/>
  <c r="L1264" i="1"/>
  <c r="K1265" i="1"/>
  <c r="L1265" i="1"/>
  <c r="K1266" i="1"/>
  <c r="L1266" i="1"/>
  <c r="K1267" i="1"/>
  <c r="L1267" i="1"/>
  <c r="K1268" i="1"/>
  <c r="L1268" i="1"/>
  <c r="K1269" i="1"/>
  <c r="L1269" i="1"/>
  <c r="K1270" i="1"/>
  <c r="L1270" i="1"/>
  <c r="K1271" i="1"/>
  <c r="L1271" i="1"/>
  <c r="K1272" i="1"/>
  <c r="L1272" i="1"/>
  <c r="K1273" i="1"/>
  <c r="L1273" i="1"/>
  <c r="K1274" i="1"/>
  <c r="L1274" i="1"/>
  <c r="K1275" i="1"/>
  <c r="L1275" i="1"/>
  <c r="K1276" i="1"/>
  <c r="L1276" i="1"/>
  <c r="K1277" i="1"/>
  <c r="L1277" i="1"/>
  <c r="K1278" i="1"/>
  <c r="L1278" i="1"/>
  <c r="K1279" i="1"/>
  <c r="L1279" i="1"/>
  <c r="K1280" i="1"/>
  <c r="L1280" i="1"/>
  <c r="K1281" i="1"/>
  <c r="L1281" i="1"/>
  <c r="K1282" i="1"/>
  <c r="L1282" i="1"/>
  <c r="K1283" i="1"/>
  <c r="L1283" i="1"/>
  <c r="K1284" i="1"/>
  <c r="L1284" i="1"/>
  <c r="K1285" i="1"/>
  <c r="L1285" i="1"/>
  <c r="K1286" i="1"/>
  <c r="L1286" i="1"/>
  <c r="K1287" i="1"/>
  <c r="L1287" i="1"/>
  <c r="K1288" i="1"/>
  <c r="L1288" i="1"/>
  <c r="K1289" i="1"/>
  <c r="L1289" i="1"/>
  <c r="K1290" i="1"/>
  <c r="L1290" i="1"/>
  <c r="K1291" i="1"/>
  <c r="L1291" i="1"/>
  <c r="K1292" i="1"/>
  <c r="L1292" i="1"/>
  <c r="K1293" i="1"/>
  <c r="L1293" i="1"/>
  <c r="K1294" i="1"/>
  <c r="L1294" i="1"/>
  <c r="K1295" i="1"/>
  <c r="L1295" i="1"/>
  <c r="K1296" i="1"/>
  <c r="L1296" i="1"/>
  <c r="K1297" i="1"/>
  <c r="L1297" i="1"/>
  <c r="K1298" i="1"/>
  <c r="L1298" i="1"/>
  <c r="K1299" i="1"/>
  <c r="L1299" i="1"/>
  <c r="K1300" i="1"/>
  <c r="L1300" i="1"/>
  <c r="K1301" i="1"/>
  <c r="L1301" i="1"/>
  <c r="K1302" i="1"/>
  <c r="L1302" i="1"/>
  <c r="K1303" i="1"/>
  <c r="L1303" i="1"/>
  <c r="K1304" i="1"/>
  <c r="L1304" i="1"/>
  <c r="K1305" i="1"/>
  <c r="L1305" i="1"/>
  <c r="K1306" i="1"/>
  <c r="L1306" i="1"/>
  <c r="K1307" i="1"/>
  <c r="L1307" i="1"/>
  <c r="K1308" i="1"/>
  <c r="L1308" i="1"/>
  <c r="K1309" i="1"/>
  <c r="L1309" i="1"/>
  <c r="K1310" i="1"/>
  <c r="L1310" i="1"/>
  <c r="K1311" i="1"/>
  <c r="L1311" i="1"/>
  <c r="K1312" i="1"/>
  <c r="L1312" i="1"/>
  <c r="K1313" i="1"/>
  <c r="L1313" i="1"/>
  <c r="K1314" i="1"/>
  <c r="L1314" i="1"/>
  <c r="K1315" i="1"/>
  <c r="L1315" i="1"/>
  <c r="K1316" i="1"/>
  <c r="L1316" i="1"/>
  <c r="K1317" i="1"/>
  <c r="L1317" i="1"/>
  <c r="K1318" i="1"/>
  <c r="L1318" i="1"/>
  <c r="K1319" i="1"/>
  <c r="L1319" i="1"/>
  <c r="K1320" i="1"/>
  <c r="L1320" i="1"/>
  <c r="K1321" i="1"/>
  <c r="L1321" i="1"/>
  <c r="K1322" i="1"/>
  <c r="L1322" i="1"/>
  <c r="K1323" i="1"/>
  <c r="L1323" i="1"/>
  <c r="K1324" i="1"/>
  <c r="L1324" i="1"/>
  <c r="K1325" i="1"/>
  <c r="L1325" i="1"/>
  <c r="K1326" i="1"/>
  <c r="L1326" i="1"/>
  <c r="K1327" i="1"/>
  <c r="L1327" i="1"/>
  <c r="K1328" i="1"/>
  <c r="L1328" i="1"/>
  <c r="K1329" i="1"/>
  <c r="L1329" i="1"/>
  <c r="K1330" i="1"/>
  <c r="L1330" i="1"/>
  <c r="K1331" i="1"/>
  <c r="L1331" i="1"/>
  <c r="K1332" i="1"/>
  <c r="L1332" i="1"/>
  <c r="K1333" i="1"/>
  <c r="L1333" i="1"/>
  <c r="K1334" i="1"/>
  <c r="L1334" i="1"/>
  <c r="K1335" i="1"/>
  <c r="L1335" i="1"/>
  <c r="K1336" i="1"/>
  <c r="L1336" i="1"/>
  <c r="K1337" i="1"/>
  <c r="L1337" i="1"/>
  <c r="K1338" i="1"/>
  <c r="L1338" i="1"/>
  <c r="K1339" i="1"/>
  <c r="L1339" i="1"/>
  <c r="K1340" i="1"/>
  <c r="L1340" i="1"/>
  <c r="K1341" i="1"/>
  <c r="L1341" i="1"/>
  <c r="K1342" i="1"/>
  <c r="L1342" i="1"/>
  <c r="K1343" i="1"/>
  <c r="L1343" i="1"/>
  <c r="K1344" i="1"/>
  <c r="L1344" i="1"/>
  <c r="K1345" i="1"/>
  <c r="L1345" i="1"/>
  <c r="K1346" i="1"/>
  <c r="L1346" i="1"/>
  <c r="K1347" i="1"/>
  <c r="L1347" i="1"/>
  <c r="K1348" i="1"/>
  <c r="L1348" i="1"/>
  <c r="K1349" i="1"/>
  <c r="L1349" i="1"/>
  <c r="K1350" i="1"/>
  <c r="L1350" i="1"/>
  <c r="K1351" i="1"/>
  <c r="L1351" i="1"/>
  <c r="K1352" i="1"/>
  <c r="L1352" i="1"/>
  <c r="K1353" i="1"/>
  <c r="L1353" i="1"/>
  <c r="K1354" i="1"/>
  <c r="L1354" i="1"/>
  <c r="K1355" i="1"/>
  <c r="L1355" i="1"/>
  <c r="K1356" i="1"/>
  <c r="L1356" i="1"/>
  <c r="K1357" i="1"/>
  <c r="L1357" i="1"/>
  <c r="K1358" i="1"/>
  <c r="L1358" i="1"/>
  <c r="K1359" i="1"/>
  <c r="L1359" i="1"/>
  <c r="K1360" i="1"/>
  <c r="L1360" i="1"/>
  <c r="K1361" i="1"/>
  <c r="L1361" i="1"/>
  <c r="K1362" i="1"/>
  <c r="L1362" i="1"/>
  <c r="K1363" i="1"/>
  <c r="L1363" i="1"/>
  <c r="K1364" i="1"/>
  <c r="L1364" i="1"/>
  <c r="K1365" i="1"/>
  <c r="L1365" i="1"/>
  <c r="K1366" i="1"/>
  <c r="L1366" i="1"/>
  <c r="K1367" i="1"/>
  <c r="L1367" i="1"/>
  <c r="K1368" i="1"/>
  <c r="L1368" i="1"/>
  <c r="K1369" i="1"/>
  <c r="L1369" i="1"/>
  <c r="K1370" i="1"/>
  <c r="L1370" i="1"/>
  <c r="K1371" i="1"/>
  <c r="L1371" i="1"/>
  <c r="K1372" i="1"/>
  <c r="L1372" i="1"/>
  <c r="K1373" i="1"/>
  <c r="L1373" i="1"/>
  <c r="K1374" i="1"/>
  <c r="L1374" i="1"/>
  <c r="K1375" i="1"/>
  <c r="L1375" i="1"/>
  <c r="K1376" i="1"/>
  <c r="L1376" i="1"/>
  <c r="K1377" i="1"/>
  <c r="L1377" i="1"/>
  <c r="K1378" i="1"/>
  <c r="L1378" i="1"/>
  <c r="K1379" i="1"/>
  <c r="L1379" i="1"/>
  <c r="K1380" i="1"/>
  <c r="L1380" i="1"/>
  <c r="K1381" i="1"/>
  <c r="L1381" i="1"/>
  <c r="K1382" i="1"/>
  <c r="L1382" i="1"/>
  <c r="K1383" i="1"/>
  <c r="L1383" i="1"/>
  <c r="K1384" i="1"/>
  <c r="L1384" i="1"/>
  <c r="K1385" i="1"/>
  <c r="L1385" i="1"/>
  <c r="K1386" i="1"/>
  <c r="L1386" i="1"/>
  <c r="K1387" i="1"/>
  <c r="L1387" i="1"/>
  <c r="K1388" i="1"/>
  <c r="L1388" i="1"/>
  <c r="K1389" i="1"/>
  <c r="L1389" i="1"/>
  <c r="K1390" i="1"/>
  <c r="L1390" i="1"/>
  <c r="K1391" i="1"/>
  <c r="L1391" i="1"/>
  <c r="K1392" i="1"/>
  <c r="L1392" i="1"/>
  <c r="K1393" i="1"/>
  <c r="L1393" i="1"/>
  <c r="K1394" i="1"/>
  <c r="L1394" i="1"/>
  <c r="K1395" i="1"/>
  <c r="L1395" i="1"/>
  <c r="K1396" i="1"/>
  <c r="L1396" i="1"/>
  <c r="K1397" i="1"/>
  <c r="L1397" i="1"/>
  <c r="K1398" i="1"/>
  <c r="L1398" i="1"/>
  <c r="K1399" i="1"/>
  <c r="L1399" i="1"/>
  <c r="K1400" i="1"/>
  <c r="L1400" i="1"/>
  <c r="K1401" i="1"/>
  <c r="L1401" i="1"/>
  <c r="K1402" i="1"/>
  <c r="L1402" i="1"/>
  <c r="K1403" i="1"/>
  <c r="L1403" i="1"/>
  <c r="K1404" i="1"/>
  <c r="L1404" i="1"/>
  <c r="K1405" i="1"/>
  <c r="L1405" i="1"/>
  <c r="K1406" i="1"/>
  <c r="L1406" i="1"/>
  <c r="K1407" i="1"/>
  <c r="L1407" i="1"/>
  <c r="K1408" i="1"/>
  <c r="L1408" i="1"/>
  <c r="K1409" i="1"/>
  <c r="L1409" i="1"/>
  <c r="K1410" i="1"/>
  <c r="L1410" i="1"/>
  <c r="K1411" i="1"/>
  <c r="L1411" i="1"/>
  <c r="K1412" i="1"/>
  <c r="L1412" i="1"/>
  <c r="K1413" i="1"/>
  <c r="L1413" i="1"/>
  <c r="K1414" i="1"/>
  <c r="L1414" i="1"/>
  <c r="K1415" i="1"/>
  <c r="L1415" i="1"/>
  <c r="K1416" i="1"/>
  <c r="L1416" i="1"/>
  <c r="K1417" i="1"/>
  <c r="L1417" i="1"/>
  <c r="K1418" i="1"/>
  <c r="L1418" i="1"/>
  <c r="K1419" i="1"/>
  <c r="L1419" i="1"/>
  <c r="K1420" i="1"/>
  <c r="L1420" i="1"/>
  <c r="K1421" i="1"/>
  <c r="L1421" i="1"/>
  <c r="K1422" i="1"/>
  <c r="L1422" i="1"/>
  <c r="K1423" i="1"/>
  <c r="L1423" i="1"/>
  <c r="K1424" i="1"/>
  <c r="L1424" i="1"/>
  <c r="K1425" i="1"/>
  <c r="L1425" i="1"/>
  <c r="K1426" i="1"/>
  <c r="L1426" i="1"/>
  <c r="K1427" i="1"/>
  <c r="L1427" i="1"/>
  <c r="K1428" i="1"/>
  <c r="L1428" i="1"/>
  <c r="K1429" i="1"/>
  <c r="L1429" i="1"/>
  <c r="K1430" i="1"/>
  <c r="L1430" i="1"/>
  <c r="K1431" i="1"/>
  <c r="L1431" i="1"/>
  <c r="K1432" i="1"/>
  <c r="L1432" i="1"/>
  <c r="K1433" i="1"/>
  <c r="L1433" i="1"/>
  <c r="K1434" i="1"/>
  <c r="L1434" i="1"/>
  <c r="K1435" i="1"/>
  <c r="L1435" i="1"/>
  <c r="K1436" i="1"/>
  <c r="L1436" i="1"/>
  <c r="K1437" i="1"/>
  <c r="L1437" i="1"/>
  <c r="K1438" i="1"/>
  <c r="L1438" i="1"/>
  <c r="K1439" i="1"/>
  <c r="L1439" i="1"/>
  <c r="K1440" i="1"/>
  <c r="L1440" i="1"/>
  <c r="K1441" i="1"/>
  <c r="L1441" i="1"/>
  <c r="K1442" i="1"/>
  <c r="L1442" i="1"/>
  <c r="K1443" i="1"/>
  <c r="L1443" i="1"/>
  <c r="K1444" i="1"/>
  <c r="L1444" i="1"/>
  <c r="K1445" i="1"/>
  <c r="L1445" i="1"/>
  <c r="K1446" i="1"/>
  <c r="L1446" i="1"/>
  <c r="K1447" i="1"/>
  <c r="L1447" i="1"/>
  <c r="K1448" i="1"/>
  <c r="L1448" i="1"/>
  <c r="K1449" i="1"/>
  <c r="L1449" i="1"/>
  <c r="K1450" i="1"/>
  <c r="L1450" i="1"/>
  <c r="K1451" i="1"/>
  <c r="L1451" i="1"/>
  <c r="K1452" i="1"/>
  <c r="L1452" i="1"/>
  <c r="K1453" i="1"/>
  <c r="L1453" i="1"/>
  <c r="K1454" i="1"/>
  <c r="L1454" i="1"/>
  <c r="K1455" i="1"/>
  <c r="L1455" i="1"/>
  <c r="K1456" i="1"/>
  <c r="L1456" i="1"/>
  <c r="K1457" i="1"/>
  <c r="L1457" i="1"/>
  <c r="K1458" i="1"/>
  <c r="L1458" i="1"/>
  <c r="K1459" i="1"/>
  <c r="L1459" i="1"/>
  <c r="K1460" i="1"/>
  <c r="L1460" i="1"/>
  <c r="K1461" i="1"/>
  <c r="L1461" i="1"/>
  <c r="K1462" i="1"/>
  <c r="L1462" i="1"/>
  <c r="K1463" i="1"/>
  <c r="L1463" i="1"/>
  <c r="K1464" i="1"/>
  <c r="L1464" i="1"/>
  <c r="K1465" i="1"/>
  <c r="L1465" i="1"/>
  <c r="K1466" i="1"/>
  <c r="L1466" i="1"/>
  <c r="K1467" i="1"/>
  <c r="L1467" i="1"/>
  <c r="K1468" i="1"/>
  <c r="L1468" i="1"/>
  <c r="K1469" i="1"/>
  <c r="L1469" i="1"/>
  <c r="K1470" i="1"/>
  <c r="L1470" i="1"/>
  <c r="K1471" i="1"/>
  <c r="L1471" i="1"/>
  <c r="K1472" i="1"/>
  <c r="L1472" i="1"/>
  <c r="K1473" i="1"/>
  <c r="L1473" i="1"/>
  <c r="K1474" i="1"/>
  <c r="L1474" i="1"/>
  <c r="K1475" i="1"/>
  <c r="L1475" i="1"/>
  <c r="K1476" i="1"/>
  <c r="L1476" i="1"/>
  <c r="K1477" i="1"/>
  <c r="L1477" i="1"/>
  <c r="K1478" i="1"/>
  <c r="L1478" i="1"/>
  <c r="K1479" i="1"/>
  <c r="L1479" i="1"/>
  <c r="K1480" i="1"/>
  <c r="L1480" i="1"/>
  <c r="K1481" i="1"/>
  <c r="L1481" i="1"/>
  <c r="K1482" i="1"/>
  <c r="L1482" i="1"/>
  <c r="K1483" i="1"/>
  <c r="L1483" i="1"/>
  <c r="K1484" i="1"/>
  <c r="L1484" i="1"/>
  <c r="K1485" i="1"/>
  <c r="L1485" i="1"/>
  <c r="K1486" i="1"/>
  <c r="L1486" i="1"/>
  <c r="K1487" i="1"/>
  <c r="L1487" i="1"/>
  <c r="K1488" i="1"/>
  <c r="L1488" i="1"/>
  <c r="K1489" i="1"/>
  <c r="L1489" i="1"/>
  <c r="K1490" i="1"/>
  <c r="L1490" i="1"/>
  <c r="K1491" i="1"/>
  <c r="L1491" i="1"/>
  <c r="K1492" i="1"/>
  <c r="L1492" i="1"/>
  <c r="K1493" i="1"/>
  <c r="L1493" i="1"/>
  <c r="K1494" i="1"/>
  <c r="L1494" i="1"/>
  <c r="K1495" i="1"/>
  <c r="L1495" i="1"/>
  <c r="K1496" i="1"/>
  <c r="L1496" i="1"/>
  <c r="K1497" i="1"/>
  <c r="L1497" i="1"/>
  <c r="K1498" i="1"/>
  <c r="L1498" i="1"/>
  <c r="K1499" i="1"/>
  <c r="L1499" i="1"/>
  <c r="K1500" i="1"/>
  <c r="L1500" i="1"/>
  <c r="K1501" i="1"/>
  <c r="L1501" i="1"/>
  <c r="K1502" i="1"/>
  <c r="L1502" i="1"/>
  <c r="K1503" i="1"/>
  <c r="L1503" i="1"/>
  <c r="K1504" i="1"/>
  <c r="L1504" i="1"/>
  <c r="K1505" i="1"/>
  <c r="L1505" i="1"/>
  <c r="K1506" i="1"/>
  <c r="L1506" i="1"/>
  <c r="K1507" i="1"/>
  <c r="L1507" i="1"/>
  <c r="K1508" i="1"/>
  <c r="L1508" i="1"/>
  <c r="K1509" i="1"/>
  <c r="L1509" i="1"/>
  <c r="K1510" i="1"/>
  <c r="L1510" i="1"/>
  <c r="K1511" i="1"/>
  <c r="L1511" i="1"/>
  <c r="K1512" i="1"/>
  <c r="L1512" i="1"/>
  <c r="K1513" i="1"/>
  <c r="L1513" i="1"/>
  <c r="K1514" i="1"/>
  <c r="L1514" i="1"/>
  <c r="K1515" i="1"/>
  <c r="L1515" i="1"/>
  <c r="K1516" i="1"/>
  <c r="L1516" i="1"/>
  <c r="K1517" i="1"/>
  <c r="L1517" i="1"/>
  <c r="K1518" i="1"/>
  <c r="L1518" i="1"/>
  <c r="K1519" i="1"/>
  <c r="L1519" i="1"/>
  <c r="K1520" i="1"/>
  <c r="L1520" i="1"/>
  <c r="K1521" i="1"/>
  <c r="L1521" i="1"/>
  <c r="K1522" i="1"/>
  <c r="L1522" i="1"/>
  <c r="K1523" i="1"/>
  <c r="L1523" i="1"/>
  <c r="K1524" i="1"/>
  <c r="L1524" i="1"/>
  <c r="K1525" i="1"/>
  <c r="L1525" i="1"/>
  <c r="K1526" i="1"/>
  <c r="L1526" i="1"/>
  <c r="K1527" i="1"/>
  <c r="L1527" i="1"/>
  <c r="K1528" i="1"/>
  <c r="L1528" i="1"/>
  <c r="K1529" i="1"/>
  <c r="L1529" i="1"/>
  <c r="K1530" i="1"/>
  <c r="L1530" i="1"/>
  <c r="K1531" i="1"/>
  <c r="L1531" i="1"/>
  <c r="K1532" i="1"/>
  <c r="L1532" i="1"/>
  <c r="K1533" i="1"/>
  <c r="L1533" i="1"/>
  <c r="K1534" i="1"/>
  <c r="L1534" i="1"/>
  <c r="K1535" i="1"/>
  <c r="L1535" i="1"/>
  <c r="K1536" i="1"/>
  <c r="L1536" i="1"/>
  <c r="K1537" i="1"/>
  <c r="L1537" i="1"/>
  <c r="K1538" i="1"/>
  <c r="L1538" i="1"/>
  <c r="K1539" i="1"/>
  <c r="L1539" i="1"/>
  <c r="K1540" i="1"/>
  <c r="L1540" i="1"/>
  <c r="K1541" i="1"/>
  <c r="L1541" i="1"/>
  <c r="K1542" i="1"/>
  <c r="L1542" i="1"/>
  <c r="K1543" i="1"/>
  <c r="L1543" i="1"/>
  <c r="K1544" i="1"/>
  <c r="L1544" i="1"/>
  <c r="K1545" i="1"/>
  <c r="L1545" i="1"/>
  <c r="K1546" i="1"/>
  <c r="L1546" i="1"/>
  <c r="K1547" i="1"/>
  <c r="L1547" i="1"/>
  <c r="K1548" i="1"/>
  <c r="L1548" i="1"/>
  <c r="K1549" i="1"/>
  <c r="L1549" i="1"/>
  <c r="K1550" i="1"/>
  <c r="L1550" i="1"/>
  <c r="K1551" i="1"/>
  <c r="L1551" i="1"/>
  <c r="K1552" i="1"/>
  <c r="L1552" i="1"/>
  <c r="K1553" i="1"/>
  <c r="L1553" i="1"/>
  <c r="K1554" i="1"/>
  <c r="L1554" i="1"/>
  <c r="K1555" i="1"/>
  <c r="L1555" i="1"/>
  <c r="K1556" i="1"/>
  <c r="L1556" i="1"/>
  <c r="K1557" i="1"/>
  <c r="L1557" i="1"/>
  <c r="K1558" i="1"/>
  <c r="L1558" i="1"/>
  <c r="K1559" i="1"/>
  <c r="L1559" i="1"/>
  <c r="K1560" i="1"/>
  <c r="L1560" i="1"/>
  <c r="K1561" i="1"/>
  <c r="L1561" i="1"/>
  <c r="K1562" i="1"/>
  <c r="L1562" i="1"/>
  <c r="K1563" i="1"/>
  <c r="L1563" i="1"/>
  <c r="K1564" i="1"/>
  <c r="L1564" i="1"/>
  <c r="K1565" i="1"/>
  <c r="L1565" i="1"/>
  <c r="K1566" i="1"/>
  <c r="L1566" i="1"/>
  <c r="K1567" i="1"/>
  <c r="L1567" i="1"/>
  <c r="K1568" i="1"/>
  <c r="L1568" i="1"/>
  <c r="K1569" i="1"/>
  <c r="L1569" i="1"/>
  <c r="K1570" i="1"/>
  <c r="L1570" i="1"/>
  <c r="K1571" i="1"/>
  <c r="L1571" i="1"/>
  <c r="K1572" i="1"/>
  <c r="L1572" i="1"/>
  <c r="K1573" i="1"/>
  <c r="L1573" i="1"/>
  <c r="K1574" i="1"/>
  <c r="L1574" i="1"/>
  <c r="K1575" i="1"/>
  <c r="L1575" i="1"/>
  <c r="K1576" i="1"/>
  <c r="L1576" i="1"/>
  <c r="K1577" i="1"/>
  <c r="L1577" i="1"/>
  <c r="K1578" i="1"/>
  <c r="L1578" i="1"/>
  <c r="K1579" i="1"/>
  <c r="L1579" i="1"/>
  <c r="K1580" i="1"/>
  <c r="L1580" i="1"/>
  <c r="K1581" i="1"/>
  <c r="L1581" i="1"/>
  <c r="K1582" i="1"/>
  <c r="L1582" i="1"/>
  <c r="K1583" i="1"/>
  <c r="L1583" i="1"/>
  <c r="K1584" i="1"/>
  <c r="L1584" i="1"/>
  <c r="K1585" i="1"/>
  <c r="L1585" i="1"/>
  <c r="K1586" i="1"/>
  <c r="L1586" i="1"/>
  <c r="K1587" i="1"/>
  <c r="L1587" i="1"/>
  <c r="K1588" i="1"/>
  <c r="L1588" i="1"/>
  <c r="K1589" i="1"/>
  <c r="L1589" i="1"/>
  <c r="K1590" i="1"/>
  <c r="L1590" i="1"/>
  <c r="K1591" i="1"/>
  <c r="L1591" i="1"/>
  <c r="K1592" i="1"/>
  <c r="L1592" i="1"/>
  <c r="K1593" i="1"/>
  <c r="L1593" i="1"/>
  <c r="K1594" i="1"/>
  <c r="L1594" i="1"/>
  <c r="K1595" i="1"/>
  <c r="L1595" i="1"/>
  <c r="K1596" i="1"/>
  <c r="L1596" i="1"/>
  <c r="K1597" i="1"/>
  <c r="L1597" i="1"/>
  <c r="K1598" i="1"/>
  <c r="L1598" i="1"/>
  <c r="K1599" i="1"/>
  <c r="L1599" i="1"/>
  <c r="K1600" i="1"/>
  <c r="L1600" i="1"/>
  <c r="K1601" i="1"/>
  <c r="L1601" i="1"/>
  <c r="K1602" i="1"/>
  <c r="L1602" i="1"/>
  <c r="K1603" i="1"/>
  <c r="L1603" i="1"/>
  <c r="K1604" i="1"/>
  <c r="L1604" i="1"/>
  <c r="K1605" i="1"/>
  <c r="L1605" i="1"/>
  <c r="K1606" i="1"/>
  <c r="L1606" i="1"/>
  <c r="K1607" i="1"/>
  <c r="L1607" i="1"/>
  <c r="K1608" i="1"/>
  <c r="L1608" i="1"/>
  <c r="K1609" i="1"/>
  <c r="L1609" i="1"/>
  <c r="K1610" i="1"/>
  <c r="L1610" i="1"/>
  <c r="K1611" i="1"/>
  <c r="L1611" i="1"/>
  <c r="K1612" i="1"/>
  <c r="L1612" i="1"/>
  <c r="K1613" i="1"/>
  <c r="L1613" i="1"/>
  <c r="K1614" i="1"/>
  <c r="L1614" i="1"/>
  <c r="K1615" i="1"/>
  <c r="L1615" i="1"/>
  <c r="K1616" i="1"/>
  <c r="L1616" i="1"/>
  <c r="K1617" i="1"/>
  <c r="L1617" i="1"/>
  <c r="K1618" i="1"/>
  <c r="L1618" i="1"/>
  <c r="K1619" i="1"/>
  <c r="L1619" i="1"/>
  <c r="K1620" i="1"/>
  <c r="L1620" i="1"/>
  <c r="K1621" i="1"/>
  <c r="L1621" i="1"/>
  <c r="K1622" i="1"/>
  <c r="L1622" i="1"/>
  <c r="K1623" i="1"/>
  <c r="L1623" i="1"/>
  <c r="K1624" i="1"/>
  <c r="L1624" i="1"/>
  <c r="K1625" i="1"/>
  <c r="L1625" i="1"/>
  <c r="K1626" i="1"/>
  <c r="L1626" i="1"/>
  <c r="K1627" i="1"/>
  <c r="L1627" i="1"/>
  <c r="K1628" i="1"/>
  <c r="L1628" i="1"/>
  <c r="K1629" i="1"/>
  <c r="L1629" i="1"/>
  <c r="K1630" i="1"/>
  <c r="L1630" i="1"/>
  <c r="K1631" i="1"/>
  <c r="L1631" i="1"/>
  <c r="K1632" i="1"/>
  <c r="L1632" i="1"/>
  <c r="K1633" i="1"/>
  <c r="L1633" i="1"/>
  <c r="K1634" i="1"/>
  <c r="L1634" i="1"/>
  <c r="K1635" i="1"/>
  <c r="L1635" i="1"/>
  <c r="K1636" i="1"/>
  <c r="L1636" i="1"/>
  <c r="K1637" i="1"/>
  <c r="L1637" i="1"/>
  <c r="K1638" i="1"/>
  <c r="L1638" i="1"/>
  <c r="K1639" i="1"/>
  <c r="L1639" i="1"/>
  <c r="K1640" i="1"/>
  <c r="L1640" i="1"/>
  <c r="K1641" i="1"/>
  <c r="L1641" i="1"/>
  <c r="K1642" i="1"/>
  <c r="L1642" i="1"/>
  <c r="K1643" i="1"/>
  <c r="L1643" i="1"/>
  <c r="K1644" i="1"/>
  <c r="L1644" i="1"/>
  <c r="K1645" i="1"/>
  <c r="L1645" i="1"/>
  <c r="K1646" i="1"/>
  <c r="L1646" i="1"/>
  <c r="K1647" i="1"/>
  <c r="L1647" i="1"/>
  <c r="K1648" i="1"/>
  <c r="L1648" i="1"/>
  <c r="K1649" i="1"/>
  <c r="L1649" i="1"/>
  <c r="K1650" i="1"/>
  <c r="L1650" i="1"/>
  <c r="K1651" i="1"/>
  <c r="L1651" i="1"/>
  <c r="K1652" i="1"/>
  <c r="L1652" i="1"/>
  <c r="K1653" i="1"/>
  <c r="L1653" i="1"/>
  <c r="K1654" i="1"/>
  <c r="L1654" i="1"/>
  <c r="K1655" i="1"/>
  <c r="L1655" i="1"/>
  <c r="K1656" i="1"/>
  <c r="L1656" i="1"/>
  <c r="K1657" i="1"/>
  <c r="L1657" i="1"/>
  <c r="K1658" i="1"/>
  <c r="L1658" i="1"/>
  <c r="K1659" i="1"/>
  <c r="L1659" i="1"/>
  <c r="K1660" i="1"/>
  <c r="L1660" i="1"/>
  <c r="K1661" i="1"/>
  <c r="L1661" i="1"/>
  <c r="K1662" i="1"/>
  <c r="L1662" i="1"/>
  <c r="K1663" i="1"/>
  <c r="L1663" i="1"/>
  <c r="K1664" i="1"/>
  <c r="L1664" i="1"/>
  <c r="K1665" i="1"/>
  <c r="L1665" i="1"/>
  <c r="K1666" i="1"/>
  <c r="L1666" i="1"/>
  <c r="K1667" i="1"/>
  <c r="L1667" i="1"/>
  <c r="K1668" i="1"/>
  <c r="L1668" i="1"/>
  <c r="K1669" i="1"/>
  <c r="L1669" i="1"/>
  <c r="K1670" i="1"/>
  <c r="L1670" i="1"/>
  <c r="K1671" i="1"/>
  <c r="L1671" i="1"/>
  <c r="K1672" i="1"/>
  <c r="L1672" i="1"/>
  <c r="K1673" i="1"/>
  <c r="L1673" i="1"/>
  <c r="K1674" i="1"/>
  <c r="L1674" i="1"/>
  <c r="K1675" i="1"/>
  <c r="L1675" i="1"/>
  <c r="K1676" i="1"/>
  <c r="L1676" i="1"/>
  <c r="K1677" i="1"/>
  <c r="L1677" i="1"/>
  <c r="K1678" i="1"/>
  <c r="L1678" i="1"/>
  <c r="K1679" i="1"/>
  <c r="L1679" i="1"/>
  <c r="K1680" i="1"/>
  <c r="L1680" i="1"/>
  <c r="K1681" i="1"/>
  <c r="L1681" i="1"/>
  <c r="K1682" i="1"/>
  <c r="L1682" i="1"/>
  <c r="K1683" i="1"/>
  <c r="L1683" i="1"/>
  <c r="K1684" i="1"/>
  <c r="L1684" i="1"/>
  <c r="K1685" i="1"/>
  <c r="L1685" i="1"/>
  <c r="K1686" i="1"/>
  <c r="L1686" i="1"/>
  <c r="K1687" i="1"/>
  <c r="L1687" i="1"/>
  <c r="K1688" i="1"/>
  <c r="L1688" i="1"/>
  <c r="K1689" i="1"/>
  <c r="L1689" i="1"/>
  <c r="K1690" i="1"/>
  <c r="L1690" i="1"/>
  <c r="K1691" i="1"/>
  <c r="L1691" i="1"/>
  <c r="K1692" i="1"/>
  <c r="L1692" i="1"/>
  <c r="K1693" i="1"/>
  <c r="L1693" i="1"/>
  <c r="K1694" i="1"/>
  <c r="L1694" i="1"/>
  <c r="K1695" i="1"/>
  <c r="L1695" i="1"/>
  <c r="K1696" i="1"/>
  <c r="L1696" i="1"/>
  <c r="K1697" i="1"/>
  <c r="L1697" i="1"/>
  <c r="K1698" i="1"/>
  <c r="L1698" i="1"/>
  <c r="K1699" i="1"/>
  <c r="L1699" i="1"/>
  <c r="K1700" i="1"/>
  <c r="L1700" i="1"/>
  <c r="K1701" i="1"/>
  <c r="L1701" i="1"/>
  <c r="K1702" i="1"/>
  <c r="L1702" i="1"/>
  <c r="K1703" i="1"/>
  <c r="L1703" i="1"/>
  <c r="K1704" i="1"/>
  <c r="L1704" i="1"/>
  <c r="K1705" i="1"/>
  <c r="L1705" i="1"/>
  <c r="K1706" i="1"/>
  <c r="L1706" i="1"/>
  <c r="K1707" i="1"/>
  <c r="L1707" i="1"/>
  <c r="K1708" i="1"/>
  <c r="L1708" i="1"/>
  <c r="K1709" i="1"/>
  <c r="L1709" i="1"/>
  <c r="K1710" i="1"/>
  <c r="L1710" i="1"/>
  <c r="K1711" i="1"/>
  <c r="L1711" i="1"/>
  <c r="K1712" i="1"/>
  <c r="L1712" i="1"/>
  <c r="K1713" i="1"/>
  <c r="L1713" i="1"/>
  <c r="K1714" i="1"/>
  <c r="L1714" i="1"/>
  <c r="K1715" i="1"/>
  <c r="L1715" i="1"/>
  <c r="K1716" i="1"/>
  <c r="L1716" i="1"/>
  <c r="K1717" i="1"/>
  <c r="L1717" i="1"/>
  <c r="K1718" i="1"/>
  <c r="L1718" i="1"/>
  <c r="K1719" i="1"/>
  <c r="L1719" i="1"/>
  <c r="K1720" i="1"/>
  <c r="L1720" i="1"/>
  <c r="K1721" i="1"/>
  <c r="L1721" i="1"/>
  <c r="K1722" i="1"/>
  <c r="L1722" i="1"/>
  <c r="K1723" i="1"/>
  <c r="L1723" i="1"/>
  <c r="K1724" i="1"/>
  <c r="L1724" i="1"/>
  <c r="K1725" i="1"/>
  <c r="L1725" i="1"/>
  <c r="K1726" i="1"/>
  <c r="L1726" i="1"/>
  <c r="K1727" i="1"/>
  <c r="L1727" i="1"/>
  <c r="K1728" i="1"/>
  <c r="L1728" i="1"/>
  <c r="K1729" i="1"/>
  <c r="L1729" i="1"/>
  <c r="K1730" i="1"/>
  <c r="L1730" i="1"/>
  <c r="K1731" i="1"/>
  <c r="L1731" i="1"/>
  <c r="K1732" i="1"/>
  <c r="L1732" i="1"/>
  <c r="K1733" i="1"/>
  <c r="L1733" i="1"/>
  <c r="K1734" i="1"/>
  <c r="L1734" i="1"/>
  <c r="K1735" i="1"/>
  <c r="L1735" i="1"/>
  <c r="K1736" i="1"/>
  <c r="L1736" i="1"/>
  <c r="K1737" i="1"/>
  <c r="L1737" i="1"/>
  <c r="K1738" i="1"/>
  <c r="L1738" i="1"/>
  <c r="K1739" i="1"/>
  <c r="L1739" i="1"/>
  <c r="K1740" i="1"/>
  <c r="L1740" i="1"/>
  <c r="K1741" i="1"/>
  <c r="L1741" i="1"/>
  <c r="K1742" i="1"/>
  <c r="L1742" i="1"/>
  <c r="K1743" i="1"/>
  <c r="L1743" i="1"/>
  <c r="K1744" i="1"/>
  <c r="L1744" i="1"/>
  <c r="K1745" i="1"/>
  <c r="L1745" i="1"/>
  <c r="K1746" i="1"/>
  <c r="L1746" i="1"/>
  <c r="K1747" i="1"/>
  <c r="L1747" i="1"/>
  <c r="K1748" i="1"/>
  <c r="L1748" i="1"/>
  <c r="K1749" i="1"/>
  <c r="L1749" i="1"/>
  <c r="K1750" i="1"/>
  <c r="L1750" i="1"/>
  <c r="K1751" i="1"/>
  <c r="L1751" i="1"/>
  <c r="K1752" i="1"/>
  <c r="L1752" i="1"/>
  <c r="K1753" i="1"/>
  <c r="L1753" i="1"/>
  <c r="K1754" i="1"/>
  <c r="L1754" i="1"/>
  <c r="K1755" i="1"/>
  <c r="L1755" i="1"/>
  <c r="K1756" i="1"/>
  <c r="L1756" i="1"/>
  <c r="K1757" i="1"/>
  <c r="L1757" i="1"/>
  <c r="K1758" i="1"/>
  <c r="L1758" i="1"/>
  <c r="K1759" i="1"/>
  <c r="L1759" i="1"/>
  <c r="K1760" i="1"/>
  <c r="L1760" i="1"/>
  <c r="K1761" i="1"/>
  <c r="L1761" i="1"/>
  <c r="K1762" i="1"/>
  <c r="L1762" i="1"/>
  <c r="K1763" i="1"/>
  <c r="L1763" i="1"/>
  <c r="K1764" i="1"/>
  <c r="L1764" i="1"/>
  <c r="K1765" i="1"/>
  <c r="L1765" i="1"/>
  <c r="K1766" i="1"/>
  <c r="L1766" i="1"/>
  <c r="K1767" i="1"/>
  <c r="L1767" i="1"/>
  <c r="K1768" i="1"/>
  <c r="L1768" i="1"/>
  <c r="K1769" i="1"/>
  <c r="L1769" i="1"/>
  <c r="K1770" i="1"/>
  <c r="L1770" i="1"/>
  <c r="K1771" i="1"/>
  <c r="L1771" i="1"/>
  <c r="K1772" i="1"/>
  <c r="L1772" i="1"/>
  <c r="K1773" i="1"/>
  <c r="L1773" i="1"/>
  <c r="K1774" i="1"/>
  <c r="L1774" i="1"/>
  <c r="K1775" i="1"/>
  <c r="L1775" i="1"/>
  <c r="K1776" i="1"/>
  <c r="L1776" i="1"/>
  <c r="K1777" i="1"/>
  <c r="L1777" i="1"/>
  <c r="K1778" i="1"/>
  <c r="L1778" i="1"/>
  <c r="K1779" i="1"/>
  <c r="L1779" i="1"/>
  <c r="K1780" i="1"/>
  <c r="L1780" i="1"/>
  <c r="K1781" i="1"/>
  <c r="L1781" i="1"/>
  <c r="K1782" i="1"/>
  <c r="L1782" i="1"/>
  <c r="K1783" i="1"/>
  <c r="L1783" i="1"/>
  <c r="K1784" i="1"/>
  <c r="L1784" i="1"/>
  <c r="K1785" i="1"/>
  <c r="L1785" i="1"/>
  <c r="K1786" i="1"/>
  <c r="L1786" i="1"/>
  <c r="K1787" i="1"/>
  <c r="L1787" i="1"/>
  <c r="K1788" i="1"/>
  <c r="L1788" i="1"/>
  <c r="K1789" i="1"/>
  <c r="L1789" i="1"/>
  <c r="K1790" i="1"/>
  <c r="L1790" i="1"/>
  <c r="K1791" i="1"/>
  <c r="L1791" i="1"/>
  <c r="K1792" i="1"/>
  <c r="L1792" i="1"/>
  <c r="K1793" i="1"/>
  <c r="L1793" i="1"/>
  <c r="K1794" i="1"/>
  <c r="L1794" i="1"/>
  <c r="K1795" i="1"/>
  <c r="L1795" i="1"/>
  <c r="K1796" i="1"/>
  <c r="L1796" i="1"/>
  <c r="K1797" i="1"/>
  <c r="L1797" i="1"/>
  <c r="K1798" i="1"/>
  <c r="L1798" i="1"/>
  <c r="K1799" i="1"/>
  <c r="L1799" i="1"/>
  <c r="K1800" i="1"/>
  <c r="L1800" i="1"/>
  <c r="K1801" i="1"/>
  <c r="L1801" i="1"/>
  <c r="K1802" i="1"/>
  <c r="L1802" i="1"/>
  <c r="K1803" i="1"/>
  <c r="L1803" i="1"/>
  <c r="K1804" i="1"/>
  <c r="L1804" i="1"/>
  <c r="K1805" i="1"/>
  <c r="L1805" i="1"/>
  <c r="K1806" i="1"/>
  <c r="L1806" i="1"/>
  <c r="K1807" i="1"/>
  <c r="L1807" i="1"/>
  <c r="K1808" i="1"/>
  <c r="L1808" i="1"/>
  <c r="K1809" i="1"/>
  <c r="L1809" i="1"/>
  <c r="K1810" i="1"/>
  <c r="L1810" i="1"/>
  <c r="K1811" i="1"/>
  <c r="L1811" i="1"/>
  <c r="K1812" i="1"/>
  <c r="L1812" i="1"/>
  <c r="K1813" i="1"/>
  <c r="L1813" i="1"/>
  <c r="K1814" i="1"/>
  <c r="L1814" i="1"/>
  <c r="K1815" i="1"/>
  <c r="L1815" i="1"/>
  <c r="K1816" i="1"/>
  <c r="L1816" i="1"/>
  <c r="K1817" i="1"/>
  <c r="L1817" i="1"/>
  <c r="K1818" i="1"/>
  <c r="L1818" i="1"/>
  <c r="K1819" i="1"/>
  <c r="L1819" i="1"/>
  <c r="K1820" i="1"/>
  <c r="L1820" i="1"/>
  <c r="K1821" i="1"/>
  <c r="L1821" i="1"/>
  <c r="K1822" i="1"/>
  <c r="L1822" i="1"/>
  <c r="K1823" i="1"/>
  <c r="L1823" i="1"/>
  <c r="K1824" i="1"/>
  <c r="L1824" i="1"/>
  <c r="K1825" i="1"/>
  <c r="L1825" i="1"/>
  <c r="K1826" i="1"/>
  <c r="L1826" i="1"/>
  <c r="K1827" i="1"/>
  <c r="L1827" i="1"/>
  <c r="K1828" i="1"/>
  <c r="L1828" i="1"/>
  <c r="K1829" i="1"/>
  <c r="L1829" i="1"/>
  <c r="K1830" i="1"/>
  <c r="L1830" i="1"/>
  <c r="K1831" i="1"/>
  <c r="L1831" i="1"/>
  <c r="K1832" i="1"/>
  <c r="L1832" i="1"/>
  <c r="K1833" i="1"/>
  <c r="L1833" i="1"/>
  <c r="K1834" i="1"/>
  <c r="L1834" i="1"/>
  <c r="K1835" i="1"/>
  <c r="L1835" i="1"/>
  <c r="K1836" i="1"/>
  <c r="L1836" i="1"/>
  <c r="K1837" i="1"/>
  <c r="L1837" i="1"/>
  <c r="K1838" i="1"/>
  <c r="L1838" i="1"/>
  <c r="K1839" i="1"/>
  <c r="L1839" i="1"/>
  <c r="K1840" i="1"/>
  <c r="L1840" i="1"/>
  <c r="K1841" i="1"/>
  <c r="L1841" i="1"/>
  <c r="K1842" i="1"/>
  <c r="L1842" i="1"/>
  <c r="K1843" i="1"/>
  <c r="L1843" i="1"/>
  <c r="K1844" i="1"/>
  <c r="L1844" i="1"/>
  <c r="K1845" i="1"/>
  <c r="L1845" i="1"/>
  <c r="K1846" i="1"/>
  <c r="L1846" i="1"/>
  <c r="K1847" i="1"/>
  <c r="L1847" i="1"/>
  <c r="K1848" i="1"/>
  <c r="L1848" i="1"/>
  <c r="K1849" i="1"/>
  <c r="L1849" i="1"/>
  <c r="K1850" i="1"/>
  <c r="L1850" i="1"/>
  <c r="K1851" i="1"/>
  <c r="L1851" i="1"/>
  <c r="K1852" i="1"/>
  <c r="L1852" i="1"/>
  <c r="K1853" i="1"/>
  <c r="L1853" i="1"/>
  <c r="K1854" i="1"/>
  <c r="L1854" i="1"/>
  <c r="K1855" i="1"/>
  <c r="L1855" i="1"/>
  <c r="K1856" i="1"/>
  <c r="L1856" i="1"/>
  <c r="K1857" i="1"/>
  <c r="L1857" i="1"/>
  <c r="K1858" i="1"/>
  <c r="L1858" i="1"/>
  <c r="K1859" i="1"/>
  <c r="L1859" i="1"/>
  <c r="K1860" i="1"/>
  <c r="L1860" i="1"/>
  <c r="K1861" i="1"/>
  <c r="L1861" i="1"/>
  <c r="K1862" i="1"/>
  <c r="L1862" i="1"/>
  <c r="K1863" i="1"/>
  <c r="L1863" i="1"/>
  <c r="K1864" i="1"/>
  <c r="L1864" i="1"/>
  <c r="K1865" i="1"/>
  <c r="L1865" i="1"/>
  <c r="K1866" i="1"/>
  <c r="L1866" i="1"/>
  <c r="K1867" i="1"/>
  <c r="L1867" i="1"/>
  <c r="K1868" i="1"/>
  <c r="L1868" i="1"/>
  <c r="K1869" i="1"/>
  <c r="L1869" i="1"/>
  <c r="K1870" i="1"/>
  <c r="L1870" i="1"/>
  <c r="K1871" i="1"/>
  <c r="L1871" i="1"/>
  <c r="K1872" i="1"/>
  <c r="L1872" i="1"/>
  <c r="K1873" i="1"/>
  <c r="L1873" i="1"/>
  <c r="K1874" i="1"/>
  <c r="L1874" i="1"/>
  <c r="K1875" i="1"/>
  <c r="L1875" i="1"/>
  <c r="K1876" i="1"/>
  <c r="L1876" i="1"/>
  <c r="K1877" i="1"/>
  <c r="L1877" i="1"/>
  <c r="K1878" i="1"/>
  <c r="L1878" i="1"/>
  <c r="K1879" i="1"/>
  <c r="L1879" i="1"/>
  <c r="K1880" i="1"/>
  <c r="L1880" i="1"/>
  <c r="K1881" i="1"/>
  <c r="L1881" i="1"/>
  <c r="K1882" i="1"/>
  <c r="L1882" i="1"/>
  <c r="K1883" i="1"/>
  <c r="L1883" i="1"/>
  <c r="K1884" i="1"/>
  <c r="L1884" i="1"/>
  <c r="K1885" i="1"/>
  <c r="L1885" i="1"/>
  <c r="K1886" i="1"/>
  <c r="L1886" i="1"/>
  <c r="K1887" i="1"/>
  <c r="L1887" i="1"/>
  <c r="K1888" i="1"/>
  <c r="L1888" i="1"/>
  <c r="K1889" i="1"/>
  <c r="L1889" i="1"/>
  <c r="K1890" i="1"/>
  <c r="L1890" i="1"/>
  <c r="K1891" i="1"/>
  <c r="L1891" i="1"/>
  <c r="K1892" i="1"/>
  <c r="L1892" i="1"/>
  <c r="K1893" i="1"/>
  <c r="L1893" i="1"/>
  <c r="K1894" i="1"/>
  <c r="L1894" i="1"/>
  <c r="K1895" i="1"/>
  <c r="L1895" i="1"/>
  <c r="K1896" i="1"/>
  <c r="L1896" i="1"/>
  <c r="K1897" i="1"/>
  <c r="L1897" i="1"/>
  <c r="K1898" i="1"/>
  <c r="L1898" i="1"/>
  <c r="K1899" i="1"/>
  <c r="L1899" i="1"/>
  <c r="K1900" i="1"/>
  <c r="L1900" i="1"/>
  <c r="K1901" i="1"/>
  <c r="L1901" i="1"/>
  <c r="K1902" i="1"/>
  <c r="L1902" i="1"/>
  <c r="K1903" i="1"/>
  <c r="L1903" i="1"/>
  <c r="K1904" i="1"/>
  <c r="L1904" i="1"/>
  <c r="K1905" i="1"/>
  <c r="L1905" i="1"/>
  <c r="K1906" i="1"/>
  <c r="L1906" i="1"/>
  <c r="K1907" i="1"/>
  <c r="L1907" i="1"/>
  <c r="K1908" i="1"/>
  <c r="L1908" i="1"/>
  <c r="K1909" i="1"/>
  <c r="L1909" i="1"/>
  <c r="K1910" i="1"/>
  <c r="L1910" i="1"/>
  <c r="K1911" i="1"/>
  <c r="L1911" i="1"/>
  <c r="K1912" i="1"/>
  <c r="L1912" i="1"/>
  <c r="K1913" i="1"/>
  <c r="L1913" i="1"/>
  <c r="K1914" i="1"/>
  <c r="L1914" i="1"/>
  <c r="K1915" i="1"/>
  <c r="L1915" i="1"/>
  <c r="K1916" i="1"/>
  <c r="L1916" i="1"/>
  <c r="K1917" i="1"/>
  <c r="L1917" i="1"/>
  <c r="K1918" i="1"/>
  <c r="L1918" i="1"/>
  <c r="K1919" i="1"/>
  <c r="L1919" i="1"/>
  <c r="K1920" i="1"/>
  <c r="L1920" i="1"/>
  <c r="K1921" i="1"/>
  <c r="L1921" i="1"/>
  <c r="K1922" i="1"/>
  <c r="L1922" i="1"/>
  <c r="K1923" i="1"/>
  <c r="L1923" i="1"/>
  <c r="K1924" i="1"/>
  <c r="L1924" i="1"/>
  <c r="K1925" i="1"/>
  <c r="L1925" i="1"/>
  <c r="K1926" i="1"/>
  <c r="L1926" i="1"/>
  <c r="K1927" i="1"/>
  <c r="L1927" i="1"/>
  <c r="K1928" i="1"/>
  <c r="L1928" i="1"/>
  <c r="K1929" i="1"/>
  <c r="L1929" i="1"/>
  <c r="K1930" i="1"/>
  <c r="L1930" i="1"/>
  <c r="K1931" i="1"/>
  <c r="L1931" i="1"/>
  <c r="K1932" i="1"/>
  <c r="L1932" i="1"/>
  <c r="K1933" i="1"/>
  <c r="L1933" i="1"/>
  <c r="K1934" i="1"/>
  <c r="L1934" i="1"/>
  <c r="K1935" i="1"/>
  <c r="L1935" i="1"/>
  <c r="K1936" i="1"/>
  <c r="L1936" i="1"/>
  <c r="K1937" i="1"/>
  <c r="L1937" i="1"/>
  <c r="K1938" i="1"/>
  <c r="L1938" i="1"/>
  <c r="K1939" i="1"/>
  <c r="L1939" i="1"/>
  <c r="K1940" i="1"/>
  <c r="L1940" i="1"/>
  <c r="K1941" i="1"/>
  <c r="L1941" i="1"/>
  <c r="K1942" i="1"/>
  <c r="L1942" i="1"/>
  <c r="K1943" i="1"/>
  <c r="L1943" i="1"/>
  <c r="K1944" i="1"/>
  <c r="L1944" i="1"/>
  <c r="K1945" i="1"/>
  <c r="L1945" i="1"/>
  <c r="K1946" i="1"/>
  <c r="L1946" i="1"/>
  <c r="K1947" i="1"/>
  <c r="L1947" i="1"/>
  <c r="K1948" i="1"/>
  <c r="L1948" i="1"/>
  <c r="K1949" i="1"/>
  <c r="L1949" i="1"/>
  <c r="K1950" i="1"/>
  <c r="L1950" i="1"/>
  <c r="K1951" i="1"/>
  <c r="L1951" i="1"/>
  <c r="K1952" i="1"/>
  <c r="L1952" i="1"/>
  <c r="K1953" i="1"/>
  <c r="L1953" i="1"/>
  <c r="K1954" i="1"/>
  <c r="L1954" i="1"/>
  <c r="K1955" i="1"/>
  <c r="L1955" i="1"/>
  <c r="K1956" i="1"/>
  <c r="L1956" i="1"/>
  <c r="K1957" i="1"/>
  <c r="L1957" i="1"/>
  <c r="K1958" i="1"/>
  <c r="L1958" i="1"/>
  <c r="K1959" i="1"/>
  <c r="L1959" i="1"/>
  <c r="K1960" i="1"/>
  <c r="L1960" i="1"/>
  <c r="K1961" i="1"/>
  <c r="L1961" i="1"/>
  <c r="K1962" i="1"/>
  <c r="L1962" i="1"/>
  <c r="K1963" i="1"/>
  <c r="L1963" i="1"/>
  <c r="K1964" i="1"/>
  <c r="L1964" i="1"/>
  <c r="K1965" i="1"/>
  <c r="L1965" i="1"/>
  <c r="K1966" i="1"/>
  <c r="L1966" i="1"/>
  <c r="K1967" i="1"/>
  <c r="L1967" i="1"/>
  <c r="K1968" i="1"/>
  <c r="L1968" i="1"/>
  <c r="K1969" i="1"/>
  <c r="L1969" i="1"/>
  <c r="K1970" i="1"/>
  <c r="L1970" i="1"/>
  <c r="K1971" i="1"/>
  <c r="L1971" i="1"/>
  <c r="K1972" i="1"/>
  <c r="L1972" i="1"/>
  <c r="K1973" i="1"/>
  <c r="L1973" i="1"/>
  <c r="K1974" i="1"/>
  <c r="L1974" i="1"/>
  <c r="K1975" i="1"/>
  <c r="L1975" i="1"/>
  <c r="K1976" i="1"/>
  <c r="L1976" i="1"/>
  <c r="K1977" i="1"/>
  <c r="L1977" i="1"/>
  <c r="K1978" i="1"/>
  <c r="L1978" i="1"/>
  <c r="K1979" i="1"/>
  <c r="L1979" i="1"/>
  <c r="K1980" i="1"/>
  <c r="L1980" i="1"/>
  <c r="K1981" i="1"/>
  <c r="L1981" i="1"/>
  <c r="K1982" i="1"/>
  <c r="L1982" i="1"/>
  <c r="K1983" i="1"/>
  <c r="L1983" i="1"/>
  <c r="K1984" i="1"/>
  <c r="L1984" i="1"/>
  <c r="K1985" i="1"/>
  <c r="L1985" i="1"/>
  <c r="K1986" i="1"/>
  <c r="L1986" i="1"/>
  <c r="K1987" i="1"/>
  <c r="L1987" i="1"/>
  <c r="K1988" i="1"/>
  <c r="L1988" i="1"/>
  <c r="K1989" i="1"/>
  <c r="L1989" i="1"/>
  <c r="K1990" i="1"/>
  <c r="L1990" i="1"/>
  <c r="K1991" i="1"/>
  <c r="L1991" i="1"/>
  <c r="K1992" i="1"/>
  <c r="L1992" i="1"/>
  <c r="K1993" i="1"/>
  <c r="L1993" i="1"/>
  <c r="K1994" i="1"/>
  <c r="L1994" i="1"/>
  <c r="K1995" i="1"/>
  <c r="L1995" i="1"/>
  <c r="K1996" i="1"/>
  <c r="L1996" i="1"/>
  <c r="K1997" i="1"/>
  <c r="L1997" i="1"/>
  <c r="K1998" i="1"/>
  <c r="L1998" i="1"/>
  <c r="K1999" i="1"/>
  <c r="L1999" i="1"/>
  <c r="K2000" i="1"/>
  <c r="L2000" i="1"/>
  <c r="K2001" i="1"/>
  <c r="L2001" i="1"/>
  <c r="K2002" i="1"/>
  <c r="L2002" i="1"/>
  <c r="K2003" i="1"/>
  <c r="L2003" i="1"/>
  <c r="K2004" i="1"/>
  <c r="L2004" i="1"/>
  <c r="K2005" i="1"/>
  <c r="L2005" i="1"/>
  <c r="K2006" i="1"/>
  <c r="L2006" i="1"/>
  <c r="K2007" i="1"/>
  <c r="L2007" i="1"/>
  <c r="K2008" i="1"/>
  <c r="L2008" i="1"/>
  <c r="K2009" i="1"/>
  <c r="L2009" i="1"/>
  <c r="K2010" i="1"/>
  <c r="L2010" i="1"/>
  <c r="K2011" i="1"/>
  <c r="L2011" i="1"/>
  <c r="K2012" i="1"/>
  <c r="L2012" i="1"/>
  <c r="K2013" i="1"/>
  <c r="L2013" i="1"/>
  <c r="K2014" i="1"/>
  <c r="L2014" i="1"/>
  <c r="K2015" i="1"/>
  <c r="L2015" i="1"/>
  <c r="K2016" i="1"/>
  <c r="L2016" i="1"/>
  <c r="K2017" i="1"/>
  <c r="L2017" i="1"/>
  <c r="K2018" i="1"/>
  <c r="L2018" i="1"/>
  <c r="K2019" i="1"/>
  <c r="L2019" i="1"/>
  <c r="K2020" i="1"/>
  <c r="L2020" i="1"/>
  <c r="K2021" i="1"/>
  <c r="L2021" i="1"/>
  <c r="K2022" i="1"/>
  <c r="L2022" i="1"/>
  <c r="K2023" i="1"/>
  <c r="L2023" i="1"/>
  <c r="K2024" i="1"/>
  <c r="L2024" i="1"/>
  <c r="K2025" i="1"/>
  <c r="L2025" i="1"/>
  <c r="K2026" i="1"/>
  <c r="L2026" i="1"/>
  <c r="K2027" i="1"/>
  <c r="L2027" i="1"/>
  <c r="K2028" i="1"/>
  <c r="L2028" i="1"/>
  <c r="K2029" i="1"/>
  <c r="L2029" i="1"/>
  <c r="K2030" i="1"/>
  <c r="L2030" i="1"/>
  <c r="K2031" i="1"/>
  <c r="L2031" i="1"/>
  <c r="K2032" i="1"/>
  <c r="L2032" i="1"/>
  <c r="K2033" i="1"/>
  <c r="L2033" i="1"/>
  <c r="K2034" i="1"/>
  <c r="L2034" i="1"/>
  <c r="K2035" i="1"/>
  <c r="L2035" i="1"/>
  <c r="K2036" i="1"/>
  <c r="L2036" i="1"/>
  <c r="K2037" i="1"/>
  <c r="L2037" i="1"/>
  <c r="K2038" i="1"/>
  <c r="L2038" i="1"/>
  <c r="K2039" i="1"/>
  <c r="L2039" i="1"/>
  <c r="K2040" i="1"/>
  <c r="L2040" i="1"/>
  <c r="K2041" i="1"/>
  <c r="L2041" i="1"/>
  <c r="K2042" i="1"/>
  <c r="L2042" i="1"/>
  <c r="K2043" i="1"/>
  <c r="L2043" i="1"/>
  <c r="K2044" i="1"/>
  <c r="L2044" i="1"/>
  <c r="K2045" i="1"/>
  <c r="L2045" i="1"/>
  <c r="K2046" i="1"/>
  <c r="L2046" i="1"/>
  <c r="K2047" i="1"/>
  <c r="L2047" i="1"/>
  <c r="K2048" i="1"/>
  <c r="L2048" i="1"/>
  <c r="K2049" i="1"/>
  <c r="L2049" i="1"/>
  <c r="K2050" i="1"/>
  <c r="L2050" i="1"/>
  <c r="K2051" i="1"/>
  <c r="L2051" i="1"/>
  <c r="K2052" i="1"/>
  <c r="L2052" i="1"/>
  <c r="K2053" i="1"/>
  <c r="L2053" i="1"/>
  <c r="K2054" i="1"/>
  <c r="L2054" i="1"/>
  <c r="K2055" i="1"/>
  <c r="L2055" i="1"/>
  <c r="K2056" i="1"/>
  <c r="L2056" i="1"/>
  <c r="K2057" i="1"/>
  <c r="L2057" i="1"/>
  <c r="K2058" i="1"/>
  <c r="L2058" i="1"/>
  <c r="K2059" i="1"/>
  <c r="L2059" i="1"/>
  <c r="K2060" i="1"/>
  <c r="L2060" i="1"/>
  <c r="K2061" i="1"/>
  <c r="L2061" i="1"/>
  <c r="K2062" i="1"/>
  <c r="L2062" i="1"/>
  <c r="K2063" i="1"/>
  <c r="L2063" i="1"/>
  <c r="K2064" i="1"/>
  <c r="L2064" i="1"/>
  <c r="K2065" i="1"/>
  <c r="L2065" i="1"/>
  <c r="K2066" i="1"/>
  <c r="L2066" i="1"/>
  <c r="K2067" i="1"/>
  <c r="L2067" i="1"/>
  <c r="K2068" i="1"/>
  <c r="L2068" i="1"/>
  <c r="K2069" i="1"/>
  <c r="L2069" i="1"/>
  <c r="K2070" i="1"/>
  <c r="L2070" i="1"/>
  <c r="K2071" i="1"/>
  <c r="L2071" i="1"/>
  <c r="K2072" i="1"/>
  <c r="L2072" i="1"/>
  <c r="K2073" i="1"/>
  <c r="L2073" i="1"/>
  <c r="K2074" i="1"/>
  <c r="L2074" i="1"/>
  <c r="K2075" i="1"/>
  <c r="L2075" i="1"/>
  <c r="K2076" i="1"/>
  <c r="L2076" i="1"/>
  <c r="K2077" i="1"/>
  <c r="L2077" i="1"/>
  <c r="K2078" i="1"/>
  <c r="L2078" i="1"/>
  <c r="K2079" i="1"/>
  <c r="L2079" i="1"/>
  <c r="K2080" i="1"/>
  <c r="L2080" i="1"/>
  <c r="K2081" i="1"/>
  <c r="L2081" i="1"/>
  <c r="K2082" i="1"/>
  <c r="L2082" i="1"/>
  <c r="K2083" i="1"/>
  <c r="L2083" i="1"/>
  <c r="K2084" i="1"/>
  <c r="L2084" i="1"/>
  <c r="K2085" i="1"/>
  <c r="L2085" i="1"/>
  <c r="K2086" i="1"/>
  <c r="L2086" i="1"/>
  <c r="K2087" i="1"/>
  <c r="L2087" i="1"/>
  <c r="K2088" i="1"/>
  <c r="L2088" i="1"/>
  <c r="K2089" i="1"/>
  <c r="L2089" i="1"/>
  <c r="K2090" i="1"/>
  <c r="L2090" i="1"/>
  <c r="K2091" i="1"/>
  <c r="L2091" i="1"/>
  <c r="K2092" i="1"/>
  <c r="L2092" i="1"/>
  <c r="K2093" i="1"/>
  <c r="L2093" i="1"/>
  <c r="K2094" i="1"/>
  <c r="L2094" i="1"/>
  <c r="K2095" i="1"/>
  <c r="L2095" i="1"/>
  <c r="K2096" i="1"/>
  <c r="L2096" i="1"/>
  <c r="K2097" i="1"/>
  <c r="L2097" i="1"/>
  <c r="K2098" i="1"/>
  <c r="L2098" i="1"/>
  <c r="K2099" i="1"/>
  <c r="L2099" i="1"/>
  <c r="K2100" i="1"/>
  <c r="L2100" i="1"/>
  <c r="K2101" i="1"/>
  <c r="L2101" i="1"/>
  <c r="K2102" i="1"/>
  <c r="L2102" i="1"/>
  <c r="K2103" i="1"/>
  <c r="L2103" i="1"/>
  <c r="K2104" i="1"/>
  <c r="L2104" i="1"/>
  <c r="K2105" i="1"/>
  <c r="L2105" i="1"/>
  <c r="K2106" i="1"/>
  <c r="L2106" i="1"/>
  <c r="K2107" i="1"/>
  <c r="L2107" i="1"/>
  <c r="K2108" i="1"/>
  <c r="L2108" i="1"/>
  <c r="K2109" i="1"/>
  <c r="L2109" i="1"/>
  <c r="K2110" i="1"/>
  <c r="L2110" i="1"/>
  <c r="K2111" i="1"/>
  <c r="L2111" i="1"/>
  <c r="K2112" i="1"/>
  <c r="L2112" i="1"/>
  <c r="K2113" i="1"/>
  <c r="L2113" i="1"/>
  <c r="K2114" i="1"/>
  <c r="L2114" i="1"/>
  <c r="K2115" i="1"/>
  <c r="L2115" i="1"/>
  <c r="K2116" i="1"/>
  <c r="L2116" i="1"/>
  <c r="K2117" i="1"/>
  <c r="L2117" i="1"/>
  <c r="K2118" i="1"/>
  <c r="L2118" i="1"/>
  <c r="K2119" i="1"/>
  <c r="L2119" i="1"/>
  <c r="K2120" i="1"/>
  <c r="L2120" i="1"/>
  <c r="K2121" i="1"/>
  <c r="L2121" i="1"/>
  <c r="K2122" i="1"/>
  <c r="L2122" i="1"/>
  <c r="K2123" i="1"/>
  <c r="L2123" i="1"/>
  <c r="K2124" i="1"/>
  <c r="L2124" i="1"/>
  <c r="K2125" i="1"/>
  <c r="L2125" i="1"/>
  <c r="K2126" i="1"/>
  <c r="L2126" i="1"/>
  <c r="K2127" i="1"/>
  <c r="L2127" i="1"/>
  <c r="K2128" i="1"/>
  <c r="L2128" i="1"/>
  <c r="K2129" i="1"/>
  <c r="L2129" i="1"/>
  <c r="K2130" i="1"/>
  <c r="L2130" i="1"/>
  <c r="K2131" i="1"/>
  <c r="L2131" i="1"/>
  <c r="K2132" i="1"/>
  <c r="L2132" i="1"/>
  <c r="K2133" i="1"/>
  <c r="L2133" i="1"/>
  <c r="K2134" i="1"/>
  <c r="L2134" i="1"/>
  <c r="K2135" i="1"/>
  <c r="L2135" i="1"/>
  <c r="K2136" i="1"/>
  <c r="L2136" i="1"/>
  <c r="K2137" i="1"/>
  <c r="L2137" i="1"/>
  <c r="K2138" i="1"/>
  <c r="L2138" i="1"/>
  <c r="K2139" i="1"/>
  <c r="L2139" i="1"/>
  <c r="K2140" i="1"/>
  <c r="L2140" i="1"/>
  <c r="K2141" i="1"/>
  <c r="L2141" i="1"/>
  <c r="K2142" i="1"/>
  <c r="L2142" i="1"/>
  <c r="K2143" i="1"/>
  <c r="L2143" i="1"/>
  <c r="K2144" i="1"/>
  <c r="L2144" i="1"/>
  <c r="K2145" i="1"/>
  <c r="L2145" i="1"/>
  <c r="K2146" i="1"/>
  <c r="L2146" i="1"/>
  <c r="K2147" i="1"/>
  <c r="L2147" i="1"/>
  <c r="K2148" i="1"/>
  <c r="L2148" i="1"/>
  <c r="K2149" i="1"/>
  <c r="L2149" i="1"/>
  <c r="K2150" i="1"/>
  <c r="L2150" i="1"/>
  <c r="K2151" i="1"/>
  <c r="L2151" i="1"/>
  <c r="K2152" i="1"/>
  <c r="L2152" i="1"/>
  <c r="K2153" i="1"/>
  <c r="L2153" i="1"/>
  <c r="K2154" i="1"/>
  <c r="L2154" i="1"/>
  <c r="K2155" i="1"/>
  <c r="L2155" i="1"/>
  <c r="K2156" i="1"/>
  <c r="L2156" i="1"/>
  <c r="K2157" i="1"/>
  <c r="L2157" i="1"/>
  <c r="K2158" i="1"/>
  <c r="L2158" i="1"/>
  <c r="K2159" i="1"/>
  <c r="L2159" i="1"/>
  <c r="K2160" i="1"/>
  <c r="L2160" i="1"/>
  <c r="K2161" i="1"/>
  <c r="L2161" i="1"/>
  <c r="K2162" i="1"/>
  <c r="L2162" i="1"/>
  <c r="K2163" i="1"/>
  <c r="L2163" i="1"/>
  <c r="K2164" i="1"/>
  <c r="L2164" i="1"/>
  <c r="K2165" i="1"/>
  <c r="L2165" i="1"/>
  <c r="K2166" i="1"/>
  <c r="L2166" i="1"/>
  <c r="K2167" i="1"/>
  <c r="L2167" i="1"/>
  <c r="K2168" i="1"/>
  <c r="L2168" i="1"/>
  <c r="K2169" i="1"/>
  <c r="L2169" i="1"/>
  <c r="K2170" i="1"/>
  <c r="L2170" i="1"/>
  <c r="K2171" i="1"/>
  <c r="L2171" i="1"/>
  <c r="K2172" i="1"/>
  <c r="L2172" i="1"/>
  <c r="K2173" i="1"/>
  <c r="L2173" i="1"/>
  <c r="K2174" i="1"/>
  <c r="L2174" i="1"/>
  <c r="K2175" i="1"/>
  <c r="L2175" i="1"/>
  <c r="K2176" i="1"/>
  <c r="L2176" i="1"/>
  <c r="K2177" i="1"/>
  <c r="L2177" i="1"/>
  <c r="K2178" i="1"/>
  <c r="L2178" i="1"/>
  <c r="K2179" i="1"/>
  <c r="L2179" i="1"/>
  <c r="K2180" i="1"/>
  <c r="L2180" i="1"/>
  <c r="K2181" i="1"/>
  <c r="L2181" i="1"/>
  <c r="K2182" i="1"/>
  <c r="L2182" i="1"/>
  <c r="K2183" i="1"/>
  <c r="L2183" i="1"/>
  <c r="K2184" i="1"/>
  <c r="L2184" i="1"/>
  <c r="K2185" i="1"/>
  <c r="L2185" i="1"/>
  <c r="K2186" i="1"/>
  <c r="L2186" i="1"/>
  <c r="K2187" i="1"/>
  <c r="L2187" i="1"/>
  <c r="K2188" i="1"/>
  <c r="L2188" i="1"/>
  <c r="K2189" i="1"/>
  <c r="L2189" i="1"/>
  <c r="K2190" i="1"/>
  <c r="L2190" i="1"/>
  <c r="K2191" i="1"/>
  <c r="L2191" i="1"/>
  <c r="K2192" i="1"/>
  <c r="L2192" i="1"/>
  <c r="K2193" i="1"/>
  <c r="L2193" i="1"/>
  <c r="K2194" i="1"/>
  <c r="L2194" i="1"/>
  <c r="K2195" i="1"/>
  <c r="L2195" i="1"/>
  <c r="K2196" i="1"/>
  <c r="L2196" i="1"/>
  <c r="K2197" i="1"/>
  <c r="L2197" i="1"/>
  <c r="K2198" i="1"/>
  <c r="L2198" i="1"/>
  <c r="K2199" i="1"/>
  <c r="L2199" i="1"/>
  <c r="K2200" i="1"/>
  <c r="L2200" i="1"/>
  <c r="K2201" i="1"/>
  <c r="L2201" i="1"/>
  <c r="K2202" i="1"/>
  <c r="L2202" i="1"/>
  <c r="K2203" i="1"/>
  <c r="L2203" i="1"/>
  <c r="K2204" i="1"/>
  <c r="L2204" i="1"/>
  <c r="K2205" i="1"/>
  <c r="L2205" i="1"/>
  <c r="K2206" i="1"/>
  <c r="L2206" i="1"/>
  <c r="K2207" i="1"/>
  <c r="L2207" i="1"/>
  <c r="K2208" i="1"/>
  <c r="L2208" i="1"/>
  <c r="K2209" i="1"/>
  <c r="L2209" i="1"/>
  <c r="K2210" i="1"/>
  <c r="L2210" i="1"/>
  <c r="K2211" i="1"/>
  <c r="L2211" i="1"/>
  <c r="K2212" i="1"/>
  <c r="L2212" i="1"/>
  <c r="K2213" i="1"/>
  <c r="L2213" i="1"/>
  <c r="K2214" i="1"/>
  <c r="L2214" i="1"/>
  <c r="K2215" i="1"/>
  <c r="L2215" i="1"/>
  <c r="K2216" i="1"/>
  <c r="L2216" i="1"/>
  <c r="K2217" i="1"/>
  <c r="L2217" i="1"/>
  <c r="K2218" i="1"/>
  <c r="L2218" i="1"/>
  <c r="K2219" i="1"/>
  <c r="L2219" i="1"/>
  <c r="K2220" i="1"/>
  <c r="L2220" i="1"/>
  <c r="K2221" i="1"/>
  <c r="L2221" i="1"/>
  <c r="K2222" i="1"/>
  <c r="L2222" i="1"/>
  <c r="K2223" i="1"/>
  <c r="L2223" i="1"/>
  <c r="K2224" i="1"/>
  <c r="L2224" i="1"/>
  <c r="K2225" i="1"/>
  <c r="L2225" i="1"/>
  <c r="K2226" i="1"/>
  <c r="L2226" i="1"/>
  <c r="K2227" i="1"/>
  <c r="L2227" i="1"/>
  <c r="K2228" i="1"/>
  <c r="L2228" i="1"/>
  <c r="K2229" i="1"/>
  <c r="L2229" i="1"/>
  <c r="K2230" i="1"/>
  <c r="L2230" i="1"/>
  <c r="K2231" i="1"/>
  <c r="L2231" i="1"/>
  <c r="K2232" i="1"/>
  <c r="L2232" i="1"/>
  <c r="K2233" i="1"/>
  <c r="L2233" i="1"/>
  <c r="K2234" i="1"/>
  <c r="L2234" i="1"/>
  <c r="K2235" i="1"/>
  <c r="L2235" i="1"/>
  <c r="K2236" i="1"/>
  <c r="L2236" i="1"/>
  <c r="K2237" i="1"/>
  <c r="L2237" i="1"/>
  <c r="K2238" i="1"/>
  <c r="L2238" i="1"/>
  <c r="K2239" i="1"/>
  <c r="L2239" i="1"/>
  <c r="K2240" i="1"/>
  <c r="L2240" i="1"/>
  <c r="K2241" i="1"/>
  <c r="L2241" i="1"/>
  <c r="K2242" i="1"/>
  <c r="L2242" i="1"/>
  <c r="K2243" i="1"/>
  <c r="L2243" i="1"/>
  <c r="K2244" i="1"/>
  <c r="L2244" i="1"/>
  <c r="K2245" i="1"/>
  <c r="L2245" i="1"/>
  <c r="K2246" i="1"/>
  <c r="L2246" i="1"/>
  <c r="K2247" i="1"/>
  <c r="L2247" i="1"/>
  <c r="K2248" i="1"/>
  <c r="L2248" i="1"/>
  <c r="K2249" i="1"/>
  <c r="L2249" i="1"/>
  <c r="K2250" i="1"/>
  <c r="L2250" i="1"/>
  <c r="K2251" i="1"/>
  <c r="L2251" i="1"/>
  <c r="K2252" i="1"/>
  <c r="L2252" i="1"/>
  <c r="K2253" i="1"/>
  <c r="L2253" i="1"/>
  <c r="K2254" i="1"/>
  <c r="L2254" i="1"/>
  <c r="K2255" i="1"/>
  <c r="L2255" i="1"/>
  <c r="K2256" i="1"/>
  <c r="L2256" i="1"/>
  <c r="K2257" i="1"/>
  <c r="L2257" i="1"/>
  <c r="K2258" i="1"/>
  <c r="L2258" i="1"/>
  <c r="K2259" i="1"/>
  <c r="L2259" i="1"/>
  <c r="K2260" i="1"/>
  <c r="L2260" i="1"/>
  <c r="K2261" i="1"/>
  <c r="L2261" i="1"/>
  <c r="K2262" i="1"/>
  <c r="L2262" i="1"/>
  <c r="K2263" i="1"/>
  <c r="L2263" i="1"/>
  <c r="K2264" i="1"/>
  <c r="L2264" i="1"/>
  <c r="K2265" i="1"/>
  <c r="L2265" i="1"/>
  <c r="K2266" i="1"/>
  <c r="L2266" i="1"/>
  <c r="K2267" i="1"/>
  <c r="L2267" i="1"/>
  <c r="K2268" i="1"/>
  <c r="L2268" i="1"/>
  <c r="K2269" i="1"/>
  <c r="L2269" i="1"/>
  <c r="K2270" i="1"/>
  <c r="L2270" i="1"/>
  <c r="K2271" i="1"/>
  <c r="L2271" i="1"/>
  <c r="K2272" i="1"/>
  <c r="L2272" i="1"/>
  <c r="K2273" i="1"/>
  <c r="L2273" i="1"/>
  <c r="K2274" i="1"/>
  <c r="L2274" i="1"/>
  <c r="K2275" i="1"/>
  <c r="L2275" i="1"/>
  <c r="K2276" i="1"/>
  <c r="L2276" i="1"/>
  <c r="K2277" i="1"/>
  <c r="L2277" i="1"/>
  <c r="K2278" i="1"/>
  <c r="L2278" i="1"/>
  <c r="K2279" i="1"/>
  <c r="L2279" i="1"/>
  <c r="K2280" i="1"/>
  <c r="L2280" i="1"/>
  <c r="K2281" i="1"/>
  <c r="L2281" i="1"/>
  <c r="K2282" i="1"/>
  <c r="L2282" i="1"/>
  <c r="K2283" i="1"/>
  <c r="L2283" i="1"/>
  <c r="K2284" i="1"/>
  <c r="L2284" i="1"/>
  <c r="K2285" i="1"/>
  <c r="L2285" i="1"/>
  <c r="K2286" i="1"/>
  <c r="L2286" i="1"/>
  <c r="K2287" i="1"/>
  <c r="L2287" i="1"/>
  <c r="K2288" i="1"/>
  <c r="L2288" i="1"/>
  <c r="K2289" i="1"/>
  <c r="L2289" i="1"/>
  <c r="K2290" i="1"/>
  <c r="L2290" i="1"/>
  <c r="K2291" i="1"/>
  <c r="L2291" i="1"/>
  <c r="K2292" i="1"/>
  <c r="L2292" i="1"/>
  <c r="K2293" i="1"/>
  <c r="L2293" i="1"/>
  <c r="K2294" i="1"/>
  <c r="L2294" i="1"/>
  <c r="K2295" i="1"/>
  <c r="L2295" i="1"/>
  <c r="K2296" i="1"/>
  <c r="L2296" i="1"/>
  <c r="K2297" i="1"/>
  <c r="L2297" i="1"/>
  <c r="K2298" i="1"/>
  <c r="L2298" i="1"/>
  <c r="K2299" i="1"/>
  <c r="L2299" i="1"/>
  <c r="K2300" i="1"/>
  <c r="L2300" i="1"/>
  <c r="K2301" i="1"/>
  <c r="L2301" i="1"/>
  <c r="K2302" i="1"/>
  <c r="L2302" i="1"/>
  <c r="K2303" i="1"/>
  <c r="L2303" i="1"/>
  <c r="K2304" i="1"/>
  <c r="L2304" i="1"/>
  <c r="K2305" i="1"/>
  <c r="L2305" i="1"/>
  <c r="K2306" i="1"/>
  <c r="L2306" i="1"/>
  <c r="K2307" i="1"/>
  <c r="L2307" i="1"/>
  <c r="K2308" i="1"/>
  <c r="L2308" i="1"/>
  <c r="K2309" i="1"/>
  <c r="L2309" i="1"/>
  <c r="K2310" i="1"/>
  <c r="L2310" i="1"/>
  <c r="K2311" i="1"/>
  <c r="L2311" i="1"/>
  <c r="K2312" i="1"/>
  <c r="L2312" i="1"/>
  <c r="K2313" i="1"/>
  <c r="L2313" i="1"/>
  <c r="K2314" i="1"/>
  <c r="L2314" i="1"/>
  <c r="K2315" i="1"/>
  <c r="L2315" i="1"/>
  <c r="K2316" i="1"/>
  <c r="L2316" i="1"/>
  <c r="K2317" i="1"/>
  <c r="L2317" i="1"/>
  <c r="K2318" i="1"/>
  <c r="L2318" i="1"/>
  <c r="K2319" i="1"/>
  <c r="L2319" i="1"/>
  <c r="K2320" i="1"/>
  <c r="L2320" i="1"/>
  <c r="K2321" i="1"/>
  <c r="L2321" i="1"/>
  <c r="K2322" i="1"/>
  <c r="L2322" i="1"/>
  <c r="K2323" i="1"/>
  <c r="L2323" i="1"/>
  <c r="K2324" i="1"/>
  <c r="L2324" i="1"/>
  <c r="K2325" i="1"/>
  <c r="L2325" i="1"/>
  <c r="K2326" i="1"/>
  <c r="L2326" i="1"/>
  <c r="K2327" i="1"/>
  <c r="L2327" i="1"/>
  <c r="K2328" i="1"/>
  <c r="L2328" i="1"/>
  <c r="K2329" i="1"/>
  <c r="L2329" i="1"/>
  <c r="K2330" i="1"/>
  <c r="L2330" i="1"/>
  <c r="K2331" i="1"/>
  <c r="L2331" i="1"/>
  <c r="K2332" i="1"/>
  <c r="L2332" i="1"/>
  <c r="K2333" i="1"/>
  <c r="L2333" i="1"/>
  <c r="K2334" i="1"/>
  <c r="L2334" i="1"/>
  <c r="K2335" i="1"/>
  <c r="L2335" i="1"/>
  <c r="K2336" i="1"/>
  <c r="L2336" i="1"/>
  <c r="K2337" i="1"/>
  <c r="L2337" i="1"/>
  <c r="K2338" i="1"/>
  <c r="L2338" i="1"/>
  <c r="K2339" i="1"/>
  <c r="L2339" i="1"/>
  <c r="K2340" i="1"/>
  <c r="L2340" i="1"/>
  <c r="K2341" i="1"/>
  <c r="L2341" i="1"/>
  <c r="K2342" i="1"/>
  <c r="L2342" i="1"/>
  <c r="K2343" i="1"/>
  <c r="L2343" i="1"/>
  <c r="K2344" i="1"/>
  <c r="L2344" i="1"/>
  <c r="K2345" i="1"/>
  <c r="L2345" i="1"/>
  <c r="K2346" i="1"/>
  <c r="L2346" i="1"/>
  <c r="K2347" i="1"/>
  <c r="L2347" i="1"/>
  <c r="K2348" i="1"/>
  <c r="L2348" i="1"/>
  <c r="K2349" i="1"/>
  <c r="L2349" i="1"/>
  <c r="K2350" i="1"/>
  <c r="L2350" i="1"/>
  <c r="K2351" i="1"/>
  <c r="L2351" i="1"/>
  <c r="K2352" i="1"/>
  <c r="L2352" i="1"/>
  <c r="K2353" i="1"/>
  <c r="L2353" i="1"/>
  <c r="K2354" i="1"/>
  <c r="L2354" i="1"/>
  <c r="K2355" i="1"/>
  <c r="L2355" i="1"/>
  <c r="K2356" i="1"/>
  <c r="L2356" i="1"/>
  <c r="K2357" i="1"/>
  <c r="L2357" i="1"/>
  <c r="K2358" i="1"/>
  <c r="L2358" i="1"/>
  <c r="K2359" i="1"/>
  <c r="L2359" i="1"/>
  <c r="K2360" i="1"/>
  <c r="L2360" i="1"/>
  <c r="K2361" i="1"/>
  <c r="L2361" i="1"/>
  <c r="K2362" i="1"/>
  <c r="L2362" i="1"/>
  <c r="K2363" i="1"/>
  <c r="L2363" i="1"/>
  <c r="K2364" i="1"/>
  <c r="L2364" i="1"/>
  <c r="K2365" i="1"/>
  <c r="L2365" i="1"/>
  <c r="K2366" i="1"/>
  <c r="L2366" i="1"/>
  <c r="K2367" i="1"/>
  <c r="L2367" i="1"/>
  <c r="K2368" i="1"/>
  <c r="L2368" i="1"/>
  <c r="K2369" i="1"/>
  <c r="L2369" i="1"/>
  <c r="K2370" i="1"/>
  <c r="L2370" i="1"/>
  <c r="K2371" i="1"/>
  <c r="L2371" i="1"/>
  <c r="K2372" i="1"/>
  <c r="L2372" i="1"/>
  <c r="K2373" i="1"/>
  <c r="L2373" i="1"/>
  <c r="K2374" i="1"/>
  <c r="L2374" i="1"/>
  <c r="K2375" i="1"/>
  <c r="L2375" i="1"/>
  <c r="K2376" i="1"/>
  <c r="L2376" i="1"/>
  <c r="K2377" i="1"/>
  <c r="L2377" i="1"/>
  <c r="K2378" i="1"/>
  <c r="L2378" i="1"/>
  <c r="K2379" i="1"/>
  <c r="L2379" i="1"/>
  <c r="K2380" i="1"/>
  <c r="L2380" i="1"/>
  <c r="K2381" i="1"/>
  <c r="L2381" i="1"/>
  <c r="K2382" i="1"/>
  <c r="L2382" i="1"/>
  <c r="K2383" i="1"/>
  <c r="L2383" i="1"/>
  <c r="K2384" i="1"/>
  <c r="L2384" i="1"/>
  <c r="K2385" i="1"/>
  <c r="L2385" i="1"/>
  <c r="K2386" i="1"/>
  <c r="L2386" i="1"/>
  <c r="K2387" i="1"/>
  <c r="L2387" i="1"/>
  <c r="K2388" i="1"/>
  <c r="L2388" i="1"/>
  <c r="K2389" i="1"/>
  <c r="L2389" i="1"/>
  <c r="K2390" i="1"/>
  <c r="L2390" i="1"/>
  <c r="K2391" i="1"/>
  <c r="L2391" i="1"/>
  <c r="K2392" i="1"/>
  <c r="L2392" i="1"/>
  <c r="K2393" i="1"/>
  <c r="L2393" i="1"/>
  <c r="K2394" i="1"/>
  <c r="L2394" i="1"/>
  <c r="K2395" i="1"/>
  <c r="L2395" i="1"/>
  <c r="K2396" i="1"/>
  <c r="L2396" i="1"/>
  <c r="K2397" i="1"/>
  <c r="L2397" i="1"/>
  <c r="K2398" i="1"/>
  <c r="L2398" i="1"/>
  <c r="K2399" i="1"/>
  <c r="L2399" i="1"/>
  <c r="K2400" i="1"/>
  <c r="L2400" i="1"/>
  <c r="K2401" i="1"/>
  <c r="L2401" i="1"/>
  <c r="K2402" i="1"/>
  <c r="L2402" i="1"/>
  <c r="K2403" i="1"/>
  <c r="L2403" i="1"/>
  <c r="K2404" i="1"/>
  <c r="L2404" i="1"/>
  <c r="K2405" i="1"/>
  <c r="L2405" i="1"/>
  <c r="K2406" i="1"/>
  <c r="L2406" i="1"/>
  <c r="K2407" i="1"/>
  <c r="L2407" i="1"/>
  <c r="K2408" i="1"/>
  <c r="L2408" i="1"/>
  <c r="K2409" i="1"/>
  <c r="L2409" i="1"/>
  <c r="K2410" i="1"/>
  <c r="L2410" i="1"/>
  <c r="K2411" i="1"/>
  <c r="L2411" i="1"/>
  <c r="K2412" i="1"/>
  <c r="L2412" i="1"/>
  <c r="K2413" i="1"/>
  <c r="L2413" i="1"/>
  <c r="K2414" i="1"/>
  <c r="L2414" i="1"/>
  <c r="K2415" i="1"/>
  <c r="L2415" i="1"/>
  <c r="K2416" i="1"/>
  <c r="L2416" i="1"/>
  <c r="K2417" i="1"/>
  <c r="L2417" i="1"/>
  <c r="K2418" i="1"/>
  <c r="L2418" i="1"/>
  <c r="K2419" i="1"/>
  <c r="L2419" i="1"/>
  <c r="K2420" i="1"/>
  <c r="L2420" i="1"/>
  <c r="K2421" i="1"/>
  <c r="L2421" i="1"/>
  <c r="K2422" i="1"/>
  <c r="L2422" i="1"/>
  <c r="K2423" i="1"/>
  <c r="L2423" i="1"/>
  <c r="K2424" i="1"/>
  <c r="L2424" i="1"/>
  <c r="K2425" i="1"/>
  <c r="L2425" i="1"/>
  <c r="K2426" i="1"/>
  <c r="L2426" i="1"/>
  <c r="K2427" i="1"/>
  <c r="L2427" i="1"/>
  <c r="K2428" i="1"/>
  <c r="L2428" i="1"/>
  <c r="K2429" i="1"/>
  <c r="L2429" i="1"/>
  <c r="K2430" i="1"/>
  <c r="L2430" i="1"/>
  <c r="K2431" i="1"/>
  <c r="L2431" i="1"/>
  <c r="K2432" i="1"/>
  <c r="L2432" i="1"/>
  <c r="K2433" i="1"/>
  <c r="L2433" i="1"/>
  <c r="K2434" i="1"/>
  <c r="L2434" i="1"/>
  <c r="K2435" i="1"/>
  <c r="L2435" i="1"/>
  <c r="K2436" i="1"/>
  <c r="L2436" i="1"/>
  <c r="K2437" i="1"/>
  <c r="L2437" i="1"/>
  <c r="K2438" i="1"/>
  <c r="L2438" i="1"/>
  <c r="K2439" i="1"/>
  <c r="L2439" i="1"/>
  <c r="K2440" i="1"/>
  <c r="L2440" i="1"/>
  <c r="K2441" i="1"/>
  <c r="L2441" i="1"/>
  <c r="K2442" i="1"/>
  <c r="L2442" i="1"/>
  <c r="K2443" i="1"/>
  <c r="L2443" i="1"/>
  <c r="K2444" i="1"/>
  <c r="L2444" i="1"/>
  <c r="K2445" i="1"/>
  <c r="L2445" i="1"/>
  <c r="K2446" i="1"/>
  <c r="L2446" i="1"/>
  <c r="K2447" i="1"/>
  <c r="L2447" i="1"/>
  <c r="K2448" i="1"/>
  <c r="L2448" i="1"/>
  <c r="K2449" i="1"/>
  <c r="L2449" i="1"/>
  <c r="K2450" i="1"/>
  <c r="L2450" i="1"/>
  <c r="K2451" i="1"/>
  <c r="L2451" i="1"/>
  <c r="K2452" i="1"/>
  <c r="L2452" i="1"/>
  <c r="K2453" i="1"/>
  <c r="L2453" i="1"/>
  <c r="K2454" i="1"/>
  <c r="L2454" i="1"/>
  <c r="K2455" i="1"/>
  <c r="L2455" i="1"/>
  <c r="K2456" i="1"/>
  <c r="L2456" i="1"/>
  <c r="K2457" i="1"/>
  <c r="L2457" i="1"/>
  <c r="K2458" i="1"/>
  <c r="L2458" i="1"/>
  <c r="K2459" i="1"/>
  <c r="L2459" i="1"/>
  <c r="K2460" i="1"/>
  <c r="L2460" i="1"/>
  <c r="K2461" i="1"/>
  <c r="L2461" i="1"/>
  <c r="K2462" i="1"/>
  <c r="L2462" i="1"/>
  <c r="K2463" i="1"/>
  <c r="L2463" i="1"/>
  <c r="K2464" i="1"/>
  <c r="L2464" i="1"/>
  <c r="K2465" i="1"/>
  <c r="L2465" i="1"/>
  <c r="K2466" i="1"/>
  <c r="L2466" i="1"/>
  <c r="K2467" i="1"/>
  <c r="L2467" i="1"/>
  <c r="K2468" i="1"/>
  <c r="L2468" i="1"/>
  <c r="K2469" i="1"/>
  <c r="L2469" i="1"/>
  <c r="K2470" i="1"/>
  <c r="L2470" i="1"/>
  <c r="K2471" i="1"/>
  <c r="L2471" i="1"/>
  <c r="K2472" i="1"/>
  <c r="L2472" i="1"/>
  <c r="K2473" i="1"/>
  <c r="L2473" i="1"/>
  <c r="K2474" i="1"/>
  <c r="L2474" i="1"/>
  <c r="K2475" i="1"/>
  <c r="L2475" i="1"/>
  <c r="K2476" i="1"/>
  <c r="L2476" i="1"/>
  <c r="K2477" i="1"/>
  <c r="L2477" i="1"/>
  <c r="K2478" i="1"/>
  <c r="L2478" i="1"/>
  <c r="K2479" i="1"/>
  <c r="L2479" i="1"/>
  <c r="K2480" i="1"/>
  <c r="L2480" i="1"/>
  <c r="K2481" i="1"/>
  <c r="L2481" i="1"/>
  <c r="K2482" i="1"/>
  <c r="L2482" i="1"/>
  <c r="K2483" i="1"/>
  <c r="L2483" i="1"/>
  <c r="K2484" i="1"/>
  <c r="L2484" i="1"/>
  <c r="K2485" i="1"/>
  <c r="L2485" i="1"/>
  <c r="K2486" i="1"/>
  <c r="L2486" i="1"/>
  <c r="K2487" i="1"/>
  <c r="L2487" i="1"/>
  <c r="K2488" i="1"/>
  <c r="L2488" i="1"/>
  <c r="K2489" i="1"/>
  <c r="L2489" i="1"/>
  <c r="K2490" i="1"/>
  <c r="L2490" i="1"/>
  <c r="K2491" i="1"/>
  <c r="L2491" i="1"/>
  <c r="K2492" i="1"/>
  <c r="L2492" i="1"/>
  <c r="K2493" i="1"/>
  <c r="L2493" i="1"/>
  <c r="K2494" i="1"/>
  <c r="L2494" i="1"/>
  <c r="K2495" i="1"/>
  <c r="L2495" i="1"/>
  <c r="K2496" i="1"/>
  <c r="L2496" i="1"/>
  <c r="K2497" i="1"/>
  <c r="L2497" i="1"/>
  <c r="K2498" i="1"/>
  <c r="L2498" i="1"/>
  <c r="K2499" i="1"/>
  <c r="L2499" i="1"/>
  <c r="K2500" i="1"/>
  <c r="L2500" i="1"/>
  <c r="K2501" i="1"/>
  <c r="L2501" i="1"/>
  <c r="K2502" i="1"/>
  <c r="L2502" i="1"/>
  <c r="K2503" i="1"/>
  <c r="L2503" i="1"/>
  <c r="K2504" i="1"/>
  <c r="L2504" i="1"/>
  <c r="K2505" i="1"/>
  <c r="L2505" i="1"/>
  <c r="K2506" i="1"/>
  <c r="L2506" i="1"/>
  <c r="K2507" i="1"/>
  <c r="L2507" i="1"/>
  <c r="K2508" i="1"/>
  <c r="L2508" i="1"/>
  <c r="K2509" i="1"/>
  <c r="L2509" i="1"/>
  <c r="K2510" i="1"/>
  <c r="L2510" i="1"/>
  <c r="K2511" i="1"/>
  <c r="L2511" i="1"/>
  <c r="K2512" i="1"/>
  <c r="L2512" i="1"/>
  <c r="K2513" i="1"/>
  <c r="L2513" i="1"/>
  <c r="K2514" i="1"/>
  <c r="L2514" i="1"/>
  <c r="K2515" i="1"/>
  <c r="L2515" i="1"/>
  <c r="K2516" i="1"/>
  <c r="L2516" i="1"/>
  <c r="K2517" i="1"/>
  <c r="L2517" i="1"/>
  <c r="K2518" i="1"/>
  <c r="L2518" i="1"/>
  <c r="K2519" i="1"/>
  <c r="L2519" i="1"/>
  <c r="K2520" i="1"/>
  <c r="L2520" i="1"/>
  <c r="K2521" i="1"/>
  <c r="L2521" i="1"/>
  <c r="K2522" i="1"/>
  <c r="L2522" i="1"/>
  <c r="K2523" i="1"/>
  <c r="L2523" i="1"/>
  <c r="K2524" i="1"/>
  <c r="L2524" i="1"/>
  <c r="K2525" i="1"/>
  <c r="L2525" i="1"/>
  <c r="K2526" i="1"/>
  <c r="L2526" i="1"/>
  <c r="K2527" i="1"/>
  <c r="L2527" i="1"/>
  <c r="K2528" i="1"/>
  <c r="L2528" i="1"/>
  <c r="K2529" i="1"/>
  <c r="L2529" i="1"/>
  <c r="K2530" i="1"/>
  <c r="L2530" i="1"/>
  <c r="K2531" i="1"/>
  <c r="L2531" i="1"/>
  <c r="K2532" i="1"/>
  <c r="L2532" i="1"/>
  <c r="K2533" i="1"/>
  <c r="L2533" i="1"/>
  <c r="K2534" i="1"/>
  <c r="L2534" i="1"/>
  <c r="K2535" i="1"/>
  <c r="L2535" i="1"/>
  <c r="K2536" i="1"/>
  <c r="L2536" i="1"/>
  <c r="K2537" i="1"/>
  <c r="L2537" i="1"/>
  <c r="K2538" i="1"/>
  <c r="L2538" i="1"/>
  <c r="K2539" i="1"/>
  <c r="L2539" i="1"/>
  <c r="K2540" i="1"/>
  <c r="L2540" i="1"/>
  <c r="K2541" i="1"/>
  <c r="L2541" i="1"/>
  <c r="K2542" i="1"/>
  <c r="L2542" i="1"/>
  <c r="K2543" i="1"/>
  <c r="L2543" i="1"/>
  <c r="K2544" i="1"/>
  <c r="L2544" i="1"/>
  <c r="K2545" i="1"/>
  <c r="L2545" i="1"/>
  <c r="K2546" i="1"/>
  <c r="L2546" i="1"/>
  <c r="K2547" i="1"/>
  <c r="L2547" i="1"/>
  <c r="K2548" i="1"/>
  <c r="L2548" i="1"/>
  <c r="K2549" i="1"/>
  <c r="L2549" i="1"/>
  <c r="K2550" i="1"/>
  <c r="L2550" i="1"/>
  <c r="K2551" i="1"/>
  <c r="L2551" i="1"/>
  <c r="K2552" i="1"/>
  <c r="L2552" i="1"/>
  <c r="K2553" i="1"/>
  <c r="L2553" i="1"/>
  <c r="K2554" i="1"/>
  <c r="L2554" i="1"/>
  <c r="K2555" i="1"/>
  <c r="L2555" i="1"/>
  <c r="K2556" i="1"/>
  <c r="L2556" i="1"/>
  <c r="K2557" i="1"/>
  <c r="L2557" i="1"/>
  <c r="K2558" i="1"/>
  <c r="L2558" i="1"/>
  <c r="K2559" i="1"/>
  <c r="L2559" i="1"/>
  <c r="K2560" i="1"/>
  <c r="L2560" i="1"/>
  <c r="K2561" i="1"/>
  <c r="L2561" i="1"/>
  <c r="K2562" i="1"/>
  <c r="L2562" i="1"/>
  <c r="K2563" i="1"/>
  <c r="L2563" i="1"/>
  <c r="K2564" i="1"/>
  <c r="L2564" i="1"/>
  <c r="K2565" i="1"/>
  <c r="L2565" i="1"/>
  <c r="K2566" i="1"/>
  <c r="L2566" i="1"/>
  <c r="K2567" i="1"/>
  <c r="L2567" i="1"/>
  <c r="K2568" i="1"/>
  <c r="L2568" i="1"/>
  <c r="K2569" i="1"/>
  <c r="L2569" i="1"/>
  <c r="K2570" i="1"/>
  <c r="L2570" i="1"/>
  <c r="K2571" i="1"/>
  <c r="L2571" i="1"/>
  <c r="K2572" i="1"/>
  <c r="L2572" i="1"/>
  <c r="K2573" i="1"/>
  <c r="L2573" i="1"/>
  <c r="K2574" i="1"/>
  <c r="L2574" i="1"/>
  <c r="K2575" i="1"/>
  <c r="L2575" i="1"/>
  <c r="K2576" i="1"/>
  <c r="L2576" i="1"/>
  <c r="K2577" i="1"/>
  <c r="L2577" i="1"/>
  <c r="K2578" i="1"/>
  <c r="L2578" i="1"/>
  <c r="K2579" i="1"/>
  <c r="L2579" i="1"/>
  <c r="K2580" i="1"/>
  <c r="L2580" i="1"/>
  <c r="K2581" i="1"/>
  <c r="L2581" i="1"/>
  <c r="K2582" i="1"/>
  <c r="L2582" i="1"/>
  <c r="K2583" i="1"/>
  <c r="L2583" i="1"/>
  <c r="K2584" i="1"/>
  <c r="L2584" i="1"/>
  <c r="K2585" i="1"/>
  <c r="L2585" i="1"/>
  <c r="K2586" i="1"/>
  <c r="L2586" i="1"/>
  <c r="K2587" i="1"/>
  <c r="L2587" i="1"/>
  <c r="K2588" i="1"/>
  <c r="L2588" i="1"/>
  <c r="K2589" i="1"/>
  <c r="L2589" i="1"/>
  <c r="K2590" i="1"/>
  <c r="L2590" i="1"/>
  <c r="K2591" i="1"/>
  <c r="L2591" i="1"/>
  <c r="K2592" i="1"/>
  <c r="L2592" i="1"/>
  <c r="K2593" i="1"/>
  <c r="L2593" i="1"/>
  <c r="K2594" i="1"/>
  <c r="L2594" i="1"/>
  <c r="K2595" i="1"/>
  <c r="L2595" i="1"/>
  <c r="K2596" i="1"/>
  <c r="L2596" i="1"/>
  <c r="K2597" i="1"/>
  <c r="L2597" i="1"/>
  <c r="K2598" i="1"/>
  <c r="L2598" i="1"/>
  <c r="K2599" i="1"/>
  <c r="L2599" i="1"/>
  <c r="K2600" i="1"/>
  <c r="L2600" i="1"/>
  <c r="K2601" i="1"/>
  <c r="L2601" i="1"/>
  <c r="K2602" i="1"/>
  <c r="L2602" i="1"/>
  <c r="K2603" i="1"/>
  <c r="L2603" i="1"/>
  <c r="K2604" i="1"/>
  <c r="L2604" i="1"/>
  <c r="K2605" i="1"/>
  <c r="L2605" i="1"/>
  <c r="K2606" i="1"/>
  <c r="L2606" i="1"/>
  <c r="K2607" i="1"/>
  <c r="L2607" i="1"/>
  <c r="K2608" i="1"/>
  <c r="L2608" i="1"/>
  <c r="K2609" i="1"/>
  <c r="L2609" i="1"/>
  <c r="K2610" i="1"/>
  <c r="L2610" i="1"/>
  <c r="K2611" i="1"/>
  <c r="L2611" i="1"/>
  <c r="K2612" i="1"/>
  <c r="L2612" i="1"/>
  <c r="K2613" i="1"/>
  <c r="L2613" i="1"/>
  <c r="K2614" i="1"/>
  <c r="L2614" i="1"/>
  <c r="K2615" i="1"/>
  <c r="L2615" i="1"/>
  <c r="K2616" i="1"/>
  <c r="L2616" i="1"/>
  <c r="K2617" i="1"/>
  <c r="L2617" i="1"/>
  <c r="K2618" i="1"/>
  <c r="L2618" i="1"/>
  <c r="K2619" i="1"/>
  <c r="L2619" i="1"/>
  <c r="K2620" i="1"/>
  <c r="L2620" i="1"/>
  <c r="K2621" i="1"/>
  <c r="L2621" i="1"/>
  <c r="K2622" i="1"/>
  <c r="L2622" i="1"/>
  <c r="K2623" i="1"/>
  <c r="L2623" i="1"/>
  <c r="K2624" i="1"/>
  <c r="L2624" i="1"/>
  <c r="K2625" i="1"/>
  <c r="L2625" i="1"/>
  <c r="K2626" i="1"/>
  <c r="L2626" i="1"/>
  <c r="K2627" i="1"/>
  <c r="L2627" i="1"/>
  <c r="K2628" i="1"/>
  <c r="L2628" i="1"/>
  <c r="K2629" i="1"/>
  <c r="L2629" i="1"/>
  <c r="K2630" i="1"/>
  <c r="L2630" i="1"/>
  <c r="K2631" i="1"/>
  <c r="L2631" i="1"/>
  <c r="K2632" i="1"/>
  <c r="L2632" i="1"/>
  <c r="K2633" i="1"/>
  <c r="L2633" i="1"/>
  <c r="K2634" i="1"/>
  <c r="L2634" i="1"/>
  <c r="K2635" i="1"/>
  <c r="L2635" i="1"/>
  <c r="K2636" i="1"/>
  <c r="L2636" i="1"/>
  <c r="K2637" i="1"/>
  <c r="L2637" i="1"/>
  <c r="K2638" i="1"/>
  <c r="L2638" i="1"/>
  <c r="K2639" i="1"/>
  <c r="L2639" i="1"/>
  <c r="K2640" i="1"/>
  <c r="L2640" i="1"/>
  <c r="K2641" i="1"/>
  <c r="L2641" i="1"/>
  <c r="K2642" i="1"/>
  <c r="L2642" i="1"/>
  <c r="K2643" i="1"/>
  <c r="L2643" i="1"/>
  <c r="K2644" i="1"/>
  <c r="L2644" i="1"/>
  <c r="K2645" i="1"/>
  <c r="L2645" i="1"/>
  <c r="K2646" i="1"/>
  <c r="L2646" i="1"/>
  <c r="K2647" i="1"/>
  <c r="L2647" i="1"/>
  <c r="K2648" i="1"/>
  <c r="L2648" i="1"/>
  <c r="K2649" i="1"/>
  <c r="L2649" i="1"/>
  <c r="K2650" i="1"/>
  <c r="L2650" i="1"/>
  <c r="K2651" i="1"/>
  <c r="L2651" i="1"/>
  <c r="K2652" i="1"/>
  <c r="L2652" i="1"/>
  <c r="K2653" i="1"/>
  <c r="L2653" i="1"/>
  <c r="K2654" i="1"/>
  <c r="L2654" i="1"/>
  <c r="K2655" i="1"/>
  <c r="L2655" i="1"/>
  <c r="K2656" i="1"/>
  <c r="L2656" i="1"/>
  <c r="K2657" i="1"/>
  <c r="L2657" i="1"/>
  <c r="K2658" i="1"/>
  <c r="L2658" i="1"/>
  <c r="K2659" i="1"/>
  <c r="L2659" i="1"/>
  <c r="K2660" i="1"/>
  <c r="L2660" i="1"/>
  <c r="K2661" i="1"/>
  <c r="L2661" i="1"/>
  <c r="K2662" i="1"/>
  <c r="L2662" i="1"/>
  <c r="K2663" i="1"/>
  <c r="L2663" i="1"/>
  <c r="K2664" i="1"/>
  <c r="L2664" i="1"/>
  <c r="K2665" i="1"/>
  <c r="L2665" i="1"/>
  <c r="K2666" i="1"/>
  <c r="L2666" i="1"/>
  <c r="K2667" i="1"/>
  <c r="L2667" i="1"/>
  <c r="K2668" i="1"/>
  <c r="L2668" i="1"/>
  <c r="K2669" i="1"/>
  <c r="L2669" i="1"/>
  <c r="K2670" i="1"/>
  <c r="L2670" i="1"/>
  <c r="K2671" i="1"/>
  <c r="L2671" i="1"/>
  <c r="K2672" i="1"/>
  <c r="L2672" i="1"/>
  <c r="K2673" i="1"/>
  <c r="L2673" i="1"/>
  <c r="K2674" i="1"/>
  <c r="L2674" i="1"/>
  <c r="K2675" i="1"/>
  <c r="L2675" i="1"/>
  <c r="K2676" i="1"/>
  <c r="L2676" i="1"/>
  <c r="K2677" i="1"/>
  <c r="L2677" i="1"/>
  <c r="K2678" i="1"/>
  <c r="L2678" i="1"/>
  <c r="K2679" i="1"/>
  <c r="L2679" i="1"/>
  <c r="K2680" i="1"/>
  <c r="L2680" i="1"/>
  <c r="K2681" i="1"/>
  <c r="L2681" i="1"/>
  <c r="K2682" i="1"/>
  <c r="L2682" i="1"/>
  <c r="K2683" i="1"/>
  <c r="L2683" i="1"/>
  <c r="K2684" i="1"/>
  <c r="L2684" i="1"/>
  <c r="K2685" i="1"/>
  <c r="L2685" i="1"/>
  <c r="K2686" i="1"/>
  <c r="L2686" i="1"/>
  <c r="K2687" i="1"/>
  <c r="L2687" i="1"/>
  <c r="K2688" i="1"/>
  <c r="L2688" i="1"/>
  <c r="K2689" i="1"/>
  <c r="L2689" i="1"/>
  <c r="K2690" i="1"/>
  <c r="L2690" i="1"/>
  <c r="K2691" i="1"/>
  <c r="L2691" i="1"/>
  <c r="K2692" i="1"/>
  <c r="L2692" i="1"/>
  <c r="K2693" i="1"/>
  <c r="L2693" i="1"/>
  <c r="K2694" i="1"/>
  <c r="L2694" i="1"/>
  <c r="K2695" i="1"/>
  <c r="L2695" i="1"/>
  <c r="K2696" i="1"/>
  <c r="L2696" i="1"/>
  <c r="K2697" i="1"/>
  <c r="L2697" i="1"/>
  <c r="K2698" i="1"/>
  <c r="L2698" i="1"/>
  <c r="K2699" i="1"/>
  <c r="L2699" i="1"/>
  <c r="K2700" i="1"/>
  <c r="L2700" i="1"/>
  <c r="K2701" i="1"/>
  <c r="L2701" i="1"/>
  <c r="K2702" i="1"/>
  <c r="L2702" i="1"/>
  <c r="K2703" i="1"/>
  <c r="L2703" i="1"/>
  <c r="K2704" i="1"/>
  <c r="L2704" i="1"/>
  <c r="K2705" i="1"/>
  <c r="L2705" i="1"/>
  <c r="K2706" i="1"/>
  <c r="L2706" i="1"/>
  <c r="K2707" i="1"/>
  <c r="L2707" i="1"/>
  <c r="K2708" i="1"/>
  <c r="L2708" i="1"/>
  <c r="K2709" i="1"/>
  <c r="L2709" i="1"/>
  <c r="K2710" i="1"/>
  <c r="L2710" i="1"/>
  <c r="K2711" i="1"/>
  <c r="L2711" i="1"/>
  <c r="K2712" i="1"/>
  <c r="L2712" i="1"/>
  <c r="K2713" i="1"/>
  <c r="L2713" i="1"/>
  <c r="K2714" i="1"/>
  <c r="L2714" i="1"/>
  <c r="K2715" i="1"/>
  <c r="L2715" i="1"/>
  <c r="K2716" i="1"/>
  <c r="L2716" i="1"/>
  <c r="K2717" i="1"/>
  <c r="L2717" i="1"/>
  <c r="K2718" i="1"/>
  <c r="L2718" i="1"/>
  <c r="K2719" i="1"/>
  <c r="L2719" i="1"/>
  <c r="K2720" i="1"/>
  <c r="L2720" i="1"/>
  <c r="K2721" i="1"/>
  <c r="L2721" i="1"/>
  <c r="K2722" i="1"/>
  <c r="L2722" i="1"/>
  <c r="K2723" i="1"/>
  <c r="L2723" i="1"/>
  <c r="K2724" i="1"/>
  <c r="L2724" i="1"/>
  <c r="K2725" i="1"/>
  <c r="L2725" i="1"/>
  <c r="K2726" i="1"/>
  <c r="L2726" i="1"/>
  <c r="K2727" i="1"/>
  <c r="L2727" i="1"/>
  <c r="K2728" i="1"/>
  <c r="L2728" i="1"/>
  <c r="K2729" i="1"/>
  <c r="L2729" i="1"/>
  <c r="K2730" i="1"/>
  <c r="L2730" i="1"/>
  <c r="K2731" i="1"/>
  <c r="L2731" i="1"/>
  <c r="K2732" i="1"/>
  <c r="L2732" i="1"/>
  <c r="K2733" i="1"/>
  <c r="L2733" i="1"/>
  <c r="K2734" i="1"/>
  <c r="L2734" i="1"/>
  <c r="K2735" i="1"/>
  <c r="L2735" i="1"/>
  <c r="K2736" i="1"/>
  <c r="L2736" i="1"/>
  <c r="K2737" i="1"/>
  <c r="L2737" i="1"/>
  <c r="K2738" i="1"/>
  <c r="L2738" i="1"/>
  <c r="K2739" i="1"/>
  <c r="L2739" i="1"/>
  <c r="K2740" i="1"/>
  <c r="L2740" i="1"/>
  <c r="K2741" i="1"/>
  <c r="L2741" i="1"/>
  <c r="K2742" i="1"/>
  <c r="L2742" i="1"/>
  <c r="K2743" i="1"/>
  <c r="L2743" i="1"/>
  <c r="K2744" i="1"/>
  <c r="L2744" i="1"/>
  <c r="K2745" i="1"/>
  <c r="L2745" i="1"/>
  <c r="K2746" i="1"/>
  <c r="L2746" i="1"/>
  <c r="K2747" i="1"/>
  <c r="L2747" i="1"/>
  <c r="K2748" i="1"/>
  <c r="L2748" i="1"/>
  <c r="K2749" i="1"/>
  <c r="L2749" i="1"/>
  <c r="K2750" i="1"/>
  <c r="L2750" i="1"/>
  <c r="K2751" i="1"/>
  <c r="L2751" i="1"/>
  <c r="K2752" i="1"/>
  <c r="L2752" i="1"/>
  <c r="K2753" i="1"/>
  <c r="L2753" i="1"/>
  <c r="K2754" i="1"/>
  <c r="L2754" i="1"/>
  <c r="K2755" i="1"/>
  <c r="L2755" i="1"/>
  <c r="K2756" i="1"/>
  <c r="L2756" i="1"/>
  <c r="K2757" i="1"/>
  <c r="L2757" i="1"/>
  <c r="K2758" i="1"/>
  <c r="L2758" i="1"/>
  <c r="K2759" i="1"/>
  <c r="L2759" i="1"/>
  <c r="K2760" i="1"/>
  <c r="L2760" i="1"/>
  <c r="K2761" i="1"/>
  <c r="L2761" i="1"/>
  <c r="K2762" i="1"/>
  <c r="L2762" i="1"/>
  <c r="K2763" i="1"/>
  <c r="L2763" i="1"/>
  <c r="K2764" i="1"/>
  <c r="L2764" i="1"/>
  <c r="K2765" i="1"/>
  <c r="L2765" i="1"/>
  <c r="K2766" i="1"/>
  <c r="L2766" i="1"/>
  <c r="K2767" i="1"/>
  <c r="L2767" i="1"/>
  <c r="K2768" i="1"/>
  <c r="L2768" i="1"/>
  <c r="K2769" i="1"/>
  <c r="L2769" i="1"/>
  <c r="K2770" i="1"/>
  <c r="L2770" i="1"/>
  <c r="K2771" i="1"/>
  <c r="L2771" i="1"/>
  <c r="K2772" i="1"/>
  <c r="L2772" i="1"/>
  <c r="K2773" i="1"/>
  <c r="L2773" i="1"/>
  <c r="K2774" i="1"/>
  <c r="L2774" i="1"/>
  <c r="K2775" i="1"/>
  <c r="L2775" i="1"/>
  <c r="K2776" i="1"/>
  <c r="L2776" i="1"/>
  <c r="K2777" i="1"/>
  <c r="L2777" i="1"/>
  <c r="K2778" i="1"/>
  <c r="L2778" i="1"/>
  <c r="K2779" i="1"/>
  <c r="L2779" i="1"/>
  <c r="K2780" i="1"/>
  <c r="L2780" i="1"/>
  <c r="K2781" i="1"/>
  <c r="L2781" i="1"/>
  <c r="K2782" i="1"/>
  <c r="L2782" i="1"/>
  <c r="K2783" i="1"/>
  <c r="L2783" i="1"/>
  <c r="K2784" i="1"/>
  <c r="L2784" i="1"/>
  <c r="K2785" i="1"/>
  <c r="L2785" i="1"/>
  <c r="K2786" i="1"/>
  <c r="L2786" i="1"/>
  <c r="K2787" i="1"/>
  <c r="L2787" i="1"/>
  <c r="K2788" i="1"/>
  <c r="L2788" i="1"/>
  <c r="K2789" i="1"/>
  <c r="L2789" i="1"/>
  <c r="K2790" i="1"/>
  <c r="L2790" i="1"/>
  <c r="K2791" i="1"/>
  <c r="L2791" i="1"/>
  <c r="K2792" i="1"/>
  <c r="L2792" i="1"/>
  <c r="K2793" i="1"/>
  <c r="L2793" i="1"/>
  <c r="K2794" i="1"/>
  <c r="L2794" i="1"/>
  <c r="K2795" i="1"/>
  <c r="L2795" i="1"/>
  <c r="K2796" i="1"/>
  <c r="L2796" i="1"/>
  <c r="K2797" i="1"/>
  <c r="L2797" i="1"/>
  <c r="K2798" i="1"/>
  <c r="L2798" i="1"/>
  <c r="K2799" i="1"/>
  <c r="L2799" i="1"/>
  <c r="K2800" i="1"/>
  <c r="L2800" i="1"/>
  <c r="K2801" i="1"/>
  <c r="L2801" i="1"/>
  <c r="K2802" i="1"/>
  <c r="L2802" i="1"/>
  <c r="K2803" i="1"/>
  <c r="L2803" i="1"/>
  <c r="K2804" i="1"/>
  <c r="L2804" i="1"/>
  <c r="K2805" i="1"/>
  <c r="L2805" i="1"/>
  <c r="K2806" i="1"/>
  <c r="L2806" i="1"/>
  <c r="K2807" i="1"/>
  <c r="L2807" i="1"/>
  <c r="K2808" i="1"/>
  <c r="L2808" i="1"/>
  <c r="K2809" i="1"/>
  <c r="L2809" i="1"/>
  <c r="K2810" i="1"/>
  <c r="L2810" i="1"/>
  <c r="K2811" i="1"/>
  <c r="L2811" i="1"/>
  <c r="K2812" i="1"/>
  <c r="L2812" i="1"/>
  <c r="K2813" i="1"/>
  <c r="L2813" i="1"/>
  <c r="K2814" i="1"/>
  <c r="L2814" i="1"/>
  <c r="K2815" i="1"/>
  <c r="L2815" i="1"/>
  <c r="K2816" i="1"/>
  <c r="L2816" i="1"/>
  <c r="K2817" i="1"/>
  <c r="L2817" i="1"/>
  <c r="K2818" i="1"/>
  <c r="L2818" i="1"/>
  <c r="K2819" i="1"/>
  <c r="L2819" i="1"/>
  <c r="K2820" i="1"/>
  <c r="L2820" i="1"/>
  <c r="K2821" i="1"/>
  <c r="L2821" i="1"/>
  <c r="K2822" i="1"/>
  <c r="L2822" i="1"/>
  <c r="K2823" i="1"/>
  <c r="L2823" i="1"/>
  <c r="K2824" i="1"/>
  <c r="L2824" i="1"/>
  <c r="K2825" i="1"/>
  <c r="L2825" i="1"/>
  <c r="K2826" i="1"/>
  <c r="L2826" i="1"/>
  <c r="K2827" i="1"/>
  <c r="L2827" i="1"/>
  <c r="K2828" i="1"/>
  <c r="L2828" i="1"/>
  <c r="K2829" i="1"/>
  <c r="L2829" i="1"/>
  <c r="K2830" i="1"/>
  <c r="L2830" i="1"/>
  <c r="K2831" i="1"/>
  <c r="L2831" i="1"/>
  <c r="K2832" i="1"/>
  <c r="L2832" i="1"/>
  <c r="K2833" i="1"/>
  <c r="L2833" i="1"/>
  <c r="K2834" i="1"/>
  <c r="L2834" i="1"/>
  <c r="K2835" i="1"/>
  <c r="L2835" i="1"/>
  <c r="K2836" i="1"/>
  <c r="L2836" i="1"/>
  <c r="K2837" i="1"/>
  <c r="L2837" i="1"/>
  <c r="K2838" i="1"/>
  <c r="L2838" i="1"/>
  <c r="K2839" i="1"/>
  <c r="L2839" i="1"/>
  <c r="K2840" i="1"/>
  <c r="L2840" i="1"/>
  <c r="K2841" i="1"/>
  <c r="L2841" i="1"/>
  <c r="K2842" i="1"/>
  <c r="L2842" i="1"/>
  <c r="K2843" i="1"/>
  <c r="L2843" i="1"/>
  <c r="K2844" i="1"/>
  <c r="L2844" i="1"/>
  <c r="K2845" i="1"/>
  <c r="L2845" i="1"/>
  <c r="K2846" i="1"/>
  <c r="L2846" i="1"/>
  <c r="K2847" i="1"/>
  <c r="L2847" i="1"/>
  <c r="K2848" i="1"/>
  <c r="L2848" i="1"/>
  <c r="K2849" i="1"/>
  <c r="L2849" i="1"/>
  <c r="K2850" i="1"/>
  <c r="L2850" i="1"/>
  <c r="K2851" i="1"/>
  <c r="L2851" i="1"/>
  <c r="K2852" i="1"/>
  <c r="L2852" i="1"/>
  <c r="K2853" i="1"/>
  <c r="L2853" i="1"/>
  <c r="K2854" i="1"/>
  <c r="L2854" i="1"/>
  <c r="K2855" i="1"/>
  <c r="L2855" i="1"/>
  <c r="K2856" i="1"/>
  <c r="L2856" i="1"/>
  <c r="K2857" i="1"/>
  <c r="L2857" i="1"/>
  <c r="K2858" i="1"/>
  <c r="L2858" i="1"/>
  <c r="K2859" i="1"/>
  <c r="L2859" i="1"/>
  <c r="K2860" i="1"/>
  <c r="L2860" i="1"/>
  <c r="K2861" i="1"/>
  <c r="L2861" i="1"/>
  <c r="K2862" i="1"/>
  <c r="L2862" i="1"/>
  <c r="K2863" i="1"/>
  <c r="L2863" i="1"/>
  <c r="K2864" i="1"/>
  <c r="L2864" i="1"/>
  <c r="K2865" i="1"/>
  <c r="L2865" i="1"/>
  <c r="K2866" i="1"/>
  <c r="L2866" i="1"/>
  <c r="K2867" i="1"/>
  <c r="L2867" i="1"/>
  <c r="K2868" i="1"/>
  <c r="L2868" i="1"/>
  <c r="K2869" i="1"/>
  <c r="L2869" i="1"/>
  <c r="K2870" i="1"/>
  <c r="L2870" i="1"/>
  <c r="K2871" i="1"/>
  <c r="L2871" i="1"/>
  <c r="K2872" i="1"/>
  <c r="L2872" i="1"/>
  <c r="K2873" i="1"/>
  <c r="L2873" i="1"/>
  <c r="K2874" i="1"/>
  <c r="L2874" i="1"/>
  <c r="K2875" i="1"/>
  <c r="L2875" i="1"/>
  <c r="K2876" i="1"/>
  <c r="L2876" i="1"/>
  <c r="K2877" i="1"/>
  <c r="L2877" i="1"/>
  <c r="K2878" i="1"/>
  <c r="L2878" i="1"/>
  <c r="K2879" i="1"/>
  <c r="L2879" i="1"/>
  <c r="K2880" i="1"/>
  <c r="L2880" i="1"/>
  <c r="K2881" i="1"/>
  <c r="L2881" i="1"/>
  <c r="K2882" i="1"/>
  <c r="L2882" i="1"/>
  <c r="K2883" i="1"/>
  <c r="L2883" i="1"/>
  <c r="K2884" i="1"/>
  <c r="L2884" i="1"/>
  <c r="K2885" i="1"/>
  <c r="L2885" i="1"/>
  <c r="K2886" i="1"/>
  <c r="L2886" i="1"/>
  <c r="K2887" i="1"/>
  <c r="L2887" i="1"/>
  <c r="K2888" i="1"/>
  <c r="L2888" i="1"/>
  <c r="K2889" i="1"/>
  <c r="L2889" i="1"/>
  <c r="K2890" i="1"/>
  <c r="L2890" i="1"/>
  <c r="K2891" i="1"/>
  <c r="L2891" i="1"/>
  <c r="K2892" i="1"/>
  <c r="L2892" i="1"/>
  <c r="K2893" i="1"/>
  <c r="L2893" i="1"/>
  <c r="K2894" i="1"/>
  <c r="L2894" i="1"/>
  <c r="K2895" i="1"/>
  <c r="L2895" i="1"/>
  <c r="K2896" i="1"/>
  <c r="L2896" i="1"/>
  <c r="K2897" i="1"/>
  <c r="L2897" i="1"/>
  <c r="K2898" i="1"/>
  <c r="L2898" i="1"/>
  <c r="K2899" i="1"/>
  <c r="L2899" i="1"/>
  <c r="K2900" i="1"/>
  <c r="L2900" i="1"/>
  <c r="K2901" i="1"/>
  <c r="L2901" i="1"/>
  <c r="K2902" i="1"/>
  <c r="L2902" i="1"/>
  <c r="K2903" i="1"/>
  <c r="L2903" i="1"/>
  <c r="K2904" i="1"/>
  <c r="L2904" i="1"/>
  <c r="K2905" i="1"/>
  <c r="L2905" i="1"/>
  <c r="K2906" i="1"/>
  <c r="L2906" i="1"/>
  <c r="K2907" i="1"/>
  <c r="L2907" i="1"/>
  <c r="K2908" i="1"/>
  <c r="L2908" i="1"/>
  <c r="K2909" i="1"/>
  <c r="L2909" i="1"/>
  <c r="K2910" i="1"/>
  <c r="L2910" i="1"/>
  <c r="K2911" i="1"/>
  <c r="L2911" i="1"/>
  <c r="K2912" i="1"/>
  <c r="L2912" i="1"/>
  <c r="K2913" i="1"/>
  <c r="L2913" i="1"/>
  <c r="K2914" i="1"/>
  <c r="L2914" i="1"/>
  <c r="K2915" i="1"/>
  <c r="L2915" i="1"/>
  <c r="K2916" i="1"/>
  <c r="L2916" i="1"/>
  <c r="K2917" i="1"/>
  <c r="L2917" i="1"/>
  <c r="K2918" i="1"/>
  <c r="L2918" i="1"/>
  <c r="K2919" i="1"/>
  <c r="L2919" i="1"/>
  <c r="K2920" i="1"/>
  <c r="L2920" i="1"/>
  <c r="K2921" i="1"/>
  <c r="L2921" i="1"/>
  <c r="K2922" i="1"/>
  <c r="L2922" i="1"/>
  <c r="K2923" i="1"/>
  <c r="L2923" i="1"/>
  <c r="K2924" i="1"/>
  <c r="L2924" i="1"/>
  <c r="K2925" i="1"/>
  <c r="L2925" i="1"/>
  <c r="K2926" i="1"/>
  <c r="L2926" i="1"/>
  <c r="K2927" i="1"/>
  <c r="L2927" i="1"/>
  <c r="K2928" i="1"/>
  <c r="L2928" i="1"/>
  <c r="K2929" i="1"/>
  <c r="L2929" i="1"/>
  <c r="K2930" i="1"/>
  <c r="L2930" i="1"/>
  <c r="K2931" i="1"/>
  <c r="L2931" i="1"/>
  <c r="K2932" i="1"/>
  <c r="L2932" i="1"/>
  <c r="K2933" i="1"/>
  <c r="L2933" i="1"/>
  <c r="K2934" i="1"/>
  <c r="L2934" i="1"/>
  <c r="K2935" i="1"/>
  <c r="L2935" i="1"/>
  <c r="K2936" i="1"/>
  <c r="L2936" i="1"/>
  <c r="K2937" i="1"/>
  <c r="L2937" i="1"/>
  <c r="K2938" i="1"/>
  <c r="L2938" i="1"/>
  <c r="K2939" i="1"/>
  <c r="L2939" i="1"/>
  <c r="K2940" i="1"/>
  <c r="L2940" i="1"/>
  <c r="K2941" i="1"/>
  <c r="L2941" i="1"/>
  <c r="K2942" i="1"/>
  <c r="L2942" i="1"/>
  <c r="K2943" i="1"/>
  <c r="L2943" i="1"/>
  <c r="K2944" i="1"/>
  <c r="L2944" i="1"/>
  <c r="K2945" i="1"/>
  <c r="L2945" i="1"/>
  <c r="K2946" i="1"/>
  <c r="L2946" i="1"/>
  <c r="K2947" i="1"/>
  <c r="L2947" i="1"/>
  <c r="K2948" i="1"/>
  <c r="L2948" i="1"/>
  <c r="K2949" i="1"/>
  <c r="L2949" i="1"/>
  <c r="K2950" i="1"/>
  <c r="L2950" i="1"/>
  <c r="K2951" i="1"/>
  <c r="L2951" i="1"/>
  <c r="K2952" i="1"/>
  <c r="L2952" i="1"/>
  <c r="K2953" i="1"/>
  <c r="L2953" i="1"/>
  <c r="K2954" i="1"/>
  <c r="L2954" i="1"/>
  <c r="K2955" i="1"/>
  <c r="L2955" i="1"/>
  <c r="K2956" i="1"/>
  <c r="L2956" i="1"/>
  <c r="K2957" i="1"/>
  <c r="L2957" i="1"/>
  <c r="K2958" i="1"/>
  <c r="L2958" i="1"/>
  <c r="K2959" i="1"/>
  <c r="L2959" i="1"/>
  <c r="K2960" i="1"/>
  <c r="L2960" i="1"/>
  <c r="K2961" i="1"/>
  <c r="L2961" i="1"/>
  <c r="K2962" i="1"/>
  <c r="L2962" i="1"/>
  <c r="K2963" i="1"/>
  <c r="L2963" i="1"/>
  <c r="K2964" i="1"/>
  <c r="L2964" i="1"/>
  <c r="K2965" i="1"/>
  <c r="L2965" i="1"/>
  <c r="K2966" i="1"/>
  <c r="L2966" i="1"/>
  <c r="K2967" i="1"/>
  <c r="L2967" i="1"/>
  <c r="K2968" i="1"/>
  <c r="L2968" i="1"/>
  <c r="K2969" i="1"/>
  <c r="L2969" i="1"/>
  <c r="K2970" i="1"/>
  <c r="L2970" i="1"/>
  <c r="K2971" i="1"/>
  <c r="L2971" i="1"/>
  <c r="K2972" i="1"/>
  <c r="L2972" i="1"/>
  <c r="K2973" i="1"/>
  <c r="L2973" i="1"/>
  <c r="K2974" i="1"/>
  <c r="L2974" i="1"/>
  <c r="K2975" i="1"/>
  <c r="L2975" i="1"/>
  <c r="K2976" i="1"/>
  <c r="L2976" i="1"/>
  <c r="K2977" i="1"/>
  <c r="L2977" i="1"/>
  <c r="K2978" i="1"/>
  <c r="L2978" i="1"/>
  <c r="K2979" i="1"/>
  <c r="L2979" i="1"/>
  <c r="K2980" i="1"/>
  <c r="L2980" i="1"/>
  <c r="K2981" i="1"/>
  <c r="L2981" i="1"/>
  <c r="K2982" i="1"/>
  <c r="L2982" i="1"/>
  <c r="K2983" i="1"/>
  <c r="L2983" i="1"/>
  <c r="K2984" i="1"/>
  <c r="L2984" i="1"/>
  <c r="K2985" i="1"/>
  <c r="L2985" i="1"/>
  <c r="K2986" i="1"/>
  <c r="L2986" i="1"/>
  <c r="K2987" i="1"/>
  <c r="L2987" i="1"/>
  <c r="K2988" i="1"/>
  <c r="L2988" i="1"/>
  <c r="K2989" i="1"/>
  <c r="L2989" i="1"/>
  <c r="K2990" i="1"/>
  <c r="L2990" i="1"/>
  <c r="K2991" i="1"/>
  <c r="L2991" i="1"/>
  <c r="K2992" i="1"/>
  <c r="L2992" i="1"/>
  <c r="K2993" i="1"/>
  <c r="L2993" i="1"/>
  <c r="K2994" i="1"/>
  <c r="L2994" i="1"/>
  <c r="K2995" i="1"/>
  <c r="L2995" i="1"/>
  <c r="K2996" i="1"/>
  <c r="L2996" i="1"/>
  <c r="K2997" i="1"/>
  <c r="L2997" i="1"/>
  <c r="K2998" i="1"/>
  <c r="L2998" i="1"/>
  <c r="K2999" i="1"/>
  <c r="L2999" i="1"/>
  <c r="K3000" i="1"/>
  <c r="L3000" i="1"/>
  <c r="K3001" i="1"/>
  <c r="L3001" i="1"/>
  <c r="K3002" i="1"/>
  <c r="L3002" i="1"/>
  <c r="K3003" i="1"/>
  <c r="L3003" i="1"/>
  <c r="K3004" i="1"/>
  <c r="L3004" i="1"/>
  <c r="K3005" i="1"/>
  <c r="L3005" i="1"/>
  <c r="K3006" i="1"/>
  <c r="L3006" i="1"/>
  <c r="K3007" i="1"/>
  <c r="L3007" i="1"/>
  <c r="K3008" i="1"/>
  <c r="L3008" i="1"/>
  <c r="K3009" i="1"/>
  <c r="L3009" i="1"/>
  <c r="K3010" i="1"/>
  <c r="L3010" i="1"/>
  <c r="K3011" i="1"/>
  <c r="L3011" i="1"/>
  <c r="K3012" i="1"/>
  <c r="L3012" i="1"/>
  <c r="K3013" i="1"/>
  <c r="L3013" i="1"/>
  <c r="K3014" i="1"/>
  <c r="L3014" i="1"/>
  <c r="K3015" i="1"/>
  <c r="L3015" i="1"/>
  <c r="K3016" i="1"/>
  <c r="L3016" i="1"/>
  <c r="K3017" i="1"/>
  <c r="L3017" i="1"/>
  <c r="K3018" i="1"/>
  <c r="L3018" i="1"/>
  <c r="K3019" i="1"/>
  <c r="L3019" i="1"/>
  <c r="K3020" i="1"/>
  <c r="L3020" i="1"/>
  <c r="K3021" i="1"/>
  <c r="L3021" i="1"/>
  <c r="K3022" i="1"/>
  <c r="L3022" i="1"/>
  <c r="K3023" i="1"/>
  <c r="L3023" i="1"/>
  <c r="K3024" i="1"/>
  <c r="L3024" i="1"/>
  <c r="K3025" i="1"/>
  <c r="L3025" i="1"/>
  <c r="K3026" i="1"/>
  <c r="L3026" i="1"/>
  <c r="K3027" i="1"/>
  <c r="L3027" i="1"/>
  <c r="K3028" i="1"/>
  <c r="L3028" i="1"/>
  <c r="K3029" i="1"/>
  <c r="L3029" i="1"/>
  <c r="K3030" i="1"/>
  <c r="L3030" i="1"/>
  <c r="K3031" i="1"/>
  <c r="L3031" i="1"/>
  <c r="K3032" i="1"/>
  <c r="L3032" i="1"/>
  <c r="K3033" i="1"/>
  <c r="L3033" i="1"/>
  <c r="K3034" i="1"/>
  <c r="L3034" i="1"/>
  <c r="K3035" i="1"/>
  <c r="L3035" i="1"/>
  <c r="K3036" i="1"/>
  <c r="L3036" i="1"/>
  <c r="K3037" i="1"/>
  <c r="L3037" i="1"/>
  <c r="K3038" i="1"/>
  <c r="L3038" i="1"/>
  <c r="K3039" i="1"/>
  <c r="L3039" i="1"/>
  <c r="K3040" i="1"/>
  <c r="L3040" i="1"/>
  <c r="K3041" i="1"/>
  <c r="L3041" i="1"/>
  <c r="K3042" i="1"/>
  <c r="L3042" i="1"/>
  <c r="K3043" i="1"/>
  <c r="L3043" i="1"/>
  <c r="K3044" i="1"/>
  <c r="L3044" i="1"/>
  <c r="K3045" i="1"/>
  <c r="L3045" i="1"/>
  <c r="K3046" i="1"/>
  <c r="L3046" i="1"/>
  <c r="K3047" i="1"/>
  <c r="L3047" i="1"/>
  <c r="K3048" i="1"/>
  <c r="L3048" i="1"/>
  <c r="K3049" i="1"/>
  <c r="L3049" i="1"/>
  <c r="K3050" i="1"/>
  <c r="L3050" i="1"/>
  <c r="K3051" i="1"/>
  <c r="L3051" i="1"/>
  <c r="K3052" i="1"/>
  <c r="L3052" i="1"/>
  <c r="K3053" i="1"/>
  <c r="L3053" i="1"/>
  <c r="K3054" i="1"/>
  <c r="L3054" i="1"/>
  <c r="K3055" i="1"/>
  <c r="L3055" i="1"/>
  <c r="K3056" i="1"/>
  <c r="L3056" i="1"/>
  <c r="K3057" i="1"/>
  <c r="L3057" i="1"/>
  <c r="K3058" i="1"/>
  <c r="L3058" i="1"/>
  <c r="K3059" i="1"/>
  <c r="L3059" i="1"/>
  <c r="K3060" i="1"/>
  <c r="L3060" i="1"/>
  <c r="K3061" i="1"/>
  <c r="L3061" i="1"/>
  <c r="K3062" i="1"/>
  <c r="L3062" i="1"/>
  <c r="K3063" i="1"/>
  <c r="L3063" i="1"/>
  <c r="K3064" i="1"/>
  <c r="L3064" i="1"/>
  <c r="K3065" i="1"/>
  <c r="L3065" i="1"/>
  <c r="K3066" i="1"/>
  <c r="L3066" i="1"/>
  <c r="K3067" i="1"/>
  <c r="L3067" i="1"/>
  <c r="K3068" i="1"/>
  <c r="L3068" i="1"/>
  <c r="K3069" i="1"/>
  <c r="L3069" i="1"/>
  <c r="K3070" i="1"/>
  <c r="L3070" i="1"/>
  <c r="K3071" i="1"/>
  <c r="L3071" i="1"/>
  <c r="K3072" i="1"/>
  <c r="L3072" i="1"/>
  <c r="K3073" i="1"/>
  <c r="L3073" i="1"/>
  <c r="K3074" i="1"/>
  <c r="L3074" i="1"/>
  <c r="K3075" i="1"/>
  <c r="L3075" i="1"/>
  <c r="K3076" i="1"/>
  <c r="L3076" i="1"/>
  <c r="K3077" i="1"/>
  <c r="L3077" i="1"/>
  <c r="K3078" i="1"/>
  <c r="L3078" i="1"/>
  <c r="K3079" i="1"/>
  <c r="L3079" i="1"/>
  <c r="K3080" i="1"/>
  <c r="L3080" i="1"/>
  <c r="K3081" i="1"/>
  <c r="L3081" i="1"/>
  <c r="K3082" i="1"/>
  <c r="L3082" i="1"/>
  <c r="K3083" i="1"/>
  <c r="L3083" i="1"/>
  <c r="K3084" i="1"/>
  <c r="L3084" i="1"/>
  <c r="K3085" i="1"/>
  <c r="L3085" i="1"/>
  <c r="K3086" i="1"/>
  <c r="L3086" i="1"/>
  <c r="K3087" i="1"/>
  <c r="L3087" i="1"/>
  <c r="K3088" i="1"/>
  <c r="L3088" i="1"/>
  <c r="K3089" i="1"/>
  <c r="L3089" i="1"/>
  <c r="K3090" i="1"/>
  <c r="L3090" i="1"/>
  <c r="K3091" i="1"/>
  <c r="L3091" i="1"/>
  <c r="K3092" i="1"/>
  <c r="L3092" i="1"/>
  <c r="K3093" i="1"/>
  <c r="L3093" i="1"/>
  <c r="K3094" i="1"/>
  <c r="L3094" i="1"/>
  <c r="K3095" i="1"/>
  <c r="L3095" i="1"/>
  <c r="K3096" i="1"/>
  <c r="L3096" i="1"/>
  <c r="K3097" i="1"/>
  <c r="L3097" i="1"/>
  <c r="K3098" i="1"/>
  <c r="L3098" i="1"/>
  <c r="K3099" i="1"/>
  <c r="L3099" i="1"/>
  <c r="K3100" i="1"/>
  <c r="L3100" i="1"/>
  <c r="K3101" i="1"/>
  <c r="L3101" i="1"/>
  <c r="K3102" i="1"/>
  <c r="L3102" i="1"/>
  <c r="K3103" i="1"/>
  <c r="L3103" i="1"/>
  <c r="K3104" i="1"/>
  <c r="L3104" i="1"/>
  <c r="K3105" i="1"/>
  <c r="L3105" i="1"/>
  <c r="K3106" i="1"/>
  <c r="L3106" i="1"/>
  <c r="K3107" i="1"/>
  <c r="L3107" i="1"/>
  <c r="K3108" i="1"/>
  <c r="L3108" i="1"/>
  <c r="K3109" i="1"/>
  <c r="L3109" i="1"/>
  <c r="K3110" i="1"/>
  <c r="L3110" i="1"/>
  <c r="K3111" i="1"/>
  <c r="L3111" i="1"/>
  <c r="K3112" i="1"/>
  <c r="L3112" i="1"/>
  <c r="K3113" i="1"/>
  <c r="L3113" i="1"/>
  <c r="K3114" i="1"/>
  <c r="L3114" i="1"/>
  <c r="K3115" i="1"/>
  <c r="L3115" i="1"/>
  <c r="K3116" i="1"/>
  <c r="L3116" i="1"/>
  <c r="K3117" i="1"/>
  <c r="L3117" i="1"/>
  <c r="K3118" i="1"/>
  <c r="L3118" i="1"/>
  <c r="K3119" i="1"/>
  <c r="L3119" i="1"/>
  <c r="K3120" i="1"/>
  <c r="L3120" i="1"/>
  <c r="K3121" i="1"/>
  <c r="L3121" i="1"/>
  <c r="K3122" i="1"/>
  <c r="L3122" i="1"/>
  <c r="K3123" i="1"/>
  <c r="L3123" i="1"/>
  <c r="K3124" i="1"/>
  <c r="L3124" i="1"/>
  <c r="K3125" i="1"/>
  <c r="L3125" i="1"/>
  <c r="K3126" i="1"/>
  <c r="L3126" i="1"/>
  <c r="K3127" i="1"/>
  <c r="L3127" i="1"/>
  <c r="K3128" i="1"/>
  <c r="L3128" i="1"/>
  <c r="K3129" i="1"/>
  <c r="L3129" i="1"/>
  <c r="K3130" i="1"/>
  <c r="L3130" i="1"/>
  <c r="K3131" i="1"/>
  <c r="L3131" i="1"/>
  <c r="K3132" i="1"/>
  <c r="L3132" i="1"/>
  <c r="K3133" i="1"/>
  <c r="L3133" i="1"/>
  <c r="K3134" i="1"/>
  <c r="L3134" i="1"/>
  <c r="K3135" i="1"/>
  <c r="L3135" i="1"/>
  <c r="K3136" i="1"/>
  <c r="L3136" i="1"/>
  <c r="K3137" i="1"/>
  <c r="L3137" i="1"/>
  <c r="K3138" i="1"/>
  <c r="L3138" i="1"/>
  <c r="K3139" i="1"/>
  <c r="L3139" i="1"/>
  <c r="K3140" i="1"/>
  <c r="L3140" i="1"/>
  <c r="K3141" i="1"/>
  <c r="L3141" i="1"/>
  <c r="K3142" i="1"/>
  <c r="L3142" i="1"/>
  <c r="K3143" i="1"/>
  <c r="L3143" i="1"/>
  <c r="K3144" i="1"/>
  <c r="L3144" i="1"/>
  <c r="K3145" i="1"/>
  <c r="L3145" i="1"/>
  <c r="K3146" i="1"/>
  <c r="L3146" i="1"/>
  <c r="K3147" i="1"/>
  <c r="L3147" i="1"/>
  <c r="K3148" i="1"/>
  <c r="L3148" i="1"/>
  <c r="K3149" i="1"/>
  <c r="L3149" i="1"/>
  <c r="K3150" i="1"/>
  <c r="L3150" i="1"/>
  <c r="K3151" i="1"/>
  <c r="L3151" i="1"/>
  <c r="K3152" i="1"/>
  <c r="L3152" i="1"/>
  <c r="K3153" i="1"/>
  <c r="L3153" i="1"/>
  <c r="K3154" i="1"/>
  <c r="L3154" i="1"/>
  <c r="K3155" i="1"/>
  <c r="L3155" i="1"/>
  <c r="K3156" i="1"/>
  <c r="L3156" i="1"/>
  <c r="K3157" i="1"/>
  <c r="L3157" i="1"/>
  <c r="K3158" i="1"/>
  <c r="L3158" i="1"/>
  <c r="K3159" i="1"/>
  <c r="L3159" i="1"/>
  <c r="K3160" i="1"/>
  <c r="L3160" i="1"/>
  <c r="K3161" i="1"/>
  <c r="L3161" i="1"/>
  <c r="K3162" i="1"/>
  <c r="L3162" i="1"/>
  <c r="K3163" i="1"/>
  <c r="L3163" i="1"/>
  <c r="K3164" i="1"/>
  <c r="L3164" i="1"/>
  <c r="K3165" i="1"/>
  <c r="L3165" i="1"/>
  <c r="K3166" i="1"/>
  <c r="L3166" i="1"/>
  <c r="K3167" i="1"/>
  <c r="L3167" i="1"/>
  <c r="K3168" i="1"/>
  <c r="L3168" i="1"/>
  <c r="K3169" i="1"/>
  <c r="L3169" i="1"/>
  <c r="K3170" i="1"/>
  <c r="L3170" i="1"/>
  <c r="K3171" i="1"/>
  <c r="L3171" i="1"/>
  <c r="K3172" i="1"/>
  <c r="L3172" i="1"/>
  <c r="K3173" i="1"/>
  <c r="L3173" i="1"/>
  <c r="K3174" i="1"/>
  <c r="L3174" i="1"/>
  <c r="K3175" i="1"/>
  <c r="L3175" i="1"/>
  <c r="K3176" i="1"/>
  <c r="L3176" i="1"/>
  <c r="K3177" i="1"/>
  <c r="L3177" i="1"/>
  <c r="K3178" i="1"/>
  <c r="L3178" i="1"/>
  <c r="K3179" i="1"/>
  <c r="L3179" i="1"/>
  <c r="K3180" i="1"/>
  <c r="L3180" i="1"/>
  <c r="K3181" i="1"/>
  <c r="L3181" i="1"/>
  <c r="K3182" i="1"/>
  <c r="L3182" i="1"/>
  <c r="K3183" i="1"/>
  <c r="L3183" i="1"/>
  <c r="K3184" i="1"/>
  <c r="L3184" i="1"/>
  <c r="K3185" i="1"/>
  <c r="L3185" i="1"/>
  <c r="K3186" i="1"/>
  <c r="L3186" i="1"/>
  <c r="K3187" i="1"/>
  <c r="L3187" i="1"/>
  <c r="K3188" i="1"/>
  <c r="L3188" i="1"/>
  <c r="K3189" i="1"/>
  <c r="L3189" i="1"/>
  <c r="K3190" i="1"/>
  <c r="L3190" i="1"/>
  <c r="K3191" i="1"/>
  <c r="L3191" i="1"/>
  <c r="K3192" i="1"/>
  <c r="L3192" i="1"/>
  <c r="K3193" i="1"/>
  <c r="L3193" i="1"/>
  <c r="K3194" i="1"/>
  <c r="L3194" i="1"/>
  <c r="K3195" i="1"/>
  <c r="L3195" i="1"/>
  <c r="K3196" i="1"/>
  <c r="L3196" i="1"/>
  <c r="K3197" i="1"/>
  <c r="L3197" i="1"/>
  <c r="K3198" i="1"/>
  <c r="L3198" i="1"/>
  <c r="K3199" i="1"/>
  <c r="L3199" i="1"/>
  <c r="K3200" i="1"/>
  <c r="L3200" i="1"/>
  <c r="K3201" i="1"/>
  <c r="L3201" i="1"/>
  <c r="K3202" i="1"/>
  <c r="L3202" i="1"/>
  <c r="K3203" i="1"/>
  <c r="L3203" i="1"/>
  <c r="K3204" i="1"/>
  <c r="L3204" i="1"/>
  <c r="K3205" i="1"/>
  <c r="L3205" i="1"/>
  <c r="K3206" i="1"/>
  <c r="L3206" i="1"/>
  <c r="K3207" i="1"/>
  <c r="L3207" i="1"/>
  <c r="K3208" i="1"/>
  <c r="L3208" i="1"/>
  <c r="K3209" i="1"/>
  <c r="L3209" i="1"/>
  <c r="K3210" i="1"/>
  <c r="L3210" i="1"/>
  <c r="K3211" i="1"/>
  <c r="L3211" i="1"/>
  <c r="K3212" i="1"/>
  <c r="L3212" i="1"/>
  <c r="K3213" i="1"/>
  <c r="L3213" i="1"/>
  <c r="K3214" i="1"/>
  <c r="L3214" i="1"/>
  <c r="K3215" i="1"/>
  <c r="L3215" i="1"/>
  <c r="K3216" i="1"/>
  <c r="L3216" i="1"/>
  <c r="K3217" i="1"/>
  <c r="L3217" i="1"/>
  <c r="K3218" i="1"/>
  <c r="L3218" i="1"/>
  <c r="K3219" i="1"/>
  <c r="L3219" i="1"/>
  <c r="K3220" i="1"/>
  <c r="L3220" i="1"/>
  <c r="K3221" i="1"/>
  <c r="L3221" i="1"/>
  <c r="K3222" i="1"/>
  <c r="L3222" i="1"/>
  <c r="K3223" i="1"/>
  <c r="L3223" i="1"/>
  <c r="K3224" i="1"/>
  <c r="L3224" i="1"/>
  <c r="K3225" i="1"/>
  <c r="L3225" i="1"/>
  <c r="K3226" i="1"/>
  <c r="L3226" i="1"/>
  <c r="K3227" i="1"/>
  <c r="L3227" i="1"/>
  <c r="K3228" i="1"/>
  <c r="L3228" i="1"/>
  <c r="K3229" i="1"/>
  <c r="L3229" i="1"/>
  <c r="K3230" i="1"/>
  <c r="L3230" i="1"/>
  <c r="K3231" i="1"/>
  <c r="L3231" i="1"/>
  <c r="K3232" i="1"/>
  <c r="L3232" i="1"/>
  <c r="K3233" i="1"/>
  <c r="L3233" i="1"/>
  <c r="K3234" i="1"/>
  <c r="L3234" i="1"/>
  <c r="K3235" i="1"/>
  <c r="L3235" i="1"/>
  <c r="K3236" i="1"/>
  <c r="L3236" i="1"/>
  <c r="K3237" i="1"/>
  <c r="L3237" i="1"/>
  <c r="K3238" i="1"/>
  <c r="L3238" i="1"/>
  <c r="K3239" i="1"/>
  <c r="L3239" i="1"/>
  <c r="K3240" i="1"/>
  <c r="L3240" i="1"/>
  <c r="K3241" i="1"/>
  <c r="L3241" i="1"/>
  <c r="K3242" i="1"/>
  <c r="L3242" i="1"/>
  <c r="K3243" i="1"/>
  <c r="L3243" i="1"/>
  <c r="K3244" i="1"/>
  <c r="L3244" i="1"/>
  <c r="K3245" i="1"/>
  <c r="L3245" i="1"/>
  <c r="K3246" i="1"/>
  <c r="L3246" i="1"/>
  <c r="K3247" i="1"/>
  <c r="L3247" i="1"/>
  <c r="K3248" i="1"/>
  <c r="L3248" i="1"/>
  <c r="K3249" i="1"/>
  <c r="L3249" i="1"/>
  <c r="K3250" i="1"/>
  <c r="L3250" i="1"/>
  <c r="K3251" i="1"/>
  <c r="L3251" i="1"/>
  <c r="K3252" i="1"/>
  <c r="L3252" i="1"/>
  <c r="K3253" i="1"/>
  <c r="L3253" i="1"/>
  <c r="K3254" i="1"/>
  <c r="L3254" i="1"/>
  <c r="K3255" i="1"/>
  <c r="L3255" i="1"/>
  <c r="K3256" i="1"/>
  <c r="L3256" i="1"/>
  <c r="K3257" i="1"/>
  <c r="L3257" i="1"/>
  <c r="K3258" i="1"/>
  <c r="L3258" i="1"/>
  <c r="K3259" i="1"/>
  <c r="L3259" i="1"/>
  <c r="K3260" i="1"/>
  <c r="L3260" i="1"/>
  <c r="K3261" i="1"/>
  <c r="L3261" i="1"/>
  <c r="K3262" i="1"/>
  <c r="L3262" i="1"/>
  <c r="K3263" i="1"/>
  <c r="L3263" i="1"/>
  <c r="K3264" i="1"/>
  <c r="L3264" i="1"/>
  <c r="K3265" i="1"/>
  <c r="L3265" i="1"/>
  <c r="K3266" i="1"/>
  <c r="L3266" i="1"/>
  <c r="K3267" i="1"/>
  <c r="L3267" i="1"/>
  <c r="K3268" i="1"/>
  <c r="L3268" i="1"/>
  <c r="K3269" i="1"/>
  <c r="L3269" i="1"/>
  <c r="K3270" i="1"/>
  <c r="L3270" i="1"/>
  <c r="K3271" i="1"/>
  <c r="L3271" i="1"/>
  <c r="K3272" i="1"/>
  <c r="L3272" i="1"/>
  <c r="K3273" i="1"/>
  <c r="L3273" i="1"/>
  <c r="K3274" i="1"/>
  <c r="L3274" i="1"/>
  <c r="K3275" i="1"/>
  <c r="L3275" i="1"/>
  <c r="K3276" i="1"/>
  <c r="L3276" i="1"/>
  <c r="K3277" i="1"/>
  <c r="L3277" i="1"/>
  <c r="K3278" i="1"/>
  <c r="L3278" i="1"/>
  <c r="K3279" i="1"/>
  <c r="L3279" i="1"/>
  <c r="K3280" i="1"/>
  <c r="L3280" i="1"/>
  <c r="K3281" i="1"/>
  <c r="L3281" i="1"/>
  <c r="K3282" i="1"/>
  <c r="L3282" i="1"/>
  <c r="K3283" i="1"/>
  <c r="L3283" i="1"/>
  <c r="K3284" i="1"/>
  <c r="L3284" i="1"/>
  <c r="K3285" i="1"/>
  <c r="L3285" i="1"/>
  <c r="K3286" i="1"/>
  <c r="L3286" i="1"/>
  <c r="K3287" i="1"/>
  <c r="L3287" i="1"/>
  <c r="K3288" i="1"/>
  <c r="L3288" i="1"/>
  <c r="K3289" i="1"/>
  <c r="L3289" i="1"/>
  <c r="K3290" i="1"/>
  <c r="L3290" i="1"/>
  <c r="K3291" i="1"/>
  <c r="L3291" i="1"/>
  <c r="K3292" i="1"/>
  <c r="L3292" i="1"/>
  <c r="K3293" i="1"/>
  <c r="L3293" i="1"/>
  <c r="K3294" i="1"/>
  <c r="L3294" i="1"/>
  <c r="K3295" i="1"/>
  <c r="L3295" i="1"/>
  <c r="K3296" i="1"/>
  <c r="L3296" i="1"/>
  <c r="K3297" i="1"/>
  <c r="L3297" i="1"/>
  <c r="K3298" i="1"/>
  <c r="L3298" i="1"/>
  <c r="K3299" i="1"/>
  <c r="L3299" i="1"/>
  <c r="K3300" i="1"/>
  <c r="L3300" i="1"/>
  <c r="K3301" i="1"/>
  <c r="L3301" i="1"/>
  <c r="K3302" i="1"/>
  <c r="L3302" i="1"/>
  <c r="K3303" i="1"/>
  <c r="L3303" i="1"/>
  <c r="K3304" i="1"/>
  <c r="L3304" i="1"/>
  <c r="K3305" i="1"/>
  <c r="L3305" i="1"/>
  <c r="K3306" i="1"/>
  <c r="L3306" i="1"/>
  <c r="K3307" i="1"/>
  <c r="L3307" i="1"/>
  <c r="K3308" i="1"/>
  <c r="L3308" i="1"/>
  <c r="K3309" i="1"/>
  <c r="L3309" i="1"/>
  <c r="K3310" i="1"/>
  <c r="L3310" i="1"/>
  <c r="K3311" i="1"/>
  <c r="L3311" i="1"/>
  <c r="K3312" i="1"/>
  <c r="L3312" i="1"/>
  <c r="K3313" i="1"/>
  <c r="L3313" i="1"/>
  <c r="K3314" i="1"/>
  <c r="L3314" i="1"/>
  <c r="K3315" i="1"/>
  <c r="L3315" i="1"/>
  <c r="K3316" i="1"/>
  <c r="L3316" i="1"/>
  <c r="K3317" i="1"/>
  <c r="L3317" i="1"/>
  <c r="K3318" i="1"/>
  <c r="L3318" i="1"/>
  <c r="K3319" i="1"/>
  <c r="L3319" i="1"/>
  <c r="K3320" i="1"/>
  <c r="L3320" i="1"/>
  <c r="K3321" i="1"/>
  <c r="L3321" i="1"/>
  <c r="K3322" i="1"/>
  <c r="L3322" i="1"/>
  <c r="K3323" i="1"/>
  <c r="L3323" i="1"/>
  <c r="K3324" i="1"/>
  <c r="L3324" i="1"/>
  <c r="K3325" i="1"/>
  <c r="L3325" i="1"/>
  <c r="K3326" i="1"/>
  <c r="L3326" i="1"/>
  <c r="K3327" i="1"/>
  <c r="L3327" i="1"/>
  <c r="K3328" i="1"/>
  <c r="L3328" i="1"/>
  <c r="K3329" i="1"/>
  <c r="L3329" i="1"/>
  <c r="K3330" i="1"/>
  <c r="L3330" i="1"/>
  <c r="K3331" i="1"/>
  <c r="L3331" i="1"/>
  <c r="K3332" i="1"/>
  <c r="L3332" i="1"/>
  <c r="K3333" i="1"/>
  <c r="L3333" i="1"/>
  <c r="K3334" i="1"/>
  <c r="L3334" i="1"/>
  <c r="K3335" i="1"/>
  <c r="L3335" i="1"/>
  <c r="K3336" i="1"/>
  <c r="L3336" i="1"/>
  <c r="K3337" i="1"/>
  <c r="L3337" i="1"/>
  <c r="K3338" i="1"/>
  <c r="L3338" i="1"/>
  <c r="K3339" i="1"/>
  <c r="L3339" i="1"/>
  <c r="K3340" i="1"/>
  <c r="L3340" i="1"/>
  <c r="K3341" i="1"/>
  <c r="L3341" i="1"/>
  <c r="K3342" i="1"/>
  <c r="L3342" i="1"/>
  <c r="K3343" i="1"/>
  <c r="L3343" i="1"/>
  <c r="K3344" i="1"/>
  <c r="L3344" i="1"/>
  <c r="K3345" i="1"/>
  <c r="L3345" i="1"/>
  <c r="K3346" i="1"/>
  <c r="L3346" i="1"/>
  <c r="K3347" i="1"/>
  <c r="L3347" i="1"/>
  <c r="K3348" i="1"/>
  <c r="L3348" i="1"/>
  <c r="K3349" i="1"/>
  <c r="L3349" i="1"/>
  <c r="K3350" i="1"/>
  <c r="L3350" i="1"/>
  <c r="K3351" i="1"/>
  <c r="L3351" i="1"/>
  <c r="K3352" i="1"/>
  <c r="L3352" i="1"/>
  <c r="K3353" i="1"/>
  <c r="L3353" i="1"/>
  <c r="K3354" i="1"/>
  <c r="L3354" i="1"/>
  <c r="K3355" i="1"/>
  <c r="L3355" i="1"/>
  <c r="K3356" i="1"/>
  <c r="L3356" i="1"/>
  <c r="K3357" i="1"/>
  <c r="L3357" i="1"/>
  <c r="K3358" i="1"/>
  <c r="L3358" i="1"/>
  <c r="K3359" i="1"/>
  <c r="L3359" i="1"/>
  <c r="K3360" i="1"/>
  <c r="L3360" i="1"/>
  <c r="K3361" i="1"/>
  <c r="L3361" i="1"/>
  <c r="K3362" i="1"/>
  <c r="L3362" i="1"/>
  <c r="K3363" i="1"/>
  <c r="L3363" i="1"/>
  <c r="K3364" i="1"/>
  <c r="L3364" i="1"/>
  <c r="K3365" i="1"/>
  <c r="L3365" i="1"/>
  <c r="K3366" i="1"/>
  <c r="L3366" i="1"/>
  <c r="K3367" i="1"/>
  <c r="L3367" i="1"/>
  <c r="K3368" i="1"/>
  <c r="L3368" i="1"/>
  <c r="K3369" i="1"/>
  <c r="L3369" i="1"/>
  <c r="K3370" i="1"/>
  <c r="L3370" i="1"/>
  <c r="K3371" i="1"/>
  <c r="L3371" i="1"/>
  <c r="K3372" i="1"/>
  <c r="L3372" i="1"/>
  <c r="K3373" i="1"/>
  <c r="L3373" i="1"/>
  <c r="K3374" i="1"/>
  <c r="L3374" i="1"/>
  <c r="K3375" i="1"/>
  <c r="L3375" i="1"/>
  <c r="K3376" i="1"/>
  <c r="L3376" i="1"/>
  <c r="K3377" i="1"/>
  <c r="L3377" i="1"/>
  <c r="K3378" i="1"/>
  <c r="L3378" i="1"/>
  <c r="K3379" i="1"/>
  <c r="L3379" i="1"/>
  <c r="K3380" i="1"/>
  <c r="L3380" i="1"/>
  <c r="K3381" i="1"/>
  <c r="L3381" i="1"/>
  <c r="K3382" i="1"/>
  <c r="L3382" i="1"/>
  <c r="K3383" i="1"/>
  <c r="L3383" i="1"/>
  <c r="K3384" i="1"/>
  <c r="L3384" i="1"/>
  <c r="K3385" i="1"/>
  <c r="L3385" i="1"/>
  <c r="K3386" i="1"/>
  <c r="L3386" i="1"/>
  <c r="K3387" i="1"/>
  <c r="L3387" i="1"/>
  <c r="K3388" i="1"/>
  <c r="L3388" i="1"/>
  <c r="K3389" i="1"/>
  <c r="L3389" i="1"/>
  <c r="K3390" i="1"/>
  <c r="L3390" i="1"/>
  <c r="K3391" i="1"/>
  <c r="L3391" i="1"/>
  <c r="K3392" i="1"/>
  <c r="L3392" i="1"/>
  <c r="K3393" i="1"/>
  <c r="L3393" i="1"/>
  <c r="K3394" i="1"/>
  <c r="L3394" i="1"/>
  <c r="K3395" i="1"/>
  <c r="L3395" i="1"/>
  <c r="K3396" i="1"/>
  <c r="L3396" i="1"/>
  <c r="K3397" i="1"/>
  <c r="L3397" i="1"/>
  <c r="K3398" i="1"/>
  <c r="L3398" i="1"/>
  <c r="K3399" i="1"/>
  <c r="L3399" i="1"/>
  <c r="K3400" i="1"/>
  <c r="L3400" i="1"/>
  <c r="K3401" i="1"/>
  <c r="L3401" i="1"/>
  <c r="K3402" i="1"/>
  <c r="L3402" i="1"/>
  <c r="K3403" i="1"/>
  <c r="L3403" i="1"/>
  <c r="K3404" i="1"/>
  <c r="L3404" i="1"/>
  <c r="K3405" i="1"/>
  <c r="L3405" i="1"/>
  <c r="K3406" i="1"/>
  <c r="L3406" i="1"/>
  <c r="K3407" i="1"/>
  <c r="L3407" i="1"/>
  <c r="K3408" i="1"/>
  <c r="L3408" i="1"/>
  <c r="K3409" i="1"/>
  <c r="L3409" i="1"/>
  <c r="K3410" i="1"/>
  <c r="L3410" i="1"/>
  <c r="K3411" i="1"/>
  <c r="L3411" i="1"/>
  <c r="K3412" i="1"/>
  <c r="L3412" i="1"/>
  <c r="K3413" i="1"/>
  <c r="L3413" i="1"/>
  <c r="K3414" i="1"/>
  <c r="L3414" i="1"/>
  <c r="K3415" i="1"/>
  <c r="L3415" i="1"/>
  <c r="K3416" i="1"/>
  <c r="L3416" i="1"/>
  <c r="K3417" i="1"/>
  <c r="L3417" i="1"/>
  <c r="K3418" i="1"/>
  <c r="L3418" i="1"/>
  <c r="K3419" i="1"/>
  <c r="L3419" i="1"/>
  <c r="K3420" i="1"/>
  <c r="L3420" i="1"/>
  <c r="K3421" i="1"/>
  <c r="L3421" i="1"/>
  <c r="K3422" i="1"/>
  <c r="L3422" i="1"/>
  <c r="K3423" i="1"/>
  <c r="L3423" i="1"/>
  <c r="K3424" i="1"/>
  <c r="L3424" i="1"/>
  <c r="K3425" i="1"/>
  <c r="L3425" i="1"/>
  <c r="K3426" i="1"/>
  <c r="L3426" i="1"/>
  <c r="K3427" i="1"/>
  <c r="L3427" i="1"/>
  <c r="K3428" i="1"/>
  <c r="L3428" i="1"/>
  <c r="K3429" i="1"/>
  <c r="L3429" i="1"/>
  <c r="K3430" i="1"/>
  <c r="L3430" i="1"/>
  <c r="K3431" i="1"/>
  <c r="L3431" i="1"/>
  <c r="K3432" i="1"/>
  <c r="L3432" i="1"/>
  <c r="K3433" i="1"/>
  <c r="L3433" i="1"/>
  <c r="K3434" i="1"/>
  <c r="L3434" i="1"/>
  <c r="K3435" i="1"/>
  <c r="L3435" i="1"/>
  <c r="K3436" i="1"/>
  <c r="L3436" i="1"/>
  <c r="K3437" i="1"/>
  <c r="L3437" i="1"/>
  <c r="K3438" i="1"/>
  <c r="L3438" i="1"/>
  <c r="K3439" i="1"/>
  <c r="L3439" i="1"/>
  <c r="K3440" i="1"/>
  <c r="L3440" i="1"/>
  <c r="K3441" i="1"/>
  <c r="L3441" i="1"/>
  <c r="K3442" i="1"/>
  <c r="L3442" i="1"/>
  <c r="K3443" i="1"/>
  <c r="L3443" i="1"/>
  <c r="K3444" i="1"/>
  <c r="L3444" i="1"/>
  <c r="K3445" i="1"/>
  <c r="L3445" i="1"/>
  <c r="K3446" i="1"/>
  <c r="L3446" i="1"/>
  <c r="K3447" i="1"/>
  <c r="L3447" i="1"/>
  <c r="K3448" i="1"/>
  <c r="L3448" i="1"/>
  <c r="K3449" i="1"/>
  <c r="L3449" i="1"/>
  <c r="K3450" i="1"/>
  <c r="L3450" i="1"/>
  <c r="K3451" i="1"/>
  <c r="L3451" i="1"/>
  <c r="K3452" i="1"/>
  <c r="L3452" i="1"/>
  <c r="K3453" i="1"/>
  <c r="L3453" i="1"/>
  <c r="K3454" i="1"/>
  <c r="L3454" i="1"/>
  <c r="K3455" i="1"/>
  <c r="L3455" i="1"/>
  <c r="K3456" i="1"/>
  <c r="L3456" i="1"/>
  <c r="K3457" i="1"/>
  <c r="L3457" i="1"/>
  <c r="K3458" i="1"/>
  <c r="L3458" i="1"/>
  <c r="K3459" i="1"/>
  <c r="L3459" i="1"/>
  <c r="K3460" i="1"/>
  <c r="L3460" i="1"/>
  <c r="K3461" i="1"/>
  <c r="L3461" i="1"/>
  <c r="K3462" i="1"/>
  <c r="L3462" i="1"/>
  <c r="K3463" i="1"/>
  <c r="L3463" i="1"/>
  <c r="K3464" i="1"/>
  <c r="L3464" i="1"/>
  <c r="K3465" i="1"/>
  <c r="L3465" i="1"/>
  <c r="K3466" i="1"/>
  <c r="L3466" i="1"/>
  <c r="K3467" i="1"/>
  <c r="L3467" i="1"/>
  <c r="K3468" i="1"/>
  <c r="L3468" i="1"/>
  <c r="K3469" i="1"/>
  <c r="L3469" i="1"/>
  <c r="K3470" i="1"/>
  <c r="L3470" i="1"/>
  <c r="K3471" i="1"/>
  <c r="L3471" i="1"/>
  <c r="K3472" i="1"/>
  <c r="L3472" i="1"/>
  <c r="K3473" i="1"/>
  <c r="L3473" i="1"/>
  <c r="K3474" i="1"/>
  <c r="L3474" i="1"/>
  <c r="K3475" i="1"/>
  <c r="L3475" i="1"/>
  <c r="K3476" i="1"/>
  <c r="L3476" i="1"/>
  <c r="K3477" i="1"/>
  <c r="L3477" i="1"/>
  <c r="K3478" i="1"/>
  <c r="L3478" i="1"/>
  <c r="K3479" i="1"/>
  <c r="L3479" i="1"/>
  <c r="K3480" i="1"/>
  <c r="L3480" i="1"/>
  <c r="K3481" i="1"/>
  <c r="L3481" i="1"/>
  <c r="K3482" i="1"/>
  <c r="L3482" i="1"/>
  <c r="K3483" i="1"/>
  <c r="L3483" i="1"/>
  <c r="K3484" i="1"/>
  <c r="L3484" i="1"/>
  <c r="K3485" i="1"/>
  <c r="L3485" i="1"/>
  <c r="K3486" i="1"/>
  <c r="L3486" i="1"/>
  <c r="K3487" i="1"/>
  <c r="L3487" i="1"/>
  <c r="K3488" i="1"/>
  <c r="L3488" i="1"/>
  <c r="K3489" i="1"/>
  <c r="L3489" i="1"/>
  <c r="K3490" i="1"/>
  <c r="L3490" i="1"/>
  <c r="K3491" i="1"/>
  <c r="L3491" i="1"/>
  <c r="K3492" i="1"/>
  <c r="L3492" i="1"/>
  <c r="K3493" i="1"/>
  <c r="L3493" i="1"/>
  <c r="K3494" i="1"/>
  <c r="L3494" i="1"/>
  <c r="K3495" i="1"/>
  <c r="L3495" i="1"/>
  <c r="K3496" i="1"/>
  <c r="L3496" i="1"/>
  <c r="K3497" i="1"/>
  <c r="L3497" i="1"/>
  <c r="K3498" i="1"/>
  <c r="L3498" i="1"/>
  <c r="K3499" i="1"/>
  <c r="L3499" i="1"/>
  <c r="K3500" i="1"/>
  <c r="L3500" i="1"/>
  <c r="K3501" i="1"/>
  <c r="L3501" i="1"/>
  <c r="K3502" i="1"/>
  <c r="L3502" i="1"/>
  <c r="K3503" i="1"/>
  <c r="L3503" i="1"/>
  <c r="K3504" i="1"/>
  <c r="L3504" i="1"/>
  <c r="K3505" i="1"/>
  <c r="L3505" i="1"/>
  <c r="K3506" i="1"/>
  <c r="L3506" i="1"/>
  <c r="K3507" i="1"/>
  <c r="L3507" i="1"/>
  <c r="K3508" i="1"/>
  <c r="L3508" i="1"/>
  <c r="K3509" i="1"/>
  <c r="L3509" i="1"/>
  <c r="K3510" i="1"/>
  <c r="L3510" i="1"/>
  <c r="K3511" i="1"/>
  <c r="L3511" i="1"/>
  <c r="K3512" i="1"/>
  <c r="L3512" i="1"/>
  <c r="K3513" i="1"/>
  <c r="L3513" i="1"/>
  <c r="K3514" i="1"/>
  <c r="L3514" i="1"/>
  <c r="K3515" i="1"/>
  <c r="L3515" i="1"/>
  <c r="K3516" i="1"/>
  <c r="L3516" i="1"/>
  <c r="K3517" i="1"/>
  <c r="L3517" i="1"/>
  <c r="K3518" i="1"/>
  <c r="L3518" i="1"/>
  <c r="K3519" i="1"/>
  <c r="L3519" i="1"/>
  <c r="K3520" i="1"/>
  <c r="L3520" i="1"/>
  <c r="K3521" i="1"/>
  <c r="L3521" i="1"/>
  <c r="K3522" i="1"/>
  <c r="L3522" i="1"/>
  <c r="K3523" i="1"/>
  <c r="L3523" i="1"/>
  <c r="K3524" i="1"/>
  <c r="L3524" i="1"/>
  <c r="K3525" i="1"/>
  <c r="L3525" i="1"/>
  <c r="K3526" i="1"/>
  <c r="L3526" i="1"/>
  <c r="K3527" i="1"/>
  <c r="L3527" i="1"/>
  <c r="K3528" i="1"/>
  <c r="L3528" i="1"/>
  <c r="K3529" i="1"/>
  <c r="L3529" i="1"/>
  <c r="K3530" i="1"/>
  <c r="L3530" i="1"/>
  <c r="K3531" i="1"/>
  <c r="L3531" i="1"/>
  <c r="K3532" i="1"/>
  <c r="L3532" i="1"/>
  <c r="K3533" i="1"/>
  <c r="L3533" i="1"/>
  <c r="K3534" i="1"/>
  <c r="L3534" i="1"/>
  <c r="K3535" i="1"/>
  <c r="L3535" i="1"/>
  <c r="K3536" i="1"/>
  <c r="L3536" i="1"/>
  <c r="K3537" i="1"/>
  <c r="L3537" i="1"/>
  <c r="K3538" i="1"/>
  <c r="L3538" i="1"/>
  <c r="K3539" i="1"/>
  <c r="L3539" i="1"/>
  <c r="K3540" i="1"/>
  <c r="L3540" i="1"/>
  <c r="K3541" i="1"/>
  <c r="L3541" i="1"/>
  <c r="K3542" i="1"/>
  <c r="L3542" i="1"/>
  <c r="K3543" i="1"/>
  <c r="L3543" i="1"/>
  <c r="K3544" i="1"/>
  <c r="L3544" i="1"/>
  <c r="K3545" i="1"/>
  <c r="L3545" i="1"/>
  <c r="K3546" i="1"/>
  <c r="L3546" i="1"/>
  <c r="K3547" i="1"/>
  <c r="L3547" i="1"/>
  <c r="K3548" i="1"/>
  <c r="L3548" i="1"/>
  <c r="K3549" i="1"/>
  <c r="L3549" i="1"/>
  <c r="K3550" i="1"/>
  <c r="L3550" i="1"/>
  <c r="K3551" i="1"/>
  <c r="L3551" i="1"/>
  <c r="K3552" i="1"/>
  <c r="L3552" i="1"/>
  <c r="K3553" i="1"/>
  <c r="L3553" i="1"/>
  <c r="K3554" i="1"/>
  <c r="L3554" i="1"/>
  <c r="K3555" i="1"/>
  <c r="L3555" i="1"/>
  <c r="K3556" i="1"/>
  <c r="L3556" i="1"/>
  <c r="K3557" i="1"/>
  <c r="L3557" i="1"/>
  <c r="K3558" i="1"/>
  <c r="L3558" i="1"/>
  <c r="K3559" i="1"/>
  <c r="L3559" i="1"/>
  <c r="K3560" i="1"/>
  <c r="L3560" i="1"/>
  <c r="K3561" i="1"/>
  <c r="L3561" i="1"/>
  <c r="K3562" i="1"/>
  <c r="L3562" i="1"/>
  <c r="K3563" i="1"/>
  <c r="L3563" i="1"/>
  <c r="K3564" i="1"/>
  <c r="L3564" i="1"/>
  <c r="K3565" i="1"/>
  <c r="L3565" i="1"/>
  <c r="K3566" i="1"/>
  <c r="L3566" i="1"/>
  <c r="K3567" i="1"/>
  <c r="L3567" i="1"/>
  <c r="K3568" i="1"/>
  <c r="L3568" i="1"/>
  <c r="K3569" i="1"/>
  <c r="L3569" i="1"/>
  <c r="K3570" i="1"/>
  <c r="L3570" i="1"/>
  <c r="K3571" i="1"/>
  <c r="L3571" i="1"/>
  <c r="K3572" i="1"/>
  <c r="L3572" i="1"/>
  <c r="K3573" i="1"/>
  <c r="L3573" i="1"/>
  <c r="K3574" i="1"/>
  <c r="L3574" i="1"/>
  <c r="K3575" i="1"/>
  <c r="L3575" i="1"/>
  <c r="K3576" i="1"/>
  <c r="L3576" i="1"/>
  <c r="K3577" i="1"/>
  <c r="L3577" i="1"/>
  <c r="K3578" i="1"/>
  <c r="L3578" i="1"/>
  <c r="K3579" i="1"/>
  <c r="L3579" i="1"/>
  <c r="K3580" i="1"/>
  <c r="L3580" i="1"/>
  <c r="K3581" i="1"/>
  <c r="L3581" i="1"/>
  <c r="K3582" i="1"/>
  <c r="L3582" i="1"/>
  <c r="K3583" i="1"/>
  <c r="L3583" i="1"/>
  <c r="K3584" i="1"/>
  <c r="L3584" i="1"/>
  <c r="K3585" i="1"/>
  <c r="L3585" i="1"/>
  <c r="K3586" i="1"/>
  <c r="L3586" i="1"/>
  <c r="K3587" i="1"/>
  <c r="L3587" i="1"/>
  <c r="K3588" i="1"/>
  <c r="L3588" i="1"/>
  <c r="K3589" i="1"/>
  <c r="L3589" i="1"/>
  <c r="K3590" i="1"/>
  <c r="L3590" i="1"/>
  <c r="K3591" i="1"/>
  <c r="L3591" i="1"/>
  <c r="K3592" i="1"/>
  <c r="L3592" i="1"/>
  <c r="K3593" i="1"/>
  <c r="L3593" i="1"/>
  <c r="K3594" i="1"/>
  <c r="L3594" i="1"/>
  <c r="K3595" i="1"/>
  <c r="L3595" i="1"/>
  <c r="K3596" i="1"/>
  <c r="L3596" i="1"/>
  <c r="K3597" i="1"/>
  <c r="L3597" i="1"/>
  <c r="K3598" i="1"/>
  <c r="L3598" i="1"/>
  <c r="K3599" i="1"/>
  <c r="L3599" i="1"/>
  <c r="K3600" i="1"/>
  <c r="L3600" i="1"/>
  <c r="K3601" i="1"/>
  <c r="L3601" i="1"/>
  <c r="K3602" i="1"/>
  <c r="L3602" i="1"/>
  <c r="K3603" i="1"/>
  <c r="L3603" i="1"/>
  <c r="K3604" i="1"/>
  <c r="L3604" i="1"/>
  <c r="K3605" i="1"/>
  <c r="L3605" i="1"/>
  <c r="K3606" i="1"/>
  <c r="L3606" i="1"/>
  <c r="K3607" i="1"/>
  <c r="L3607" i="1"/>
  <c r="K3608" i="1"/>
  <c r="L3608" i="1"/>
  <c r="K3609" i="1"/>
  <c r="L3609" i="1"/>
  <c r="K3610" i="1"/>
  <c r="L3610" i="1"/>
  <c r="K3611" i="1"/>
  <c r="L3611" i="1"/>
  <c r="K3612" i="1"/>
  <c r="L3612" i="1"/>
  <c r="K3613" i="1"/>
  <c r="L3613" i="1"/>
  <c r="K3614" i="1"/>
  <c r="L3614" i="1"/>
  <c r="K3615" i="1"/>
  <c r="L3615" i="1"/>
  <c r="K3616" i="1"/>
  <c r="L3616" i="1"/>
  <c r="K3617" i="1"/>
  <c r="L3617" i="1"/>
  <c r="K3618" i="1"/>
  <c r="L3618" i="1"/>
  <c r="K3619" i="1"/>
  <c r="L3619" i="1"/>
  <c r="K3620" i="1"/>
  <c r="L3620" i="1"/>
  <c r="K3621" i="1"/>
  <c r="L3621" i="1"/>
  <c r="K3622" i="1"/>
  <c r="L3622" i="1"/>
  <c r="K3623" i="1"/>
  <c r="L3623" i="1"/>
  <c r="K3624" i="1"/>
  <c r="L3624" i="1"/>
  <c r="K3625" i="1"/>
  <c r="L3625" i="1"/>
  <c r="K3626" i="1"/>
  <c r="L3626" i="1"/>
  <c r="K3627" i="1"/>
  <c r="L3627" i="1"/>
  <c r="K3628" i="1"/>
  <c r="L3628" i="1"/>
  <c r="K3629" i="1"/>
  <c r="L3629" i="1"/>
  <c r="K3630" i="1"/>
  <c r="L3630" i="1"/>
  <c r="K3631" i="1"/>
  <c r="L3631" i="1"/>
  <c r="K3632" i="1"/>
  <c r="L3632" i="1"/>
  <c r="K3633" i="1"/>
  <c r="L3633" i="1"/>
  <c r="K3634" i="1"/>
  <c r="L3634" i="1"/>
  <c r="K3635" i="1"/>
  <c r="L3635" i="1"/>
  <c r="K3636" i="1"/>
  <c r="L3636" i="1"/>
  <c r="K3637" i="1"/>
  <c r="L3637" i="1"/>
  <c r="K3638" i="1"/>
  <c r="L3638" i="1"/>
  <c r="K3639" i="1"/>
  <c r="L3639" i="1"/>
  <c r="K3640" i="1"/>
  <c r="L3640" i="1"/>
  <c r="K3641" i="1"/>
  <c r="L3641" i="1"/>
  <c r="K3642" i="1"/>
  <c r="L3642" i="1"/>
  <c r="K3643" i="1"/>
  <c r="L3643" i="1"/>
  <c r="K3644" i="1"/>
  <c r="L3644" i="1"/>
  <c r="K3645" i="1"/>
  <c r="L3645" i="1"/>
  <c r="K3646" i="1"/>
  <c r="L3646" i="1"/>
  <c r="K3647" i="1"/>
  <c r="L3647" i="1"/>
  <c r="K3648" i="1"/>
  <c r="L3648" i="1"/>
  <c r="K3649" i="1"/>
  <c r="L3649" i="1"/>
  <c r="K3650" i="1"/>
  <c r="L3650" i="1"/>
  <c r="K3651" i="1"/>
  <c r="L3651" i="1"/>
  <c r="K3652" i="1"/>
  <c r="L3652" i="1"/>
  <c r="K3653" i="1"/>
  <c r="L3653" i="1"/>
  <c r="K3654" i="1"/>
  <c r="L3654" i="1"/>
  <c r="K3655" i="1"/>
  <c r="L3655" i="1"/>
  <c r="K3656" i="1"/>
  <c r="L3656" i="1"/>
  <c r="K3657" i="1"/>
  <c r="L3657" i="1"/>
  <c r="K3658" i="1"/>
  <c r="L3658" i="1"/>
  <c r="K3659" i="1"/>
  <c r="L3659" i="1"/>
  <c r="K3660" i="1"/>
  <c r="L3660" i="1"/>
  <c r="K3661" i="1"/>
  <c r="L3661" i="1"/>
  <c r="K3662" i="1"/>
  <c r="L3662" i="1"/>
  <c r="K3663" i="1"/>
  <c r="L3663" i="1"/>
  <c r="K3664" i="1"/>
  <c r="L3664" i="1"/>
  <c r="K3665" i="1"/>
  <c r="L3665" i="1"/>
  <c r="K3666" i="1"/>
  <c r="L3666" i="1"/>
  <c r="K3667" i="1"/>
  <c r="L3667" i="1"/>
  <c r="K3668" i="1"/>
  <c r="L3668" i="1"/>
  <c r="K3669" i="1"/>
  <c r="L3669" i="1"/>
  <c r="K3670" i="1"/>
  <c r="L3670" i="1"/>
  <c r="K3671" i="1"/>
  <c r="L3671" i="1"/>
  <c r="K3672" i="1"/>
  <c r="L3672" i="1"/>
  <c r="K3673" i="1"/>
  <c r="L3673" i="1"/>
  <c r="K3674" i="1"/>
  <c r="L3674" i="1"/>
  <c r="K3675" i="1"/>
  <c r="L3675" i="1"/>
  <c r="K3676" i="1"/>
  <c r="L3676" i="1"/>
  <c r="K3677" i="1"/>
  <c r="L3677" i="1"/>
  <c r="K3678" i="1"/>
  <c r="L3678" i="1"/>
  <c r="K3679" i="1"/>
  <c r="L3679" i="1"/>
  <c r="K3680" i="1"/>
  <c r="L3680" i="1"/>
  <c r="K3681" i="1"/>
  <c r="L3681" i="1"/>
  <c r="K3682" i="1"/>
  <c r="L3682" i="1"/>
  <c r="K3683" i="1"/>
  <c r="L3683" i="1"/>
  <c r="K3684" i="1"/>
  <c r="L3684" i="1"/>
  <c r="K3685" i="1"/>
  <c r="L3685" i="1"/>
  <c r="K3686" i="1"/>
  <c r="L3686" i="1"/>
  <c r="K3687" i="1"/>
  <c r="L3687" i="1"/>
  <c r="K3688" i="1"/>
  <c r="L3688" i="1"/>
  <c r="K3689" i="1"/>
  <c r="L3689" i="1"/>
  <c r="K3690" i="1"/>
  <c r="L3690" i="1"/>
  <c r="K3691" i="1"/>
  <c r="L3691" i="1"/>
  <c r="K3692" i="1"/>
  <c r="L3692" i="1"/>
  <c r="K3693" i="1"/>
  <c r="L3693" i="1"/>
  <c r="K3694" i="1"/>
  <c r="L3694" i="1"/>
  <c r="K3695" i="1"/>
  <c r="L3695" i="1"/>
  <c r="K3696" i="1"/>
  <c r="L3696" i="1"/>
  <c r="K3697" i="1"/>
  <c r="L3697" i="1"/>
  <c r="K3698" i="1"/>
  <c r="L3698" i="1"/>
  <c r="K3699" i="1"/>
  <c r="L3699" i="1"/>
  <c r="K3700" i="1"/>
  <c r="L3700" i="1"/>
  <c r="K3701" i="1"/>
  <c r="L3701" i="1"/>
  <c r="K3702" i="1"/>
  <c r="L3702" i="1"/>
  <c r="K3703" i="1"/>
  <c r="L3703" i="1"/>
  <c r="K3704" i="1"/>
  <c r="L3704" i="1"/>
  <c r="K3705" i="1"/>
  <c r="L3705" i="1"/>
  <c r="K3706" i="1"/>
  <c r="L3706" i="1"/>
  <c r="K3707" i="1"/>
  <c r="L3707" i="1"/>
  <c r="K3708" i="1"/>
  <c r="L3708" i="1"/>
  <c r="K3709" i="1"/>
  <c r="L3709" i="1"/>
  <c r="K3710" i="1"/>
  <c r="L3710" i="1"/>
  <c r="K3711" i="1"/>
  <c r="L3711" i="1"/>
  <c r="K3712" i="1"/>
  <c r="L3712" i="1"/>
  <c r="K3713" i="1"/>
  <c r="L3713" i="1"/>
  <c r="K3714" i="1"/>
  <c r="L3714" i="1"/>
  <c r="K3715" i="1"/>
  <c r="L3715" i="1"/>
  <c r="K3716" i="1"/>
  <c r="L3716" i="1"/>
  <c r="K3717" i="1"/>
  <c r="L3717" i="1"/>
  <c r="K3718" i="1"/>
  <c r="L3718" i="1"/>
  <c r="K3719" i="1"/>
  <c r="L3719" i="1"/>
  <c r="K3720" i="1"/>
  <c r="L3720" i="1"/>
  <c r="K3721" i="1"/>
  <c r="L3721" i="1"/>
  <c r="K3722" i="1"/>
  <c r="L3722" i="1"/>
  <c r="K3723" i="1"/>
  <c r="L3723" i="1"/>
  <c r="K3724" i="1"/>
  <c r="L3724" i="1"/>
  <c r="K3725" i="1"/>
  <c r="L3725" i="1"/>
  <c r="K3726" i="1"/>
  <c r="L3726" i="1"/>
  <c r="K3727" i="1"/>
  <c r="L3727" i="1"/>
  <c r="K3728" i="1"/>
  <c r="L3728" i="1"/>
  <c r="K3729" i="1"/>
  <c r="L3729" i="1"/>
  <c r="K3730" i="1"/>
  <c r="L3730" i="1"/>
  <c r="K3731" i="1"/>
  <c r="L3731" i="1"/>
  <c r="K3732" i="1"/>
  <c r="L3732" i="1"/>
  <c r="K3733" i="1"/>
  <c r="L3733" i="1"/>
  <c r="K3734" i="1"/>
  <c r="L3734" i="1"/>
  <c r="K3735" i="1"/>
  <c r="L3735" i="1"/>
  <c r="K3736" i="1"/>
  <c r="L3736" i="1"/>
  <c r="K3737" i="1"/>
  <c r="L3737" i="1"/>
  <c r="K3738" i="1"/>
  <c r="L3738" i="1"/>
  <c r="K3739" i="1"/>
  <c r="L3739" i="1"/>
  <c r="K3740" i="1"/>
  <c r="L3740" i="1"/>
  <c r="K3741" i="1"/>
  <c r="L3741" i="1"/>
  <c r="K3742" i="1"/>
  <c r="L3742" i="1"/>
  <c r="K3743" i="1"/>
  <c r="L3743" i="1"/>
  <c r="K3744" i="1"/>
  <c r="L3744" i="1"/>
  <c r="K3745" i="1"/>
  <c r="L3745" i="1"/>
  <c r="K3746" i="1"/>
  <c r="L3746" i="1"/>
  <c r="K3747" i="1"/>
  <c r="L3747" i="1"/>
  <c r="K3748" i="1"/>
  <c r="L3748" i="1"/>
  <c r="K3749" i="1"/>
  <c r="L3749" i="1"/>
  <c r="K3750" i="1"/>
  <c r="L3750" i="1"/>
  <c r="K3751" i="1"/>
  <c r="L3751" i="1"/>
  <c r="K3752" i="1"/>
  <c r="L3752" i="1"/>
  <c r="K3753" i="1"/>
  <c r="L3753" i="1"/>
  <c r="K3754" i="1"/>
  <c r="L3754" i="1"/>
  <c r="K3755" i="1"/>
  <c r="L3755" i="1"/>
  <c r="K3756" i="1"/>
  <c r="L3756" i="1"/>
  <c r="K3757" i="1"/>
  <c r="L3757" i="1"/>
  <c r="K3758" i="1"/>
  <c r="L3758" i="1"/>
  <c r="K3759" i="1"/>
  <c r="L3759" i="1"/>
  <c r="K3760" i="1"/>
  <c r="L3760" i="1"/>
  <c r="K3761" i="1"/>
  <c r="L3761" i="1"/>
  <c r="K3762" i="1"/>
  <c r="L3762" i="1"/>
  <c r="K3763" i="1"/>
  <c r="L3763" i="1"/>
  <c r="K3764" i="1"/>
  <c r="L3764" i="1"/>
  <c r="K3765" i="1"/>
  <c r="L3765" i="1"/>
  <c r="K3766" i="1"/>
  <c r="L3766" i="1"/>
  <c r="K3767" i="1"/>
  <c r="L3767" i="1"/>
  <c r="K3768" i="1"/>
  <c r="L3768" i="1"/>
  <c r="K3769" i="1"/>
  <c r="L3769" i="1"/>
  <c r="K3770" i="1"/>
  <c r="L3770" i="1"/>
  <c r="K3771" i="1"/>
  <c r="L3771" i="1"/>
  <c r="K3772" i="1"/>
  <c r="L3772" i="1"/>
  <c r="K3773" i="1"/>
  <c r="L3773" i="1"/>
  <c r="K3774" i="1"/>
  <c r="L3774" i="1"/>
  <c r="K3775" i="1"/>
  <c r="L3775" i="1"/>
  <c r="K3776" i="1"/>
  <c r="L3776" i="1"/>
  <c r="K3777" i="1"/>
  <c r="L3777" i="1"/>
  <c r="K3778" i="1"/>
  <c r="L3778" i="1"/>
  <c r="K3779" i="1"/>
  <c r="L3779" i="1"/>
  <c r="K3780" i="1"/>
  <c r="L3780" i="1"/>
  <c r="K3781" i="1"/>
  <c r="L3781" i="1"/>
  <c r="K3782" i="1"/>
  <c r="L3782" i="1"/>
  <c r="K3783" i="1"/>
  <c r="L3783" i="1"/>
  <c r="K3784" i="1"/>
  <c r="L3784" i="1"/>
  <c r="K3785" i="1"/>
  <c r="L3785" i="1"/>
  <c r="K3786" i="1"/>
  <c r="L3786" i="1"/>
  <c r="K3787" i="1"/>
  <c r="L3787" i="1"/>
  <c r="K3788" i="1"/>
  <c r="L3788" i="1"/>
  <c r="K3789" i="1"/>
  <c r="L3789" i="1"/>
  <c r="K3790" i="1"/>
  <c r="L3790" i="1"/>
  <c r="K3791" i="1"/>
  <c r="L3791" i="1"/>
  <c r="K3792" i="1"/>
  <c r="L3792" i="1"/>
  <c r="K3793" i="1"/>
  <c r="L3793" i="1"/>
  <c r="K3794" i="1"/>
  <c r="L3794" i="1"/>
  <c r="K3795" i="1"/>
  <c r="L3795" i="1"/>
  <c r="K3796" i="1"/>
  <c r="L3796" i="1"/>
  <c r="K3797" i="1"/>
  <c r="L3797" i="1"/>
  <c r="K3798" i="1"/>
  <c r="L3798" i="1"/>
  <c r="K3799" i="1"/>
  <c r="L3799" i="1"/>
  <c r="K3800" i="1"/>
  <c r="L3800" i="1"/>
  <c r="K3801" i="1"/>
  <c r="L3801" i="1"/>
  <c r="K3802" i="1"/>
  <c r="L3802" i="1"/>
  <c r="K3803" i="1"/>
  <c r="L3803" i="1"/>
  <c r="K3804" i="1"/>
  <c r="L3804" i="1"/>
  <c r="K3805" i="1"/>
  <c r="L3805" i="1"/>
  <c r="K3806" i="1"/>
  <c r="L3806" i="1"/>
  <c r="K3807" i="1"/>
  <c r="L3807" i="1"/>
  <c r="K3808" i="1"/>
  <c r="L3808" i="1"/>
  <c r="K3809" i="1"/>
  <c r="L3809" i="1"/>
  <c r="K3810" i="1"/>
  <c r="L3810" i="1"/>
  <c r="K3811" i="1"/>
  <c r="L3811" i="1"/>
  <c r="K3812" i="1"/>
  <c r="L3812" i="1"/>
  <c r="K3813" i="1"/>
  <c r="L3813" i="1"/>
  <c r="K3814" i="1"/>
  <c r="L3814" i="1"/>
  <c r="K3815" i="1"/>
  <c r="L3815" i="1"/>
  <c r="K3816" i="1"/>
  <c r="L3816" i="1"/>
  <c r="K3817" i="1"/>
  <c r="L3817" i="1"/>
  <c r="K3818" i="1"/>
  <c r="L3818" i="1"/>
  <c r="K3819" i="1"/>
  <c r="L3819" i="1"/>
  <c r="K3820" i="1"/>
  <c r="L3820" i="1"/>
  <c r="K3821" i="1"/>
  <c r="L3821" i="1"/>
  <c r="K3822" i="1"/>
  <c r="L3822" i="1"/>
  <c r="K3823" i="1"/>
  <c r="L3823" i="1"/>
  <c r="K3824" i="1"/>
  <c r="L3824" i="1"/>
  <c r="K3825" i="1"/>
  <c r="L3825" i="1"/>
  <c r="K3826" i="1"/>
  <c r="L3826" i="1"/>
  <c r="K3827" i="1"/>
  <c r="L3827" i="1"/>
  <c r="K3828" i="1"/>
  <c r="L3828" i="1"/>
  <c r="K3829" i="1"/>
  <c r="L3829" i="1"/>
  <c r="K3830" i="1"/>
  <c r="L3830" i="1"/>
  <c r="K3831" i="1"/>
  <c r="L3831" i="1"/>
  <c r="K3832" i="1"/>
  <c r="L3832" i="1"/>
  <c r="K3833" i="1"/>
  <c r="L3833" i="1"/>
  <c r="K3834" i="1"/>
  <c r="L3834" i="1"/>
  <c r="K3835" i="1"/>
  <c r="L3835" i="1"/>
  <c r="K3836" i="1"/>
  <c r="L3836" i="1"/>
  <c r="K3837" i="1"/>
  <c r="L3837" i="1"/>
  <c r="K3838" i="1"/>
  <c r="L3838" i="1"/>
  <c r="K3839" i="1"/>
  <c r="L3839" i="1"/>
  <c r="K3840" i="1"/>
  <c r="L3840" i="1"/>
  <c r="K3841" i="1"/>
  <c r="L3841" i="1"/>
  <c r="K3842" i="1"/>
  <c r="L3842" i="1"/>
  <c r="K3843" i="1"/>
  <c r="L3843" i="1"/>
  <c r="K3844" i="1"/>
  <c r="L3844" i="1"/>
  <c r="K3845" i="1"/>
  <c r="L3845" i="1"/>
  <c r="K3846" i="1"/>
  <c r="L3846" i="1"/>
  <c r="K3847" i="1"/>
  <c r="L3847" i="1"/>
  <c r="K3848" i="1"/>
  <c r="L3848" i="1"/>
  <c r="K3849" i="1"/>
  <c r="L3849" i="1"/>
  <c r="K3850" i="1"/>
  <c r="L3850" i="1"/>
  <c r="K3851" i="1"/>
  <c r="L3851" i="1"/>
  <c r="K3852" i="1"/>
  <c r="L3852" i="1"/>
  <c r="K3853" i="1"/>
  <c r="L3853" i="1"/>
  <c r="K3854" i="1"/>
  <c r="L3854" i="1"/>
  <c r="K3855" i="1"/>
  <c r="L3855" i="1"/>
  <c r="K3856" i="1"/>
  <c r="L3856" i="1"/>
  <c r="K3857" i="1"/>
  <c r="L3857" i="1"/>
  <c r="K3858" i="1"/>
  <c r="L3858" i="1"/>
  <c r="K3859" i="1"/>
  <c r="L3859" i="1"/>
  <c r="K3860" i="1"/>
  <c r="L3860" i="1"/>
  <c r="K3861" i="1"/>
  <c r="L3861" i="1"/>
  <c r="K3862" i="1"/>
  <c r="L3862" i="1"/>
  <c r="K3863" i="1"/>
  <c r="L3863" i="1"/>
  <c r="K3864" i="1"/>
  <c r="L3864" i="1"/>
  <c r="K3865" i="1"/>
  <c r="L3865" i="1"/>
  <c r="K3866" i="1"/>
  <c r="L3866" i="1"/>
  <c r="K3867" i="1"/>
  <c r="L3867" i="1"/>
  <c r="K3868" i="1"/>
  <c r="L3868" i="1"/>
  <c r="K3869" i="1"/>
  <c r="L3869" i="1"/>
  <c r="K3870" i="1"/>
  <c r="L3870" i="1"/>
  <c r="K3871" i="1"/>
  <c r="L3871" i="1"/>
  <c r="K3872" i="1"/>
  <c r="L3872" i="1"/>
  <c r="K3873" i="1"/>
  <c r="L3873" i="1"/>
  <c r="K3874" i="1"/>
  <c r="L3874" i="1"/>
  <c r="K3875" i="1"/>
  <c r="L3875" i="1"/>
  <c r="K3876" i="1"/>
  <c r="L3876" i="1"/>
  <c r="K3877" i="1"/>
  <c r="L3877" i="1"/>
  <c r="K3878" i="1"/>
  <c r="L3878" i="1"/>
  <c r="K3879" i="1"/>
  <c r="L3879" i="1"/>
  <c r="K3880" i="1"/>
  <c r="L3880" i="1"/>
  <c r="K3881" i="1"/>
  <c r="L3881" i="1"/>
  <c r="K3882" i="1"/>
  <c r="L3882" i="1"/>
  <c r="K3883" i="1"/>
  <c r="L3883" i="1"/>
  <c r="K3884" i="1"/>
  <c r="L3884" i="1"/>
  <c r="K3885" i="1"/>
  <c r="L3885" i="1"/>
  <c r="K3886" i="1"/>
  <c r="L3886" i="1"/>
  <c r="K3887" i="1"/>
  <c r="L3887" i="1"/>
  <c r="K3888" i="1"/>
  <c r="L3888" i="1"/>
  <c r="K3889" i="1"/>
  <c r="L3889" i="1"/>
  <c r="K3890" i="1"/>
  <c r="L3890" i="1"/>
  <c r="K3891" i="1"/>
  <c r="L3891" i="1"/>
  <c r="K3892" i="1"/>
  <c r="L3892" i="1"/>
  <c r="K3893" i="1"/>
  <c r="L3893" i="1"/>
  <c r="K3894" i="1"/>
  <c r="L3894" i="1"/>
  <c r="K3895" i="1"/>
  <c r="L3895" i="1"/>
  <c r="K3896" i="1"/>
  <c r="L3896" i="1"/>
  <c r="K3897" i="1"/>
  <c r="L3897" i="1"/>
  <c r="K3898" i="1"/>
  <c r="L3898" i="1"/>
  <c r="K3899" i="1"/>
  <c r="L3899" i="1"/>
  <c r="K3900" i="1"/>
  <c r="L3900" i="1"/>
  <c r="K3901" i="1"/>
  <c r="L3901" i="1"/>
  <c r="K3902" i="1"/>
  <c r="L3902" i="1"/>
  <c r="K3903" i="1"/>
  <c r="L3903" i="1"/>
  <c r="K3904" i="1"/>
  <c r="L3904" i="1"/>
  <c r="K3905" i="1"/>
  <c r="L3905" i="1"/>
  <c r="K3906" i="1"/>
  <c r="L3906" i="1"/>
  <c r="K3907" i="1"/>
  <c r="L3907" i="1"/>
  <c r="K3908" i="1"/>
  <c r="L3908" i="1"/>
  <c r="K3909" i="1"/>
  <c r="L3909" i="1"/>
  <c r="K3910" i="1"/>
  <c r="L3910" i="1"/>
  <c r="K3911" i="1"/>
  <c r="L3911" i="1"/>
  <c r="K3912" i="1"/>
  <c r="L3912" i="1"/>
  <c r="K3913" i="1"/>
  <c r="L3913" i="1"/>
  <c r="K3914" i="1"/>
  <c r="L3914" i="1"/>
  <c r="K3915" i="1"/>
  <c r="L3915" i="1"/>
  <c r="K3916" i="1"/>
  <c r="L3916" i="1"/>
  <c r="K3917" i="1"/>
  <c r="L3917" i="1"/>
  <c r="K3918" i="1"/>
  <c r="L3918" i="1"/>
  <c r="K3919" i="1"/>
  <c r="L3919" i="1"/>
  <c r="K3920" i="1"/>
  <c r="L3920" i="1"/>
  <c r="K3921" i="1"/>
  <c r="L3921" i="1"/>
  <c r="K3922" i="1"/>
  <c r="L3922" i="1"/>
  <c r="K3923" i="1"/>
  <c r="L3923" i="1"/>
  <c r="K3924" i="1"/>
  <c r="L3924" i="1"/>
  <c r="K3925" i="1"/>
  <c r="L3925" i="1"/>
  <c r="K3926" i="1"/>
  <c r="L3926" i="1"/>
  <c r="K3927" i="1"/>
  <c r="L3927" i="1"/>
  <c r="K3928" i="1"/>
  <c r="L3928" i="1"/>
  <c r="K3929" i="1"/>
  <c r="L3929" i="1"/>
  <c r="K3930" i="1"/>
  <c r="L3930" i="1"/>
  <c r="K3931" i="1"/>
  <c r="L3931" i="1"/>
  <c r="K3932" i="1"/>
  <c r="L3932" i="1"/>
  <c r="K3933" i="1"/>
  <c r="L3933" i="1"/>
  <c r="K3934" i="1"/>
  <c r="L3934" i="1"/>
  <c r="K3935" i="1"/>
  <c r="L3935" i="1"/>
  <c r="K3936" i="1"/>
  <c r="L3936" i="1"/>
  <c r="K3937" i="1"/>
  <c r="L3937" i="1"/>
  <c r="K3938" i="1"/>
  <c r="L3938" i="1"/>
  <c r="K3939" i="1"/>
  <c r="L3939" i="1"/>
  <c r="K3940" i="1"/>
  <c r="L3940" i="1"/>
  <c r="K3941" i="1"/>
  <c r="L3941" i="1"/>
  <c r="K3942" i="1"/>
  <c r="L3942" i="1"/>
  <c r="K3943" i="1"/>
  <c r="L3943" i="1"/>
  <c r="K3944" i="1"/>
  <c r="L3944" i="1"/>
  <c r="K3945" i="1"/>
  <c r="L3945" i="1"/>
  <c r="K3946" i="1"/>
  <c r="L3946" i="1"/>
  <c r="K3947" i="1"/>
  <c r="L3947" i="1"/>
  <c r="K3948" i="1"/>
  <c r="L3948" i="1"/>
  <c r="K3949" i="1"/>
  <c r="L3949" i="1"/>
  <c r="K3950" i="1"/>
  <c r="L3950" i="1"/>
  <c r="K3951" i="1"/>
  <c r="L3951" i="1"/>
  <c r="K3952" i="1"/>
  <c r="L3952" i="1"/>
  <c r="K3953" i="1"/>
  <c r="L3953" i="1"/>
  <c r="K3954" i="1"/>
  <c r="L3954" i="1"/>
  <c r="K3955" i="1"/>
  <c r="L3955" i="1"/>
  <c r="K3956" i="1"/>
  <c r="L3956" i="1"/>
  <c r="K3957" i="1"/>
  <c r="L3957" i="1"/>
  <c r="K3958" i="1"/>
  <c r="L3958" i="1"/>
  <c r="K3959" i="1"/>
  <c r="L3959" i="1"/>
  <c r="K3960" i="1"/>
  <c r="L3960" i="1"/>
  <c r="K3961" i="1"/>
  <c r="L3961" i="1"/>
  <c r="K3962" i="1"/>
  <c r="L3962" i="1"/>
  <c r="K3963" i="1"/>
  <c r="L3963" i="1"/>
  <c r="K3964" i="1"/>
  <c r="L3964" i="1"/>
  <c r="K3965" i="1"/>
  <c r="L3965" i="1"/>
  <c r="K3966" i="1"/>
  <c r="L3966" i="1"/>
  <c r="K3967" i="1"/>
  <c r="L3967" i="1"/>
  <c r="K3968" i="1"/>
  <c r="L3968" i="1"/>
  <c r="K3969" i="1"/>
  <c r="L3969" i="1"/>
  <c r="K3970" i="1"/>
  <c r="L3970" i="1"/>
  <c r="K3971" i="1"/>
  <c r="L3971" i="1"/>
  <c r="K3972" i="1"/>
  <c r="L3972" i="1"/>
  <c r="K3973" i="1"/>
  <c r="L3973" i="1"/>
  <c r="K3974" i="1"/>
  <c r="L3974" i="1"/>
  <c r="K3975" i="1"/>
  <c r="L3975" i="1"/>
  <c r="K3976" i="1"/>
  <c r="L3976" i="1"/>
  <c r="K3977" i="1"/>
  <c r="L3977" i="1"/>
  <c r="K3978" i="1"/>
  <c r="L3978" i="1"/>
  <c r="K3979" i="1"/>
  <c r="L3979" i="1"/>
  <c r="K3980" i="1"/>
  <c r="L3980" i="1"/>
  <c r="K3981" i="1"/>
  <c r="L3981" i="1"/>
  <c r="K3982" i="1"/>
  <c r="L3982" i="1"/>
  <c r="K3983" i="1"/>
  <c r="L3983" i="1"/>
  <c r="K3984" i="1"/>
  <c r="L3984" i="1"/>
  <c r="K3985" i="1"/>
  <c r="L3985" i="1"/>
  <c r="K3986" i="1"/>
  <c r="L3986" i="1"/>
  <c r="K3987" i="1"/>
  <c r="L3987" i="1"/>
  <c r="K3988" i="1"/>
  <c r="L3988" i="1"/>
  <c r="K3989" i="1"/>
  <c r="L3989" i="1"/>
  <c r="K3990" i="1"/>
  <c r="L3990" i="1"/>
  <c r="K3991" i="1"/>
  <c r="L3991" i="1"/>
  <c r="K3992" i="1"/>
  <c r="L3992" i="1"/>
  <c r="K3993" i="1"/>
  <c r="L3993" i="1"/>
  <c r="K3994" i="1"/>
  <c r="L3994" i="1"/>
  <c r="K3995" i="1"/>
  <c r="L3995" i="1"/>
  <c r="K3996" i="1"/>
  <c r="L3996" i="1"/>
  <c r="K3997" i="1"/>
  <c r="L3997" i="1"/>
  <c r="K3998" i="1"/>
  <c r="L3998" i="1"/>
  <c r="K3999" i="1"/>
  <c r="L3999" i="1"/>
  <c r="K4000" i="1"/>
  <c r="L4000" i="1"/>
  <c r="K4001" i="1"/>
  <c r="L4001" i="1"/>
  <c r="K4002" i="1"/>
  <c r="L4002" i="1"/>
  <c r="K4003" i="1"/>
  <c r="L4003" i="1"/>
  <c r="K4004" i="1"/>
  <c r="L4004" i="1"/>
  <c r="K4005" i="1"/>
  <c r="L4005" i="1"/>
  <c r="K4006" i="1"/>
  <c r="L4006" i="1"/>
  <c r="K4007" i="1"/>
  <c r="L4007" i="1"/>
  <c r="K4008" i="1"/>
  <c r="L4008" i="1"/>
  <c r="K4009" i="1"/>
  <c r="L4009" i="1"/>
  <c r="K4010" i="1"/>
  <c r="L4010" i="1"/>
  <c r="K4011" i="1"/>
  <c r="L4011" i="1"/>
  <c r="K4012" i="1"/>
  <c r="L4012" i="1"/>
  <c r="K4013" i="1"/>
  <c r="L4013" i="1"/>
  <c r="K4014" i="1"/>
  <c r="L4014" i="1"/>
  <c r="K4015" i="1"/>
  <c r="L4015" i="1"/>
  <c r="K4016" i="1"/>
  <c r="L4016" i="1"/>
  <c r="K4017" i="1"/>
  <c r="L4017" i="1"/>
  <c r="K4018" i="1"/>
  <c r="L4018" i="1"/>
  <c r="K4019" i="1"/>
  <c r="L4019" i="1"/>
  <c r="K4020" i="1"/>
  <c r="L4020" i="1"/>
  <c r="K4021" i="1"/>
  <c r="L4021" i="1"/>
  <c r="K4022" i="1"/>
  <c r="L4022" i="1"/>
  <c r="K4023" i="1"/>
  <c r="L4023" i="1"/>
  <c r="K4024" i="1"/>
  <c r="L4024" i="1"/>
  <c r="K4025" i="1"/>
  <c r="L4025" i="1"/>
  <c r="K4026" i="1"/>
  <c r="L4026" i="1"/>
  <c r="K4027" i="1"/>
  <c r="L4027" i="1"/>
  <c r="K4028" i="1"/>
  <c r="L4028" i="1"/>
  <c r="K4029" i="1"/>
  <c r="L4029" i="1"/>
  <c r="K4030" i="1"/>
  <c r="L4030" i="1"/>
  <c r="K4031" i="1"/>
  <c r="L4031" i="1"/>
  <c r="K4032" i="1"/>
  <c r="L4032" i="1"/>
  <c r="K4033" i="1"/>
  <c r="L4033" i="1"/>
  <c r="K4034" i="1"/>
  <c r="L4034" i="1"/>
  <c r="K4035" i="1"/>
  <c r="L4035" i="1"/>
  <c r="K4036" i="1"/>
  <c r="L4036" i="1"/>
  <c r="K4037" i="1"/>
  <c r="L4037" i="1"/>
  <c r="K4038" i="1"/>
  <c r="L4038" i="1"/>
  <c r="K4039" i="1"/>
  <c r="L4039" i="1"/>
  <c r="K4040" i="1"/>
  <c r="L4040" i="1"/>
  <c r="K4041" i="1"/>
  <c r="L4041" i="1"/>
  <c r="K4042" i="1"/>
  <c r="L4042" i="1"/>
  <c r="K4043" i="1"/>
  <c r="L4043" i="1"/>
  <c r="K4044" i="1"/>
  <c r="L4044" i="1"/>
  <c r="K4045" i="1"/>
  <c r="L4045" i="1"/>
  <c r="K4046" i="1"/>
  <c r="L4046" i="1"/>
  <c r="K4047" i="1"/>
  <c r="L4047" i="1"/>
  <c r="K4048" i="1"/>
  <c r="L4048" i="1"/>
  <c r="K4049" i="1"/>
  <c r="L4049" i="1"/>
  <c r="K4050" i="1"/>
  <c r="L4050" i="1"/>
  <c r="K4051" i="1"/>
  <c r="L4051" i="1"/>
  <c r="K4052" i="1"/>
  <c r="L4052" i="1"/>
  <c r="K4053" i="1"/>
  <c r="L4053" i="1"/>
  <c r="K4054" i="1"/>
  <c r="L4054" i="1"/>
  <c r="K4055" i="1"/>
  <c r="L4055" i="1"/>
  <c r="K4056" i="1"/>
  <c r="L4056" i="1"/>
  <c r="K4057" i="1"/>
  <c r="L4057" i="1"/>
  <c r="K4058" i="1"/>
  <c r="L4058" i="1"/>
  <c r="K4059" i="1"/>
  <c r="L4059" i="1"/>
  <c r="K4060" i="1"/>
  <c r="L4060" i="1"/>
  <c r="K4061" i="1"/>
  <c r="L4061" i="1"/>
  <c r="K4062" i="1"/>
  <c r="L4062" i="1"/>
  <c r="K4063" i="1"/>
  <c r="L4063" i="1"/>
  <c r="K4064" i="1"/>
  <c r="L4064" i="1"/>
  <c r="K4065" i="1"/>
  <c r="L4065" i="1"/>
  <c r="K4066" i="1"/>
  <c r="L4066" i="1"/>
  <c r="K4067" i="1"/>
  <c r="L4067" i="1"/>
  <c r="K4068" i="1"/>
  <c r="L4068" i="1"/>
  <c r="K4069" i="1"/>
  <c r="L4069" i="1"/>
  <c r="K4070" i="1"/>
  <c r="L4070" i="1"/>
  <c r="K4071" i="1"/>
  <c r="L4071" i="1"/>
  <c r="K4072" i="1"/>
  <c r="L4072" i="1"/>
  <c r="K4073" i="1"/>
  <c r="L4073" i="1"/>
  <c r="K4074" i="1"/>
  <c r="L4074" i="1"/>
  <c r="K4075" i="1"/>
  <c r="L4075" i="1"/>
  <c r="K4076" i="1"/>
  <c r="L4076" i="1"/>
  <c r="K4077" i="1"/>
  <c r="L4077" i="1"/>
  <c r="K4078" i="1"/>
  <c r="L4078" i="1"/>
  <c r="K4079" i="1"/>
  <c r="L4079" i="1"/>
  <c r="K4080" i="1"/>
  <c r="L4080" i="1"/>
  <c r="K4081" i="1"/>
  <c r="L4081" i="1"/>
  <c r="K4082" i="1"/>
  <c r="L4082" i="1"/>
  <c r="K4083" i="1"/>
  <c r="L4083" i="1"/>
  <c r="K4084" i="1"/>
  <c r="L4084" i="1"/>
  <c r="K4085" i="1"/>
  <c r="L4085" i="1"/>
  <c r="K4086" i="1"/>
  <c r="L4086" i="1"/>
  <c r="K4087" i="1"/>
  <c r="L4087" i="1"/>
  <c r="K4088" i="1"/>
  <c r="L4088" i="1"/>
  <c r="K4089" i="1"/>
  <c r="L4089" i="1"/>
  <c r="K4090" i="1"/>
  <c r="L4090" i="1"/>
  <c r="K4091" i="1"/>
  <c r="L4091" i="1"/>
  <c r="K4092" i="1"/>
  <c r="L4092" i="1"/>
  <c r="K4093" i="1"/>
  <c r="L4093" i="1"/>
  <c r="K4094" i="1"/>
  <c r="L4094" i="1"/>
  <c r="K4095" i="1"/>
  <c r="L4095" i="1"/>
  <c r="K4096" i="1"/>
  <c r="L4096" i="1"/>
  <c r="K4097" i="1"/>
  <c r="L4097" i="1"/>
  <c r="K4098" i="1"/>
  <c r="L4098" i="1"/>
  <c r="K4099" i="1"/>
  <c r="L4099" i="1"/>
  <c r="K4100" i="1"/>
  <c r="L4100" i="1"/>
  <c r="K4101" i="1"/>
  <c r="L4101" i="1"/>
  <c r="K4102" i="1"/>
  <c r="L4102" i="1"/>
  <c r="K4103" i="1"/>
  <c r="L4103" i="1"/>
  <c r="K4104" i="1"/>
  <c r="L4104" i="1"/>
  <c r="K4105" i="1"/>
  <c r="L4105" i="1"/>
  <c r="K4106" i="1"/>
  <c r="L4106" i="1"/>
  <c r="K4107" i="1"/>
  <c r="L4107" i="1"/>
  <c r="K4108" i="1"/>
  <c r="L4108" i="1"/>
  <c r="K4109" i="1"/>
  <c r="L4109" i="1"/>
  <c r="K4110" i="1"/>
  <c r="L4110" i="1"/>
  <c r="K4111" i="1"/>
  <c r="L4111" i="1"/>
  <c r="K4112" i="1"/>
  <c r="L4112" i="1"/>
  <c r="K4113" i="1"/>
  <c r="L4113" i="1"/>
  <c r="K4114" i="1"/>
  <c r="L4114" i="1"/>
  <c r="K4115" i="1"/>
  <c r="L4115" i="1"/>
  <c r="K4116" i="1"/>
  <c r="L4116" i="1"/>
  <c r="K4117" i="1"/>
  <c r="L4117" i="1"/>
  <c r="K4118" i="1"/>
  <c r="L4118" i="1"/>
  <c r="K4119" i="1"/>
  <c r="L4119" i="1"/>
  <c r="K4120" i="1"/>
  <c r="L4120" i="1"/>
  <c r="K4121" i="1"/>
  <c r="L4121" i="1"/>
  <c r="K4122" i="1"/>
  <c r="L4122" i="1"/>
  <c r="K4123" i="1"/>
  <c r="L4123" i="1"/>
  <c r="K4124" i="1"/>
  <c r="L4124" i="1"/>
  <c r="K4125" i="1"/>
  <c r="L4125" i="1"/>
  <c r="K4126" i="1"/>
  <c r="L4126" i="1"/>
  <c r="K4127" i="1"/>
  <c r="L4127" i="1"/>
  <c r="K4128" i="1"/>
  <c r="L4128" i="1"/>
  <c r="K4129" i="1"/>
  <c r="L4129" i="1"/>
  <c r="K4130" i="1"/>
  <c r="L4130" i="1"/>
  <c r="K4131" i="1"/>
  <c r="L4131" i="1"/>
  <c r="K4132" i="1"/>
  <c r="L4132" i="1"/>
  <c r="K4133" i="1"/>
  <c r="L4133" i="1"/>
  <c r="K4134" i="1"/>
  <c r="L4134" i="1"/>
  <c r="K4135" i="1"/>
  <c r="L4135" i="1"/>
  <c r="K4136" i="1"/>
  <c r="L4136" i="1"/>
  <c r="K4137" i="1"/>
  <c r="L4137" i="1"/>
  <c r="K4138" i="1"/>
  <c r="L4138" i="1"/>
  <c r="K4139" i="1"/>
  <c r="L4139" i="1"/>
  <c r="K4140" i="1"/>
  <c r="L4140" i="1"/>
  <c r="K4141" i="1"/>
  <c r="L4141" i="1"/>
  <c r="K4142" i="1"/>
  <c r="L4142" i="1"/>
  <c r="K4143" i="1"/>
  <c r="L4143" i="1"/>
  <c r="K4144" i="1"/>
  <c r="L4144" i="1"/>
  <c r="K4145" i="1"/>
  <c r="L4145" i="1"/>
  <c r="K4146" i="1"/>
  <c r="L4146" i="1"/>
  <c r="K4147" i="1"/>
  <c r="L4147" i="1"/>
  <c r="K4148" i="1"/>
  <c r="L4148" i="1"/>
  <c r="K4149" i="1"/>
  <c r="L4149" i="1"/>
  <c r="K4150" i="1"/>
  <c r="L4150" i="1"/>
  <c r="K4151" i="1"/>
  <c r="L4151" i="1"/>
  <c r="K4152" i="1"/>
  <c r="L4152" i="1"/>
  <c r="K4153" i="1"/>
  <c r="L4153" i="1"/>
  <c r="K4154" i="1"/>
  <c r="L4154" i="1"/>
  <c r="K4155" i="1"/>
  <c r="L4155" i="1"/>
  <c r="K4156" i="1"/>
  <c r="L4156" i="1"/>
  <c r="K4157" i="1"/>
  <c r="L4157" i="1"/>
  <c r="K4158" i="1"/>
  <c r="L4158" i="1"/>
  <c r="K4159" i="1"/>
  <c r="L4159" i="1"/>
  <c r="K4160" i="1"/>
  <c r="L4160" i="1"/>
  <c r="K4161" i="1"/>
  <c r="L4161" i="1"/>
  <c r="K4162" i="1"/>
  <c r="L4162" i="1"/>
  <c r="K4163" i="1"/>
  <c r="L4163" i="1"/>
  <c r="K4164" i="1"/>
  <c r="L4164" i="1"/>
  <c r="K4165" i="1"/>
  <c r="L4165" i="1"/>
  <c r="K4166" i="1"/>
  <c r="L4166" i="1"/>
  <c r="K4167" i="1"/>
  <c r="L4167" i="1"/>
  <c r="K4168" i="1"/>
  <c r="L4168" i="1"/>
  <c r="K4169" i="1"/>
  <c r="L4169" i="1"/>
  <c r="K4170" i="1"/>
  <c r="L4170" i="1"/>
  <c r="K4171" i="1"/>
  <c r="L4171" i="1"/>
  <c r="K4172" i="1"/>
  <c r="L4172" i="1"/>
  <c r="K4173" i="1"/>
  <c r="L4173" i="1"/>
  <c r="K4174" i="1"/>
  <c r="L4174" i="1"/>
  <c r="K4175" i="1"/>
  <c r="L4175" i="1"/>
  <c r="K4176" i="1"/>
  <c r="L4176" i="1"/>
  <c r="K4177" i="1"/>
  <c r="L4177" i="1"/>
  <c r="K4178" i="1"/>
  <c r="L4178" i="1"/>
  <c r="K4179" i="1"/>
  <c r="L4179" i="1"/>
  <c r="K4180" i="1"/>
  <c r="L4180" i="1"/>
  <c r="K4181" i="1"/>
  <c r="L4181" i="1"/>
  <c r="K4182" i="1"/>
  <c r="L4182" i="1"/>
  <c r="K4183" i="1"/>
  <c r="L4183" i="1"/>
  <c r="K4184" i="1"/>
  <c r="L4184" i="1"/>
  <c r="K4185" i="1"/>
  <c r="L4185" i="1"/>
  <c r="K4186" i="1"/>
  <c r="L4186" i="1"/>
  <c r="K4187" i="1"/>
  <c r="L4187" i="1"/>
  <c r="K4188" i="1"/>
  <c r="L4188" i="1"/>
  <c r="K4189" i="1"/>
  <c r="L4189" i="1"/>
  <c r="K4190" i="1"/>
  <c r="L4190" i="1"/>
  <c r="K4191" i="1"/>
  <c r="L4191" i="1"/>
  <c r="K4192" i="1"/>
  <c r="L4192" i="1"/>
  <c r="K4193" i="1"/>
  <c r="L4193" i="1"/>
  <c r="K4194" i="1"/>
  <c r="L4194" i="1"/>
  <c r="K4195" i="1"/>
  <c r="L4195" i="1"/>
  <c r="K4196" i="1"/>
  <c r="L4196" i="1"/>
  <c r="K4197" i="1"/>
  <c r="L4197" i="1"/>
  <c r="K4198" i="1"/>
  <c r="L4198" i="1"/>
  <c r="K4199" i="1"/>
  <c r="L4199" i="1"/>
  <c r="K4200" i="1"/>
  <c r="L4200" i="1"/>
  <c r="K4201" i="1"/>
  <c r="L4201" i="1"/>
  <c r="K4202" i="1"/>
  <c r="L4202" i="1"/>
  <c r="K4203" i="1"/>
  <c r="L4203" i="1"/>
  <c r="K4204" i="1"/>
  <c r="L4204" i="1"/>
  <c r="K4205" i="1"/>
  <c r="L4205" i="1"/>
  <c r="K4206" i="1"/>
  <c r="L4206" i="1"/>
  <c r="K4207" i="1"/>
  <c r="L4207" i="1"/>
  <c r="K4208" i="1"/>
  <c r="L4208" i="1"/>
  <c r="K4209" i="1"/>
  <c r="L4209" i="1"/>
  <c r="K4210" i="1"/>
  <c r="L4210" i="1"/>
  <c r="K4211" i="1"/>
  <c r="L4211" i="1"/>
  <c r="K4212" i="1"/>
  <c r="L4212" i="1"/>
  <c r="K4213" i="1"/>
  <c r="L4213" i="1"/>
  <c r="K4214" i="1"/>
  <c r="L4214" i="1"/>
  <c r="K4215" i="1"/>
  <c r="L4215" i="1"/>
  <c r="K4216" i="1"/>
  <c r="L4216" i="1"/>
  <c r="K4217" i="1"/>
  <c r="L4217" i="1"/>
  <c r="K4218" i="1"/>
  <c r="L4218" i="1"/>
  <c r="K4219" i="1"/>
  <c r="L4219" i="1"/>
  <c r="K4220" i="1"/>
  <c r="L4220" i="1"/>
  <c r="K4221" i="1"/>
  <c r="L4221" i="1"/>
  <c r="K4222" i="1"/>
  <c r="L4222" i="1"/>
  <c r="K4223" i="1"/>
  <c r="L4223" i="1"/>
  <c r="K4224" i="1"/>
  <c r="L4224" i="1"/>
  <c r="K4225" i="1"/>
  <c r="L4225" i="1"/>
  <c r="K4226" i="1"/>
  <c r="L4226" i="1"/>
  <c r="K4227" i="1"/>
  <c r="L4227" i="1"/>
  <c r="K4228" i="1"/>
  <c r="L4228" i="1"/>
  <c r="K4229" i="1"/>
  <c r="L4229" i="1"/>
  <c r="K4230" i="1"/>
  <c r="L4230" i="1"/>
  <c r="K4231" i="1"/>
  <c r="L4231" i="1"/>
  <c r="K4232" i="1"/>
  <c r="L4232" i="1"/>
  <c r="K4233" i="1"/>
  <c r="L4233" i="1"/>
  <c r="K4234" i="1"/>
  <c r="L4234" i="1"/>
  <c r="K4235" i="1"/>
  <c r="L4235" i="1"/>
  <c r="K4236" i="1"/>
  <c r="L4236" i="1"/>
  <c r="K4237" i="1"/>
  <c r="L4237" i="1"/>
  <c r="K4238" i="1"/>
  <c r="L4238" i="1"/>
  <c r="K4239" i="1"/>
  <c r="L4239" i="1"/>
  <c r="K4240" i="1"/>
  <c r="L4240" i="1"/>
  <c r="K4241" i="1"/>
  <c r="L4241" i="1"/>
  <c r="K4242" i="1"/>
  <c r="L4242" i="1"/>
  <c r="K4243" i="1"/>
  <c r="L4243" i="1"/>
  <c r="K4244" i="1"/>
  <c r="L4244" i="1"/>
  <c r="K4245" i="1"/>
  <c r="L4245" i="1"/>
  <c r="K4246" i="1"/>
  <c r="L4246" i="1"/>
  <c r="K4247" i="1"/>
  <c r="L4247" i="1"/>
  <c r="K4248" i="1"/>
  <c r="L4248" i="1"/>
  <c r="K4249" i="1"/>
  <c r="L4249" i="1"/>
  <c r="K4250" i="1"/>
  <c r="L4250" i="1"/>
  <c r="K4251" i="1"/>
  <c r="L4251" i="1"/>
  <c r="K4252" i="1"/>
  <c r="L4252" i="1"/>
  <c r="K4253" i="1"/>
  <c r="L4253" i="1"/>
  <c r="K4254" i="1"/>
  <c r="L4254" i="1"/>
  <c r="K4255" i="1"/>
  <c r="L4255" i="1"/>
  <c r="K4256" i="1"/>
  <c r="L4256" i="1"/>
  <c r="K4257" i="1"/>
  <c r="L4257" i="1"/>
  <c r="K4258" i="1"/>
  <c r="L4258" i="1"/>
  <c r="K4259" i="1"/>
  <c r="L4259" i="1"/>
  <c r="K4260" i="1"/>
  <c r="L4260" i="1"/>
  <c r="K4261" i="1"/>
  <c r="L4261" i="1"/>
  <c r="K4262" i="1"/>
  <c r="L4262" i="1"/>
  <c r="K4263" i="1"/>
  <c r="L4263" i="1"/>
  <c r="K4264" i="1"/>
  <c r="L4264" i="1"/>
  <c r="K4265" i="1"/>
  <c r="L4265" i="1"/>
  <c r="K4266" i="1"/>
  <c r="L4266" i="1"/>
  <c r="K4267" i="1"/>
  <c r="L4267" i="1"/>
  <c r="K4268" i="1"/>
  <c r="L4268" i="1"/>
  <c r="K4269" i="1"/>
  <c r="L4269" i="1"/>
  <c r="K4270" i="1"/>
  <c r="L4270" i="1"/>
  <c r="K4271" i="1"/>
  <c r="L4271" i="1"/>
  <c r="K4272" i="1"/>
  <c r="L4272" i="1"/>
  <c r="K4273" i="1"/>
  <c r="L4273" i="1"/>
  <c r="K4274" i="1"/>
  <c r="L4274" i="1"/>
  <c r="K4275" i="1"/>
  <c r="L4275" i="1"/>
  <c r="K4276" i="1"/>
  <c r="L4276" i="1"/>
  <c r="K4277" i="1"/>
  <c r="L4277" i="1"/>
  <c r="K4278" i="1"/>
  <c r="L4278" i="1"/>
  <c r="K4279" i="1"/>
  <c r="L4279" i="1"/>
  <c r="K4280" i="1"/>
  <c r="L4280" i="1"/>
  <c r="K4281" i="1"/>
  <c r="L4281" i="1"/>
  <c r="K4282" i="1"/>
  <c r="L4282" i="1"/>
  <c r="K4283" i="1"/>
  <c r="L4283" i="1"/>
  <c r="K4284" i="1"/>
  <c r="L4284" i="1"/>
  <c r="K4285" i="1"/>
  <c r="L4285" i="1"/>
  <c r="K4286" i="1"/>
  <c r="L4286" i="1"/>
  <c r="K4287" i="1"/>
  <c r="L4287" i="1"/>
  <c r="K4288" i="1"/>
  <c r="L4288" i="1"/>
  <c r="K4289" i="1"/>
  <c r="L4289" i="1"/>
  <c r="K4290" i="1"/>
  <c r="L4290" i="1"/>
  <c r="K4291" i="1"/>
  <c r="L4291" i="1"/>
  <c r="K4292" i="1"/>
  <c r="L4292" i="1"/>
  <c r="K4293" i="1"/>
  <c r="L4293" i="1"/>
  <c r="K4294" i="1"/>
  <c r="L4294" i="1"/>
  <c r="K4295" i="1"/>
  <c r="L4295" i="1"/>
  <c r="K4296" i="1"/>
  <c r="L4296" i="1"/>
  <c r="K4297" i="1"/>
  <c r="L4297" i="1"/>
  <c r="K4298" i="1"/>
  <c r="L4298" i="1"/>
  <c r="K4299" i="1"/>
  <c r="L4299" i="1"/>
  <c r="K4300" i="1"/>
  <c r="L4300" i="1"/>
  <c r="K4301" i="1"/>
  <c r="L4301" i="1"/>
  <c r="K4302" i="1"/>
  <c r="L4302" i="1"/>
  <c r="K4303" i="1"/>
  <c r="L4303" i="1"/>
  <c r="K4304" i="1"/>
  <c r="L4304" i="1"/>
  <c r="K4305" i="1"/>
  <c r="L4305" i="1"/>
  <c r="K4306" i="1"/>
  <c r="L4306" i="1"/>
  <c r="K4307" i="1"/>
  <c r="L4307" i="1"/>
  <c r="K4308" i="1"/>
  <c r="L4308" i="1"/>
  <c r="K4309" i="1"/>
  <c r="L4309" i="1"/>
  <c r="K4310" i="1"/>
  <c r="L4310" i="1"/>
  <c r="K4311" i="1"/>
  <c r="L4311" i="1"/>
  <c r="K4312" i="1"/>
  <c r="L4312" i="1"/>
  <c r="K4313" i="1"/>
  <c r="L4313" i="1"/>
  <c r="K4314" i="1"/>
  <c r="L4314" i="1"/>
  <c r="K4315" i="1"/>
  <c r="L4315" i="1"/>
  <c r="K4316" i="1"/>
  <c r="L4316" i="1"/>
  <c r="K4317" i="1"/>
  <c r="L4317" i="1"/>
  <c r="K4318" i="1"/>
  <c r="L4318" i="1"/>
  <c r="K4319" i="1"/>
  <c r="L4319" i="1"/>
  <c r="K4320" i="1"/>
  <c r="L4320" i="1"/>
  <c r="K4321" i="1"/>
  <c r="L4321" i="1"/>
  <c r="K4322" i="1"/>
  <c r="L4322" i="1"/>
  <c r="K4323" i="1"/>
  <c r="L4323" i="1"/>
  <c r="K4324" i="1"/>
  <c r="L4324" i="1"/>
  <c r="K4325" i="1"/>
  <c r="L4325" i="1"/>
  <c r="K4326" i="1"/>
  <c r="L4326" i="1"/>
  <c r="K4327" i="1"/>
  <c r="L4327" i="1"/>
  <c r="K4328" i="1"/>
  <c r="L4328" i="1"/>
  <c r="K4329" i="1"/>
  <c r="L4329" i="1"/>
  <c r="K4330" i="1"/>
  <c r="L4330" i="1"/>
  <c r="K4331" i="1"/>
  <c r="L4331" i="1"/>
  <c r="K4332" i="1"/>
  <c r="L4332" i="1"/>
  <c r="K4333" i="1"/>
  <c r="L4333" i="1"/>
  <c r="K4334" i="1"/>
  <c r="L4334" i="1"/>
  <c r="K4335" i="1"/>
  <c r="L4335" i="1"/>
  <c r="K4336" i="1"/>
  <c r="L4336" i="1"/>
  <c r="K4337" i="1"/>
  <c r="L4337" i="1"/>
  <c r="K4338" i="1"/>
  <c r="L4338" i="1"/>
  <c r="K4339" i="1"/>
  <c r="L4339" i="1"/>
  <c r="K4340" i="1"/>
  <c r="L4340" i="1"/>
  <c r="K4341" i="1"/>
  <c r="L4341" i="1"/>
  <c r="K4342" i="1"/>
  <c r="L4342" i="1"/>
  <c r="K4343" i="1"/>
  <c r="L4343" i="1"/>
  <c r="K4344" i="1"/>
  <c r="L4344" i="1"/>
  <c r="K4345" i="1"/>
  <c r="L4345" i="1"/>
  <c r="K4346" i="1"/>
  <c r="L4346" i="1"/>
  <c r="K4347" i="1"/>
  <c r="L4347" i="1"/>
  <c r="K4348" i="1"/>
  <c r="L4348" i="1"/>
  <c r="K4349" i="1"/>
  <c r="L4349" i="1"/>
  <c r="K4350" i="1"/>
  <c r="L4350" i="1"/>
  <c r="K4351" i="1"/>
  <c r="L4351" i="1"/>
  <c r="K4352" i="1"/>
  <c r="L4352" i="1"/>
  <c r="K4353" i="1"/>
  <c r="L4353" i="1"/>
  <c r="K4354" i="1"/>
  <c r="L4354" i="1"/>
  <c r="K4355" i="1"/>
  <c r="L4355" i="1"/>
  <c r="K4356" i="1"/>
  <c r="L4356" i="1"/>
  <c r="K4357" i="1"/>
  <c r="L4357" i="1"/>
  <c r="K4358" i="1"/>
  <c r="L4358" i="1"/>
  <c r="K4359" i="1"/>
  <c r="L4359" i="1"/>
  <c r="K4360" i="1"/>
  <c r="L4360" i="1"/>
  <c r="K4361" i="1"/>
  <c r="L4361" i="1"/>
  <c r="K4362" i="1"/>
  <c r="L4362" i="1"/>
  <c r="K4363" i="1"/>
  <c r="L4363" i="1"/>
  <c r="K4364" i="1"/>
  <c r="L4364" i="1"/>
  <c r="K4365" i="1"/>
  <c r="L4365" i="1"/>
  <c r="K4366" i="1"/>
  <c r="L4366" i="1"/>
  <c r="K4367" i="1"/>
  <c r="L4367" i="1"/>
  <c r="K4368" i="1"/>
  <c r="L4368" i="1"/>
  <c r="K4369" i="1"/>
  <c r="L4369" i="1"/>
  <c r="K4370" i="1"/>
  <c r="L4370" i="1"/>
  <c r="K4371" i="1"/>
  <c r="L4371" i="1"/>
  <c r="K4372" i="1"/>
  <c r="L4372" i="1"/>
  <c r="K4373" i="1"/>
  <c r="L4373" i="1"/>
  <c r="K4374" i="1"/>
  <c r="L4374" i="1"/>
  <c r="K4375" i="1"/>
  <c r="L4375" i="1"/>
  <c r="K4376" i="1"/>
  <c r="L4376" i="1"/>
  <c r="K4377" i="1"/>
  <c r="L4377" i="1"/>
  <c r="K4378" i="1"/>
  <c r="L4378" i="1"/>
  <c r="K4379" i="1"/>
  <c r="L4379" i="1"/>
  <c r="K4380" i="1"/>
  <c r="L4380" i="1"/>
  <c r="K4381" i="1"/>
  <c r="L4381" i="1"/>
  <c r="K4382" i="1"/>
  <c r="L4382" i="1"/>
  <c r="K4383" i="1"/>
  <c r="L4383" i="1"/>
  <c r="K4384" i="1"/>
  <c r="L4384" i="1"/>
  <c r="K4385" i="1"/>
  <c r="L4385" i="1"/>
  <c r="K4386" i="1"/>
  <c r="L4386" i="1"/>
  <c r="K4387" i="1"/>
  <c r="L4387" i="1"/>
  <c r="K4388" i="1"/>
  <c r="L4388" i="1"/>
  <c r="K4389" i="1"/>
  <c r="L4389" i="1"/>
  <c r="K4390" i="1"/>
  <c r="L4390" i="1"/>
  <c r="K4391" i="1"/>
  <c r="L4391" i="1"/>
  <c r="K4392" i="1"/>
  <c r="L4392" i="1"/>
  <c r="K4393" i="1"/>
  <c r="L4393" i="1"/>
  <c r="K4394" i="1"/>
  <c r="L4394" i="1"/>
  <c r="K4395" i="1"/>
  <c r="L4395" i="1"/>
  <c r="K4396" i="1"/>
  <c r="L4396" i="1"/>
  <c r="K4397" i="1"/>
  <c r="L4397" i="1"/>
  <c r="K4398" i="1"/>
  <c r="L4398" i="1"/>
  <c r="K4399" i="1"/>
  <c r="L4399" i="1"/>
  <c r="K4400" i="1"/>
  <c r="L4400" i="1"/>
  <c r="K4401" i="1"/>
  <c r="L4401" i="1"/>
  <c r="K4402" i="1"/>
  <c r="L4402" i="1"/>
  <c r="K4403" i="1"/>
  <c r="L4403" i="1"/>
  <c r="K4404" i="1"/>
  <c r="L4404" i="1"/>
  <c r="K4405" i="1"/>
  <c r="L4405" i="1"/>
  <c r="K4406" i="1"/>
  <c r="L4406" i="1"/>
  <c r="K4407" i="1"/>
  <c r="L4407" i="1"/>
  <c r="K4408" i="1"/>
  <c r="L4408" i="1"/>
  <c r="K4409" i="1"/>
  <c r="L4409" i="1"/>
  <c r="K4410" i="1"/>
  <c r="L4410" i="1"/>
  <c r="K4411" i="1"/>
  <c r="L4411" i="1"/>
  <c r="K4412" i="1"/>
  <c r="L4412" i="1"/>
  <c r="K4413" i="1"/>
  <c r="L4413" i="1"/>
  <c r="K4414" i="1"/>
  <c r="L4414" i="1"/>
  <c r="K4415" i="1"/>
  <c r="L4415" i="1"/>
  <c r="K4416" i="1"/>
  <c r="L4416" i="1"/>
  <c r="K4417" i="1"/>
  <c r="L4417" i="1"/>
  <c r="K4418" i="1"/>
  <c r="L4418" i="1"/>
  <c r="K4419" i="1"/>
  <c r="L4419" i="1"/>
  <c r="K4420" i="1"/>
  <c r="L4420" i="1"/>
  <c r="K4421" i="1"/>
  <c r="L4421" i="1"/>
  <c r="K4422" i="1"/>
  <c r="L4422" i="1"/>
  <c r="K4423" i="1"/>
  <c r="L4423" i="1"/>
  <c r="K4424" i="1"/>
  <c r="L4424" i="1"/>
  <c r="K4425" i="1"/>
  <c r="L4425" i="1"/>
  <c r="K4426" i="1"/>
  <c r="L4426" i="1"/>
  <c r="K4427" i="1"/>
  <c r="L4427" i="1"/>
  <c r="K4428" i="1"/>
  <c r="L4428" i="1"/>
  <c r="K4429" i="1"/>
  <c r="L4429" i="1"/>
  <c r="K4430" i="1"/>
  <c r="L4430" i="1"/>
  <c r="K4431" i="1"/>
  <c r="L4431" i="1"/>
  <c r="K4432" i="1"/>
  <c r="L4432" i="1"/>
  <c r="K4433" i="1"/>
  <c r="L4433" i="1"/>
  <c r="K4434" i="1"/>
  <c r="L4434" i="1"/>
  <c r="K4435" i="1"/>
  <c r="L4435" i="1"/>
  <c r="K4436" i="1"/>
  <c r="L4436" i="1"/>
  <c r="K4437" i="1"/>
  <c r="L4437" i="1"/>
  <c r="K4438" i="1"/>
  <c r="L4438" i="1"/>
  <c r="K4439" i="1"/>
  <c r="L4439" i="1"/>
  <c r="K4440" i="1"/>
  <c r="L4440" i="1"/>
  <c r="K4441" i="1"/>
  <c r="L4441" i="1"/>
  <c r="K4442" i="1"/>
  <c r="L4442" i="1"/>
  <c r="K4443" i="1"/>
  <c r="L4443" i="1"/>
  <c r="K4444" i="1"/>
  <c r="L4444" i="1"/>
  <c r="K4445" i="1"/>
  <c r="L4445" i="1"/>
  <c r="K4446" i="1"/>
  <c r="L4446" i="1"/>
  <c r="K4447" i="1"/>
  <c r="L4447" i="1"/>
  <c r="K4448" i="1"/>
  <c r="L4448" i="1"/>
  <c r="K4449" i="1"/>
  <c r="L4449" i="1"/>
  <c r="K4450" i="1"/>
  <c r="L4450" i="1"/>
  <c r="K4451" i="1"/>
  <c r="L4451" i="1"/>
  <c r="K4452" i="1"/>
  <c r="L4452" i="1"/>
  <c r="K4453" i="1"/>
  <c r="L4453" i="1"/>
  <c r="K4454" i="1"/>
  <c r="L4454" i="1"/>
  <c r="K4455" i="1"/>
  <c r="L4455" i="1"/>
  <c r="K4456" i="1"/>
  <c r="L4456" i="1"/>
  <c r="K4457" i="1"/>
  <c r="L4457" i="1"/>
  <c r="K4458" i="1"/>
  <c r="L4458" i="1"/>
  <c r="K4459" i="1"/>
  <c r="L4459" i="1"/>
  <c r="K4460" i="1"/>
  <c r="L4460" i="1"/>
  <c r="K4461" i="1"/>
  <c r="L4461" i="1"/>
  <c r="K4462" i="1"/>
  <c r="L4462" i="1"/>
  <c r="K4463" i="1"/>
  <c r="L4463" i="1"/>
  <c r="K4464" i="1"/>
  <c r="L4464" i="1"/>
  <c r="K4465" i="1"/>
  <c r="L4465" i="1"/>
  <c r="K4466" i="1"/>
  <c r="L4466" i="1"/>
  <c r="K4467" i="1"/>
  <c r="L4467" i="1"/>
  <c r="K4468" i="1"/>
  <c r="L4468" i="1"/>
  <c r="K4469" i="1"/>
  <c r="L4469" i="1"/>
  <c r="K4470" i="1"/>
  <c r="L4470" i="1"/>
  <c r="K4471" i="1"/>
  <c r="L4471" i="1"/>
  <c r="K4472" i="1"/>
  <c r="L4472" i="1"/>
  <c r="K4473" i="1"/>
  <c r="L4473" i="1"/>
  <c r="K4474" i="1"/>
  <c r="L4474" i="1"/>
  <c r="K4475" i="1"/>
  <c r="L4475" i="1"/>
  <c r="K4476" i="1"/>
  <c r="L4476" i="1"/>
  <c r="K4477" i="1"/>
  <c r="L4477" i="1"/>
  <c r="K4478" i="1"/>
  <c r="L4478" i="1"/>
  <c r="K4479" i="1"/>
  <c r="L4479" i="1"/>
  <c r="K4480" i="1"/>
  <c r="L4480" i="1"/>
  <c r="K4481" i="1"/>
  <c r="L4481" i="1"/>
  <c r="K4482" i="1"/>
  <c r="L4482" i="1"/>
  <c r="K4483" i="1"/>
  <c r="L4483" i="1"/>
  <c r="K4484" i="1"/>
  <c r="L4484" i="1"/>
  <c r="K4485" i="1"/>
  <c r="L4485" i="1"/>
  <c r="K4486" i="1"/>
  <c r="L4486" i="1"/>
  <c r="K4487" i="1"/>
  <c r="L4487" i="1"/>
  <c r="K4488" i="1"/>
  <c r="L4488" i="1"/>
  <c r="K4489" i="1"/>
  <c r="L4489" i="1"/>
  <c r="K4490" i="1"/>
  <c r="L4490" i="1"/>
  <c r="K4491" i="1"/>
  <c r="L4491" i="1"/>
  <c r="K4492" i="1"/>
  <c r="L4492" i="1"/>
  <c r="K4493" i="1"/>
  <c r="L4493" i="1"/>
  <c r="K4494" i="1"/>
  <c r="L4494" i="1"/>
  <c r="K4495" i="1"/>
  <c r="L4495" i="1"/>
  <c r="K4496" i="1"/>
  <c r="L4496" i="1"/>
  <c r="K4497" i="1"/>
  <c r="L4497" i="1"/>
  <c r="K4498" i="1"/>
  <c r="L4498" i="1"/>
  <c r="K4499" i="1"/>
  <c r="L4499" i="1"/>
  <c r="K4500" i="1"/>
  <c r="L4500" i="1"/>
  <c r="K4501" i="1"/>
  <c r="L4501" i="1"/>
  <c r="K4502" i="1"/>
  <c r="L4502" i="1"/>
  <c r="K4503" i="1"/>
  <c r="L4503" i="1"/>
  <c r="K4504" i="1"/>
  <c r="L4504" i="1"/>
  <c r="K4505" i="1"/>
  <c r="L4505" i="1"/>
  <c r="K4506" i="1"/>
  <c r="L4506" i="1"/>
  <c r="K4507" i="1"/>
  <c r="L4507" i="1"/>
  <c r="K4508" i="1"/>
  <c r="L4508" i="1"/>
  <c r="K4509" i="1"/>
  <c r="L4509" i="1"/>
  <c r="K4510" i="1"/>
  <c r="L4510" i="1"/>
  <c r="K4511" i="1"/>
  <c r="L4511" i="1"/>
  <c r="K4512" i="1"/>
  <c r="L4512" i="1"/>
  <c r="K4513" i="1"/>
  <c r="L4513" i="1"/>
  <c r="K4514" i="1"/>
  <c r="L4514" i="1"/>
  <c r="K4515" i="1"/>
  <c r="L4515" i="1"/>
  <c r="K4516" i="1"/>
  <c r="L4516" i="1"/>
  <c r="K4517" i="1"/>
  <c r="L4517" i="1"/>
  <c r="K4518" i="1"/>
  <c r="L4518" i="1"/>
  <c r="K4519" i="1"/>
  <c r="L4519" i="1"/>
  <c r="K4520" i="1"/>
  <c r="L4520" i="1"/>
  <c r="K4521" i="1"/>
  <c r="L4521" i="1"/>
  <c r="K4522" i="1"/>
  <c r="L4522" i="1"/>
  <c r="K4523" i="1"/>
  <c r="L4523" i="1"/>
  <c r="K4524" i="1"/>
  <c r="L4524" i="1"/>
  <c r="K4525" i="1"/>
  <c r="L4525" i="1"/>
  <c r="K4526" i="1"/>
  <c r="L4526" i="1"/>
  <c r="K4527" i="1"/>
  <c r="L4527" i="1"/>
  <c r="K4528" i="1"/>
  <c r="L4528" i="1"/>
  <c r="K4529" i="1"/>
  <c r="L4529" i="1"/>
  <c r="K4530" i="1"/>
  <c r="L4530" i="1"/>
  <c r="K4531" i="1"/>
  <c r="L4531" i="1"/>
  <c r="K4532" i="1"/>
  <c r="L4532" i="1"/>
  <c r="K4533" i="1"/>
  <c r="L4533" i="1"/>
  <c r="K4534" i="1"/>
  <c r="L4534" i="1"/>
  <c r="K4535" i="1"/>
  <c r="L4535" i="1"/>
  <c r="K4536" i="1"/>
  <c r="L4536" i="1"/>
  <c r="K4537" i="1"/>
  <c r="L4537" i="1"/>
  <c r="K4538" i="1"/>
  <c r="L4538" i="1"/>
  <c r="K4539" i="1"/>
  <c r="L4539" i="1"/>
  <c r="K4540" i="1"/>
  <c r="L4540" i="1"/>
  <c r="K4541" i="1"/>
  <c r="L4541" i="1"/>
  <c r="K4542" i="1"/>
  <c r="L4542" i="1"/>
  <c r="K4543" i="1"/>
  <c r="L4543" i="1"/>
  <c r="K4544" i="1"/>
  <c r="L4544" i="1"/>
  <c r="K4545" i="1"/>
  <c r="L4545" i="1"/>
  <c r="K4546" i="1"/>
  <c r="L4546" i="1"/>
  <c r="K4547" i="1"/>
  <c r="L4547" i="1"/>
  <c r="K4548" i="1"/>
  <c r="L4548" i="1"/>
  <c r="K4549" i="1"/>
  <c r="L4549" i="1"/>
  <c r="K4550" i="1"/>
  <c r="L4550" i="1"/>
  <c r="K4551" i="1"/>
  <c r="L4551" i="1"/>
  <c r="K4552" i="1"/>
  <c r="L4552" i="1"/>
  <c r="K4553" i="1"/>
  <c r="L4553" i="1"/>
  <c r="K4554" i="1"/>
  <c r="L4554" i="1"/>
  <c r="K4555" i="1"/>
  <c r="L4555" i="1"/>
  <c r="K4556" i="1"/>
  <c r="L4556" i="1"/>
  <c r="K4557" i="1"/>
  <c r="L4557" i="1"/>
  <c r="K4558" i="1"/>
  <c r="L4558" i="1"/>
  <c r="K4559" i="1"/>
  <c r="L4559" i="1"/>
  <c r="K4560" i="1"/>
  <c r="L4560" i="1"/>
  <c r="K4561" i="1"/>
  <c r="L4561" i="1"/>
  <c r="K4562" i="1"/>
  <c r="L4562" i="1"/>
  <c r="K4563" i="1"/>
  <c r="L4563" i="1"/>
  <c r="K4564" i="1"/>
  <c r="L4564" i="1"/>
  <c r="K4565" i="1"/>
  <c r="L4565" i="1"/>
  <c r="K4566" i="1"/>
  <c r="L4566" i="1"/>
  <c r="K4567" i="1"/>
  <c r="L4567" i="1"/>
  <c r="K4568" i="1"/>
  <c r="L4568" i="1"/>
  <c r="K4569" i="1"/>
  <c r="L4569" i="1"/>
  <c r="K4570" i="1"/>
  <c r="L4570" i="1"/>
  <c r="K4571" i="1"/>
  <c r="L4571" i="1"/>
  <c r="K4572" i="1"/>
  <c r="L4572" i="1"/>
  <c r="K4573" i="1"/>
  <c r="L4573" i="1"/>
  <c r="K4574" i="1"/>
  <c r="L4574" i="1"/>
  <c r="K4575" i="1"/>
  <c r="L4575" i="1"/>
  <c r="K4576" i="1"/>
  <c r="L4576" i="1"/>
  <c r="K4577" i="1"/>
  <c r="L4577" i="1"/>
  <c r="K4578" i="1"/>
  <c r="L4578" i="1"/>
  <c r="K4579" i="1"/>
  <c r="L4579" i="1"/>
  <c r="K4580" i="1"/>
  <c r="L4580" i="1"/>
  <c r="K4581" i="1"/>
  <c r="L4581" i="1"/>
  <c r="K4582" i="1"/>
  <c r="L4582" i="1"/>
  <c r="K4583" i="1"/>
  <c r="L4583" i="1"/>
  <c r="K4584" i="1"/>
  <c r="L4584" i="1"/>
  <c r="K4585" i="1"/>
  <c r="L4585" i="1"/>
  <c r="K4586" i="1"/>
  <c r="L4586" i="1"/>
  <c r="K4587" i="1"/>
  <c r="L4587" i="1"/>
  <c r="K4588" i="1"/>
  <c r="L4588" i="1"/>
  <c r="K4589" i="1"/>
  <c r="L4589" i="1"/>
  <c r="K4590" i="1"/>
  <c r="L4590" i="1"/>
  <c r="K4591" i="1"/>
  <c r="L4591" i="1"/>
  <c r="K4592" i="1"/>
  <c r="L4592" i="1"/>
  <c r="K4593" i="1"/>
  <c r="L4593" i="1"/>
  <c r="K4594" i="1"/>
  <c r="L4594" i="1"/>
  <c r="K4595" i="1"/>
  <c r="L4595" i="1"/>
  <c r="K4596" i="1"/>
  <c r="L4596" i="1"/>
  <c r="K4597" i="1"/>
  <c r="L4597" i="1"/>
  <c r="K4598" i="1"/>
  <c r="L4598" i="1"/>
  <c r="K4599" i="1"/>
  <c r="L4599" i="1"/>
  <c r="K4600" i="1"/>
  <c r="L4600" i="1"/>
  <c r="K4601" i="1"/>
  <c r="L4601" i="1"/>
  <c r="K4602" i="1"/>
  <c r="L4602" i="1"/>
  <c r="K4603" i="1"/>
  <c r="L4603" i="1"/>
  <c r="K4604" i="1"/>
  <c r="L4604" i="1"/>
  <c r="K4605" i="1"/>
  <c r="L4605" i="1"/>
  <c r="K4606" i="1"/>
  <c r="L4606" i="1"/>
  <c r="K4607" i="1"/>
  <c r="L4607" i="1"/>
  <c r="K4608" i="1"/>
  <c r="L4608" i="1"/>
  <c r="K4609" i="1"/>
  <c r="L4609" i="1"/>
  <c r="K4610" i="1"/>
  <c r="L4610" i="1"/>
  <c r="K4611" i="1"/>
  <c r="L4611" i="1"/>
  <c r="K4612" i="1"/>
  <c r="L4612" i="1"/>
  <c r="K4613" i="1"/>
  <c r="L4613" i="1"/>
  <c r="K4614" i="1"/>
  <c r="L4614" i="1"/>
  <c r="K4615" i="1"/>
  <c r="L4615" i="1"/>
  <c r="K4616" i="1"/>
  <c r="L4616" i="1"/>
  <c r="K4617" i="1"/>
  <c r="L4617" i="1"/>
  <c r="K4618" i="1"/>
  <c r="L4618" i="1"/>
  <c r="K4619" i="1"/>
  <c r="L4619" i="1"/>
  <c r="K4620" i="1"/>
  <c r="L4620" i="1"/>
  <c r="K4621" i="1"/>
  <c r="L4621" i="1"/>
  <c r="K4622" i="1"/>
  <c r="L4622" i="1"/>
  <c r="K4623" i="1"/>
  <c r="L4623" i="1"/>
  <c r="K4624" i="1"/>
  <c r="L4624" i="1"/>
  <c r="K4625" i="1"/>
  <c r="L4625" i="1"/>
  <c r="K4626" i="1"/>
  <c r="L4626" i="1"/>
  <c r="K4627" i="1"/>
  <c r="L4627" i="1"/>
  <c r="K4628" i="1"/>
  <c r="L4628" i="1"/>
  <c r="K4629" i="1"/>
  <c r="L4629" i="1"/>
  <c r="K4630" i="1"/>
  <c r="L4630" i="1"/>
  <c r="K4631" i="1"/>
  <c r="L4631" i="1"/>
  <c r="K4632" i="1"/>
  <c r="L4632" i="1"/>
  <c r="K4633" i="1"/>
  <c r="L4633" i="1"/>
  <c r="K4634" i="1"/>
  <c r="L4634" i="1"/>
  <c r="K4635" i="1"/>
  <c r="L4635" i="1"/>
  <c r="K4636" i="1"/>
  <c r="L4636" i="1"/>
  <c r="K4637" i="1"/>
  <c r="L4637" i="1"/>
  <c r="K4638" i="1"/>
  <c r="L4638" i="1"/>
  <c r="K4639" i="1"/>
  <c r="L4639" i="1"/>
  <c r="K4640" i="1"/>
  <c r="L4640" i="1"/>
  <c r="K4641" i="1"/>
  <c r="L4641" i="1"/>
  <c r="K4642" i="1"/>
  <c r="L4642" i="1"/>
  <c r="K4643" i="1"/>
  <c r="L4643" i="1"/>
  <c r="K4644" i="1"/>
  <c r="L4644" i="1"/>
  <c r="K4645" i="1"/>
  <c r="L4645" i="1"/>
  <c r="K4646" i="1"/>
  <c r="L4646" i="1"/>
  <c r="K4647" i="1"/>
  <c r="L4647" i="1"/>
  <c r="K4648" i="1"/>
  <c r="L4648" i="1"/>
  <c r="K4649" i="1"/>
  <c r="L4649" i="1"/>
  <c r="K4650" i="1"/>
  <c r="L4650" i="1"/>
  <c r="K4651" i="1"/>
  <c r="L4651" i="1"/>
  <c r="K4652" i="1"/>
  <c r="L4652" i="1"/>
  <c r="K4653" i="1"/>
  <c r="L4653" i="1"/>
  <c r="K4654" i="1"/>
  <c r="L4654" i="1"/>
  <c r="K4655" i="1"/>
  <c r="L4655" i="1"/>
  <c r="K4656" i="1"/>
  <c r="L4656" i="1"/>
  <c r="K4657" i="1"/>
  <c r="L4657" i="1"/>
  <c r="K4658" i="1"/>
  <c r="L4658" i="1"/>
  <c r="K4659" i="1"/>
  <c r="L4659" i="1"/>
  <c r="K4660" i="1"/>
  <c r="L4660" i="1"/>
  <c r="K4661" i="1"/>
  <c r="L4661" i="1"/>
  <c r="K4662" i="1"/>
  <c r="L4662" i="1"/>
  <c r="K4663" i="1"/>
  <c r="L4663" i="1"/>
  <c r="K4664" i="1"/>
  <c r="L4664" i="1"/>
  <c r="K4665" i="1"/>
  <c r="L4665" i="1"/>
  <c r="K4666" i="1"/>
  <c r="L4666" i="1"/>
  <c r="K4667" i="1"/>
  <c r="L4667" i="1"/>
  <c r="K4668" i="1"/>
  <c r="L4668" i="1"/>
  <c r="K4669" i="1"/>
  <c r="L4669" i="1"/>
  <c r="K4670" i="1"/>
  <c r="L4670" i="1"/>
  <c r="K4671" i="1"/>
  <c r="L4671" i="1"/>
  <c r="K4672" i="1"/>
  <c r="L4672" i="1"/>
  <c r="K4673" i="1"/>
  <c r="L4673" i="1"/>
  <c r="K4674" i="1"/>
  <c r="L4674" i="1"/>
  <c r="K4675" i="1"/>
  <c r="L4675" i="1"/>
  <c r="K4676" i="1"/>
  <c r="L4676" i="1"/>
  <c r="K4677" i="1"/>
  <c r="L4677" i="1"/>
  <c r="K4678" i="1"/>
  <c r="L4678" i="1"/>
  <c r="K4679" i="1"/>
  <c r="L4679" i="1"/>
  <c r="K4680" i="1"/>
  <c r="L4680" i="1"/>
  <c r="K4681" i="1"/>
  <c r="L4681" i="1"/>
  <c r="K4682" i="1"/>
  <c r="L4682" i="1"/>
  <c r="K4683" i="1"/>
  <c r="L4683" i="1"/>
  <c r="K4684" i="1"/>
  <c r="L4684" i="1"/>
  <c r="K4685" i="1"/>
  <c r="L4685" i="1"/>
  <c r="K4686" i="1"/>
  <c r="L4686" i="1"/>
  <c r="K4687" i="1"/>
  <c r="L4687" i="1"/>
  <c r="K4688" i="1"/>
  <c r="L4688" i="1"/>
  <c r="K4689" i="1"/>
  <c r="L4689" i="1"/>
  <c r="K4690" i="1"/>
  <c r="L4690" i="1"/>
  <c r="K4691" i="1"/>
  <c r="L4691" i="1"/>
  <c r="K4692" i="1"/>
  <c r="L4692" i="1"/>
  <c r="K4693" i="1"/>
  <c r="L4693" i="1"/>
  <c r="K4694" i="1"/>
  <c r="L4694" i="1"/>
  <c r="K4695" i="1"/>
  <c r="L4695" i="1"/>
  <c r="K4696" i="1"/>
  <c r="L4696" i="1"/>
  <c r="K4697" i="1"/>
  <c r="L4697" i="1"/>
  <c r="K4698" i="1"/>
  <c r="L4698" i="1"/>
  <c r="K4699" i="1"/>
  <c r="L4699" i="1"/>
  <c r="K4700" i="1"/>
  <c r="L4700" i="1"/>
  <c r="K4701" i="1"/>
  <c r="L4701" i="1"/>
  <c r="K4702" i="1"/>
  <c r="L4702" i="1"/>
  <c r="K4703" i="1"/>
  <c r="L4703" i="1"/>
  <c r="K4704" i="1"/>
  <c r="L4704" i="1"/>
  <c r="K4705" i="1"/>
  <c r="L4705" i="1"/>
  <c r="K4706" i="1"/>
  <c r="L4706" i="1"/>
  <c r="K4707" i="1"/>
  <c r="L4707" i="1"/>
  <c r="K4708" i="1"/>
  <c r="L4708" i="1"/>
  <c r="K4709" i="1"/>
  <c r="L4709" i="1"/>
  <c r="K4710" i="1"/>
  <c r="L4710" i="1"/>
  <c r="K4711" i="1"/>
  <c r="L4711" i="1"/>
  <c r="K4712" i="1"/>
  <c r="L4712" i="1"/>
  <c r="K4713" i="1"/>
  <c r="L4713" i="1"/>
  <c r="K4714" i="1"/>
  <c r="L4714" i="1"/>
  <c r="K4715" i="1"/>
  <c r="L4715" i="1"/>
  <c r="K4716" i="1"/>
  <c r="L4716" i="1"/>
  <c r="K4717" i="1"/>
  <c r="L4717" i="1"/>
  <c r="K4718" i="1"/>
  <c r="L4718" i="1"/>
  <c r="K4719" i="1"/>
  <c r="L4719" i="1"/>
  <c r="K4720" i="1"/>
  <c r="L4720" i="1"/>
  <c r="K4721" i="1"/>
  <c r="L4721" i="1"/>
  <c r="K4722" i="1"/>
  <c r="L4722" i="1"/>
  <c r="K4723" i="1"/>
  <c r="L4723" i="1"/>
  <c r="K4724" i="1"/>
  <c r="L4724" i="1"/>
  <c r="K4725" i="1"/>
  <c r="L4725" i="1"/>
  <c r="K4726" i="1"/>
  <c r="L4726" i="1"/>
  <c r="K4727" i="1"/>
  <c r="L4727" i="1"/>
  <c r="K4728" i="1"/>
  <c r="L4728" i="1"/>
  <c r="K4729" i="1"/>
  <c r="L4729" i="1"/>
  <c r="K4730" i="1"/>
  <c r="L4730" i="1"/>
  <c r="K4731" i="1"/>
  <c r="L4731" i="1"/>
  <c r="K4732" i="1"/>
  <c r="L4732" i="1"/>
  <c r="K4733" i="1"/>
  <c r="L4733" i="1"/>
  <c r="K4734" i="1"/>
  <c r="L4734" i="1"/>
  <c r="K4735" i="1"/>
  <c r="L4735" i="1"/>
  <c r="K4736" i="1"/>
  <c r="L4736" i="1"/>
  <c r="K4737" i="1"/>
  <c r="L4737" i="1"/>
  <c r="K4738" i="1"/>
  <c r="L4738" i="1"/>
  <c r="K4739" i="1"/>
  <c r="L4739" i="1"/>
  <c r="K4740" i="1"/>
  <c r="L4740" i="1"/>
  <c r="K4741" i="1"/>
  <c r="L4741" i="1"/>
  <c r="K4742" i="1"/>
  <c r="L4742" i="1"/>
  <c r="K4743" i="1"/>
  <c r="L4743" i="1"/>
  <c r="K4744" i="1"/>
  <c r="L4744" i="1"/>
  <c r="K4745" i="1"/>
  <c r="L4745" i="1"/>
  <c r="K4746" i="1"/>
  <c r="L4746" i="1"/>
  <c r="K4747" i="1"/>
  <c r="L4747" i="1"/>
  <c r="K4748" i="1"/>
  <c r="L4748" i="1"/>
  <c r="K4749" i="1"/>
  <c r="L4749" i="1"/>
  <c r="K4750" i="1"/>
  <c r="L4750" i="1"/>
  <c r="K4751" i="1"/>
  <c r="L4751" i="1"/>
  <c r="K4752" i="1"/>
  <c r="L4752" i="1"/>
  <c r="K4753" i="1"/>
  <c r="L4753" i="1"/>
  <c r="K4754" i="1"/>
  <c r="L4754" i="1"/>
  <c r="K4755" i="1"/>
  <c r="L4755" i="1"/>
  <c r="K4756" i="1"/>
  <c r="L4756" i="1"/>
  <c r="K4757" i="1"/>
  <c r="L4757" i="1"/>
  <c r="K4758" i="1"/>
  <c r="L4758" i="1"/>
  <c r="K4759" i="1"/>
  <c r="L4759" i="1"/>
  <c r="K4760" i="1"/>
  <c r="L4760" i="1"/>
  <c r="K4761" i="1"/>
  <c r="L4761" i="1"/>
  <c r="K4762" i="1"/>
  <c r="L4762" i="1"/>
  <c r="K4763" i="1"/>
  <c r="L4763" i="1"/>
  <c r="K4764" i="1"/>
  <c r="L4764" i="1"/>
  <c r="K4765" i="1"/>
  <c r="L4765" i="1"/>
  <c r="K4766" i="1"/>
  <c r="L4766" i="1"/>
  <c r="K4767" i="1"/>
  <c r="L4767" i="1"/>
  <c r="K4768" i="1"/>
  <c r="L4768" i="1"/>
  <c r="K4769" i="1"/>
  <c r="L4769" i="1"/>
  <c r="K4770" i="1"/>
  <c r="L4770" i="1"/>
  <c r="K4771" i="1"/>
  <c r="L4771" i="1"/>
  <c r="K4772" i="1"/>
  <c r="L4772" i="1"/>
  <c r="K4773" i="1"/>
  <c r="L4773" i="1"/>
  <c r="K4774" i="1"/>
  <c r="L4774" i="1"/>
  <c r="K4775" i="1"/>
  <c r="L4775" i="1"/>
  <c r="K4776" i="1"/>
  <c r="L4776" i="1"/>
  <c r="K4777" i="1"/>
  <c r="L4777" i="1"/>
  <c r="K4778" i="1"/>
  <c r="L4778" i="1"/>
  <c r="K4779" i="1"/>
  <c r="L4779" i="1"/>
  <c r="K4780" i="1"/>
  <c r="L4780" i="1"/>
  <c r="K4781" i="1"/>
  <c r="L4781" i="1"/>
  <c r="K4782" i="1"/>
  <c r="L4782" i="1"/>
  <c r="K4783" i="1"/>
  <c r="L4783" i="1"/>
  <c r="K4784" i="1"/>
  <c r="L4784" i="1"/>
  <c r="K4785" i="1"/>
  <c r="L4785" i="1"/>
  <c r="K4786" i="1"/>
  <c r="L4786" i="1"/>
  <c r="K4787" i="1"/>
  <c r="L4787" i="1"/>
  <c r="K4788" i="1"/>
  <c r="L4788" i="1"/>
  <c r="K4789" i="1"/>
  <c r="L4789" i="1"/>
  <c r="K4790" i="1"/>
  <c r="L4790" i="1"/>
  <c r="K4791" i="1"/>
  <c r="L4791" i="1"/>
  <c r="K4792" i="1"/>
  <c r="L4792" i="1"/>
  <c r="K4793" i="1"/>
  <c r="L4793" i="1"/>
  <c r="K4794" i="1"/>
  <c r="L4794" i="1"/>
  <c r="K4795" i="1"/>
  <c r="L4795" i="1"/>
  <c r="K4796" i="1"/>
  <c r="L4796" i="1"/>
  <c r="K4797" i="1"/>
  <c r="L4797" i="1"/>
  <c r="K4798" i="1"/>
  <c r="L4798" i="1"/>
  <c r="K4799" i="1"/>
  <c r="L4799" i="1"/>
  <c r="K4800" i="1"/>
  <c r="L4800" i="1"/>
  <c r="K4801" i="1"/>
  <c r="L4801" i="1"/>
  <c r="K4802" i="1"/>
  <c r="L4802" i="1"/>
  <c r="K4803" i="1"/>
  <c r="L4803" i="1"/>
  <c r="K4804" i="1"/>
  <c r="L4804" i="1"/>
  <c r="K4805" i="1"/>
  <c r="L4805" i="1"/>
  <c r="K4806" i="1"/>
  <c r="L4806" i="1"/>
  <c r="K4807" i="1"/>
  <c r="L4807" i="1"/>
  <c r="K4808" i="1"/>
  <c r="L4808" i="1"/>
  <c r="K4809" i="1"/>
  <c r="L4809" i="1"/>
  <c r="K4810" i="1"/>
  <c r="L4810" i="1"/>
  <c r="K4811" i="1"/>
  <c r="L4811" i="1"/>
  <c r="K4812" i="1"/>
  <c r="L4812" i="1"/>
  <c r="K4813" i="1"/>
  <c r="L4813" i="1"/>
  <c r="K4814" i="1"/>
  <c r="L4814" i="1"/>
  <c r="K4815" i="1"/>
  <c r="L4815" i="1"/>
  <c r="K4816" i="1"/>
  <c r="L4816" i="1"/>
  <c r="K4817" i="1"/>
  <c r="L4817" i="1"/>
  <c r="K4818" i="1"/>
  <c r="L4818" i="1"/>
  <c r="K4819" i="1"/>
  <c r="L4819" i="1"/>
  <c r="K4820" i="1"/>
  <c r="L4820" i="1"/>
  <c r="K4821" i="1"/>
  <c r="L4821" i="1"/>
  <c r="K4822" i="1"/>
  <c r="L4822" i="1"/>
  <c r="K4823" i="1"/>
  <c r="L4823" i="1"/>
  <c r="K4824" i="1"/>
  <c r="L4824" i="1"/>
  <c r="K4825" i="1"/>
  <c r="L4825" i="1"/>
  <c r="K4826" i="1"/>
  <c r="L4826" i="1"/>
  <c r="K4827" i="1"/>
  <c r="L4827" i="1"/>
  <c r="K4828" i="1"/>
  <c r="L4828" i="1"/>
  <c r="K4829" i="1"/>
  <c r="L4829" i="1"/>
  <c r="K4830" i="1"/>
  <c r="L4830" i="1"/>
  <c r="K4831" i="1"/>
  <c r="L4831" i="1"/>
  <c r="K4832" i="1"/>
  <c r="L4832" i="1"/>
  <c r="K4833" i="1"/>
  <c r="L4833" i="1"/>
  <c r="K4834" i="1"/>
  <c r="L4834" i="1"/>
  <c r="K4835" i="1"/>
  <c r="L4835" i="1"/>
  <c r="K4836" i="1"/>
  <c r="L4836" i="1"/>
  <c r="K4837" i="1"/>
  <c r="L4837" i="1"/>
  <c r="K4838" i="1"/>
  <c r="L4838" i="1"/>
  <c r="K4839" i="1"/>
  <c r="L4839" i="1"/>
  <c r="K4840" i="1"/>
  <c r="L4840" i="1"/>
  <c r="K4841" i="1"/>
  <c r="L4841" i="1"/>
  <c r="K4842" i="1"/>
  <c r="L4842" i="1"/>
  <c r="K4843" i="1"/>
  <c r="L4843" i="1"/>
  <c r="K4844" i="1"/>
  <c r="L4844" i="1"/>
  <c r="K4845" i="1"/>
  <c r="L4845" i="1"/>
  <c r="K4846" i="1"/>
  <c r="L4846" i="1"/>
  <c r="K4847" i="1"/>
  <c r="L4847" i="1"/>
  <c r="K4848" i="1"/>
  <c r="L4848" i="1"/>
  <c r="K4849" i="1"/>
  <c r="L4849" i="1"/>
  <c r="K4850" i="1"/>
  <c r="L4850" i="1"/>
  <c r="K4851" i="1"/>
  <c r="L4851" i="1"/>
  <c r="K4852" i="1"/>
  <c r="L4852" i="1"/>
  <c r="K4853" i="1"/>
  <c r="L4853" i="1"/>
  <c r="K4854" i="1"/>
  <c r="L4854" i="1"/>
  <c r="K4855" i="1"/>
  <c r="L4855" i="1"/>
  <c r="K4856" i="1"/>
  <c r="L4856" i="1"/>
  <c r="K4857" i="1"/>
  <c r="L4857" i="1"/>
  <c r="K4858" i="1"/>
  <c r="L4858" i="1"/>
  <c r="K4859" i="1"/>
  <c r="L4859" i="1"/>
  <c r="K4860" i="1"/>
  <c r="L4860" i="1"/>
  <c r="K4861" i="1"/>
  <c r="L4861" i="1"/>
  <c r="K4862" i="1"/>
  <c r="L4862" i="1"/>
  <c r="K4863" i="1"/>
  <c r="L4863" i="1"/>
  <c r="K4864" i="1"/>
  <c r="L4864" i="1"/>
  <c r="K4865" i="1"/>
  <c r="L4865" i="1"/>
  <c r="K4866" i="1"/>
  <c r="L4866" i="1"/>
  <c r="K4867" i="1"/>
  <c r="L4867" i="1"/>
  <c r="K4868" i="1"/>
  <c r="L4868" i="1"/>
  <c r="K4869" i="1"/>
  <c r="L4869" i="1"/>
  <c r="K4870" i="1"/>
  <c r="L4870" i="1"/>
  <c r="K4871" i="1"/>
  <c r="L4871" i="1"/>
  <c r="K4872" i="1"/>
  <c r="L4872" i="1"/>
  <c r="K4873" i="1"/>
  <c r="L4873" i="1"/>
  <c r="K4874" i="1"/>
  <c r="L4874" i="1"/>
  <c r="K4875" i="1"/>
  <c r="L4875" i="1"/>
  <c r="K4876" i="1"/>
  <c r="L4876" i="1"/>
  <c r="K4877" i="1"/>
  <c r="L4877" i="1"/>
  <c r="K4878" i="1"/>
  <c r="L4878" i="1"/>
  <c r="K4879" i="1"/>
  <c r="L4879" i="1"/>
  <c r="K4880" i="1"/>
  <c r="L4880" i="1"/>
  <c r="K4881" i="1"/>
  <c r="L4881" i="1"/>
  <c r="K4882" i="1"/>
  <c r="L4882" i="1"/>
  <c r="K4883" i="1"/>
  <c r="L4883" i="1"/>
  <c r="K4884" i="1"/>
  <c r="L4884" i="1"/>
  <c r="K4885" i="1"/>
  <c r="L4885" i="1"/>
  <c r="K4886" i="1"/>
  <c r="L4886" i="1"/>
  <c r="K4887" i="1"/>
  <c r="L4887" i="1"/>
  <c r="K4888" i="1"/>
  <c r="L4888" i="1"/>
  <c r="K4889" i="1"/>
  <c r="L4889" i="1"/>
  <c r="K4890" i="1"/>
  <c r="L4890" i="1"/>
  <c r="K4891" i="1"/>
  <c r="L4891" i="1"/>
  <c r="K4892" i="1"/>
  <c r="L4892" i="1"/>
  <c r="K4893" i="1"/>
  <c r="L4893" i="1"/>
  <c r="K4894" i="1"/>
  <c r="L4894" i="1"/>
  <c r="K4895" i="1"/>
  <c r="L4895" i="1"/>
  <c r="K4896" i="1"/>
  <c r="L4896" i="1"/>
  <c r="K4897" i="1"/>
  <c r="L4897" i="1"/>
  <c r="K4898" i="1"/>
  <c r="L4898" i="1"/>
  <c r="K4899" i="1"/>
  <c r="L4899" i="1"/>
  <c r="K4900" i="1"/>
  <c r="L4900" i="1"/>
  <c r="K4901" i="1"/>
  <c r="L4901" i="1"/>
  <c r="K4902" i="1"/>
  <c r="L4902" i="1"/>
  <c r="K4903" i="1"/>
  <c r="L4903" i="1"/>
  <c r="K4904" i="1"/>
  <c r="L4904" i="1"/>
  <c r="K4905" i="1"/>
  <c r="L4905" i="1"/>
  <c r="K4906" i="1"/>
  <c r="L4906" i="1"/>
  <c r="K4907" i="1"/>
  <c r="L4907" i="1"/>
  <c r="K4908" i="1"/>
  <c r="L4908" i="1"/>
  <c r="K4909" i="1"/>
  <c r="L4909" i="1"/>
  <c r="K4910" i="1"/>
  <c r="L4910" i="1"/>
  <c r="K4911" i="1"/>
  <c r="L4911" i="1"/>
  <c r="K4912" i="1"/>
  <c r="L4912" i="1"/>
  <c r="K4913" i="1"/>
  <c r="L4913" i="1"/>
  <c r="K4914" i="1"/>
  <c r="L4914" i="1"/>
  <c r="K4915" i="1"/>
  <c r="L4915" i="1"/>
  <c r="K4916" i="1"/>
  <c r="L4916" i="1"/>
  <c r="K4917" i="1"/>
  <c r="L4917" i="1"/>
  <c r="K4918" i="1"/>
  <c r="L4918" i="1"/>
  <c r="K4919" i="1"/>
  <c r="L4919" i="1"/>
  <c r="K4920" i="1"/>
  <c r="L4920" i="1"/>
  <c r="K4921" i="1"/>
  <c r="L4921" i="1"/>
  <c r="K4922" i="1"/>
  <c r="L4922" i="1"/>
  <c r="K4923" i="1"/>
  <c r="L4923" i="1"/>
  <c r="K4924" i="1"/>
  <c r="L4924" i="1"/>
  <c r="K4925" i="1"/>
  <c r="L4925" i="1"/>
  <c r="K4926" i="1"/>
  <c r="L4926" i="1"/>
  <c r="K4927" i="1"/>
  <c r="L4927" i="1"/>
  <c r="K4928" i="1"/>
  <c r="L4928" i="1"/>
  <c r="K4929" i="1"/>
  <c r="L4929" i="1"/>
  <c r="K4930" i="1"/>
  <c r="L4930" i="1"/>
  <c r="K4931" i="1"/>
  <c r="L4931" i="1"/>
  <c r="K4932" i="1"/>
  <c r="L4932" i="1"/>
  <c r="K4933" i="1"/>
  <c r="L4933" i="1"/>
  <c r="K4934" i="1"/>
  <c r="L4934" i="1"/>
  <c r="K4935" i="1"/>
  <c r="L4935" i="1"/>
  <c r="K4936" i="1"/>
  <c r="L4936" i="1"/>
  <c r="K4937" i="1"/>
  <c r="L4937" i="1"/>
  <c r="K4938" i="1"/>
  <c r="L4938" i="1"/>
  <c r="K4939" i="1"/>
  <c r="L4939" i="1"/>
  <c r="K4940" i="1"/>
  <c r="L4940" i="1"/>
  <c r="K4941" i="1"/>
  <c r="L4941" i="1"/>
  <c r="K4942" i="1"/>
  <c r="L4942" i="1"/>
  <c r="K4943" i="1"/>
  <c r="L4943" i="1"/>
  <c r="K4944" i="1"/>
  <c r="L4944" i="1"/>
  <c r="K4945" i="1"/>
  <c r="L4945" i="1"/>
  <c r="K4946" i="1"/>
  <c r="L4946" i="1"/>
  <c r="K4947" i="1"/>
  <c r="L4947" i="1"/>
  <c r="K4948" i="1"/>
  <c r="L4948" i="1"/>
  <c r="K4949" i="1"/>
  <c r="L4949" i="1"/>
  <c r="K4950" i="1"/>
  <c r="L4950" i="1"/>
  <c r="K4951" i="1"/>
  <c r="L4951" i="1"/>
  <c r="K4952" i="1"/>
  <c r="L4952" i="1"/>
  <c r="K4953" i="1"/>
  <c r="L4953" i="1"/>
  <c r="K4954" i="1"/>
  <c r="L4954" i="1"/>
  <c r="K4955" i="1"/>
  <c r="L4955" i="1"/>
  <c r="K4956" i="1"/>
  <c r="L4956" i="1"/>
  <c r="K4957" i="1"/>
  <c r="L4957" i="1"/>
  <c r="K4958" i="1"/>
  <c r="L4958" i="1"/>
  <c r="K4959" i="1"/>
  <c r="L4959" i="1"/>
  <c r="K4960" i="1"/>
  <c r="L4960" i="1"/>
  <c r="K4961" i="1"/>
  <c r="L4961" i="1"/>
  <c r="K4962" i="1"/>
  <c r="L4962" i="1"/>
  <c r="K4963" i="1"/>
  <c r="L4963" i="1"/>
  <c r="K4964" i="1"/>
  <c r="L4964" i="1"/>
  <c r="K4965" i="1"/>
  <c r="L4965" i="1"/>
  <c r="K4966" i="1"/>
  <c r="L4966" i="1"/>
  <c r="K4967" i="1"/>
  <c r="L4967" i="1"/>
  <c r="K4968" i="1"/>
  <c r="L4968" i="1"/>
  <c r="K4969" i="1"/>
  <c r="L4969" i="1"/>
  <c r="K4970" i="1"/>
  <c r="L4970" i="1"/>
  <c r="K4971" i="1"/>
  <c r="L4971" i="1"/>
  <c r="K4972" i="1"/>
  <c r="L4972" i="1"/>
  <c r="K4973" i="1"/>
  <c r="L4973" i="1"/>
  <c r="K4974" i="1"/>
  <c r="L4974" i="1"/>
  <c r="K4975" i="1"/>
  <c r="L4975" i="1"/>
  <c r="K4976" i="1"/>
  <c r="L4976" i="1"/>
  <c r="K4977" i="1"/>
  <c r="L4977" i="1"/>
  <c r="K4978" i="1"/>
  <c r="L4978" i="1"/>
  <c r="K4979" i="1"/>
  <c r="L4979" i="1"/>
  <c r="K4980" i="1"/>
  <c r="L4980" i="1"/>
  <c r="K4981" i="1"/>
  <c r="L4981" i="1"/>
  <c r="K4982" i="1"/>
  <c r="L4982" i="1"/>
  <c r="K4983" i="1"/>
  <c r="L4983" i="1"/>
  <c r="K4984" i="1"/>
  <c r="L4984" i="1"/>
  <c r="K4985" i="1"/>
  <c r="L4985" i="1"/>
  <c r="K4986" i="1"/>
  <c r="L4986" i="1"/>
  <c r="K4987" i="1"/>
  <c r="L4987" i="1"/>
  <c r="K4988" i="1"/>
  <c r="L4988" i="1"/>
  <c r="K4989" i="1"/>
  <c r="L4989" i="1"/>
  <c r="K4990" i="1"/>
  <c r="L4990" i="1"/>
  <c r="K4991" i="1"/>
  <c r="L4991" i="1"/>
  <c r="K4992" i="1"/>
  <c r="L4992" i="1"/>
  <c r="K4993" i="1"/>
  <c r="L4993" i="1"/>
  <c r="K4994" i="1"/>
  <c r="L4994" i="1"/>
  <c r="K4995" i="1"/>
  <c r="L4995" i="1"/>
  <c r="K4996" i="1"/>
  <c r="L4996" i="1"/>
  <c r="K4997" i="1"/>
  <c r="L4997" i="1"/>
  <c r="K4998" i="1"/>
  <c r="L4998" i="1"/>
  <c r="K4999" i="1"/>
  <c r="L4999" i="1"/>
  <c r="K5000" i="1"/>
  <c r="L5000" i="1"/>
  <c r="K5001" i="1"/>
  <c r="L5001" i="1"/>
  <c r="K5002" i="1"/>
  <c r="L5002" i="1"/>
  <c r="K5003" i="1"/>
  <c r="L5003" i="1"/>
  <c r="K5004" i="1"/>
  <c r="L5004" i="1"/>
  <c r="K5005" i="1"/>
  <c r="L5005" i="1"/>
  <c r="K5006" i="1"/>
  <c r="L5006" i="1"/>
  <c r="K5007" i="1"/>
  <c r="L5007" i="1"/>
  <c r="K5008" i="1"/>
  <c r="L5008" i="1"/>
  <c r="K5009" i="1"/>
  <c r="L5009" i="1"/>
  <c r="K5010" i="1"/>
  <c r="L5010" i="1"/>
  <c r="K5011" i="1"/>
  <c r="L5011" i="1"/>
  <c r="K5012" i="1"/>
  <c r="L5012" i="1"/>
  <c r="K5013" i="1"/>
  <c r="L5013" i="1"/>
  <c r="K5014" i="1"/>
  <c r="L5014" i="1"/>
  <c r="K5015" i="1"/>
  <c r="L5015" i="1"/>
  <c r="K5016" i="1"/>
  <c r="L5016" i="1"/>
  <c r="K5017" i="1"/>
  <c r="L5017" i="1"/>
  <c r="K5018" i="1"/>
  <c r="L5018" i="1"/>
  <c r="K5019" i="1"/>
  <c r="L5019" i="1"/>
  <c r="K5020" i="1"/>
  <c r="L5020" i="1"/>
  <c r="K5021" i="1"/>
  <c r="L5021" i="1"/>
  <c r="K5022" i="1"/>
  <c r="L5022" i="1"/>
  <c r="K5023" i="1"/>
  <c r="L5023" i="1"/>
  <c r="K5024" i="1"/>
  <c r="L5024" i="1"/>
  <c r="K5025" i="1"/>
  <c r="L5025" i="1"/>
  <c r="K5026" i="1"/>
  <c r="L5026" i="1"/>
  <c r="K5027" i="1"/>
  <c r="L5027" i="1"/>
  <c r="K5028" i="1"/>
  <c r="L5028" i="1"/>
  <c r="K5029" i="1"/>
  <c r="L5029" i="1"/>
  <c r="K5030" i="1"/>
  <c r="L5030" i="1"/>
  <c r="K5031" i="1"/>
  <c r="L5031" i="1"/>
  <c r="K5032" i="1"/>
  <c r="L5032" i="1"/>
  <c r="K5033" i="1"/>
  <c r="L5033" i="1"/>
  <c r="K5034" i="1"/>
  <c r="L5034" i="1"/>
  <c r="K5035" i="1"/>
  <c r="L5035" i="1"/>
  <c r="K5036" i="1"/>
  <c r="L5036" i="1"/>
  <c r="K5037" i="1"/>
  <c r="L5037" i="1"/>
  <c r="K5038" i="1"/>
  <c r="L5038" i="1"/>
  <c r="K5039" i="1"/>
  <c r="L5039" i="1"/>
  <c r="K5040" i="1"/>
  <c r="L5040" i="1"/>
  <c r="K5041" i="1"/>
  <c r="L5041" i="1"/>
  <c r="K5042" i="1"/>
  <c r="L5042" i="1"/>
  <c r="K5043" i="1"/>
  <c r="L5043" i="1"/>
  <c r="K5044" i="1"/>
  <c r="L5044" i="1"/>
  <c r="K5045" i="1"/>
  <c r="L5045" i="1"/>
  <c r="K5046" i="1"/>
  <c r="L5046" i="1"/>
  <c r="K5047" i="1"/>
  <c r="L5047" i="1"/>
  <c r="K5048" i="1"/>
  <c r="L5048" i="1"/>
  <c r="K5049" i="1"/>
  <c r="L5049" i="1"/>
  <c r="K5050" i="1"/>
  <c r="L5050" i="1"/>
  <c r="K5051" i="1"/>
  <c r="L5051" i="1"/>
  <c r="K5052" i="1"/>
  <c r="L5052" i="1"/>
  <c r="K5053" i="1"/>
  <c r="L5053" i="1"/>
  <c r="K5054" i="1"/>
  <c r="L5054" i="1"/>
  <c r="K5055" i="1"/>
  <c r="L5055" i="1"/>
  <c r="K5056" i="1"/>
  <c r="L5056" i="1"/>
  <c r="K5057" i="1"/>
  <c r="L5057" i="1"/>
  <c r="K5058" i="1"/>
  <c r="L5058" i="1"/>
  <c r="K5059" i="1"/>
  <c r="L5059" i="1"/>
  <c r="K5060" i="1"/>
  <c r="L5060" i="1"/>
  <c r="K5061" i="1"/>
  <c r="L5061" i="1"/>
  <c r="K5062" i="1"/>
  <c r="L5062" i="1"/>
  <c r="K5063" i="1"/>
  <c r="L5063" i="1"/>
  <c r="K5064" i="1"/>
  <c r="L5064" i="1"/>
  <c r="K5065" i="1"/>
  <c r="L5065" i="1"/>
  <c r="K5066" i="1"/>
  <c r="L5066" i="1"/>
  <c r="K5067" i="1"/>
  <c r="L5067" i="1"/>
  <c r="K5068" i="1"/>
  <c r="L5068" i="1"/>
  <c r="K5069" i="1"/>
  <c r="L5069" i="1"/>
  <c r="K5070" i="1"/>
  <c r="L5070" i="1"/>
  <c r="K5071" i="1"/>
  <c r="L5071" i="1"/>
  <c r="K5072" i="1"/>
  <c r="L5072" i="1"/>
  <c r="K5073" i="1"/>
  <c r="L5073" i="1"/>
  <c r="K5074" i="1"/>
  <c r="L5074" i="1"/>
  <c r="K5075" i="1"/>
  <c r="L5075" i="1"/>
  <c r="K5076" i="1"/>
  <c r="L5076" i="1"/>
  <c r="K5077" i="1"/>
  <c r="L5077" i="1"/>
  <c r="K5078" i="1"/>
  <c r="L5078" i="1"/>
  <c r="K5079" i="1"/>
  <c r="L5079" i="1"/>
  <c r="K5080" i="1"/>
  <c r="L5080" i="1"/>
  <c r="K5081" i="1"/>
  <c r="L5081" i="1"/>
  <c r="K5082" i="1"/>
  <c r="L5082" i="1"/>
  <c r="K5083" i="1"/>
  <c r="L5083" i="1"/>
  <c r="K5084" i="1"/>
  <c r="L5084" i="1"/>
  <c r="K5085" i="1"/>
  <c r="L5085" i="1"/>
  <c r="K5086" i="1"/>
  <c r="L5086" i="1"/>
  <c r="K5087" i="1"/>
  <c r="L5087" i="1"/>
  <c r="K5088" i="1"/>
  <c r="L5088" i="1"/>
  <c r="K5089" i="1"/>
  <c r="L5089" i="1"/>
  <c r="K5090" i="1"/>
  <c r="L5090" i="1"/>
  <c r="K5091" i="1"/>
  <c r="L5091" i="1"/>
  <c r="K5092" i="1"/>
  <c r="L5092" i="1"/>
  <c r="K5093" i="1"/>
  <c r="L5093" i="1"/>
  <c r="K5094" i="1"/>
  <c r="L5094" i="1"/>
  <c r="K5095" i="1"/>
  <c r="L5095" i="1"/>
  <c r="K5096" i="1"/>
  <c r="L5096" i="1"/>
  <c r="K5097" i="1"/>
  <c r="L5097" i="1"/>
  <c r="K5098" i="1"/>
  <c r="L5098" i="1"/>
  <c r="K5099" i="1"/>
  <c r="L5099" i="1"/>
  <c r="K5100" i="1"/>
  <c r="L5100" i="1"/>
  <c r="K5101" i="1"/>
  <c r="L5101" i="1"/>
  <c r="K5102" i="1"/>
  <c r="L5102" i="1"/>
  <c r="K5103" i="1"/>
  <c r="L5103" i="1"/>
  <c r="K5104" i="1"/>
  <c r="L5104" i="1"/>
  <c r="K5105" i="1"/>
  <c r="L5105" i="1"/>
  <c r="K5106" i="1"/>
  <c r="L5106" i="1"/>
  <c r="K5107" i="1"/>
  <c r="L5107" i="1"/>
  <c r="K5108" i="1"/>
  <c r="L5108" i="1"/>
  <c r="K5109" i="1"/>
  <c r="L5109" i="1"/>
  <c r="K5110" i="1"/>
  <c r="L5110" i="1"/>
  <c r="K5111" i="1"/>
  <c r="L5111" i="1"/>
  <c r="K5112" i="1"/>
  <c r="L5112" i="1"/>
  <c r="K5113" i="1"/>
  <c r="L5113" i="1"/>
  <c r="K5114" i="1"/>
  <c r="L5114" i="1"/>
  <c r="K5115" i="1"/>
  <c r="L5115" i="1"/>
  <c r="K5116" i="1"/>
  <c r="L5116" i="1"/>
  <c r="K5117" i="1"/>
  <c r="L5117" i="1"/>
  <c r="K5118" i="1"/>
  <c r="L5118" i="1"/>
  <c r="K5119" i="1"/>
  <c r="L5119" i="1"/>
  <c r="K5120" i="1"/>
  <c r="L5120" i="1"/>
  <c r="K5121" i="1"/>
  <c r="L5121" i="1"/>
  <c r="K5122" i="1"/>
  <c r="L5122" i="1"/>
  <c r="K5123" i="1"/>
  <c r="L5123" i="1"/>
  <c r="K5124" i="1"/>
  <c r="L5124" i="1"/>
  <c r="K5125" i="1"/>
  <c r="L5125" i="1"/>
  <c r="K5126" i="1"/>
  <c r="L5126" i="1"/>
  <c r="K5127" i="1"/>
  <c r="L5127" i="1"/>
  <c r="K5128" i="1"/>
  <c r="L5128" i="1"/>
  <c r="K5129" i="1"/>
  <c r="L5129" i="1"/>
  <c r="K5130" i="1"/>
  <c r="L5130" i="1"/>
  <c r="K5131" i="1"/>
  <c r="L5131" i="1"/>
  <c r="K5132" i="1"/>
  <c r="L5132" i="1"/>
  <c r="K5133" i="1"/>
  <c r="L5133" i="1"/>
  <c r="K5134" i="1"/>
  <c r="L5134" i="1"/>
  <c r="K5135" i="1"/>
  <c r="L5135" i="1"/>
  <c r="K5136" i="1"/>
  <c r="L5136" i="1"/>
  <c r="K5137" i="1"/>
  <c r="L5137" i="1"/>
  <c r="K5138" i="1"/>
  <c r="L5138" i="1"/>
  <c r="K5139" i="1"/>
  <c r="L5139" i="1"/>
  <c r="K5140" i="1"/>
  <c r="L5140" i="1"/>
  <c r="K5141" i="1"/>
  <c r="L5141" i="1"/>
  <c r="K5142" i="1"/>
  <c r="L5142" i="1"/>
  <c r="K5143" i="1"/>
  <c r="L5143" i="1"/>
  <c r="K5144" i="1"/>
  <c r="L5144" i="1"/>
  <c r="K5145" i="1"/>
  <c r="L5145" i="1"/>
  <c r="K5146" i="1"/>
  <c r="L5146" i="1"/>
  <c r="K5147" i="1"/>
  <c r="L5147" i="1"/>
  <c r="K5148" i="1"/>
  <c r="L5148" i="1"/>
  <c r="K5149" i="1"/>
  <c r="L5149" i="1"/>
  <c r="K5150" i="1"/>
  <c r="L5150" i="1"/>
  <c r="K5151" i="1"/>
  <c r="L5151" i="1"/>
  <c r="K5152" i="1"/>
  <c r="L5152" i="1"/>
  <c r="K5153" i="1"/>
  <c r="L5153" i="1"/>
  <c r="K5154" i="1"/>
  <c r="L5154" i="1"/>
  <c r="K5155" i="1"/>
  <c r="L5155" i="1"/>
  <c r="K5156" i="1"/>
  <c r="L5156" i="1"/>
  <c r="K5157" i="1"/>
  <c r="L5157" i="1"/>
  <c r="K5158" i="1"/>
  <c r="L5158" i="1"/>
  <c r="K5159" i="1"/>
  <c r="L5159" i="1"/>
  <c r="K5160" i="1"/>
  <c r="L5160" i="1"/>
  <c r="K5161" i="1"/>
  <c r="L5161" i="1"/>
  <c r="K5162" i="1"/>
  <c r="L5162" i="1"/>
  <c r="K5163" i="1"/>
  <c r="L5163" i="1"/>
  <c r="K5164" i="1"/>
  <c r="L5164" i="1"/>
  <c r="K5165" i="1"/>
  <c r="L5165" i="1"/>
  <c r="K5166" i="1"/>
  <c r="L5166" i="1"/>
  <c r="K5167" i="1"/>
  <c r="L5167" i="1"/>
  <c r="K5168" i="1"/>
  <c r="L5168" i="1"/>
  <c r="K5169" i="1"/>
  <c r="L5169" i="1"/>
  <c r="K5170" i="1"/>
  <c r="L5170" i="1"/>
  <c r="K5171" i="1"/>
  <c r="L5171" i="1"/>
  <c r="K5172" i="1"/>
  <c r="L5172" i="1"/>
  <c r="K5173" i="1"/>
  <c r="L5173" i="1"/>
  <c r="K5174" i="1"/>
  <c r="L5174" i="1"/>
  <c r="K5175" i="1"/>
  <c r="L5175" i="1"/>
  <c r="K5176" i="1"/>
  <c r="L5176" i="1"/>
  <c r="K5177" i="1"/>
  <c r="L5177" i="1"/>
  <c r="K5178" i="1"/>
  <c r="L5178" i="1"/>
  <c r="K5179" i="1"/>
  <c r="L5179" i="1"/>
  <c r="K5180" i="1"/>
  <c r="L5180" i="1"/>
  <c r="K5181" i="1"/>
  <c r="L5181" i="1"/>
  <c r="K5182" i="1"/>
  <c r="L5182" i="1"/>
  <c r="K5183" i="1"/>
  <c r="L5183" i="1"/>
  <c r="K5184" i="1"/>
  <c r="L5184" i="1"/>
  <c r="K5185" i="1"/>
  <c r="L5185" i="1"/>
  <c r="K5186" i="1"/>
  <c r="L5186" i="1"/>
  <c r="K5187" i="1"/>
  <c r="L5187" i="1"/>
  <c r="K5188" i="1"/>
  <c r="L5188" i="1"/>
  <c r="K5189" i="1"/>
  <c r="L5189" i="1"/>
  <c r="K5190" i="1"/>
  <c r="L5190" i="1"/>
  <c r="K5191" i="1"/>
  <c r="L5191" i="1"/>
  <c r="K5192" i="1"/>
  <c r="L5192" i="1"/>
  <c r="K5193" i="1"/>
  <c r="L5193" i="1"/>
  <c r="K5194" i="1"/>
  <c r="L5194" i="1"/>
  <c r="K5195" i="1"/>
  <c r="L5195" i="1"/>
  <c r="K5196" i="1"/>
  <c r="L5196" i="1"/>
  <c r="K5197" i="1"/>
  <c r="L5197" i="1"/>
  <c r="K5198" i="1"/>
  <c r="L5198" i="1"/>
  <c r="K5199" i="1"/>
  <c r="L5199" i="1"/>
  <c r="K5200" i="1"/>
  <c r="L5200" i="1"/>
  <c r="K5201" i="1"/>
  <c r="L5201" i="1"/>
  <c r="K5202" i="1"/>
  <c r="L5202" i="1"/>
  <c r="K5203" i="1"/>
  <c r="L5203" i="1"/>
  <c r="K5204" i="1"/>
  <c r="L5204" i="1"/>
  <c r="K5205" i="1"/>
  <c r="L5205" i="1"/>
  <c r="K5206" i="1"/>
  <c r="L5206" i="1"/>
  <c r="K5207" i="1"/>
  <c r="L5207" i="1"/>
  <c r="K5208" i="1"/>
  <c r="L5208" i="1"/>
  <c r="K5209" i="1"/>
  <c r="L5209" i="1"/>
  <c r="K5210" i="1"/>
  <c r="L5210" i="1"/>
  <c r="K5211" i="1"/>
  <c r="L5211" i="1"/>
  <c r="K5212" i="1"/>
  <c r="L5212" i="1"/>
  <c r="K5213" i="1"/>
  <c r="L5213" i="1"/>
  <c r="K5214" i="1"/>
  <c r="L5214" i="1"/>
  <c r="K5215" i="1"/>
  <c r="L5215" i="1"/>
  <c r="K5216" i="1"/>
  <c r="L5216" i="1"/>
  <c r="K5217" i="1"/>
  <c r="L5217" i="1"/>
  <c r="K5218" i="1"/>
  <c r="L5218" i="1"/>
  <c r="K5219" i="1"/>
  <c r="L5219" i="1"/>
  <c r="K5220" i="1"/>
  <c r="L5220" i="1"/>
  <c r="K5221" i="1"/>
  <c r="L5221" i="1"/>
  <c r="K5222" i="1"/>
  <c r="L5222" i="1"/>
  <c r="K5223" i="1"/>
  <c r="L5223" i="1"/>
  <c r="K5224" i="1"/>
  <c r="L5224" i="1"/>
  <c r="K5225" i="1"/>
  <c r="L5225" i="1"/>
  <c r="K5226" i="1"/>
  <c r="L5226" i="1"/>
  <c r="K5227" i="1"/>
  <c r="L5227" i="1"/>
  <c r="K5228" i="1"/>
  <c r="L5228" i="1"/>
  <c r="K5229" i="1"/>
  <c r="L5229" i="1"/>
  <c r="K5230" i="1"/>
  <c r="L5230" i="1"/>
  <c r="K5231" i="1"/>
  <c r="L5231" i="1"/>
  <c r="K5232" i="1"/>
  <c r="L5232" i="1"/>
  <c r="K5233" i="1"/>
  <c r="L5233" i="1"/>
  <c r="K5234" i="1"/>
  <c r="L5234" i="1"/>
  <c r="K5235" i="1"/>
  <c r="L5235" i="1"/>
  <c r="K5236" i="1"/>
  <c r="L5236" i="1"/>
  <c r="K5237" i="1"/>
  <c r="L5237" i="1"/>
  <c r="K5238" i="1"/>
  <c r="L5238" i="1"/>
  <c r="K5239" i="1"/>
  <c r="L5239" i="1"/>
  <c r="K5240" i="1"/>
  <c r="L5240" i="1"/>
  <c r="K5241" i="1"/>
  <c r="L5241" i="1"/>
  <c r="K5242" i="1"/>
  <c r="L5242" i="1"/>
  <c r="K5243" i="1"/>
  <c r="L5243" i="1"/>
  <c r="K5244" i="1"/>
  <c r="L5244" i="1"/>
  <c r="K5245" i="1"/>
  <c r="L5245" i="1"/>
  <c r="K5246" i="1"/>
  <c r="L5246" i="1"/>
  <c r="K5247" i="1"/>
  <c r="L5247" i="1"/>
  <c r="K5248" i="1"/>
  <c r="L5248" i="1"/>
  <c r="K5249" i="1"/>
  <c r="L5249" i="1"/>
  <c r="K5250" i="1"/>
  <c r="L5250" i="1"/>
  <c r="K5251" i="1"/>
  <c r="L5251" i="1"/>
  <c r="K5252" i="1"/>
  <c r="L5252" i="1"/>
  <c r="K5253" i="1"/>
  <c r="L5253" i="1"/>
  <c r="K5254" i="1"/>
  <c r="L5254" i="1"/>
  <c r="K5255" i="1"/>
  <c r="L5255" i="1"/>
  <c r="K5256" i="1"/>
  <c r="L5256" i="1"/>
  <c r="K5257" i="1"/>
  <c r="L5257" i="1"/>
  <c r="K5258" i="1"/>
  <c r="L5258" i="1"/>
  <c r="K5259" i="1"/>
  <c r="L5259" i="1"/>
  <c r="K5260" i="1"/>
  <c r="L5260" i="1"/>
  <c r="K5261" i="1"/>
  <c r="L5261" i="1"/>
  <c r="K5262" i="1"/>
  <c r="L5262" i="1"/>
  <c r="K5263" i="1"/>
  <c r="L5263" i="1"/>
  <c r="K5264" i="1"/>
  <c r="L5264" i="1"/>
  <c r="K5265" i="1"/>
  <c r="L5265" i="1"/>
  <c r="K5266" i="1"/>
  <c r="L5266" i="1"/>
  <c r="K5267" i="1"/>
  <c r="L5267" i="1"/>
  <c r="K5268" i="1"/>
  <c r="L5268" i="1"/>
  <c r="K5269" i="1"/>
  <c r="L5269" i="1"/>
  <c r="K5270" i="1"/>
  <c r="L5270" i="1"/>
  <c r="K5271" i="1"/>
  <c r="L5271" i="1"/>
  <c r="K5272" i="1"/>
  <c r="L5272" i="1"/>
  <c r="K5273" i="1"/>
  <c r="L5273" i="1"/>
  <c r="K5274" i="1"/>
  <c r="L5274" i="1"/>
  <c r="K5275" i="1"/>
  <c r="L5275" i="1"/>
  <c r="K5276" i="1"/>
  <c r="L5276" i="1"/>
  <c r="K5277" i="1"/>
  <c r="L5277" i="1"/>
  <c r="K5278" i="1"/>
  <c r="L5278" i="1"/>
  <c r="K5279" i="1"/>
  <c r="L5279" i="1"/>
  <c r="K5280" i="1"/>
  <c r="L5280" i="1"/>
  <c r="K5281" i="1"/>
  <c r="L5281" i="1"/>
  <c r="K5282" i="1"/>
  <c r="L5282" i="1"/>
  <c r="K5283" i="1"/>
  <c r="L5283" i="1"/>
  <c r="K5284" i="1"/>
  <c r="L5284" i="1"/>
  <c r="K5285" i="1"/>
  <c r="L5285" i="1"/>
  <c r="K5286" i="1"/>
  <c r="L5286" i="1"/>
  <c r="K5287" i="1"/>
  <c r="L5287" i="1"/>
  <c r="K5288" i="1"/>
  <c r="L5288" i="1"/>
  <c r="K5289" i="1"/>
  <c r="L5289" i="1"/>
  <c r="K5290" i="1"/>
  <c r="L5290" i="1"/>
  <c r="K5291" i="1"/>
  <c r="L5291" i="1"/>
  <c r="K5292" i="1"/>
  <c r="L5292" i="1"/>
  <c r="K5293" i="1"/>
  <c r="L5293" i="1"/>
  <c r="K5294" i="1"/>
  <c r="L5294" i="1"/>
  <c r="K5295" i="1"/>
  <c r="L5295" i="1"/>
  <c r="K5296" i="1"/>
  <c r="L5296" i="1"/>
  <c r="K5297" i="1"/>
  <c r="L5297" i="1"/>
  <c r="K5298" i="1"/>
  <c r="L5298" i="1"/>
  <c r="K5299" i="1"/>
  <c r="L5299" i="1"/>
  <c r="K5300" i="1"/>
  <c r="L5300" i="1"/>
  <c r="K5301" i="1"/>
  <c r="L5301" i="1"/>
  <c r="K5302" i="1"/>
  <c r="L5302" i="1"/>
  <c r="K5303" i="1"/>
  <c r="L5303" i="1"/>
  <c r="K5304" i="1"/>
  <c r="L5304" i="1"/>
  <c r="K5305" i="1"/>
  <c r="L5305" i="1"/>
  <c r="K5306" i="1"/>
  <c r="L5306" i="1"/>
  <c r="K5307" i="1"/>
  <c r="L5307" i="1"/>
  <c r="K5308" i="1"/>
  <c r="L5308" i="1"/>
  <c r="K5309" i="1"/>
  <c r="L5309" i="1"/>
  <c r="K5310" i="1"/>
  <c r="L5310" i="1"/>
  <c r="K5311" i="1"/>
  <c r="L5311" i="1"/>
  <c r="K5312" i="1"/>
  <c r="L5312" i="1"/>
  <c r="K5313" i="1"/>
  <c r="L5313" i="1"/>
  <c r="K5314" i="1"/>
  <c r="L5314" i="1"/>
  <c r="K5315" i="1"/>
  <c r="L5315" i="1"/>
  <c r="K5316" i="1"/>
  <c r="L5316" i="1"/>
  <c r="K5317" i="1"/>
  <c r="L5317" i="1"/>
  <c r="K5318" i="1"/>
  <c r="L5318" i="1"/>
  <c r="K5319" i="1"/>
  <c r="L5319" i="1"/>
  <c r="K5320" i="1"/>
  <c r="L5320" i="1"/>
  <c r="K5321" i="1"/>
  <c r="L5321" i="1"/>
  <c r="K5322" i="1"/>
  <c r="L5322" i="1"/>
  <c r="K5323" i="1"/>
  <c r="L5323" i="1"/>
  <c r="K5324" i="1"/>
  <c r="L5324" i="1"/>
  <c r="K5325" i="1"/>
  <c r="L5325" i="1"/>
  <c r="K5326" i="1"/>
  <c r="L5326" i="1"/>
  <c r="K5327" i="1"/>
  <c r="L5327" i="1"/>
  <c r="K5328" i="1"/>
  <c r="L5328" i="1"/>
  <c r="K5329" i="1"/>
  <c r="L5329" i="1"/>
  <c r="K5330" i="1"/>
  <c r="L5330" i="1"/>
  <c r="K5331" i="1"/>
  <c r="L5331" i="1"/>
  <c r="K5332" i="1"/>
  <c r="L5332" i="1"/>
  <c r="K5333" i="1"/>
  <c r="L5333" i="1"/>
  <c r="K5334" i="1"/>
  <c r="L5334" i="1"/>
  <c r="K5335" i="1"/>
  <c r="L5335" i="1"/>
  <c r="K5336" i="1"/>
  <c r="L5336" i="1"/>
  <c r="K5337" i="1"/>
  <c r="L5337" i="1"/>
  <c r="K5338" i="1"/>
  <c r="L5338" i="1"/>
  <c r="K5339" i="1"/>
  <c r="L5339" i="1"/>
  <c r="K5340" i="1"/>
  <c r="L5340" i="1"/>
  <c r="K5341" i="1"/>
  <c r="L5341" i="1"/>
  <c r="K5342" i="1"/>
  <c r="L5342" i="1"/>
  <c r="K5343" i="1"/>
  <c r="L5343" i="1"/>
  <c r="K5344" i="1"/>
  <c r="L5344" i="1"/>
  <c r="K5345" i="1"/>
  <c r="L5345" i="1"/>
  <c r="K5346" i="1"/>
  <c r="L5346" i="1"/>
  <c r="K5347" i="1"/>
  <c r="L5347" i="1"/>
  <c r="K5348" i="1"/>
  <c r="L5348" i="1"/>
  <c r="K5349" i="1"/>
  <c r="L5349" i="1"/>
  <c r="K5350" i="1"/>
  <c r="L5350" i="1"/>
  <c r="K5351" i="1"/>
  <c r="L5351" i="1"/>
  <c r="K5352" i="1"/>
  <c r="L5352" i="1"/>
  <c r="K5353" i="1"/>
  <c r="L5353" i="1"/>
  <c r="K5354" i="1"/>
  <c r="L5354" i="1"/>
  <c r="K5355" i="1"/>
  <c r="L5355" i="1"/>
  <c r="K5356" i="1"/>
  <c r="L5356" i="1"/>
  <c r="K5357" i="1"/>
  <c r="L5357" i="1"/>
  <c r="K5358" i="1"/>
  <c r="L5358" i="1"/>
  <c r="K5359" i="1"/>
  <c r="L5359" i="1"/>
  <c r="K5360" i="1"/>
  <c r="L5360" i="1"/>
  <c r="K5361" i="1"/>
  <c r="L5361" i="1"/>
  <c r="K5362" i="1"/>
  <c r="L5362" i="1"/>
  <c r="K5363" i="1"/>
  <c r="L5363" i="1"/>
  <c r="K5364" i="1"/>
  <c r="L5364" i="1"/>
  <c r="K5365" i="1"/>
  <c r="L5365" i="1"/>
  <c r="K5366" i="1"/>
  <c r="L5366" i="1"/>
  <c r="K5367" i="1"/>
  <c r="L5367" i="1"/>
  <c r="K5368" i="1"/>
  <c r="L5368" i="1"/>
  <c r="K5369" i="1"/>
  <c r="L5369" i="1"/>
  <c r="K5370" i="1"/>
  <c r="L5370" i="1"/>
  <c r="K5371" i="1"/>
  <c r="L5371" i="1"/>
  <c r="K5372" i="1"/>
  <c r="L5372" i="1"/>
  <c r="K5373" i="1"/>
  <c r="L5373" i="1"/>
  <c r="K5374" i="1"/>
  <c r="L5374" i="1"/>
  <c r="K5375" i="1"/>
  <c r="L5375" i="1"/>
  <c r="K5376" i="1"/>
  <c r="L5376" i="1"/>
  <c r="K5377" i="1"/>
  <c r="L5377" i="1"/>
  <c r="K5378" i="1"/>
  <c r="L5378" i="1"/>
  <c r="K5379" i="1"/>
  <c r="L5379" i="1"/>
  <c r="K5380" i="1"/>
  <c r="L5380" i="1"/>
  <c r="K5381" i="1"/>
  <c r="L5381" i="1"/>
  <c r="K5382" i="1"/>
  <c r="L5382" i="1"/>
  <c r="K5383" i="1"/>
  <c r="L5383" i="1"/>
  <c r="K5384" i="1"/>
  <c r="L5384" i="1"/>
  <c r="K5385" i="1"/>
  <c r="L5385" i="1"/>
  <c r="K5386" i="1"/>
  <c r="L5386" i="1"/>
  <c r="K5387" i="1"/>
  <c r="L5387" i="1"/>
  <c r="K5388" i="1"/>
  <c r="L5388" i="1"/>
  <c r="K5389" i="1"/>
  <c r="L5389" i="1"/>
  <c r="K5390" i="1"/>
  <c r="L5390" i="1"/>
  <c r="K5391" i="1"/>
  <c r="L5391" i="1"/>
  <c r="K5392" i="1"/>
  <c r="L5392" i="1"/>
  <c r="K5393" i="1"/>
  <c r="L5393" i="1"/>
  <c r="K5394" i="1"/>
  <c r="L5394" i="1"/>
  <c r="K5395" i="1"/>
  <c r="L5395" i="1"/>
  <c r="K5396" i="1"/>
  <c r="L5396" i="1"/>
  <c r="K5397" i="1"/>
  <c r="L5397" i="1"/>
  <c r="K5398" i="1"/>
  <c r="L5398" i="1"/>
  <c r="K5399" i="1"/>
  <c r="L5399" i="1"/>
  <c r="K5400" i="1"/>
  <c r="L5400" i="1"/>
  <c r="K5401" i="1"/>
  <c r="L5401" i="1"/>
  <c r="K5402" i="1"/>
  <c r="L5402" i="1"/>
  <c r="K5403" i="1"/>
  <c r="L5403" i="1"/>
  <c r="K5404" i="1"/>
  <c r="L5404" i="1"/>
  <c r="K5405" i="1"/>
  <c r="L5405" i="1"/>
  <c r="K5406" i="1"/>
  <c r="L5406" i="1"/>
  <c r="K5407" i="1"/>
  <c r="L5407" i="1"/>
  <c r="K5408" i="1"/>
  <c r="L5408" i="1"/>
  <c r="K5409" i="1"/>
  <c r="L5409" i="1"/>
  <c r="K5410" i="1"/>
  <c r="L5410" i="1"/>
  <c r="K5411" i="1"/>
  <c r="L5411" i="1"/>
  <c r="K5412" i="1"/>
  <c r="L5412" i="1"/>
  <c r="K5413" i="1"/>
  <c r="L5413" i="1"/>
  <c r="K5414" i="1"/>
  <c r="L5414" i="1"/>
  <c r="K5415" i="1"/>
  <c r="L5415" i="1"/>
  <c r="K5416" i="1"/>
  <c r="L5416" i="1"/>
  <c r="K5417" i="1"/>
  <c r="L5417" i="1"/>
  <c r="K5418" i="1"/>
  <c r="L5418" i="1"/>
  <c r="K5419" i="1"/>
  <c r="L5419" i="1"/>
  <c r="K5420" i="1"/>
  <c r="L5420" i="1"/>
  <c r="K5421" i="1"/>
  <c r="L5421" i="1"/>
  <c r="K5422" i="1"/>
  <c r="L5422" i="1"/>
  <c r="K5423" i="1"/>
  <c r="L5423" i="1"/>
  <c r="K5424" i="1"/>
  <c r="L5424" i="1"/>
  <c r="K5425" i="1"/>
  <c r="L5425" i="1"/>
  <c r="K5426" i="1"/>
  <c r="L5426" i="1"/>
  <c r="K5427" i="1"/>
  <c r="L5427" i="1"/>
  <c r="K5428" i="1"/>
  <c r="L5428" i="1"/>
  <c r="K5429" i="1"/>
  <c r="L5429" i="1"/>
  <c r="K5430" i="1"/>
  <c r="L5430" i="1"/>
  <c r="K5431" i="1"/>
  <c r="L5431" i="1"/>
  <c r="K5432" i="1"/>
  <c r="L5432" i="1"/>
  <c r="K5433" i="1"/>
  <c r="L5433" i="1"/>
  <c r="K5434" i="1"/>
  <c r="L5434" i="1"/>
  <c r="K5435" i="1"/>
  <c r="L5435" i="1"/>
  <c r="K5436" i="1"/>
  <c r="L5436" i="1"/>
  <c r="K5437" i="1"/>
  <c r="L5437" i="1"/>
  <c r="K5438" i="1"/>
  <c r="L5438" i="1"/>
  <c r="K5439" i="1"/>
  <c r="L5439" i="1"/>
  <c r="K5440" i="1"/>
  <c r="L5440" i="1"/>
  <c r="K5441" i="1"/>
  <c r="L5441" i="1"/>
  <c r="K5442" i="1"/>
  <c r="L5442" i="1"/>
  <c r="K5443" i="1"/>
  <c r="L5443" i="1"/>
  <c r="K5444" i="1"/>
  <c r="L5444" i="1"/>
  <c r="K5445" i="1"/>
  <c r="L5445" i="1"/>
  <c r="K5446" i="1"/>
  <c r="L5446" i="1"/>
  <c r="K5447" i="1"/>
  <c r="L5447" i="1"/>
  <c r="K5448" i="1"/>
  <c r="L5448" i="1"/>
  <c r="K5449" i="1"/>
  <c r="L5449" i="1"/>
  <c r="K5450" i="1"/>
  <c r="L5450" i="1"/>
  <c r="K5451" i="1"/>
  <c r="L5451" i="1"/>
  <c r="K5452" i="1"/>
  <c r="L5452" i="1"/>
  <c r="K5453" i="1"/>
  <c r="L5453" i="1"/>
  <c r="K5454" i="1"/>
  <c r="L5454" i="1"/>
  <c r="K5455" i="1"/>
  <c r="L5455" i="1"/>
  <c r="K5456" i="1"/>
  <c r="L5456" i="1"/>
  <c r="K5457" i="1"/>
  <c r="L5457" i="1"/>
  <c r="K5458" i="1"/>
  <c r="L5458" i="1"/>
  <c r="K5459" i="1"/>
  <c r="L5459" i="1"/>
  <c r="K5460" i="1"/>
  <c r="L5460" i="1"/>
  <c r="K5461" i="1"/>
  <c r="L5461" i="1"/>
  <c r="K5462" i="1"/>
  <c r="L5462" i="1"/>
  <c r="K5463" i="1"/>
  <c r="L5463" i="1"/>
  <c r="K5464" i="1"/>
  <c r="L5464" i="1"/>
  <c r="K5465" i="1"/>
  <c r="L5465" i="1"/>
  <c r="K5466" i="1"/>
  <c r="L5466" i="1"/>
  <c r="K5467" i="1"/>
  <c r="L5467" i="1"/>
  <c r="K5468" i="1"/>
  <c r="L5468" i="1"/>
  <c r="K5469" i="1"/>
  <c r="L5469" i="1"/>
  <c r="K5470" i="1"/>
  <c r="L5470" i="1"/>
  <c r="K5471" i="1"/>
  <c r="L5471" i="1"/>
  <c r="K5472" i="1"/>
  <c r="L5472" i="1"/>
  <c r="K5473" i="1"/>
  <c r="L5473" i="1"/>
  <c r="K5474" i="1"/>
  <c r="L5474" i="1"/>
  <c r="K5475" i="1"/>
  <c r="L5475" i="1"/>
  <c r="K5476" i="1"/>
  <c r="L5476" i="1"/>
  <c r="K5477" i="1"/>
  <c r="L5477" i="1"/>
  <c r="K5478" i="1"/>
  <c r="L5478" i="1"/>
  <c r="K5479" i="1"/>
  <c r="L5479" i="1"/>
  <c r="K5480" i="1"/>
  <c r="L5480" i="1"/>
  <c r="K5481" i="1"/>
  <c r="L5481" i="1"/>
  <c r="K5482" i="1"/>
  <c r="L5482" i="1"/>
  <c r="K5483" i="1"/>
  <c r="L5483" i="1"/>
  <c r="K5484" i="1"/>
  <c r="L5484" i="1"/>
  <c r="K5485" i="1"/>
  <c r="L5485" i="1"/>
  <c r="K5486" i="1"/>
  <c r="L5486" i="1"/>
  <c r="K5487" i="1"/>
  <c r="L5487" i="1"/>
  <c r="K5488" i="1"/>
  <c r="L5488" i="1"/>
  <c r="K5489" i="1"/>
  <c r="L5489" i="1"/>
  <c r="K5490" i="1"/>
  <c r="L5490" i="1"/>
  <c r="K5491" i="1"/>
  <c r="L5491" i="1"/>
  <c r="K5492" i="1"/>
  <c r="L5492" i="1"/>
  <c r="K5493" i="1"/>
  <c r="L5493" i="1"/>
  <c r="K5494" i="1"/>
  <c r="L5494" i="1"/>
  <c r="K5495" i="1"/>
  <c r="L5495" i="1"/>
  <c r="K5496" i="1"/>
  <c r="L5496" i="1"/>
  <c r="K5497" i="1"/>
  <c r="L5497" i="1"/>
  <c r="K5498" i="1"/>
  <c r="L5498" i="1"/>
  <c r="K5499" i="1"/>
  <c r="L5499" i="1"/>
  <c r="K5500" i="1"/>
  <c r="L5500" i="1"/>
  <c r="K5501" i="1"/>
  <c r="L5501" i="1"/>
  <c r="K5502" i="1"/>
  <c r="L5502" i="1"/>
  <c r="K5503" i="1"/>
  <c r="L5503" i="1"/>
  <c r="K5504" i="1"/>
  <c r="L5504" i="1"/>
  <c r="K5505" i="1"/>
  <c r="L5505" i="1"/>
  <c r="K5506" i="1"/>
  <c r="L5506" i="1"/>
  <c r="K5507" i="1"/>
  <c r="L5507" i="1"/>
  <c r="K5508" i="1"/>
  <c r="L5508" i="1"/>
  <c r="K5509" i="1"/>
  <c r="L5509" i="1"/>
  <c r="K5510" i="1"/>
  <c r="L5510" i="1"/>
  <c r="K5511" i="1"/>
  <c r="L5511" i="1"/>
  <c r="K5512" i="1"/>
  <c r="L5512" i="1"/>
  <c r="K5513" i="1"/>
  <c r="L5513" i="1"/>
  <c r="K5514" i="1"/>
  <c r="L5514" i="1"/>
  <c r="K5515" i="1"/>
  <c r="L5515" i="1"/>
  <c r="K5516" i="1"/>
  <c r="L5516" i="1"/>
  <c r="K5517" i="1"/>
  <c r="L5517" i="1"/>
  <c r="K5518" i="1"/>
  <c r="L5518" i="1"/>
  <c r="K5519" i="1"/>
  <c r="L5519" i="1"/>
  <c r="K5520" i="1"/>
  <c r="L5520" i="1"/>
  <c r="K5521" i="1"/>
  <c r="L5521" i="1"/>
  <c r="K5522" i="1"/>
  <c r="L5522" i="1"/>
  <c r="K5523" i="1"/>
  <c r="L5523" i="1"/>
  <c r="K5524" i="1"/>
  <c r="L5524" i="1"/>
  <c r="K5525" i="1"/>
  <c r="L5525" i="1"/>
  <c r="K5526" i="1"/>
  <c r="L5526" i="1"/>
  <c r="K5527" i="1"/>
  <c r="L5527" i="1"/>
  <c r="K5528" i="1"/>
  <c r="L5528" i="1"/>
  <c r="K5529" i="1"/>
  <c r="L5529" i="1"/>
  <c r="K5530" i="1"/>
  <c r="L5530" i="1"/>
  <c r="K5531" i="1"/>
  <c r="L5531" i="1"/>
  <c r="K5532" i="1"/>
  <c r="L5532" i="1"/>
  <c r="K5533" i="1"/>
  <c r="L5533" i="1"/>
  <c r="K5534" i="1"/>
  <c r="L5534" i="1"/>
  <c r="K5535" i="1"/>
  <c r="L5535" i="1"/>
  <c r="K5536" i="1"/>
  <c r="L5536" i="1"/>
  <c r="K5537" i="1"/>
  <c r="L5537" i="1"/>
  <c r="K5538" i="1"/>
  <c r="L5538" i="1"/>
  <c r="K5539" i="1"/>
  <c r="L5539" i="1"/>
  <c r="K5540" i="1"/>
  <c r="L5540" i="1"/>
  <c r="K5541" i="1"/>
  <c r="L5541" i="1"/>
  <c r="K5542" i="1"/>
  <c r="L5542" i="1"/>
  <c r="K5543" i="1"/>
  <c r="L5543" i="1"/>
  <c r="K5544" i="1"/>
  <c r="L5544" i="1"/>
  <c r="K5545" i="1"/>
  <c r="L5545" i="1"/>
  <c r="K5546" i="1"/>
  <c r="L5546" i="1"/>
  <c r="K5547" i="1"/>
  <c r="L5547" i="1"/>
  <c r="K5548" i="1"/>
  <c r="L5548" i="1"/>
  <c r="K5549" i="1"/>
  <c r="L5549" i="1"/>
  <c r="K5550" i="1"/>
  <c r="L5550" i="1"/>
  <c r="K5551" i="1"/>
  <c r="L5551" i="1"/>
  <c r="K5552" i="1"/>
  <c r="L5552" i="1"/>
  <c r="K5553" i="1"/>
  <c r="L5553" i="1"/>
  <c r="K5554" i="1"/>
  <c r="L5554" i="1"/>
  <c r="K5555" i="1"/>
  <c r="L5555" i="1"/>
  <c r="K5556" i="1"/>
  <c r="L5556" i="1"/>
  <c r="K5557" i="1"/>
  <c r="L5557" i="1"/>
  <c r="K5558" i="1"/>
  <c r="L5558" i="1"/>
  <c r="K5559" i="1"/>
  <c r="L5559" i="1"/>
  <c r="K5560" i="1"/>
  <c r="L5560" i="1"/>
  <c r="K5561" i="1"/>
  <c r="L5561" i="1"/>
  <c r="K5562" i="1"/>
  <c r="L5562" i="1"/>
  <c r="K5563" i="1"/>
  <c r="L5563" i="1"/>
  <c r="K5564" i="1"/>
  <c r="L5564" i="1"/>
  <c r="K5565" i="1"/>
  <c r="L5565" i="1"/>
  <c r="K5566" i="1"/>
  <c r="L5566" i="1"/>
  <c r="K5567" i="1"/>
  <c r="L5567" i="1"/>
  <c r="K5568" i="1"/>
  <c r="L5568" i="1"/>
  <c r="K5569" i="1"/>
  <c r="L5569" i="1"/>
  <c r="K5570" i="1"/>
  <c r="L5570" i="1"/>
  <c r="K5571" i="1"/>
  <c r="L5571" i="1"/>
  <c r="K5572" i="1"/>
  <c r="L5572" i="1"/>
  <c r="K5573" i="1"/>
  <c r="L5573" i="1"/>
  <c r="K5574" i="1"/>
  <c r="L5574" i="1"/>
  <c r="K5575" i="1"/>
  <c r="L5575" i="1"/>
  <c r="K5576" i="1"/>
  <c r="L5576" i="1"/>
  <c r="K5577" i="1"/>
  <c r="L5577" i="1"/>
  <c r="K5578" i="1"/>
  <c r="L5578" i="1"/>
  <c r="K5579" i="1"/>
  <c r="L5579" i="1"/>
  <c r="K5580" i="1"/>
  <c r="L5580" i="1"/>
  <c r="K5581" i="1"/>
  <c r="L5581" i="1"/>
  <c r="K5582" i="1"/>
  <c r="L5582" i="1"/>
  <c r="K5583" i="1"/>
  <c r="L5583" i="1"/>
  <c r="K5584" i="1"/>
  <c r="L5584" i="1"/>
  <c r="K5585" i="1"/>
  <c r="L5585" i="1"/>
  <c r="K5586" i="1"/>
  <c r="L5586" i="1"/>
  <c r="K5587" i="1"/>
  <c r="L5587" i="1"/>
  <c r="K5588" i="1"/>
  <c r="L5588" i="1"/>
  <c r="K5589" i="1"/>
  <c r="L5589" i="1"/>
  <c r="K5590" i="1"/>
  <c r="L5590" i="1"/>
  <c r="K5591" i="1"/>
  <c r="L5591" i="1"/>
  <c r="K5592" i="1"/>
  <c r="L5592" i="1"/>
  <c r="K5593" i="1"/>
  <c r="L5593" i="1"/>
  <c r="K5594" i="1"/>
  <c r="L5594" i="1"/>
  <c r="K5595" i="1"/>
  <c r="L5595" i="1"/>
  <c r="K5596" i="1"/>
  <c r="L5596" i="1"/>
  <c r="K5597" i="1"/>
  <c r="L5597" i="1"/>
  <c r="K5598" i="1"/>
  <c r="L5598" i="1"/>
  <c r="K5599" i="1"/>
  <c r="L5599" i="1"/>
  <c r="K5600" i="1"/>
  <c r="L5600" i="1"/>
  <c r="K5601" i="1"/>
  <c r="L5601" i="1"/>
  <c r="K5602" i="1"/>
  <c r="L5602" i="1"/>
  <c r="K5603" i="1"/>
  <c r="L5603" i="1"/>
  <c r="K5604" i="1"/>
  <c r="L5604" i="1"/>
  <c r="K5605" i="1"/>
  <c r="L5605" i="1"/>
  <c r="K5606" i="1"/>
  <c r="L5606" i="1"/>
  <c r="K5607" i="1"/>
  <c r="L5607" i="1"/>
  <c r="K5608" i="1"/>
  <c r="L5608" i="1"/>
  <c r="K5609" i="1"/>
  <c r="L5609" i="1"/>
  <c r="K5610" i="1"/>
  <c r="L5610" i="1"/>
  <c r="K5611" i="1"/>
  <c r="L5611" i="1"/>
  <c r="K5612" i="1"/>
  <c r="L5612" i="1"/>
  <c r="K5613" i="1"/>
  <c r="L5613" i="1"/>
  <c r="K5614" i="1"/>
  <c r="L5614" i="1"/>
  <c r="K5615" i="1"/>
  <c r="L5615" i="1"/>
  <c r="K5616" i="1"/>
  <c r="L5616" i="1"/>
  <c r="K5617" i="1"/>
  <c r="L5617" i="1"/>
  <c r="K5618" i="1"/>
  <c r="L5618" i="1"/>
  <c r="K5619" i="1"/>
  <c r="L5619" i="1"/>
  <c r="K5620" i="1"/>
  <c r="L5620" i="1"/>
  <c r="K5621" i="1"/>
  <c r="L5621" i="1"/>
  <c r="K5622" i="1"/>
  <c r="L5622" i="1"/>
  <c r="K5623" i="1"/>
  <c r="L5623" i="1"/>
  <c r="K5624" i="1"/>
  <c r="L5624" i="1"/>
  <c r="K5625" i="1"/>
  <c r="L5625" i="1"/>
  <c r="K5626" i="1"/>
  <c r="L5626" i="1"/>
  <c r="K5627" i="1"/>
  <c r="L5627" i="1"/>
  <c r="K5628" i="1"/>
  <c r="L5628" i="1"/>
  <c r="K5629" i="1"/>
  <c r="L5629" i="1"/>
  <c r="K5630" i="1"/>
  <c r="L5630" i="1"/>
  <c r="K5631" i="1"/>
  <c r="L5631" i="1"/>
  <c r="K5632" i="1"/>
  <c r="L5632" i="1"/>
  <c r="K5633" i="1"/>
  <c r="L5633" i="1"/>
  <c r="K5634" i="1"/>
  <c r="L5634" i="1"/>
  <c r="K5635" i="1"/>
  <c r="L5635" i="1"/>
  <c r="K5636" i="1"/>
  <c r="L5636" i="1"/>
  <c r="K5637" i="1"/>
  <c r="L5637" i="1"/>
  <c r="K5638" i="1"/>
  <c r="L5638" i="1"/>
  <c r="K5639" i="1"/>
  <c r="L5639" i="1"/>
  <c r="K5640" i="1"/>
  <c r="L5640" i="1"/>
  <c r="K5641" i="1"/>
  <c r="L5641" i="1"/>
  <c r="K5642" i="1"/>
  <c r="L5642" i="1"/>
  <c r="K5643" i="1"/>
  <c r="L5643" i="1"/>
  <c r="K5644" i="1"/>
  <c r="L5644" i="1"/>
  <c r="K5645" i="1"/>
  <c r="L5645" i="1"/>
  <c r="K5646" i="1"/>
  <c r="L5646" i="1"/>
  <c r="K5647" i="1"/>
  <c r="L5647" i="1"/>
  <c r="K5648" i="1"/>
  <c r="L5648" i="1"/>
  <c r="K5649" i="1"/>
  <c r="L5649" i="1"/>
  <c r="K5650" i="1"/>
  <c r="L5650" i="1"/>
  <c r="K5651" i="1"/>
  <c r="L5651" i="1"/>
  <c r="K5652" i="1"/>
  <c r="L5652" i="1"/>
  <c r="K5653" i="1"/>
  <c r="L5653" i="1"/>
  <c r="K5654" i="1"/>
  <c r="L5654" i="1"/>
  <c r="K5655" i="1"/>
  <c r="L5655" i="1"/>
  <c r="K5656" i="1"/>
  <c r="L5656" i="1"/>
  <c r="K5657" i="1"/>
  <c r="L5657" i="1"/>
  <c r="K5658" i="1"/>
  <c r="L5658" i="1"/>
  <c r="K5659" i="1"/>
  <c r="L5659" i="1"/>
  <c r="K5660" i="1"/>
  <c r="L5660" i="1"/>
  <c r="K5661" i="1"/>
  <c r="L5661" i="1"/>
  <c r="K5662" i="1"/>
  <c r="L5662" i="1"/>
  <c r="K5663" i="1"/>
  <c r="L5663" i="1"/>
  <c r="K5664" i="1"/>
  <c r="L5664" i="1"/>
  <c r="K5665" i="1"/>
  <c r="L5665" i="1"/>
  <c r="K5666" i="1"/>
  <c r="L5666" i="1"/>
  <c r="K5667" i="1"/>
  <c r="L5667" i="1"/>
  <c r="K5668" i="1"/>
  <c r="L5668" i="1"/>
  <c r="K5669" i="1"/>
  <c r="L5669" i="1"/>
  <c r="K5670" i="1"/>
  <c r="L5670" i="1"/>
  <c r="K5671" i="1"/>
  <c r="L5671" i="1"/>
  <c r="K5672" i="1"/>
  <c r="L5672" i="1"/>
  <c r="K5673" i="1"/>
  <c r="L5673" i="1"/>
  <c r="K5674" i="1"/>
  <c r="L5674" i="1"/>
  <c r="K5675" i="1"/>
  <c r="L5675" i="1"/>
  <c r="K5676" i="1"/>
  <c r="L5676" i="1"/>
  <c r="K5677" i="1"/>
  <c r="L5677" i="1"/>
  <c r="K5678" i="1"/>
  <c r="L5678" i="1"/>
  <c r="K5679" i="1"/>
  <c r="L5679" i="1"/>
  <c r="K5680" i="1"/>
  <c r="L5680" i="1"/>
  <c r="K5681" i="1"/>
  <c r="L5681" i="1"/>
  <c r="K5682" i="1"/>
  <c r="L5682" i="1"/>
  <c r="K5683" i="1"/>
  <c r="L5683" i="1"/>
  <c r="K5684" i="1"/>
  <c r="L5684" i="1"/>
  <c r="K5685" i="1"/>
  <c r="L5685" i="1"/>
  <c r="K5686" i="1"/>
  <c r="L5686" i="1"/>
  <c r="K5687" i="1"/>
  <c r="L5687" i="1"/>
  <c r="K5688" i="1"/>
  <c r="L5688" i="1"/>
  <c r="K5689" i="1"/>
  <c r="L5689" i="1"/>
  <c r="K5690" i="1"/>
  <c r="L5690" i="1"/>
  <c r="K5691" i="1"/>
  <c r="L5691" i="1"/>
  <c r="K5692" i="1"/>
  <c r="L5692" i="1"/>
  <c r="K5693" i="1"/>
  <c r="L5693" i="1"/>
  <c r="K5694" i="1"/>
  <c r="L5694" i="1"/>
  <c r="K5695" i="1"/>
  <c r="L5695" i="1"/>
  <c r="K5696" i="1"/>
  <c r="L5696" i="1"/>
  <c r="K5697" i="1"/>
  <c r="L5697" i="1"/>
  <c r="K5698" i="1"/>
  <c r="L5698" i="1"/>
  <c r="K5699" i="1"/>
  <c r="L5699" i="1"/>
  <c r="K5700" i="1"/>
  <c r="L5700" i="1"/>
  <c r="K5701" i="1"/>
  <c r="L5701" i="1"/>
  <c r="K5702" i="1"/>
  <c r="L5702" i="1"/>
  <c r="K5703" i="1"/>
  <c r="L5703" i="1"/>
  <c r="K5704" i="1"/>
  <c r="L5704" i="1"/>
  <c r="K5705" i="1"/>
  <c r="L5705" i="1"/>
  <c r="K5706" i="1"/>
  <c r="L5706" i="1"/>
  <c r="K5707" i="1"/>
  <c r="L5707" i="1"/>
  <c r="K5708" i="1"/>
  <c r="L5708" i="1"/>
  <c r="K5709" i="1"/>
  <c r="L5709" i="1"/>
  <c r="K5710" i="1"/>
  <c r="L5710" i="1"/>
  <c r="K5711" i="1"/>
  <c r="L5711" i="1"/>
  <c r="K5712" i="1"/>
  <c r="L5712" i="1"/>
  <c r="K5713" i="1"/>
  <c r="L5713" i="1"/>
  <c r="K5714" i="1"/>
  <c r="L5714" i="1"/>
  <c r="K5715" i="1"/>
  <c r="L5715" i="1"/>
  <c r="K5716" i="1"/>
  <c r="L5716" i="1"/>
  <c r="K5717" i="1"/>
  <c r="L5717" i="1"/>
  <c r="K5718" i="1"/>
  <c r="L5718" i="1"/>
  <c r="K5719" i="1"/>
  <c r="L5719" i="1"/>
  <c r="K5720" i="1"/>
  <c r="L5720" i="1"/>
  <c r="K5721" i="1"/>
  <c r="L5721" i="1"/>
  <c r="K5722" i="1"/>
  <c r="L5722" i="1"/>
  <c r="K5723" i="1"/>
  <c r="L5723" i="1"/>
  <c r="K5724" i="1"/>
  <c r="L5724" i="1"/>
  <c r="K5725" i="1"/>
  <c r="L5725" i="1"/>
  <c r="K5726" i="1"/>
  <c r="L5726" i="1"/>
  <c r="K5727" i="1"/>
  <c r="L5727" i="1"/>
  <c r="K5728" i="1"/>
  <c r="L5728" i="1"/>
  <c r="K5729" i="1"/>
  <c r="L5729" i="1"/>
  <c r="K5730" i="1"/>
  <c r="L5730" i="1"/>
  <c r="K5731" i="1"/>
  <c r="L5731" i="1"/>
  <c r="K5732" i="1"/>
  <c r="L5732" i="1"/>
  <c r="K5733" i="1"/>
  <c r="L5733" i="1"/>
  <c r="K5734" i="1"/>
  <c r="L5734" i="1"/>
  <c r="K5735" i="1"/>
  <c r="L5735" i="1"/>
  <c r="K5736" i="1"/>
  <c r="L5736" i="1"/>
  <c r="K5737" i="1"/>
  <c r="L5737" i="1"/>
  <c r="K5738" i="1"/>
  <c r="L5738" i="1"/>
  <c r="K5739" i="1"/>
  <c r="L5739" i="1"/>
  <c r="K5740" i="1"/>
  <c r="L5740" i="1"/>
  <c r="K5741" i="1"/>
  <c r="L5741" i="1"/>
  <c r="K5742" i="1"/>
  <c r="L5742" i="1"/>
  <c r="K5743" i="1"/>
  <c r="L5743" i="1"/>
  <c r="K5744" i="1"/>
  <c r="L5744" i="1"/>
  <c r="K5745" i="1"/>
  <c r="L5745" i="1"/>
  <c r="K5746" i="1"/>
  <c r="L5746" i="1"/>
  <c r="K5747" i="1"/>
  <c r="L5747" i="1"/>
  <c r="K5748" i="1"/>
  <c r="L5748" i="1"/>
  <c r="K5749" i="1"/>
  <c r="L5749" i="1"/>
  <c r="K5750" i="1"/>
  <c r="L5750" i="1"/>
  <c r="K5751" i="1"/>
  <c r="L5751" i="1"/>
  <c r="K5752" i="1"/>
  <c r="L5752" i="1"/>
  <c r="K5753" i="1"/>
  <c r="L5753" i="1"/>
  <c r="K5754" i="1"/>
  <c r="L5754" i="1"/>
  <c r="K5755" i="1"/>
  <c r="L5755" i="1"/>
  <c r="K5756" i="1"/>
  <c r="L5756" i="1"/>
  <c r="K5757" i="1"/>
  <c r="L5757" i="1"/>
  <c r="K5758" i="1"/>
  <c r="L5758" i="1"/>
  <c r="K5759" i="1"/>
  <c r="L5759" i="1"/>
  <c r="K5760" i="1"/>
  <c r="L5760" i="1"/>
  <c r="K5761" i="1"/>
  <c r="L5761" i="1"/>
  <c r="K5762" i="1"/>
  <c r="L5762" i="1"/>
  <c r="K5763" i="1"/>
  <c r="L5763" i="1"/>
  <c r="K5764" i="1"/>
  <c r="L5764" i="1"/>
  <c r="K5765" i="1"/>
  <c r="L5765" i="1"/>
  <c r="K5766" i="1"/>
  <c r="L5766" i="1"/>
  <c r="K5767" i="1"/>
  <c r="L5767" i="1"/>
  <c r="K5768" i="1"/>
  <c r="L5768" i="1"/>
  <c r="K5769" i="1"/>
  <c r="L5769" i="1"/>
  <c r="K5770" i="1"/>
  <c r="L5770" i="1"/>
  <c r="K5771" i="1"/>
  <c r="L5771" i="1"/>
  <c r="K5772" i="1"/>
  <c r="L5772" i="1"/>
  <c r="K5773" i="1"/>
  <c r="L5773" i="1"/>
  <c r="K5774" i="1"/>
  <c r="L5774" i="1"/>
  <c r="K5775" i="1"/>
  <c r="L5775" i="1"/>
  <c r="K5776" i="1"/>
  <c r="L5776" i="1"/>
  <c r="K5777" i="1"/>
  <c r="L5777" i="1"/>
  <c r="K5778" i="1"/>
  <c r="L5778" i="1"/>
  <c r="K5779" i="1"/>
  <c r="L5779" i="1"/>
  <c r="K5780" i="1"/>
  <c r="L5780" i="1"/>
  <c r="K5781" i="1"/>
  <c r="L5781" i="1"/>
  <c r="K5782" i="1"/>
  <c r="L5782" i="1"/>
  <c r="K5783" i="1"/>
  <c r="L5783" i="1"/>
  <c r="K5784" i="1"/>
  <c r="L5784" i="1"/>
  <c r="K5785" i="1"/>
  <c r="L5785" i="1"/>
  <c r="K5786" i="1"/>
  <c r="L5786" i="1"/>
  <c r="K5787" i="1"/>
  <c r="L5787" i="1"/>
  <c r="K5788" i="1"/>
  <c r="L5788" i="1"/>
  <c r="K5789" i="1"/>
  <c r="L5789" i="1"/>
  <c r="K5790" i="1"/>
  <c r="L5790" i="1"/>
  <c r="K5791" i="1"/>
  <c r="L5791" i="1"/>
  <c r="K5792" i="1"/>
  <c r="L5792" i="1"/>
  <c r="K5793" i="1"/>
  <c r="L5793" i="1"/>
  <c r="K5794" i="1"/>
  <c r="L5794" i="1"/>
  <c r="K5795" i="1"/>
  <c r="L5795" i="1"/>
  <c r="K5796" i="1"/>
  <c r="L5796" i="1"/>
  <c r="K5797" i="1"/>
  <c r="L5797" i="1"/>
  <c r="K5798" i="1"/>
  <c r="L5798" i="1"/>
  <c r="K5799" i="1"/>
  <c r="L5799" i="1"/>
  <c r="K5800" i="1"/>
  <c r="L5800" i="1"/>
  <c r="K5801" i="1"/>
  <c r="L5801" i="1"/>
  <c r="K5802" i="1"/>
  <c r="L5802" i="1"/>
  <c r="K5803" i="1"/>
  <c r="L5803" i="1"/>
  <c r="K5804" i="1"/>
  <c r="L5804" i="1"/>
  <c r="K5805" i="1"/>
  <c r="L5805" i="1"/>
  <c r="K5806" i="1"/>
  <c r="L5806" i="1"/>
  <c r="K5807" i="1"/>
  <c r="L5807" i="1"/>
  <c r="K5808" i="1"/>
  <c r="L5808" i="1"/>
  <c r="K5809" i="1"/>
  <c r="L5809" i="1"/>
  <c r="K5810" i="1"/>
  <c r="L5810" i="1"/>
  <c r="K5811" i="1"/>
  <c r="L5811" i="1"/>
  <c r="K5812" i="1"/>
  <c r="L5812" i="1"/>
  <c r="K5813" i="1"/>
  <c r="L5813" i="1"/>
  <c r="K5814" i="1"/>
  <c r="L5814" i="1"/>
  <c r="K5815" i="1"/>
  <c r="L5815" i="1"/>
  <c r="K5816" i="1"/>
  <c r="L5816" i="1"/>
  <c r="K5817" i="1"/>
  <c r="L5817" i="1"/>
  <c r="K5818" i="1"/>
  <c r="L5818" i="1"/>
  <c r="K5819" i="1"/>
  <c r="L5819" i="1"/>
  <c r="K5820" i="1"/>
  <c r="L5820" i="1"/>
  <c r="K5821" i="1"/>
  <c r="L5821" i="1"/>
  <c r="K5822" i="1"/>
  <c r="L5822" i="1"/>
  <c r="K5823" i="1"/>
  <c r="L5823" i="1"/>
  <c r="K5824" i="1"/>
  <c r="L5824" i="1"/>
  <c r="K5825" i="1"/>
  <c r="L5825" i="1"/>
  <c r="K5826" i="1"/>
  <c r="L5826" i="1"/>
  <c r="K5827" i="1"/>
  <c r="L5827" i="1"/>
  <c r="K5828" i="1"/>
  <c r="L5828" i="1"/>
  <c r="K5829" i="1"/>
  <c r="L5829" i="1"/>
  <c r="K5830" i="1"/>
  <c r="L5830" i="1"/>
  <c r="K5831" i="1"/>
  <c r="L5831" i="1"/>
  <c r="K5832" i="1"/>
  <c r="L5832" i="1"/>
  <c r="K5833" i="1"/>
  <c r="L5833" i="1"/>
  <c r="K5834" i="1"/>
  <c r="L5834" i="1"/>
  <c r="K5835" i="1"/>
  <c r="L5835" i="1"/>
  <c r="K5836" i="1"/>
  <c r="L5836" i="1"/>
  <c r="K5837" i="1"/>
  <c r="L5837" i="1"/>
  <c r="K5838" i="1"/>
  <c r="L5838" i="1"/>
  <c r="K5839" i="1"/>
  <c r="L5839" i="1"/>
  <c r="K5840" i="1"/>
  <c r="L5840" i="1"/>
  <c r="K5841" i="1"/>
  <c r="L5841" i="1"/>
  <c r="K5842" i="1"/>
  <c r="L5842" i="1"/>
  <c r="K5843" i="1"/>
  <c r="L5843" i="1"/>
  <c r="K5844" i="1"/>
  <c r="L5844" i="1"/>
  <c r="K5845" i="1"/>
  <c r="L5845" i="1"/>
  <c r="K5846" i="1"/>
  <c r="L5846" i="1"/>
  <c r="K5847" i="1"/>
  <c r="L5847" i="1"/>
  <c r="K5848" i="1"/>
  <c r="L5848" i="1"/>
  <c r="K5849" i="1"/>
  <c r="L5849" i="1"/>
  <c r="K5850" i="1"/>
  <c r="L5850" i="1"/>
  <c r="K5851" i="1"/>
  <c r="L5851" i="1"/>
  <c r="K5852" i="1"/>
  <c r="L5852" i="1"/>
  <c r="K5853" i="1"/>
  <c r="L5853" i="1"/>
  <c r="K5854" i="1"/>
  <c r="L5854" i="1"/>
  <c r="K5855" i="1"/>
  <c r="L5855" i="1"/>
  <c r="K5856" i="1"/>
  <c r="L5856" i="1"/>
  <c r="K5857" i="1"/>
  <c r="L5857" i="1"/>
  <c r="K5858" i="1"/>
  <c r="L5858" i="1"/>
  <c r="K5859" i="1"/>
  <c r="L5859" i="1"/>
  <c r="K5860" i="1"/>
  <c r="L5860" i="1"/>
  <c r="K5861" i="1"/>
  <c r="L5861" i="1"/>
  <c r="K5862" i="1"/>
  <c r="L5862" i="1"/>
  <c r="K5863" i="1"/>
  <c r="L5863" i="1"/>
  <c r="K5864" i="1"/>
  <c r="L5864" i="1"/>
  <c r="K5865" i="1"/>
  <c r="L5865" i="1"/>
  <c r="K5866" i="1"/>
  <c r="L5866" i="1"/>
  <c r="K5867" i="1"/>
  <c r="L5867" i="1"/>
  <c r="K5868" i="1"/>
  <c r="L5868" i="1"/>
  <c r="K5869" i="1"/>
  <c r="L5869" i="1"/>
  <c r="K5870" i="1"/>
  <c r="L5870" i="1"/>
  <c r="K5871" i="1"/>
  <c r="L5871" i="1"/>
  <c r="K5872" i="1"/>
  <c r="L5872" i="1"/>
  <c r="K5873" i="1"/>
  <c r="L5873" i="1"/>
  <c r="K5874" i="1"/>
  <c r="L5874" i="1"/>
  <c r="K5875" i="1"/>
  <c r="L5875" i="1"/>
  <c r="K5876" i="1"/>
  <c r="L5876" i="1"/>
  <c r="K5877" i="1"/>
  <c r="L5877" i="1"/>
  <c r="K5878" i="1"/>
  <c r="L5878" i="1"/>
  <c r="K5879" i="1"/>
  <c r="L5879" i="1"/>
  <c r="K5880" i="1"/>
  <c r="L5880" i="1"/>
  <c r="K5881" i="1"/>
  <c r="L5881" i="1"/>
  <c r="K5882" i="1"/>
  <c r="L5882" i="1"/>
  <c r="K5883" i="1"/>
  <c r="L5883" i="1"/>
  <c r="K5884" i="1"/>
  <c r="L5884" i="1"/>
  <c r="K5885" i="1"/>
  <c r="L5885" i="1"/>
  <c r="K5886" i="1"/>
  <c r="L5886" i="1"/>
  <c r="K5887" i="1"/>
  <c r="L5887" i="1"/>
  <c r="K5888" i="1"/>
  <c r="L5888" i="1"/>
  <c r="K5889" i="1"/>
  <c r="L5889" i="1"/>
  <c r="K5890" i="1"/>
  <c r="L5890" i="1"/>
  <c r="K5891" i="1"/>
  <c r="L5891" i="1"/>
  <c r="K5892" i="1"/>
  <c r="L5892" i="1"/>
  <c r="K5893" i="1"/>
  <c r="L5893" i="1"/>
  <c r="K5894" i="1"/>
  <c r="L5894" i="1"/>
  <c r="K5895" i="1"/>
  <c r="L5895" i="1"/>
  <c r="K5896" i="1"/>
  <c r="L5896" i="1"/>
  <c r="K5897" i="1"/>
  <c r="L5897" i="1"/>
  <c r="K5898" i="1"/>
  <c r="L5898" i="1"/>
  <c r="K5899" i="1"/>
  <c r="L5899" i="1"/>
  <c r="K5900" i="1"/>
  <c r="L5900" i="1"/>
  <c r="K5901" i="1"/>
  <c r="L5901" i="1"/>
  <c r="K5902" i="1"/>
  <c r="L5902" i="1"/>
  <c r="K5903" i="1"/>
  <c r="L5903" i="1"/>
  <c r="K5904" i="1"/>
  <c r="L5904" i="1"/>
  <c r="K5905" i="1"/>
  <c r="L5905" i="1"/>
  <c r="K5906" i="1"/>
  <c r="L5906" i="1"/>
  <c r="K5907" i="1"/>
  <c r="L5907" i="1"/>
  <c r="K5908" i="1"/>
  <c r="L5908" i="1"/>
  <c r="K5909" i="1"/>
  <c r="L5909" i="1"/>
  <c r="K5910" i="1"/>
  <c r="L5910" i="1"/>
  <c r="K5911" i="1"/>
  <c r="L5911" i="1"/>
  <c r="K5912" i="1"/>
  <c r="L5912" i="1"/>
  <c r="K5913" i="1"/>
  <c r="L5913" i="1"/>
  <c r="K5914" i="1"/>
  <c r="L5914" i="1"/>
  <c r="K5915" i="1"/>
  <c r="L5915" i="1"/>
  <c r="K5916" i="1"/>
  <c r="L5916" i="1"/>
  <c r="K5917" i="1"/>
  <c r="L5917" i="1"/>
  <c r="K5918" i="1"/>
  <c r="L5918" i="1"/>
  <c r="K5919" i="1"/>
  <c r="L5919" i="1"/>
  <c r="K5920" i="1"/>
  <c r="L5920" i="1"/>
  <c r="K5921" i="1"/>
  <c r="L5921" i="1"/>
  <c r="K5922" i="1"/>
  <c r="L5922" i="1"/>
  <c r="K5923" i="1"/>
  <c r="L5923" i="1"/>
  <c r="K5924" i="1"/>
  <c r="L5924" i="1"/>
  <c r="K5925" i="1"/>
  <c r="L5925" i="1"/>
  <c r="K5926" i="1"/>
  <c r="L5926" i="1"/>
  <c r="K5927" i="1"/>
  <c r="L5927" i="1"/>
  <c r="K5928" i="1"/>
  <c r="L5928" i="1"/>
  <c r="K5929" i="1"/>
  <c r="L5929" i="1"/>
  <c r="K5930" i="1"/>
  <c r="L5930" i="1"/>
  <c r="K5931" i="1"/>
  <c r="L5931" i="1"/>
  <c r="K5932" i="1"/>
  <c r="L5932" i="1"/>
  <c r="K5933" i="1"/>
  <c r="L5933" i="1"/>
  <c r="K5934" i="1"/>
  <c r="L5934" i="1"/>
  <c r="K5935" i="1"/>
  <c r="L5935" i="1"/>
  <c r="K5936" i="1"/>
  <c r="L5936" i="1"/>
  <c r="K5937" i="1"/>
  <c r="L5937" i="1"/>
  <c r="K5938" i="1"/>
  <c r="L5938" i="1"/>
  <c r="K5939" i="1"/>
  <c r="L5939" i="1"/>
  <c r="K5940" i="1"/>
  <c r="L5940" i="1"/>
  <c r="K5941" i="1"/>
  <c r="L5941" i="1"/>
  <c r="K5942" i="1"/>
  <c r="L5942" i="1"/>
  <c r="K5943" i="1"/>
  <c r="L5943" i="1"/>
  <c r="K5944" i="1"/>
  <c r="L5944" i="1"/>
  <c r="K5945" i="1"/>
  <c r="L5945" i="1"/>
  <c r="K5946" i="1"/>
  <c r="L5946" i="1"/>
  <c r="K5947" i="1"/>
  <c r="L5947" i="1"/>
  <c r="K5948" i="1"/>
  <c r="L5948" i="1"/>
  <c r="K5949" i="1"/>
  <c r="L5949" i="1"/>
  <c r="K5950" i="1"/>
  <c r="L5950" i="1"/>
  <c r="K5951" i="1"/>
  <c r="L5951" i="1"/>
  <c r="K5952" i="1"/>
  <c r="L5952" i="1"/>
  <c r="K5953" i="1"/>
  <c r="L5953" i="1"/>
  <c r="K5954" i="1"/>
  <c r="L5954" i="1"/>
  <c r="K5955" i="1"/>
  <c r="L5955" i="1"/>
  <c r="K5956" i="1"/>
  <c r="L5956" i="1"/>
  <c r="K5957" i="1"/>
  <c r="L5957" i="1"/>
  <c r="K5958" i="1"/>
  <c r="L5958" i="1"/>
  <c r="K5959" i="1"/>
  <c r="L5959" i="1"/>
  <c r="K5960" i="1"/>
  <c r="L5960" i="1"/>
  <c r="K5961" i="1"/>
  <c r="L5961" i="1"/>
  <c r="K5962" i="1"/>
  <c r="L5962" i="1"/>
  <c r="K5963" i="1"/>
  <c r="L5963" i="1"/>
  <c r="K5964" i="1"/>
  <c r="L5964" i="1"/>
  <c r="K5965" i="1"/>
  <c r="L5965" i="1"/>
  <c r="K5966" i="1"/>
  <c r="L5966" i="1"/>
  <c r="K5967" i="1"/>
  <c r="L5967" i="1"/>
  <c r="K5968" i="1"/>
  <c r="L5968" i="1"/>
  <c r="K5969" i="1"/>
  <c r="L5969" i="1"/>
  <c r="K5970" i="1"/>
  <c r="L5970" i="1"/>
  <c r="K5971" i="1"/>
  <c r="L5971" i="1"/>
  <c r="K5972" i="1"/>
  <c r="L5972" i="1"/>
  <c r="K5973" i="1"/>
  <c r="L5973" i="1"/>
  <c r="K5974" i="1"/>
  <c r="L5974" i="1"/>
  <c r="K5975" i="1"/>
  <c r="L5975" i="1"/>
  <c r="K5976" i="1"/>
  <c r="L5976" i="1"/>
  <c r="K5977" i="1"/>
  <c r="L5977" i="1"/>
  <c r="K5978" i="1"/>
  <c r="L5978" i="1"/>
  <c r="K5979" i="1"/>
  <c r="L5979" i="1"/>
  <c r="K5980" i="1"/>
  <c r="L5980" i="1"/>
  <c r="K5981" i="1"/>
  <c r="L5981" i="1"/>
  <c r="K5982" i="1"/>
  <c r="L5982" i="1"/>
  <c r="K5983" i="1"/>
  <c r="L5983" i="1"/>
  <c r="K5984" i="1"/>
  <c r="L5984" i="1"/>
  <c r="K5985" i="1"/>
  <c r="L5985" i="1"/>
  <c r="K5986" i="1"/>
  <c r="L5986" i="1"/>
  <c r="K5987" i="1"/>
  <c r="L5987" i="1"/>
  <c r="K5988" i="1"/>
  <c r="L5988" i="1"/>
  <c r="K5989" i="1"/>
  <c r="L5989" i="1"/>
  <c r="K5990" i="1"/>
  <c r="L5990" i="1"/>
  <c r="K5991" i="1"/>
  <c r="L5991" i="1"/>
  <c r="K5992" i="1"/>
  <c r="L5992" i="1"/>
  <c r="K5993" i="1"/>
  <c r="L5993" i="1"/>
  <c r="K5994" i="1"/>
  <c r="L5994" i="1"/>
  <c r="K5995" i="1"/>
  <c r="L5995" i="1"/>
  <c r="K5996" i="1"/>
  <c r="L5996" i="1"/>
  <c r="K5997" i="1"/>
  <c r="L5997" i="1"/>
  <c r="K5998" i="1"/>
  <c r="L5998" i="1"/>
  <c r="K5999" i="1"/>
  <c r="L5999" i="1"/>
  <c r="K6000" i="1"/>
  <c r="L6000" i="1"/>
  <c r="K6001" i="1"/>
  <c r="L6001" i="1"/>
  <c r="K6002" i="1"/>
  <c r="L6002" i="1"/>
  <c r="K6003" i="1"/>
  <c r="L6003" i="1"/>
  <c r="K6004" i="1"/>
  <c r="L6004" i="1"/>
  <c r="K6005" i="1"/>
  <c r="L6005" i="1"/>
  <c r="K6006" i="1"/>
  <c r="L6006" i="1"/>
  <c r="K6007" i="1"/>
  <c r="L6007" i="1"/>
  <c r="K6008" i="1"/>
  <c r="L6008" i="1"/>
  <c r="K6009" i="1"/>
  <c r="L6009" i="1"/>
  <c r="K6010" i="1"/>
  <c r="L6010" i="1"/>
  <c r="K6011" i="1"/>
  <c r="L6011" i="1"/>
  <c r="K6012" i="1"/>
  <c r="L6012" i="1"/>
  <c r="K6013" i="1"/>
  <c r="L6013" i="1"/>
  <c r="K6014" i="1"/>
  <c r="L6014" i="1"/>
  <c r="K6015" i="1"/>
  <c r="L6015" i="1"/>
  <c r="K6016" i="1"/>
  <c r="L6016" i="1"/>
  <c r="K6017" i="1"/>
  <c r="L6017" i="1"/>
  <c r="K6018" i="1"/>
  <c r="L6018" i="1"/>
  <c r="K6019" i="1"/>
  <c r="L6019" i="1"/>
  <c r="K6020" i="1"/>
  <c r="L6020" i="1"/>
  <c r="K6021" i="1"/>
  <c r="L6021" i="1"/>
  <c r="K6022" i="1"/>
  <c r="L6022" i="1"/>
  <c r="K6023" i="1"/>
  <c r="L6023" i="1"/>
  <c r="K6024" i="1"/>
  <c r="L6024" i="1"/>
  <c r="K6025" i="1"/>
  <c r="L6025" i="1"/>
  <c r="K6026" i="1"/>
  <c r="L6026" i="1"/>
  <c r="K6027" i="1"/>
  <c r="L6027" i="1"/>
  <c r="K6028" i="1"/>
  <c r="L6028" i="1"/>
  <c r="K6029" i="1"/>
  <c r="L6029" i="1"/>
  <c r="K6030" i="1"/>
  <c r="L6030" i="1"/>
  <c r="K6031" i="1"/>
  <c r="L6031" i="1"/>
  <c r="K6032" i="1"/>
  <c r="L6032" i="1"/>
  <c r="K6033" i="1"/>
  <c r="L6033" i="1"/>
  <c r="K6034" i="1"/>
  <c r="L6034" i="1"/>
  <c r="K6035" i="1"/>
  <c r="L6035" i="1"/>
  <c r="K6036" i="1"/>
  <c r="L6036" i="1"/>
  <c r="K6037" i="1"/>
  <c r="L6037" i="1"/>
  <c r="K6038" i="1"/>
  <c r="L6038" i="1"/>
  <c r="K6039" i="1"/>
  <c r="L6039" i="1"/>
  <c r="K6040" i="1"/>
  <c r="L6040" i="1"/>
  <c r="K6041" i="1"/>
  <c r="L6041" i="1"/>
  <c r="K6042" i="1"/>
  <c r="L6042" i="1"/>
  <c r="K6043" i="1"/>
  <c r="L6043" i="1"/>
  <c r="K6044" i="1"/>
  <c r="L6044" i="1"/>
  <c r="K6045" i="1"/>
  <c r="L6045" i="1"/>
  <c r="K6046" i="1"/>
  <c r="L6046" i="1"/>
  <c r="K6047" i="1"/>
  <c r="L6047" i="1"/>
  <c r="K6048" i="1"/>
  <c r="L6048" i="1"/>
  <c r="K6049" i="1"/>
  <c r="L6049" i="1"/>
  <c r="K6050" i="1"/>
  <c r="L6050" i="1"/>
  <c r="K6051" i="1"/>
  <c r="L6051" i="1"/>
  <c r="K6052" i="1"/>
  <c r="L6052" i="1"/>
  <c r="K6053" i="1"/>
  <c r="L6053" i="1"/>
  <c r="K6054" i="1"/>
  <c r="L6054" i="1"/>
  <c r="K6055" i="1"/>
  <c r="L6055" i="1"/>
  <c r="K6056" i="1"/>
  <c r="L6056" i="1"/>
  <c r="K6057" i="1"/>
  <c r="L6057" i="1"/>
  <c r="K6058" i="1"/>
  <c r="L6058" i="1"/>
  <c r="K6059" i="1"/>
  <c r="L6059" i="1"/>
  <c r="K6060" i="1"/>
  <c r="L6060" i="1"/>
  <c r="K6061" i="1"/>
  <c r="L6061" i="1"/>
  <c r="K6062" i="1"/>
  <c r="L6062" i="1"/>
  <c r="K6063" i="1"/>
  <c r="L6063" i="1"/>
  <c r="K6064" i="1"/>
  <c r="L6064" i="1"/>
  <c r="K6065" i="1"/>
  <c r="L6065" i="1"/>
  <c r="K6066" i="1"/>
  <c r="L6066" i="1"/>
  <c r="K6067" i="1"/>
  <c r="L6067" i="1"/>
  <c r="K6068" i="1"/>
  <c r="L6068" i="1"/>
  <c r="K6069" i="1"/>
  <c r="L6069" i="1"/>
  <c r="K6070" i="1"/>
  <c r="L6070" i="1"/>
  <c r="K6071" i="1"/>
  <c r="L6071" i="1"/>
  <c r="K6072" i="1"/>
  <c r="L6072" i="1"/>
  <c r="K6073" i="1"/>
  <c r="L6073" i="1"/>
  <c r="K6074" i="1"/>
  <c r="L6074" i="1"/>
  <c r="K6075" i="1"/>
  <c r="L6075" i="1"/>
  <c r="K6076" i="1"/>
  <c r="L6076" i="1"/>
  <c r="K6077" i="1"/>
  <c r="L6077" i="1"/>
  <c r="K6078" i="1"/>
  <c r="L6078" i="1"/>
  <c r="K6079" i="1"/>
  <c r="L6079" i="1"/>
  <c r="K6080" i="1"/>
  <c r="L6080" i="1"/>
  <c r="K6081" i="1"/>
  <c r="L6081" i="1"/>
  <c r="K6082" i="1"/>
  <c r="L6082" i="1"/>
  <c r="K6083" i="1"/>
  <c r="L6083" i="1"/>
  <c r="K6084" i="1"/>
  <c r="L6084" i="1"/>
  <c r="K6085" i="1"/>
  <c r="L6085" i="1"/>
  <c r="K6086" i="1"/>
  <c r="L6086" i="1"/>
  <c r="K6087" i="1"/>
  <c r="L6087" i="1"/>
  <c r="K6088" i="1"/>
  <c r="L6088" i="1"/>
  <c r="K6089" i="1"/>
  <c r="L6089" i="1"/>
  <c r="K6090" i="1"/>
  <c r="L6090" i="1"/>
  <c r="K6091" i="1"/>
  <c r="L6091" i="1"/>
  <c r="K6092" i="1"/>
  <c r="L6092" i="1"/>
  <c r="K6093" i="1"/>
  <c r="L6093" i="1"/>
  <c r="K6094" i="1"/>
  <c r="L6094" i="1"/>
  <c r="K6095" i="1"/>
  <c r="L6095" i="1"/>
  <c r="K6096" i="1"/>
  <c r="L6096" i="1"/>
  <c r="K6097" i="1"/>
  <c r="L6097" i="1"/>
  <c r="K6098" i="1"/>
  <c r="L6098" i="1"/>
  <c r="K6099" i="1"/>
  <c r="L6099" i="1"/>
  <c r="K6100" i="1"/>
  <c r="L6100" i="1"/>
  <c r="K6101" i="1"/>
  <c r="L6101" i="1"/>
  <c r="K6102" i="1"/>
  <c r="L6102" i="1"/>
  <c r="K6103" i="1"/>
  <c r="L6103" i="1"/>
  <c r="K6104" i="1"/>
  <c r="L6104" i="1"/>
  <c r="K6105" i="1"/>
  <c r="L6105" i="1"/>
  <c r="K6106" i="1"/>
  <c r="L6106" i="1"/>
  <c r="K6107" i="1"/>
  <c r="L6107" i="1"/>
  <c r="K6108" i="1"/>
  <c r="L6108" i="1"/>
  <c r="K6109" i="1"/>
  <c r="L6109" i="1"/>
  <c r="K6110" i="1"/>
  <c r="L6110" i="1"/>
  <c r="K6111" i="1"/>
  <c r="L6111" i="1"/>
  <c r="K6112" i="1"/>
  <c r="L6112" i="1"/>
  <c r="K6113" i="1"/>
  <c r="L6113" i="1"/>
  <c r="K6114" i="1"/>
  <c r="L6114" i="1"/>
  <c r="K6115" i="1"/>
  <c r="L6115" i="1"/>
  <c r="K6116" i="1"/>
  <c r="L6116" i="1"/>
  <c r="K6117" i="1"/>
  <c r="L6117" i="1"/>
  <c r="K6118" i="1"/>
  <c r="L6118" i="1"/>
  <c r="K6119" i="1"/>
  <c r="L6119" i="1"/>
  <c r="K6120" i="1"/>
  <c r="L6120" i="1"/>
  <c r="K6121" i="1"/>
  <c r="L6121" i="1"/>
  <c r="K6122" i="1"/>
  <c r="L6122" i="1"/>
  <c r="K6123" i="1"/>
  <c r="L6123" i="1"/>
  <c r="K6124" i="1"/>
  <c r="L6124" i="1"/>
  <c r="K6125" i="1"/>
  <c r="L6125" i="1"/>
  <c r="K6126" i="1"/>
  <c r="L6126" i="1"/>
  <c r="K6127" i="1"/>
  <c r="L6127" i="1"/>
  <c r="K6128" i="1"/>
  <c r="L6128" i="1"/>
  <c r="K6129" i="1"/>
  <c r="L6129" i="1"/>
  <c r="K6130" i="1"/>
  <c r="L6130" i="1"/>
  <c r="K6131" i="1"/>
  <c r="L6131" i="1"/>
  <c r="K6132" i="1"/>
  <c r="L6132" i="1"/>
  <c r="K6133" i="1"/>
  <c r="L6133" i="1"/>
  <c r="K6134" i="1"/>
  <c r="L6134" i="1"/>
  <c r="K6135" i="1"/>
  <c r="L6135" i="1"/>
  <c r="K6136" i="1"/>
  <c r="L6136" i="1"/>
  <c r="K6137" i="1"/>
  <c r="L6137" i="1"/>
  <c r="K6138" i="1"/>
  <c r="L6138" i="1"/>
  <c r="K6139" i="1"/>
  <c r="L6139" i="1"/>
  <c r="K6140" i="1"/>
  <c r="L6140" i="1"/>
  <c r="K6141" i="1"/>
  <c r="L6141" i="1"/>
  <c r="K6142" i="1"/>
  <c r="L6142" i="1"/>
  <c r="K6143" i="1"/>
  <c r="L6143" i="1"/>
  <c r="K6144" i="1"/>
  <c r="L6144" i="1"/>
  <c r="K6145" i="1"/>
  <c r="L6145" i="1"/>
  <c r="K6146" i="1"/>
  <c r="L6146" i="1"/>
  <c r="K6147" i="1"/>
  <c r="L6147" i="1"/>
  <c r="K6148" i="1"/>
  <c r="L6148" i="1"/>
  <c r="K6149" i="1"/>
  <c r="L6149" i="1"/>
  <c r="K6150" i="1"/>
  <c r="L6150" i="1"/>
  <c r="K6151" i="1"/>
  <c r="L6151" i="1"/>
  <c r="K6152" i="1"/>
  <c r="L6152" i="1"/>
  <c r="K6153" i="1"/>
  <c r="L6153" i="1"/>
  <c r="K6154" i="1"/>
  <c r="L6154" i="1"/>
  <c r="K6155" i="1"/>
  <c r="L6155" i="1"/>
  <c r="K6156" i="1"/>
  <c r="L6156" i="1"/>
  <c r="K6157" i="1"/>
  <c r="L6157" i="1"/>
  <c r="K6158" i="1"/>
  <c r="L6158" i="1"/>
  <c r="K6159" i="1"/>
  <c r="L6159" i="1"/>
  <c r="K6160" i="1"/>
  <c r="L6160" i="1"/>
  <c r="K6161" i="1"/>
  <c r="L6161" i="1"/>
  <c r="K6162" i="1"/>
  <c r="L6162" i="1"/>
  <c r="K6163" i="1"/>
  <c r="L6163" i="1"/>
  <c r="K6164" i="1"/>
  <c r="L6164" i="1"/>
  <c r="K6165" i="1"/>
  <c r="L6165" i="1"/>
  <c r="K6166" i="1"/>
  <c r="L6166" i="1"/>
  <c r="K6167" i="1"/>
  <c r="L6167" i="1"/>
  <c r="K6168" i="1"/>
  <c r="L6168" i="1"/>
  <c r="K6169" i="1"/>
  <c r="L6169" i="1"/>
  <c r="K6170" i="1"/>
  <c r="L6170" i="1"/>
  <c r="K6171" i="1"/>
  <c r="L6171" i="1"/>
  <c r="K6172" i="1"/>
  <c r="L6172" i="1"/>
  <c r="K6173" i="1"/>
  <c r="L6173" i="1"/>
  <c r="K6174" i="1"/>
  <c r="L6174" i="1"/>
  <c r="K6175" i="1"/>
  <c r="L6175" i="1"/>
  <c r="K6176" i="1"/>
  <c r="L6176" i="1"/>
  <c r="K6177" i="1"/>
  <c r="L6177" i="1"/>
  <c r="K6178" i="1"/>
  <c r="L6178" i="1"/>
  <c r="K6179" i="1"/>
  <c r="L6179" i="1"/>
  <c r="K6180" i="1"/>
  <c r="L6180" i="1"/>
  <c r="K6181" i="1"/>
  <c r="L6181" i="1"/>
  <c r="K6182" i="1"/>
  <c r="L6182" i="1"/>
  <c r="K6183" i="1"/>
  <c r="L6183" i="1"/>
  <c r="K6184" i="1"/>
  <c r="L6184" i="1"/>
  <c r="K6185" i="1"/>
  <c r="L6185" i="1"/>
  <c r="K6186" i="1"/>
  <c r="L6186" i="1"/>
  <c r="K6187" i="1"/>
  <c r="L6187" i="1"/>
  <c r="K6188" i="1"/>
  <c r="L6188" i="1"/>
  <c r="K6189" i="1"/>
  <c r="L6189" i="1"/>
  <c r="K6190" i="1"/>
  <c r="L6190" i="1"/>
  <c r="K6191" i="1"/>
  <c r="L6191" i="1"/>
  <c r="K6192" i="1"/>
  <c r="L6192" i="1"/>
  <c r="K6193" i="1"/>
  <c r="L6193" i="1"/>
  <c r="K6194" i="1"/>
  <c r="L6194" i="1"/>
  <c r="K6195" i="1"/>
  <c r="L6195" i="1"/>
  <c r="K6196" i="1"/>
  <c r="L6196" i="1"/>
  <c r="K6197" i="1"/>
  <c r="L6197" i="1"/>
  <c r="K6198" i="1"/>
  <c r="L6198" i="1"/>
  <c r="K6199" i="1"/>
  <c r="L6199" i="1"/>
  <c r="K6200" i="1"/>
  <c r="L6200" i="1"/>
  <c r="K6201" i="1"/>
  <c r="L6201" i="1"/>
  <c r="K6202" i="1"/>
  <c r="L6202" i="1"/>
  <c r="K6203" i="1"/>
  <c r="L6203" i="1"/>
  <c r="K6204" i="1"/>
  <c r="L6204" i="1"/>
  <c r="K6205" i="1"/>
  <c r="L6205" i="1"/>
  <c r="K6206" i="1"/>
  <c r="L6206" i="1"/>
  <c r="K6207" i="1"/>
  <c r="L6207" i="1"/>
  <c r="K6208" i="1"/>
  <c r="L6208" i="1"/>
  <c r="K6209" i="1"/>
  <c r="L6209" i="1"/>
  <c r="K6210" i="1"/>
  <c r="L6210" i="1"/>
  <c r="K6211" i="1"/>
  <c r="L6211" i="1"/>
  <c r="K6212" i="1"/>
  <c r="L6212" i="1"/>
  <c r="K6213" i="1"/>
  <c r="L6213" i="1"/>
  <c r="K6214" i="1"/>
  <c r="L6214" i="1"/>
  <c r="K6215" i="1"/>
  <c r="L6215" i="1"/>
  <c r="K6216" i="1"/>
  <c r="L6216" i="1"/>
  <c r="K6217" i="1"/>
  <c r="L6217" i="1"/>
  <c r="K6218" i="1"/>
  <c r="L6218" i="1"/>
  <c r="K6219" i="1"/>
  <c r="L6219" i="1"/>
  <c r="K6220" i="1"/>
  <c r="L6220" i="1"/>
  <c r="K6221" i="1"/>
  <c r="L6221" i="1"/>
  <c r="K6222" i="1"/>
  <c r="L6222" i="1"/>
  <c r="K6223" i="1"/>
  <c r="L6223" i="1"/>
  <c r="K6224" i="1"/>
  <c r="L6224" i="1"/>
  <c r="K6225" i="1"/>
  <c r="L6225" i="1"/>
  <c r="K6226" i="1"/>
  <c r="L6226" i="1"/>
  <c r="K6227" i="1"/>
  <c r="L6227" i="1"/>
  <c r="K6228" i="1"/>
  <c r="L6228" i="1"/>
  <c r="K6229" i="1"/>
  <c r="L6229" i="1"/>
  <c r="K6230" i="1"/>
  <c r="L6230" i="1"/>
  <c r="K6231" i="1"/>
  <c r="L6231" i="1"/>
  <c r="K6232" i="1"/>
  <c r="L6232" i="1"/>
  <c r="K6233" i="1"/>
  <c r="L6233" i="1"/>
  <c r="K6234" i="1"/>
  <c r="L6234" i="1"/>
  <c r="K6235" i="1"/>
  <c r="L6235" i="1"/>
  <c r="K6236" i="1"/>
  <c r="L6236" i="1"/>
  <c r="K6237" i="1"/>
  <c r="L6237" i="1"/>
  <c r="K6238" i="1"/>
  <c r="L6238" i="1"/>
  <c r="K6239" i="1"/>
  <c r="L6239" i="1"/>
  <c r="K6240" i="1"/>
  <c r="L6240" i="1"/>
  <c r="K6241" i="1"/>
  <c r="L6241" i="1"/>
  <c r="K6242" i="1"/>
  <c r="L6242" i="1"/>
  <c r="K6243" i="1"/>
  <c r="L6243" i="1"/>
  <c r="K6244" i="1"/>
  <c r="L6244" i="1"/>
  <c r="K6245" i="1"/>
  <c r="L6245" i="1"/>
  <c r="K6246" i="1"/>
  <c r="L6246" i="1"/>
  <c r="K6247" i="1"/>
  <c r="L6247" i="1"/>
  <c r="K6248" i="1"/>
  <c r="L6248" i="1"/>
  <c r="K6249" i="1"/>
  <c r="L6249" i="1"/>
  <c r="K6250" i="1"/>
  <c r="L6250" i="1"/>
  <c r="K6251" i="1"/>
  <c r="L6251" i="1"/>
  <c r="K6252" i="1"/>
  <c r="L6252" i="1"/>
  <c r="K6253" i="1"/>
  <c r="L6253" i="1"/>
  <c r="K6254" i="1"/>
  <c r="L6254" i="1"/>
  <c r="K6255" i="1"/>
  <c r="L6255" i="1"/>
  <c r="K6256" i="1"/>
  <c r="L6256" i="1"/>
  <c r="K6257" i="1"/>
  <c r="L6257" i="1"/>
  <c r="K6258" i="1"/>
  <c r="L6258" i="1"/>
  <c r="K6259" i="1"/>
  <c r="L6259" i="1"/>
  <c r="K6260" i="1"/>
  <c r="L6260" i="1"/>
  <c r="K6261" i="1"/>
  <c r="L6261" i="1"/>
  <c r="K6262" i="1"/>
  <c r="L6262" i="1"/>
  <c r="K6263" i="1"/>
  <c r="L6263" i="1"/>
  <c r="K6264" i="1"/>
  <c r="L6264" i="1"/>
  <c r="K6265" i="1"/>
  <c r="L6265" i="1"/>
  <c r="K6266" i="1"/>
  <c r="L6266" i="1"/>
  <c r="K6267" i="1"/>
  <c r="L6267" i="1"/>
  <c r="K6268" i="1"/>
  <c r="L6268" i="1"/>
  <c r="K6269" i="1"/>
  <c r="L6269" i="1"/>
  <c r="K6270" i="1"/>
  <c r="L6270" i="1"/>
  <c r="K6271" i="1"/>
  <c r="L6271" i="1"/>
  <c r="K6272" i="1"/>
  <c r="L6272" i="1"/>
  <c r="K6273" i="1"/>
  <c r="L6273" i="1"/>
  <c r="K6274" i="1"/>
  <c r="L6274" i="1"/>
  <c r="K6275" i="1"/>
  <c r="L6275" i="1"/>
  <c r="K6276" i="1"/>
  <c r="L6276" i="1"/>
  <c r="K6277" i="1"/>
  <c r="L6277" i="1"/>
  <c r="K6278" i="1"/>
  <c r="L6278" i="1"/>
  <c r="K6279" i="1"/>
  <c r="L6279" i="1"/>
  <c r="K6280" i="1"/>
  <c r="L6280" i="1"/>
  <c r="K6281" i="1"/>
  <c r="L6281" i="1"/>
  <c r="K6282" i="1"/>
  <c r="L6282" i="1"/>
  <c r="K6283" i="1"/>
  <c r="L6283" i="1"/>
  <c r="K6284" i="1"/>
  <c r="L6284" i="1"/>
  <c r="K6285" i="1"/>
  <c r="L6285" i="1"/>
  <c r="K6286" i="1"/>
  <c r="L6286" i="1"/>
  <c r="K6287" i="1"/>
  <c r="L6287" i="1"/>
  <c r="K6288" i="1"/>
  <c r="L6288" i="1"/>
  <c r="K6289" i="1"/>
  <c r="L6289" i="1"/>
  <c r="K6290" i="1"/>
  <c r="L6290" i="1"/>
  <c r="K6291" i="1"/>
  <c r="L6291" i="1"/>
  <c r="K6292" i="1"/>
  <c r="L6292" i="1"/>
  <c r="K6293" i="1"/>
  <c r="L6293" i="1"/>
  <c r="K6294" i="1"/>
  <c r="L6294" i="1"/>
  <c r="K6295" i="1"/>
  <c r="L6295" i="1"/>
  <c r="K6296" i="1"/>
  <c r="L6296" i="1"/>
  <c r="K6297" i="1"/>
  <c r="L6297" i="1"/>
  <c r="K6298" i="1"/>
  <c r="L6298" i="1"/>
  <c r="K6299" i="1"/>
  <c r="L6299" i="1"/>
  <c r="K6300" i="1"/>
  <c r="L6300" i="1"/>
  <c r="K6301" i="1"/>
  <c r="L6301" i="1"/>
  <c r="K6302" i="1"/>
  <c r="L6302" i="1"/>
  <c r="K6303" i="1"/>
  <c r="L6303" i="1"/>
  <c r="K6304" i="1"/>
  <c r="L6304" i="1"/>
  <c r="K6305" i="1"/>
  <c r="L6305" i="1"/>
  <c r="K6306" i="1"/>
  <c r="L6306" i="1"/>
  <c r="K6307" i="1"/>
  <c r="L6307" i="1"/>
  <c r="K6308" i="1"/>
  <c r="L6308" i="1"/>
  <c r="K6309" i="1"/>
  <c r="L6309" i="1"/>
  <c r="K6310" i="1"/>
  <c r="L6310" i="1"/>
  <c r="K6311" i="1"/>
  <c r="L6311" i="1"/>
  <c r="K6312" i="1"/>
  <c r="L6312" i="1"/>
  <c r="K6313" i="1"/>
  <c r="L6313" i="1"/>
  <c r="K6314" i="1"/>
  <c r="L6314" i="1"/>
  <c r="K6315" i="1"/>
  <c r="L6315" i="1"/>
  <c r="K6316" i="1"/>
  <c r="L6316" i="1"/>
  <c r="K6317" i="1"/>
  <c r="L6317" i="1"/>
  <c r="K6318" i="1"/>
  <c r="L6318" i="1"/>
  <c r="K6319" i="1"/>
  <c r="L6319" i="1"/>
  <c r="K6320" i="1"/>
  <c r="L6320" i="1"/>
  <c r="K6321" i="1"/>
  <c r="L6321" i="1"/>
  <c r="K6322" i="1"/>
  <c r="L6322" i="1"/>
  <c r="K6323" i="1"/>
  <c r="L6323" i="1"/>
  <c r="K6324" i="1"/>
  <c r="L6324" i="1"/>
  <c r="K6325" i="1"/>
  <c r="L6325" i="1"/>
  <c r="K6326" i="1"/>
  <c r="L6326" i="1"/>
  <c r="K6327" i="1"/>
  <c r="L6327" i="1"/>
  <c r="K6328" i="1"/>
  <c r="L6328" i="1"/>
  <c r="K6329" i="1"/>
  <c r="L6329" i="1"/>
  <c r="K6330" i="1"/>
  <c r="L6330" i="1"/>
  <c r="K6331" i="1"/>
  <c r="L6331" i="1"/>
  <c r="K6332" i="1"/>
  <c r="L6332" i="1"/>
  <c r="K6333" i="1"/>
  <c r="L6333" i="1"/>
  <c r="K6334" i="1"/>
  <c r="L6334" i="1"/>
  <c r="K6335" i="1"/>
  <c r="L6335" i="1"/>
  <c r="K6336" i="1"/>
  <c r="L6336" i="1"/>
  <c r="K6337" i="1"/>
  <c r="L6337" i="1"/>
  <c r="K6338" i="1"/>
  <c r="L6338" i="1"/>
  <c r="K6339" i="1"/>
  <c r="L6339" i="1"/>
  <c r="K6340" i="1"/>
  <c r="L6340" i="1"/>
  <c r="K6341" i="1"/>
  <c r="L6341" i="1"/>
  <c r="K6342" i="1"/>
  <c r="L6342" i="1"/>
  <c r="K6343" i="1"/>
  <c r="L6343" i="1"/>
  <c r="K6344" i="1"/>
  <c r="L6344" i="1"/>
  <c r="K6345" i="1"/>
  <c r="L6345" i="1"/>
  <c r="K6346" i="1"/>
  <c r="L6346" i="1"/>
  <c r="K6347" i="1"/>
  <c r="L6347" i="1"/>
  <c r="K6348" i="1"/>
  <c r="L6348" i="1"/>
  <c r="K6349" i="1"/>
  <c r="L6349" i="1"/>
  <c r="K6350" i="1"/>
  <c r="L6350" i="1"/>
  <c r="K6351" i="1"/>
  <c r="L6351" i="1"/>
  <c r="K6352" i="1"/>
  <c r="L6352" i="1"/>
  <c r="K6353" i="1"/>
  <c r="L6353" i="1"/>
  <c r="K6354" i="1"/>
  <c r="L6354" i="1"/>
  <c r="K6355" i="1"/>
  <c r="L6355" i="1"/>
  <c r="K6356" i="1"/>
  <c r="L6356" i="1"/>
  <c r="K6357" i="1"/>
  <c r="L6357" i="1"/>
  <c r="K6358" i="1"/>
  <c r="L6358" i="1"/>
  <c r="K6359" i="1"/>
  <c r="L6359" i="1"/>
  <c r="K6360" i="1"/>
  <c r="L6360" i="1"/>
  <c r="K6361" i="1"/>
  <c r="L6361" i="1"/>
  <c r="K6362" i="1"/>
  <c r="L6362" i="1"/>
  <c r="K6363" i="1"/>
  <c r="L6363" i="1"/>
  <c r="K6364" i="1"/>
  <c r="L6364" i="1"/>
  <c r="K6365" i="1"/>
  <c r="L6365" i="1"/>
  <c r="K6366" i="1"/>
  <c r="L6366" i="1"/>
  <c r="K6367" i="1"/>
  <c r="L6367" i="1"/>
  <c r="K6368" i="1"/>
  <c r="L6368" i="1"/>
  <c r="K6369" i="1"/>
  <c r="L6369" i="1"/>
  <c r="K6370" i="1"/>
  <c r="L6370" i="1"/>
  <c r="K6371" i="1"/>
  <c r="L6371" i="1"/>
  <c r="K6372" i="1"/>
  <c r="L6372" i="1"/>
  <c r="K6373" i="1"/>
  <c r="L6373" i="1"/>
  <c r="K6374" i="1"/>
  <c r="L6374" i="1"/>
  <c r="K6375" i="1"/>
  <c r="L6375" i="1"/>
  <c r="K6376" i="1"/>
  <c r="L6376" i="1"/>
  <c r="K6377" i="1"/>
  <c r="L6377" i="1"/>
  <c r="K6378" i="1"/>
  <c r="L6378" i="1"/>
  <c r="K6379" i="1"/>
  <c r="L6379" i="1"/>
  <c r="K6380" i="1"/>
  <c r="L6380" i="1"/>
  <c r="K6381" i="1"/>
  <c r="L6381" i="1"/>
  <c r="K6382" i="1"/>
  <c r="L6382" i="1"/>
  <c r="K6383" i="1"/>
  <c r="L6383" i="1"/>
  <c r="K6384" i="1"/>
  <c r="L6384" i="1"/>
  <c r="K6385" i="1"/>
  <c r="L6385" i="1"/>
  <c r="K6386" i="1"/>
  <c r="L6386" i="1"/>
  <c r="K6387" i="1"/>
  <c r="L6387" i="1"/>
  <c r="K6388" i="1"/>
  <c r="L6388" i="1"/>
  <c r="K6389" i="1"/>
  <c r="L6389" i="1"/>
  <c r="K6390" i="1"/>
  <c r="L6390" i="1"/>
  <c r="K6391" i="1"/>
  <c r="L6391" i="1"/>
  <c r="K6392" i="1"/>
  <c r="L6392" i="1"/>
  <c r="K6393" i="1"/>
  <c r="L6393" i="1"/>
  <c r="K6394" i="1"/>
  <c r="L6394" i="1"/>
  <c r="K6395" i="1"/>
  <c r="L6395" i="1"/>
  <c r="K6396" i="1"/>
  <c r="L6396" i="1"/>
  <c r="K6397" i="1"/>
  <c r="L6397" i="1"/>
  <c r="K6398" i="1"/>
  <c r="L6398" i="1"/>
  <c r="K6399" i="1"/>
  <c r="L6399" i="1"/>
  <c r="K6400" i="1"/>
  <c r="L6400" i="1"/>
  <c r="K6401" i="1"/>
  <c r="L6401" i="1"/>
  <c r="K6402" i="1"/>
  <c r="L6402" i="1"/>
  <c r="K6403" i="1"/>
  <c r="L6403" i="1"/>
  <c r="K6404" i="1"/>
  <c r="L6404" i="1"/>
  <c r="K6405" i="1"/>
  <c r="L6405" i="1"/>
  <c r="K6406" i="1"/>
  <c r="L6406" i="1"/>
  <c r="K6407" i="1"/>
  <c r="L6407" i="1"/>
  <c r="K6408" i="1"/>
  <c r="L6408" i="1"/>
  <c r="K6409" i="1"/>
  <c r="L6409" i="1"/>
  <c r="K6410" i="1"/>
  <c r="L6410" i="1"/>
  <c r="K6411" i="1"/>
  <c r="L6411" i="1"/>
  <c r="K6412" i="1"/>
  <c r="L6412" i="1"/>
  <c r="K6413" i="1"/>
  <c r="L6413" i="1"/>
  <c r="K6414" i="1"/>
  <c r="L6414" i="1"/>
  <c r="K6415" i="1"/>
  <c r="L6415" i="1"/>
  <c r="K6416" i="1"/>
  <c r="L6416" i="1"/>
  <c r="K6417" i="1"/>
  <c r="L6417" i="1"/>
  <c r="K6418" i="1"/>
  <c r="L6418" i="1"/>
  <c r="K6419" i="1"/>
  <c r="L6419" i="1"/>
  <c r="K6420" i="1"/>
  <c r="L6420" i="1"/>
  <c r="K6421" i="1"/>
  <c r="L6421" i="1"/>
  <c r="K6422" i="1"/>
  <c r="L6422" i="1"/>
  <c r="K6423" i="1"/>
  <c r="L6423" i="1"/>
  <c r="K6424" i="1"/>
  <c r="L6424" i="1"/>
  <c r="K6425" i="1"/>
  <c r="L6425" i="1"/>
  <c r="K6426" i="1"/>
  <c r="L6426" i="1"/>
  <c r="K6427" i="1"/>
  <c r="L6427" i="1"/>
  <c r="K6428" i="1"/>
  <c r="L6428" i="1"/>
  <c r="K6429" i="1"/>
  <c r="L6429" i="1"/>
  <c r="K6430" i="1"/>
  <c r="L6430" i="1"/>
  <c r="K6431" i="1"/>
  <c r="L6431" i="1"/>
  <c r="K6432" i="1"/>
  <c r="L6432" i="1"/>
  <c r="K6433" i="1"/>
  <c r="L6433" i="1"/>
  <c r="K6434" i="1"/>
  <c r="L6434" i="1"/>
  <c r="K6435" i="1"/>
  <c r="L6435" i="1"/>
  <c r="K6436" i="1"/>
  <c r="L6436" i="1"/>
  <c r="K6437" i="1"/>
  <c r="L6437" i="1"/>
  <c r="K6438" i="1"/>
  <c r="L6438" i="1"/>
  <c r="K6439" i="1"/>
  <c r="L6439" i="1"/>
  <c r="K6440" i="1"/>
  <c r="L6440" i="1"/>
  <c r="K6441" i="1"/>
  <c r="L6441" i="1"/>
  <c r="K6442" i="1"/>
  <c r="L6442" i="1"/>
  <c r="K6443" i="1"/>
  <c r="L6443" i="1"/>
  <c r="K6444" i="1"/>
  <c r="L6444" i="1"/>
  <c r="K6445" i="1"/>
  <c r="L6445" i="1"/>
  <c r="K6446" i="1"/>
  <c r="L6446" i="1"/>
  <c r="K6447" i="1"/>
  <c r="L6447" i="1"/>
  <c r="K6448" i="1"/>
  <c r="L6448" i="1"/>
  <c r="K6449" i="1"/>
  <c r="L6449" i="1"/>
  <c r="K6450" i="1"/>
  <c r="L6450" i="1"/>
  <c r="K6451" i="1"/>
  <c r="L6451" i="1"/>
  <c r="K6452" i="1"/>
  <c r="L6452" i="1"/>
  <c r="K6453" i="1"/>
  <c r="L6453" i="1"/>
  <c r="K6454" i="1"/>
  <c r="L6454" i="1"/>
  <c r="K6455" i="1"/>
  <c r="L6455" i="1"/>
  <c r="K6456" i="1"/>
  <c r="L6456" i="1"/>
  <c r="K6457" i="1"/>
  <c r="L6457" i="1"/>
  <c r="K6458" i="1"/>
  <c r="L6458" i="1"/>
  <c r="K6459" i="1"/>
  <c r="L6459" i="1"/>
  <c r="K6460" i="1"/>
  <c r="L6460" i="1"/>
  <c r="K6461" i="1"/>
  <c r="L6461" i="1"/>
  <c r="K6462" i="1"/>
  <c r="L6462" i="1"/>
  <c r="K6463" i="1"/>
  <c r="L6463" i="1"/>
  <c r="K6464" i="1"/>
  <c r="L6464" i="1"/>
  <c r="K6465" i="1"/>
  <c r="L6465" i="1"/>
  <c r="K6466" i="1"/>
  <c r="L6466" i="1"/>
  <c r="K6467" i="1"/>
  <c r="L6467" i="1"/>
  <c r="K6468" i="1"/>
  <c r="L6468" i="1"/>
  <c r="K6469" i="1"/>
  <c r="L6469" i="1"/>
  <c r="K6470" i="1"/>
  <c r="L6470" i="1"/>
  <c r="K6471" i="1"/>
  <c r="L6471" i="1"/>
  <c r="K6472" i="1"/>
  <c r="L6472" i="1"/>
  <c r="K6473" i="1"/>
  <c r="L6473" i="1"/>
  <c r="K6474" i="1"/>
  <c r="L6474" i="1"/>
  <c r="K6475" i="1"/>
  <c r="L6475" i="1"/>
  <c r="K6476" i="1"/>
  <c r="L6476" i="1"/>
  <c r="K6477" i="1"/>
  <c r="L6477" i="1"/>
  <c r="K6478" i="1"/>
  <c r="L6478" i="1"/>
  <c r="K6479" i="1"/>
  <c r="L6479" i="1"/>
  <c r="K6480" i="1"/>
  <c r="L6480" i="1"/>
  <c r="K6481" i="1"/>
  <c r="L6481" i="1"/>
  <c r="K6482" i="1"/>
  <c r="L6482" i="1"/>
  <c r="K6483" i="1"/>
  <c r="L6483" i="1"/>
  <c r="K6484" i="1"/>
  <c r="L6484" i="1"/>
  <c r="K6485" i="1"/>
  <c r="L6485" i="1"/>
  <c r="K6486" i="1"/>
  <c r="L6486" i="1"/>
  <c r="K6487" i="1"/>
  <c r="L6487" i="1"/>
  <c r="K6488" i="1"/>
  <c r="L6488" i="1"/>
  <c r="K6489" i="1"/>
  <c r="L6489" i="1"/>
  <c r="K6490" i="1"/>
  <c r="L6490" i="1"/>
  <c r="K6491" i="1"/>
  <c r="L6491" i="1"/>
  <c r="K6492" i="1"/>
  <c r="L6492" i="1"/>
  <c r="K6493" i="1"/>
  <c r="L6493" i="1"/>
  <c r="K6494" i="1"/>
  <c r="L6494" i="1"/>
  <c r="K6495" i="1"/>
  <c r="L6495" i="1"/>
  <c r="K6496" i="1"/>
  <c r="L6496" i="1"/>
  <c r="K6497" i="1"/>
  <c r="L6497" i="1"/>
  <c r="K6498" i="1"/>
  <c r="L6498" i="1"/>
  <c r="K6499" i="1"/>
  <c r="L6499" i="1"/>
  <c r="K6500" i="1"/>
  <c r="L6500" i="1"/>
  <c r="K6501" i="1"/>
  <c r="L6501" i="1"/>
  <c r="K6502" i="1"/>
  <c r="L6502" i="1"/>
  <c r="K6503" i="1"/>
  <c r="L6503" i="1"/>
  <c r="K6504" i="1"/>
  <c r="L6504" i="1"/>
  <c r="K6505" i="1"/>
  <c r="L6505" i="1"/>
  <c r="K6506" i="1"/>
  <c r="L6506" i="1"/>
  <c r="K6507" i="1"/>
  <c r="L6507" i="1"/>
  <c r="K6508" i="1"/>
  <c r="L6508" i="1"/>
  <c r="K6509" i="1"/>
  <c r="L6509" i="1"/>
  <c r="K6510" i="1"/>
  <c r="L6510" i="1"/>
  <c r="K6511" i="1"/>
  <c r="L6511" i="1"/>
  <c r="K6512" i="1"/>
  <c r="L6512" i="1"/>
  <c r="K6513" i="1"/>
  <c r="L6513" i="1"/>
  <c r="K6514" i="1"/>
  <c r="L6514" i="1"/>
  <c r="K6515" i="1"/>
  <c r="L6515" i="1"/>
  <c r="K6516" i="1"/>
  <c r="L6516" i="1"/>
  <c r="K6517" i="1"/>
  <c r="L6517" i="1"/>
  <c r="K6518" i="1"/>
  <c r="L6518" i="1"/>
  <c r="K6519" i="1"/>
  <c r="L6519" i="1"/>
  <c r="K6520" i="1"/>
  <c r="L6520" i="1"/>
  <c r="K6521" i="1"/>
  <c r="L6521" i="1"/>
  <c r="K6522" i="1"/>
  <c r="L6522" i="1"/>
  <c r="K6523" i="1"/>
  <c r="L6523" i="1"/>
  <c r="K6524" i="1"/>
  <c r="L6524" i="1"/>
  <c r="K6525" i="1"/>
  <c r="L6525" i="1"/>
  <c r="K6526" i="1"/>
  <c r="L6526" i="1"/>
  <c r="K6527" i="1"/>
  <c r="L6527" i="1"/>
  <c r="K6528" i="1"/>
  <c r="L6528" i="1"/>
  <c r="K6529" i="1"/>
  <c r="L6529" i="1"/>
  <c r="K6530" i="1"/>
  <c r="L6530" i="1"/>
  <c r="K6531" i="1"/>
  <c r="L6531" i="1"/>
  <c r="K6532" i="1"/>
  <c r="L6532" i="1"/>
  <c r="K6533" i="1"/>
  <c r="L6533" i="1"/>
  <c r="K6534" i="1"/>
  <c r="L6534" i="1"/>
  <c r="K6535" i="1"/>
  <c r="L6535" i="1"/>
  <c r="K6536" i="1"/>
  <c r="L6536" i="1"/>
  <c r="K6537" i="1"/>
  <c r="L6537" i="1"/>
  <c r="K6538" i="1"/>
  <c r="L6538" i="1"/>
  <c r="K6539" i="1"/>
  <c r="L6539" i="1"/>
  <c r="K6540" i="1"/>
  <c r="L6540" i="1"/>
  <c r="K6541" i="1"/>
  <c r="L6541" i="1"/>
  <c r="K6542" i="1"/>
  <c r="L6542" i="1"/>
  <c r="K6543" i="1"/>
  <c r="L6543" i="1"/>
  <c r="K6544" i="1"/>
  <c r="L6544" i="1"/>
  <c r="K6545" i="1"/>
  <c r="L6545" i="1"/>
  <c r="K6546" i="1"/>
  <c r="L6546" i="1"/>
  <c r="K6547" i="1"/>
  <c r="L6547" i="1"/>
  <c r="K6548" i="1"/>
  <c r="L6548" i="1"/>
  <c r="K6549" i="1"/>
  <c r="L6549" i="1"/>
  <c r="K6550" i="1"/>
  <c r="L6550" i="1"/>
  <c r="K6551" i="1"/>
  <c r="L6551" i="1"/>
  <c r="K6552" i="1"/>
  <c r="L6552" i="1"/>
  <c r="K6553" i="1"/>
  <c r="L6553" i="1"/>
  <c r="K6554" i="1"/>
  <c r="L6554" i="1"/>
  <c r="K6555" i="1"/>
  <c r="L6555" i="1"/>
  <c r="K6556" i="1"/>
  <c r="L6556" i="1"/>
  <c r="K6557" i="1"/>
  <c r="L6557" i="1"/>
  <c r="K6558" i="1"/>
  <c r="L6558" i="1"/>
  <c r="K6559" i="1"/>
  <c r="L6559" i="1"/>
  <c r="K6560" i="1"/>
  <c r="L6560" i="1"/>
  <c r="K6561" i="1"/>
  <c r="L6561" i="1"/>
  <c r="K6562" i="1"/>
  <c r="L6562" i="1"/>
  <c r="K6563" i="1"/>
  <c r="L6563" i="1"/>
  <c r="K6564" i="1"/>
  <c r="L6564" i="1"/>
  <c r="K6565" i="1"/>
  <c r="L6565" i="1"/>
  <c r="K6566" i="1"/>
  <c r="L6566" i="1"/>
  <c r="K6567" i="1"/>
  <c r="L6567" i="1"/>
  <c r="K6568" i="1"/>
  <c r="L6568" i="1"/>
  <c r="K6569" i="1"/>
  <c r="L6569" i="1"/>
  <c r="K6570" i="1"/>
  <c r="L6570" i="1"/>
  <c r="K6571" i="1"/>
  <c r="L6571" i="1"/>
  <c r="K6572" i="1"/>
  <c r="L6572" i="1"/>
  <c r="K6573" i="1"/>
  <c r="L6573" i="1"/>
  <c r="K6574" i="1"/>
  <c r="L6574" i="1"/>
  <c r="K6575" i="1"/>
  <c r="L6575" i="1"/>
  <c r="K6576" i="1"/>
  <c r="L6576" i="1"/>
  <c r="K6577" i="1"/>
  <c r="L6577" i="1"/>
  <c r="K6578" i="1"/>
  <c r="L6578" i="1"/>
  <c r="K6579" i="1"/>
  <c r="L6579" i="1"/>
  <c r="K6580" i="1"/>
  <c r="L6580" i="1"/>
  <c r="K6581" i="1"/>
  <c r="L6581" i="1"/>
  <c r="K6582" i="1"/>
  <c r="L6582" i="1"/>
  <c r="K6583" i="1"/>
  <c r="L6583" i="1"/>
  <c r="K6584" i="1"/>
  <c r="L6584" i="1"/>
  <c r="K6585" i="1"/>
  <c r="L6585" i="1"/>
  <c r="K6586" i="1"/>
  <c r="L6586" i="1"/>
  <c r="K6587" i="1"/>
  <c r="L6587" i="1"/>
  <c r="K6588" i="1"/>
  <c r="L6588" i="1"/>
  <c r="K6589" i="1"/>
  <c r="L6589" i="1"/>
  <c r="K6590" i="1"/>
  <c r="L6590" i="1"/>
  <c r="K6591" i="1"/>
  <c r="L6591" i="1"/>
  <c r="K6592" i="1"/>
  <c r="L6592" i="1"/>
  <c r="K6593" i="1"/>
  <c r="L6593" i="1"/>
  <c r="K6594" i="1"/>
  <c r="L6594" i="1"/>
  <c r="K6595" i="1"/>
  <c r="L6595" i="1"/>
  <c r="K6596" i="1"/>
  <c r="L6596" i="1"/>
  <c r="K6597" i="1"/>
  <c r="L6597" i="1"/>
  <c r="K6598" i="1"/>
  <c r="L6598" i="1"/>
  <c r="K6599" i="1"/>
  <c r="L6599" i="1"/>
  <c r="K6600" i="1"/>
  <c r="L6600" i="1"/>
  <c r="K6601" i="1"/>
  <c r="L6601" i="1"/>
  <c r="K6602" i="1"/>
  <c r="L6602" i="1"/>
  <c r="K6603" i="1"/>
  <c r="L6603" i="1"/>
  <c r="K6604" i="1"/>
  <c r="L6604" i="1"/>
  <c r="K6605" i="1"/>
  <c r="L6605" i="1"/>
  <c r="K6606" i="1"/>
  <c r="L6606" i="1"/>
  <c r="K6607" i="1"/>
  <c r="L6607" i="1"/>
  <c r="K6608" i="1"/>
  <c r="L6608" i="1"/>
  <c r="K6609" i="1"/>
  <c r="L6609" i="1"/>
  <c r="K6610" i="1"/>
  <c r="L6610" i="1"/>
  <c r="K6611" i="1"/>
  <c r="L6611" i="1"/>
  <c r="K6612" i="1"/>
  <c r="L6612" i="1"/>
  <c r="K6613" i="1"/>
  <c r="L6613" i="1"/>
  <c r="K6614" i="1"/>
  <c r="L6614" i="1"/>
  <c r="K6615" i="1"/>
  <c r="L6615" i="1"/>
  <c r="K6616" i="1"/>
  <c r="L6616" i="1"/>
  <c r="K6617" i="1"/>
  <c r="L6617" i="1"/>
  <c r="K6618" i="1"/>
  <c r="L6618" i="1"/>
  <c r="K6619" i="1"/>
  <c r="L6619" i="1"/>
  <c r="K6620" i="1"/>
  <c r="L6620" i="1"/>
  <c r="K6621" i="1"/>
  <c r="L6621" i="1"/>
  <c r="K6622" i="1"/>
  <c r="L6622" i="1"/>
  <c r="K6623" i="1"/>
  <c r="L6623" i="1"/>
  <c r="K6624" i="1"/>
  <c r="L6624" i="1"/>
  <c r="K6625" i="1"/>
  <c r="L6625" i="1"/>
  <c r="K6626" i="1"/>
  <c r="L6626" i="1"/>
  <c r="K6627" i="1"/>
  <c r="L6627" i="1"/>
  <c r="K6628" i="1"/>
  <c r="L6628" i="1"/>
  <c r="K6629" i="1"/>
  <c r="L6629" i="1"/>
  <c r="K6630" i="1"/>
  <c r="L6630" i="1"/>
  <c r="K6631" i="1"/>
  <c r="L6631" i="1"/>
  <c r="K6632" i="1"/>
  <c r="L6632" i="1"/>
  <c r="K6633" i="1"/>
  <c r="L6633" i="1"/>
  <c r="K6634" i="1"/>
  <c r="L6634" i="1"/>
  <c r="K6635" i="1"/>
  <c r="L6635" i="1"/>
  <c r="K6636" i="1"/>
  <c r="L6636" i="1"/>
  <c r="K6637" i="1"/>
  <c r="L6637" i="1"/>
  <c r="K6638" i="1"/>
  <c r="L6638" i="1"/>
  <c r="K6639" i="1"/>
  <c r="L6639" i="1"/>
  <c r="K6640" i="1"/>
  <c r="L6640" i="1"/>
  <c r="K6641" i="1"/>
  <c r="L6641" i="1"/>
  <c r="K6642" i="1"/>
  <c r="L6642" i="1"/>
  <c r="K6643" i="1"/>
  <c r="L6643" i="1"/>
  <c r="K6644" i="1"/>
  <c r="L6644" i="1"/>
  <c r="K6645" i="1"/>
  <c r="L6645" i="1"/>
  <c r="K6646" i="1"/>
  <c r="L6646" i="1"/>
  <c r="K6647" i="1"/>
  <c r="L6647" i="1"/>
  <c r="K6648" i="1"/>
  <c r="L6648" i="1"/>
  <c r="K6649" i="1"/>
  <c r="L6649" i="1"/>
  <c r="K6650" i="1"/>
  <c r="L6650" i="1"/>
  <c r="K6651" i="1"/>
  <c r="L6651" i="1"/>
  <c r="K6652" i="1"/>
  <c r="L6652" i="1"/>
  <c r="K6653" i="1"/>
  <c r="L6653" i="1"/>
  <c r="K6654" i="1"/>
  <c r="L6654" i="1"/>
  <c r="K6655" i="1"/>
  <c r="L6655" i="1"/>
  <c r="K6656" i="1"/>
  <c r="L6656" i="1"/>
  <c r="K6657" i="1"/>
  <c r="L6657" i="1"/>
  <c r="K6658" i="1"/>
  <c r="L6658" i="1"/>
  <c r="K6659" i="1"/>
  <c r="L6659" i="1"/>
  <c r="K6660" i="1"/>
  <c r="L6660" i="1"/>
  <c r="K6661" i="1"/>
  <c r="L6661" i="1"/>
  <c r="K6662" i="1"/>
  <c r="L6662" i="1"/>
  <c r="K6663" i="1"/>
  <c r="L6663" i="1"/>
  <c r="K6664" i="1"/>
  <c r="L6664" i="1"/>
  <c r="K6665" i="1"/>
  <c r="L6665" i="1"/>
  <c r="K6666" i="1"/>
  <c r="L6666" i="1"/>
  <c r="K6667" i="1"/>
  <c r="L6667" i="1"/>
  <c r="K6668" i="1"/>
  <c r="L6668" i="1"/>
  <c r="K6669" i="1"/>
  <c r="L6669" i="1"/>
  <c r="K6670" i="1"/>
  <c r="L6670" i="1"/>
  <c r="K6671" i="1"/>
  <c r="L6671" i="1"/>
  <c r="K6672" i="1"/>
  <c r="L6672" i="1"/>
  <c r="K6673" i="1"/>
  <c r="L6673" i="1"/>
  <c r="K6674" i="1"/>
  <c r="L6674" i="1"/>
  <c r="K6675" i="1"/>
  <c r="L6675" i="1"/>
  <c r="K6676" i="1"/>
  <c r="L6676" i="1"/>
  <c r="K6677" i="1"/>
  <c r="L6677" i="1"/>
  <c r="K6678" i="1"/>
  <c r="L6678" i="1"/>
  <c r="K6679" i="1"/>
  <c r="L6679" i="1"/>
  <c r="K6680" i="1"/>
  <c r="L6680" i="1"/>
  <c r="K6681" i="1"/>
  <c r="L6681" i="1"/>
  <c r="K6682" i="1"/>
  <c r="L6682" i="1"/>
  <c r="K6683" i="1"/>
  <c r="L6683" i="1"/>
  <c r="K6684" i="1"/>
  <c r="L6684" i="1"/>
  <c r="K6685" i="1"/>
  <c r="L6685" i="1"/>
  <c r="K6686" i="1"/>
  <c r="L6686" i="1"/>
  <c r="K6687" i="1"/>
  <c r="L6687" i="1"/>
  <c r="K6688" i="1"/>
  <c r="L6688" i="1"/>
  <c r="K6689" i="1"/>
  <c r="L6689" i="1"/>
  <c r="K6690" i="1"/>
  <c r="L6690" i="1"/>
  <c r="K6691" i="1"/>
  <c r="L6691" i="1"/>
  <c r="K6692" i="1"/>
  <c r="L6692" i="1"/>
  <c r="K6693" i="1"/>
  <c r="L6693" i="1"/>
  <c r="K6694" i="1"/>
  <c r="L6694" i="1"/>
  <c r="K6695" i="1"/>
  <c r="L6695" i="1"/>
  <c r="K6696" i="1"/>
  <c r="L6696" i="1"/>
  <c r="K6697" i="1"/>
  <c r="L6697" i="1"/>
  <c r="K6698" i="1"/>
  <c r="L6698" i="1"/>
  <c r="K6699" i="1"/>
  <c r="L6699" i="1"/>
  <c r="K6700" i="1"/>
  <c r="L6700" i="1"/>
  <c r="K6701" i="1"/>
  <c r="L6701" i="1"/>
  <c r="K6702" i="1"/>
  <c r="L6702" i="1"/>
  <c r="K6703" i="1"/>
  <c r="L6703" i="1"/>
  <c r="K6704" i="1"/>
  <c r="L6704" i="1"/>
  <c r="K6705" i="1"/>
  <c r="L6705" i="1"/>
  <c r="K6706" i="1"/>
  <c r="L6706" i="1"/>
  <c r="K6707" i="1"/>
  <c r="L6707" i="1"/>
  <c r="K6708" i="1"/>
  <c r="L6708" i="1"/>
  <c r="K6709" i="1"/>
  <c r="L6709" i="1"/>
  <c r="K6710" i="1"/>
  <c r="L6710" i="1"/>
  <c r="K6711" i="1"/>
  <c r="L6711" i="1"/>
  <c r="K6712" i="1"/>
  <c r="L6712" i="1"/>
  <c r="K6713" i="1"/>
  <c r="L6713" i="1"/>
  <c r="K6714" i="1"/>
  <c r="L6714" i="1"/>
  <c r="K6715" i="1"/>
  <c r="L6715" i="1"/>
  <c r="K6716" i="1"/>
  <c r="L6716" i="1"/>
  <c r="K6717" i="1"/>
  <c r="L6717" i="1"/>
  <c r="K6718" i="1"/>
  <c r="L6718" i="1"/>
  <c r="K6719" i="1"/>
  <c r="L6719" i="1"/>
  <c r="K6720" i="1"/>
  <c r="L6720" i="1"/>
  <c r="K6721" i="1"/>
  <c r="L6721" i="1"/>
  <c r="K6722" i="1"/>
  <c r="L6722" i="1"/>
  <c r="K6723" i="1"/>
  <c r="L6723" i="1"/>
  <c r="K6724" i="1"/>
  <c r="L6724" i="1"/>
  <c r="K6725" i="1"/>
  <c r="L6725" i="1"/>
  <c r="K6726" i="1"/>
  <c r="L6726" i="1"/>
  <c r="K6727" i="1"/>
  <c r="L6727" i="1"/>
  <c r="K6728" i="1"/>
  <c r="L6728" i="1"/>
  <c r="K6729" i="1"/>
  <c r="L6729" i="1"/>
  <c r="K6730" i="1"/>
  <c r="L6730" i="1"/>
  <c r="K6731" i="1"/>
  <c r="L6731" i="1"/>
  <c r="K6732" i="1"/>
  <c r="L6732" i="1"/>
  <c r="K6733" i="1"/>
  <c r="L6733" i="1"/>
  <c r="K6734" i="1"/>
  <c r="L6734" i="1"/>
  <c r="K6735" i="1"/>
  <c r="L6735" i="1"/>
  <c r="K6736" i="1"/>
  <c r="L6736" i="1"/>
  <c r="K6737" i="1"/>
  <c r="L6737" i="1"/>
  <c r="K6738" i="1"/>
  <c r="L6738" i="1"/>
  <c r="K6739" i="1"/>
  <c r="L6739" i="1"/>
  <c r="K6740" i="1"/>
  <c r="L6740" i="1"/>
  <c r="K6741" i="1"/>
  <c r="L6741" i="1"/>
  <c r="K6742" i="1"/>
  <c r="L6742" i="1"/>
  <c r="K6743" i="1"/>
  <c r="L6743" i="1"/>
  <c r="K6744" i="1"/>
  <c r="L6744" i="1"/>
  <c r="K6745" i="1"/>
  <c r="L6745" i="1"/>
  <c r="K6746" i="1"/>
  <c r="L6746" i="1"/>
  <c r="K6747" i="1"/>
  <c r="L6747" i="1"/>
  <c r="K6748" i="1"/>
  <c r="L6748" i="1"/>
  <c r="K6749" i="1"/>
  <c r="L6749" i="1"/>
  <c r="K6750" i="1"/>
  <c r="L6750" i="1"/>
  <c r="K6751" i="1"/>
  <c r="L6751" i="1"/>
  <c r="K6752" i="1"/>
  <c r="L6752" i="1"/>
  <c r="K6753" i="1"/>
  <c r="L6753" i="1"/>
  <c r="K6754" i="1"/>
  <c r="L6754" i="1"/>
  <c r="K6755" i="1"/>
  <c r="L6755" i="1"/>
  <c r="K6756" i="1"/>
  <c r="L6756" i="1"/>
  <c r="K6757" i="1"/>
  <c r="L6757" i="1"/>
  <c r="K6758" i="1"/>
  <c r="L6758" i="1"/>
  <c r="K6759" i="1"/>
  <c r="L6759" i="1"/>
  <c r="K6760" i="1"/>
  <c r="L6760" i="1"/>
  <c r="K6761" i="1"/>
  <c r="L6761" i="1"/>
  <c r="K6762" i="1"/>
  <c r="L6762" i="1"/>
  <c r="K6763" i="1"/>
  <c r="L6763" i="1"/>
  <c r="K6764" i="1"/>
  <c r="L6764" i="1"/>
  <c r="K6765" i="1"/>
  <c r="L6765" i="1"/>
  <c r="K6766" i="1"/>
  <c r="L6766" i="1"/>
  <c r="K6767" i="1"/>
  <c r="L6767" i="1"/>
  <c r="K6768" i="1"/>
  <c r="L6768" i="1"/>
  <c r="K6769" i="1"/>
  <c r="L6769" i="1"/>
  <c r="K6770" i="1"/>
  <c r="L6770" i="1"/>
  <c r="K6771" i="1"/>
  <c r="L6771" i="1"/>
  <c r="K6772" i="1"/>
  <c r="L6772" i="1"/>
  <c r="K6773" i="1"/>
  <c r="L6773" i="1"/>
  <c r="K6774" i="1"/>
  <c r="L6774" i="1"/>
  <c r="K6775" i="1"/>
  <c r="L6775" i="1"/>
  <c r="K6776" i="1"/>
  <c r="L6776" i="1"/>
  <c r="K6777" i="1"/>
  <c r="L6777" i="1"/>
  <c r="K6778" i="1"/>
  <c r="L6778" i="1"/>
  <c r="K6779" i="1"/>
  <c r="L6779" i="1"/>
  <c r="K6780" i="1"/>
  <c r="L6780" i="1"/>
  <c r="K6781" i="1"/>
  <c r="L6781" i="1"/>
  <c r="K6782" i="1"/>
  <c r="L6782" i="1"/>
  <c r="K6783" i="1"/>
  <c r="L6783" i="1"/>
  <c r="K6784" i="1"/>
  <c r="L6784" i="1"/>
  <c r="K6785" i="1"/>
  <c r="L6785" i="1"/>
  <c r="K6786" i="1"/>
  <c r="L6786" i="1"/>
  <c r="K6787" i="1"/>
  <c r="L6787" i="1"/>
  <c r="K6788" i="1"/>
  <c r="L6788" i="1"/>
  <c r="K6789" i="1"/>
  <c r="L6789" i="1"/>
  <c r="K6790" i="1"/>
  <c r="L6790" i="1"/>
  <c r="K6791" i="1"/>
  <c r="L6791" i="1"/>
  <c r="K6792" i="1"/>
  <c r="L6792" i="1"/>
  <c r="K6793" i="1"/>
  <c r="L6793" i="1"/>
  <c r="K6794" i="1"/>
  <c r="L6794" i="1"/>
  <c r="K6795" i="1"/>
  <c r="L6795" i="1"/>
  <c r="K6796" i="1"/>
  <c r="L6796" i="1"/>
  <c r="K6797" i="1"/>
  <c r="L6797" i="1"/>
  <c r="K6798" i="1"/>
  <c r="L6798" i="1"/>
  <c r="K6799" i="1"/>
  <c r="L6799" i="1"/>
  <c r="K6800" i="1"/>
  <c r="L6800" i="1"/>
  <c r="K6801" i="1"/>
  <c r="L6801" i="1"/>
  <c r="K6802" i="1"/>
  <c r="L6802" i="1"/>
  <c r="K6803" i="1"/>
  <c r="L6803" i="1"/>
  <c r="K6804" i="1"/>
  <c r="L6804" i="1"/>
  <c r="K6805" i="1"/>
  <c r="L6805" i="1"/>
  <c r="K6806" i="1"/>
  <c r="L6806" i="1"/>
  <c r="K6807" i="1"/>
  <c r="L6807" i="1"/>
  <c r="K6808" i="1"/>
  <c r="L6808" i="1"/>
  <c r="K6809" i="1"/>
  <c r="L6809" i="1"/>
  <c r="K6810" i="1"/>
  <c r="L6810" i="1"/>
  <c r="K6811" i="1"/>
  <c r="L6811" i="1"/>
  <c r="K6812" i="1"/>
  <c r="L6812" i="1"/>
  <c r="K6813" i="1"/>
  <c r="L6813" i="1"/>
  <c r="K6814" i="1"/>
  <c r="L6814" i="1"/>
  <c r="K6815" i="1"/>
  <c r="L6815" i="1"/>
  <c r="K6816" i="1"/>
  <c r="L6816" i="1"/>
  <c r="K6817" i="1"/>
  <c r="L6817" i="1"/>
  <c r="K6818" i="1"/>
  <c r="L6818" i="1"/>
  <c r="K6819" i="1"/>
  <c r="L6819" i="1"/>
  <c r="K6820" i="1"/>
  <c r="L6820" i="1"/>
  <c r="K6821" i="1"/>
  <c r="L6821" i="1"/>
  <c r="K6822" i="1"/>
  <c r="L6822" i="1"/>
  <c r="K6823" i="1"/>
  <c r="L6823" i="1"/>
  <c r="K6824" i="1"/>
  <c r="L6824" i="1"/>
  <c r="K6825" i="1"/>
  <c r="L6825" i="1"/>
  <c r="K6826" i="1"/>
  <c r="L6826" i="1"/>
  <c r="K6827" i="1"/>
  <c r="L6827" i="1"/>
  <c r="K6828" i="1"/>
  <c r="L6828" i="1"/>
  <c r="K6829" i="1"/>
  <c r="L6829" i="1"/>
  <c r="K6830" i="1"/>
  <c r="L6830" i="1"/>
  <c r="K6831" i="1"/>
  <c r="L6831" i="1"/>
  <c r="K6832" i="1"/>
  <c r="L6832" i="1"/>
  <c r="K6833" i="1"/>
  <c r="L6833" i="1"/>
  <c r="K6834" i="1"/>
  <c r="L6834" i="1"/>
  <c r="K6835" i="1"/>
  <c r="L6835" i="1"/>
  <c r="K6836" i="1"/>
  <c r="L6836" i="1"/>
  <c r="K6837" i="1"/>
  <c r="L6837" i="1"/>
  <c r="K6838" i="1"/>
  <c r="L6838" i="1"/>
  <c r="K6839" i="1"/>
  <c r="L6839" i="1"/>
  <c r="K6840" i="1"/>
  <c r="L6840" i="1"/>
  <c r="K6841" i="1"/>
  <c r="L6841" i="1"/>
  <c r="K6842" i="1"/>
  <c r="L6842" i="1"/>
  <c r="K6843" i="1"/>
  <c r="L6843" i="1"/>
  <c r="K6844" i="1"/>
  <c r="L6844" i="1"/>
  <c r="K6845" i="1"/>
  <c r="L6845" i="1"/>
  <c r="K6846" i="1"/>
  <c r="L6846" i="1"/>
  <c r="K6847" i="1"/>
  <c r="L6847" i="1"/>
  <c r="K6848" i="1"/>
  <c r="L6848" i="1"/>
  <c r="K6849" i="1"/>
  <c r="L6849" i="1"/>
  <c r="K6850" i="1"/>
  <c r="L6850" i="1"/>
  <c r="K6851" i="1"/>
  <c r="L6851" i="1"/>
  <c r="K6852" i="1"/>
  <c r="L6852" i="1"/>
  <c r="K6853" i="1"/>
  <c r="L6853" i="1"/>
  <c r="K6854" i="1"/>
  <c r="L6854" i="1"/>
  <c r="K6855" i="1"/>
  <c r="L6855" i="1"/>
  <c r="K6856" i="1"/>
  <c r="L6856" i="1"/>
  <c r="K6857" i="1"/>
  <c r="L6857" i="1"/>
  <c r="K6858" i="1"/>
  <c r="L6858" i="1"/>
  <c r="K6859" i="1"/>
  <c r="L6859" i="1"/>
  <c r="K6860" i="1"/>
  <c r="L6860" i="1"/>
  <c r="K6861" i="1"/>
  <c r="L6861" i="1"/>
  <c r="K6862" i="1"/>
  <c r="L6862" i="1"/>
  <c r="K6863" i="1"/>
  <c r="L6863" i="1"/>
  <c r="K6864" i="1"/>
  <c r="L6864" i="1"/>
  <c r="K6865" i="1"/>
  <c r="L6865" i="1"/>
  <c r="K6866" i="1"/>
  <c r="L6866" i="1"/>
  <c r="K6867" i="1"/>
  <c r="L6867" i="1"/>
  <c r="K6868" i="1"/>
  <c r="L6868" i="1"/>
  <c r="K6869" i="1"/>
  <c r="L6869" i="1"/>
  <c r="K6870" i="1"/>
  <c r="L6870" i="1"/>
  <c r="K6871" i="1"/>
  <c r="L6871" i="1"/>
  <c r="K6872" i="1"/>
  <c r="L6872" i="1"/>
  <c r="K6873" i="1"/>
  <c r="L6873" i="1"/>
  <c r="K6874" i="1"/>
  <c r="L6874" i="1"/>
  <c r="K6875" i="1"/>
  <c r="L6875" i="1"/>
  <c r="K6876" i="1"/>
  <c r="L6876" i="1"/>
  <c r="K6877" i="1"/>
  <c r="L6877" i="1"/>
  <c r="K6878" i="1"/>
  <c r="L6878" i="1"/>
  <c r="K6879" i="1"/>
  <c r="L6879" i="1"/>
  <c r="K6880" i="1"/>
  <c r="L6880" i="1"/>
  <c r="K6881" i="1"/>
  <c r="L6881" i="1"/>
  <c r="K6882" i="1"/>
  <c r="L6882" i="1"/>
  <c r="K6883" i="1"/>
  <c r="L6883" i="1"/>
  <c r="K6884" i="1"/>
  <c r="L6884" i="1"/>
  <c r="K6885" i="1"/>
  <c r="L6885" i="1"/>
  <c r="K6886" i="1"/>
  <c r="L6886" i="1"/>
  <c r="K6887" i="1"/>
  <c r="L6887" i="1"/>
  <c r="K6888" i="1"/>
  <c r="L6888" i="1"/>
  <c r="K6889" i="1"/>
  <c r="L6889" i="1"/>
  <c r="K6890" i="1"/>
  <c r="L6890" i="1"/>
  <c r="K6891" i="1"/>
  <c r="L6891" i="1"/>
  <c r="K6892" i="1"/>
  <c r="L6892" i="1"/>
  <c r="K6893" i="1"/>
  <c r="L6893" i="1"/>
  <c r="K6894" i="1"/>
  <c r="L6894" i="1"/>
  <c r="K6895" i="1"/>
  <c r="L6895" i="1"/>
  <c r="K6896" i="1"/>
  <c r="L6896" i="1"/>
  <c r="K6897" i="1"/>
  <c r="L6897" i="1"/>
  <c r="K6898" i="1"/>
  <c r="L6898" i="1"/>
  <c r="K6899" i="1"/>
  <c r="L6899" i="1"/>
  <c r="K6900" i="1"/>
  <c r="L6900" i="1"/>
  <c r="K6901" i="1"/>
  <c r="L6901" i="1"/>
  <c r="K6902" i="1"/>
  <c r="L6902" i="1"/>
  <c r="K6903" i="1"/>
  <c r="L6903" i="1"/>
  <c r="K6904" i="1"/>
  <c r="L6904" i="1"/>
  <c r="K6905" i="1"/>
  <c r="L6905" i="1"/>
  <c r="K6906" i="1"/>
  <c r="L6906" i="1"/>
  <c r="K6907" i="1"/>
  <c r="L6907" i="1"/>
  <c r="K6908" i="1"/>
  <c r="L6908" i="1"/>
  <c r="K6909" i="1"/>
  <c r="L6909" i="1"/>
  <c r="K6910" i="1"/>
  <c r="L6910" i="1"/>
  <c r="K6911" i="1"/>
  <c r="L6911" i="1"/>
  <c r="K6912" i="1"/>
  <c r="L6912" i="1"/>
  <c r="K6913" i="1"/>
  <c r="L6913" i="1"/>
  <c r="K6914" i="1"/>
  <c r="L6914" i="1"/>
  <c r="K6915" i="1"/>
  <c r="L6915" i="1"/>
  <c r="K6916" i="1"/>
  <c r="L6916" i="1"/>
  <c r="K6917" i="1"/>
  <c r="L6917" i="1"/>
  <c r="K6918" i="1"/>
  <c r="L6918" i="1"/>
  <c r="K6919" i="1"/>
  <c r="L6919" i="1"/>
  <c r="K6920" i="1"/>
  <c r="L6920" i="1"/>
  <c r="K6921" i="1"/>
  <c r="L6921" i="1"/>
  <c r="K6922" i="1"/>
  <c r="L6922" i="1"/>
  <c r="K6923" i="1"/>
  <c r="L6923" i="1"/>
  <c r="K6924" i="1"/>
  <c r="L6924" i="1"/>
  <c r="K6925" i="1"/>
  <c r="L6925" i="1"/>
  <c r="K6926" i="1"/>
  <c r="L6926" i="1"/>
  <c r="K6927" i="1"/>
  <c r="L6927" i="1"/>
  <c r="K6928" i="1"/>
  <c r="L6928" i="1"/>
  <c r="K6929" i="1"/>
  <c r="L6929" i="1"/>
  <c r="K6930" i="1"/>
  <c r="L6930" i="1"/>
  <c r="K6931" i="1"/>
  <c r="L6931" i="1"/>
  <c r="K6932" i="1"/>
  <c r="L6932" i="1"/>
  <c r="K6933" i="1"/>
  <c r="L6933" i="1"/>
  <c r="K6934" i="1"/>
  <c r="L6934" i="1"/>
  <c r="K6935" i="1"/>
  <c r="L6935" i="1"/>
  <c r="K6936" i="1"/>
  <c r="L6936" i="1"/>
  <c r="K6937" i="1"/>
  <c r="L6937" i="1"/>
  <c r="K6938" i="1"/>
  <c r="L6938" i="1"/>
  <c r="K6939" i="1"/>
  <c r="L6939" i="1"/>
  <c r="K6940" i="1"/>
  <c r="L6940" i="1"/>
  <c r="K6941" i="1"/>
  <c r="L6941" i="1"/>
  <c r="K6942" i="1"/>
  <c r="L6942" i="1"/>
  <c r="K6943" i="1"/>
  <c r="L6943" i="1"/>
  <c r="K6944" i="1"/>
  <c r="L6944" i="1"/>
  <c r="K6945" i="1"/>
  <c r="L6945" i="1"/>
  <c r="K6946" i="1"/>
  <c r="L6946" i="1"/>
  <c r="K6947" i="1"/>
  <c r="L6947" i="1"/>
  <c r="K6948" i="1"/>
  <c r="L6948" i="1"/>
  <c r="K6949" i="1"/>
  <c r="L6949" i="1"/>
  <c r="K6950" i="1"/>
  <c r="L6950" i="1"/>
  <c r="K6951" i="1"/>
  <c r="L6951" i="1"/>
  <c r="K6952" i="1"/>
  <c r="L6952" i="1"/>
  <c r="K6953" i="1"/>
  <c r="L6953" i="1"/>
  <c r="K6954" i="1"/>
  <c r="L6954" i="1"/>
  <c r="K6955" i="1"/>
  <c r="L6955" i="1"/>
  <c r="K6956" i="1"/>
  <c r="L6956" i="1"/>
  <c r="K6957" i="1"/>
  <c r="L6957" i="1"/>
  <c r="K6958" i="1"/>
  <c r="L6958" i="1"/>
  <c r="K6959" i="1"/>
  <c r="L6959" i="1"/>
  <c r="K6960" i="1"/>
  <c r="L6960" i="1"/>
  <c r="K6961" i="1"/>
  <c r="L6961" i="1"/>
  <c r="K6962" i="1"/>
  <c r="L6962" i="1"/>
  <c r="K6963" i="1"/>
  <c r="L6963" i="1"/>
  <c r="K6964" i="1"/>
  <c r="L6964" i="1"/>
  <c r="K6965" i="1"/>
  <c r="L6965" i="1"/>
  <c r="K6966" i="1"/>
  <c r="L6966" i="1"/>
  <c r="K6967" i="1"/>
  <c r="L6967" i="1"/>
  <c r="K6968" i="1"/>
  <c r="L6968" i="1"/>
  <c r="K6969" i="1"/>
  <c r="L6969" i="1"/>
  <c r="K6970" i="1"/>
  <c r="L6970" i="1"/>
  <c r="K6971" i="1"/>
  <c r="L6971" i="1"/>
  <c r="K6972" i="1"/>
  <c r="L6972" i="1"/>
  <c r="K6973" i="1"/>
  <c r="L6973" i="1"/>
  <c r="K6974" i="1"/>
  <c r="L6974" i="1"/>
  <c r="K6975" i="1"/>
  <c r="L6975" i="1"/>
  <c r="K6976" i="1"/>
  <c r="L6976" i="1"/>
  <c r="K6977" i="1"/>
  <c r="L6977" i="1"/>
  <c r="K6978" i="1"/>
  <c r="L6978" i="1"/>
  <c r="K6979" i="1"/>
  <c r="L6979" i="1"/>
  <c r="K6980" i="1"/>
  <c r="L6980" i="1"/>
  <c r="K6981" i="1"/>
  <c r="L6981" i="1"/>
  <c r="K6982" i="1"/>
  <c r="L6982" i="1"/>
  <c r="K6983" i="1"/>
  <c r="L6983" i="1"/>
  <c r="K6984" i="1"/>
  <c r="L6984" i="1"/>
  <c r="K6985" i="1"/>
  <c r="L6985" i="1"/>
  <c r="K6986" i="1"/>
  <c r="L6986" i="1"/>
  <c r="K6987" i="1"/>
  <c r="L6987" i="1"/>
  <c r="K6988" i="1"/>
  <c r="L6988" i="1"/>
  <c r="K6989" i="1"/>
  <c r="L6989" i="1"/>
  <c r="K6990" i="1"/>
  <c r="L6990" i="1"/>
  <c r="K6991" i="1"/>
  <c r="L6991" i="1"/>
  <c r="K6992" i="1"/>
  <c r="L6992" i="1"/>
  <c r="K6993" i="1"/>
  <c r="L6993" i="1"/>
  <c r="K6994" i="1"/>
  <c r="L6994" i="1"/>
  <c r="K6995" i="1"/>
  <c r="L6995" i="1"/>
  <c r="K6996" i="1"/>
  <c r="L6996" i="1"/>
  <c r="K6997" i="1"/>
  <c r="L6997" i="1"/>
  <c r="K6998" i="1"/>
  <c r="L6998" i="1"/>
  <c r="K6999" i="1"/>
  <c r="L6999" i="1"/>
  <c r="K7000" i="1"/>
  <c r="L7000" i="1"/>
  <c r="K7001" i="1"/>
  <c r="L7001" i="1"/>
  <c r="K7002" i="1"/>
  <c r="L7002" i="1"/>
  <c r="K7003" i="1"/>
  <c r="L7003" i="1"/>
  <c r="K7004" i="1"/>
  <c r="L7004" i="1"/>
  <c r="K7005" i="1"/>
  <c r="L7005" i="1"/>
  <c r="K7006" i="1"/>
  <c r="L7006" i="1"/>
  <c r="K7007" i="1"/>
  <c r="L7007" i="1"/>
  <c r="K7008" i="1"/>
  <c r="L7008" i="1"/>
  <c r="K7009" i="1"/>
  <c r="L7009" i="1"/>
  <c r="K7010" i="1"/>
  <c r="L7010" i="1"/>
  <c r="K7011" i="1"/>
  <c r="L7011" i="1"/>
  <c r="K7012" i="1"/>
  <c r="L7012" i="1"/>
  <c r="K7013" i="1"/>
  <c r="L7013" i="1"/>
  <c r="K7014" i="1"/>
  <c r="L7014" i="1"/>
  <c r="K7015" i="1"/>
  <c r="L7015" i="1"/>
  <c r="K7016" i="1"/>
  <c r="L7016" i="1"/>
  <c r="K7017" i="1"/>
  <c r="L7017" i="1"/>
  <c r="K7018" i="1"/>
  <c r="L7018" i="1"/>
  <c r="K7019" i="1"/>
  <c r="L7019" i="1"/>
  <c r="K7020" i="1"/>
  <c r="L7020" i="1"/>
  <c r="K7021" i="1"/>
  <c r="L7021" i="1"/>
  <c r="K7022" i="1"/>
  <c r="L7022" i="1"/>
  <c r="K7023" i="1"/>
  <c r="L7023" i="1"/>
  <c r="K7024" i="1"/>
  <c r="L7024" i="1"/>
  <c r="K7025" i="1"/>
  <c r="L7025" i="1"/>
  <c r="K7026" i="1"/>
  <c r="L7026" i="1"/>
  <c r="K7027" i="1"/>
  <c r="L7027" i="1"/>
  <c r="K7028" i="1"/>
  <c r="L7028" i="1"/>
  <c r="K7029" i="1"/>
  <c r="L7029" i="1"/>
  <c r="K7030" i="1"/>
  <c r="L7030" i="1"/>
  <c r="K7031" i="1"/>
  <c r="L7031" i="1"/>
  <c r="K7032" i="1"/>
  <c r="L7032" i="1"/>
  <c r="K7033" i="1"/>
  <c r="L7033" i="1"/>
  <c r="K7034" i="1"/>
  <c r="L7034" i="1"/>
  <c r="K7035" i="1"/>
  <c r="L7035" i="1"/>
  <c r="K7036" i="1"/>
  <c r="L7036" i="1"/>
  <c r="K7037" i="1"/>
  <c r="L7037" i="1"/>
  <c r="K7038" i="1"/>
  <c r="L7038" i="1"/>
  <c r="K7039" i="1"/>
  <c r="L7039" i="1"/>
  <c r="K7040" i="1"/>
  <c r="L7040" i="1"/>
  <c r="K7041" i="1"/>
  <c r="L7041" i="1"/>
  <c r="K7042" i="1"/>
  <c r="L7042" i="1"/>
  <c r="K7043" i="1"/>
  <c r="L7043" i="1"/>
  <c r="K7044" i="1"/>
  <c r="L7044" i="1"/>
  <c r="K7045" i="1"/>
  <c r="L7045" i="1"/>
  <c r="K7046" i="1"/>
  <c r="L7046" i="1"/>
  <c r="K7047" i="1"/>
  <c r="L7047" i="1"/>
  <c r="K7048" i="1"/>
  <c r="L7048" i="1"/>
  <c r="K7049" i="1"/>
  <c r="L7049" i="1"/>
  <c r="K7050" i="1"/>
  <c r="L7050" i="1"/>
  <c r="K7051" i="1"/>
  <c r="L7051" i="1"/>
  <c r="K7052" i="1"/>
  <c r="L7052" i="1"/>
  <c r="K7053" i="1"/>
  <c r="L7053" i="1"/>
  <c r="K7054" i="1"/>
  <c r="L7054" i="1"/>
  <c r="K7055" i="1"/>
  <c r="L7055" i="1"/>
  <c r="K7056" i="1"/>
  <c r="L7056" i="1"/>
  <c r="K7057" i="1"/>
  <c r="L7057" i="1"/>
  <c r="K7058" i="1"/>
  <c r="L7058" i="1"/>
  <c r="K7059" i="1"/>
  <c r="L7059" i="1"/>
  <c r="K7060" i="1"/>
  <c r="L7060" i="1"/>
  <c r="K7061" i="1"/>
  <c r="L7061" i="1"/>
  <c r="K7062" i="1"/>
  <c r="L7062" i="1"/>
  <c r="K7063" i="1"/>
  <c r="L7063" i="1"/>
  <c r="K7064" i="1"/>
  <c r="L7064" i="1"/>
  <c r="K7065" i="1"/>
  <c r="L7065" i="1"/>
  <c r="K7066" i="1"/>
  <c r="L7066" i="1"/>
  <c r="K7067" i="1"/>
  <c r="L7067" i="1"/>
  <c r="K7068" i="1"/>
  <c r="L7068" i="1"/>
  <c r="K7069" i="1"/>
  <c r="L7069" i="1"/>
  <c r="K7070" i="1"/>
  <c r="L7070" i="1"/>
  <c r="K7071" i="1"/>
  <c r="L7071" i="1"/>
  <c r="K7072" i="1"/>
  <c r="L7072" i="1"/>
  <c r="K7073" i="1"/>
  <c r="L7073" i="1"/>
  <c r="K7074" i="1"/>
  <c r="L7074" i="1"/>
  <c r="K7075" i="1"/>
  <c r="L7075" i="1"/>
  <c r="K7076" i="1"/>
  <c r="L7076" i="1"/>
  <c r="K7077" i="1"/>
  <c r="L7077" i="1"/>
  <c r="K7078" i="1"/>
  <c r="L7078" i="1"/>
  <c r="K7079" i="1"/>
  <c r="L7079" i="1"/>
  <c r="K7080" i="1"/>
  <c r="L7080" i="1"/>
  <c r="K7081" i="1"/>
  <c r="L7081" i="1"/>
  <c r="K7082" i="1"/>
  <c r="L7082" i="1"/>
  <c r="K7083" i="1"/>
  <c r="L7083" i="1"/>
  <c r="K7084" i="1"/>
  <c r="L7084" i="1"/>
  <c r="K7085" i="1"/>
  <c r="L7085" i="1"/>
  <c r="K7086" i="1"/>
  <c r="L7086" i="1"/>
  <c r="K7087" i="1"/>
  <c r="L7087" i="1"/>
  <c r="K7088" i="1"/>
  <c r="L7088" i="1"/>
  <c r="K7089" i="1"/>
  <c r="L7089" i="1"/>
  <c r="K7090" i="1"/>
  <c r="L7090" i="1"/>
  <c r="K7091" i="1"/>
  <c r="L7091" i="1"/>
  <c r="K7092" i="1"/>
  <c r="L7092" i="1"/>
  <c r="K7093" i="1"/>
  <c r="L7093" i="1"/>
  <c r="K7094" i="1"/>
  <c r="L7094" i="1"/>
  <c r="K7095" i="1"/>
  <c r="L7095" i="1"/>
  <c r="K7096" i="1"/>
  <c r="L7096" i="1"/>
  <c r="K7097" i="1"/>
  <c r="L7097" i="1"/>
  <c r="K7098" i="1"/>
  <c r="L7098" i="1"/>
  <c r="K7099" i="1"/>
  <c r="L7099" i="1"/>
  <c r="K7100" i="1"/>
  <c r="L7100" i="1"/>
  <c r="K7101" i="1"/>
  <c r="L7101" i="1"/>
  <c r="K7102" i="1"/>
  <c r="L7102" i="1"/>
  <c r="K7103" i="1"/>
  <c r="L7103" i="1"/>
  <c r="K7104" i="1"/>
  <c r="L7104" i="1"/>
  <c r="K7105" i="1"/>
  <c r="L7105" i="1"/>
  <c r="K7106" i="1"/>
  <c r="L7106" i="1"/>
  <c r="K7107" i="1"/>
  <c r="L7107" i="1"/>
  <c r="K7108" i="1"/>
  <c r="L7108" i="1"/>
  <c r="K7109" i="1"/>
  <c r="L7109" i="1"/>
  <c r="K7110" i="1"/>
  <c r="L7110" i="1"/>
  <c r="K7111" i="1"/>
  <c r="L7111" i="1"/>
  <c r="K7112" i="1"/>
  <c r="L7112" i="1"/>
  <c r="K7113" i="1"/>
  <c r="L7113" i="1"/>
  <c r="K7114" i="1"/>
  <c r="L7114" i="1"/>
  <c r="K7115" i="1"/>
  <c r="L7115" i="1"/>
  <c r="K7116" i="1"/>
  <c r="L7116" i="1"/>
  <c r="K7117" i="1"/>
  <c r="L7117" i="1"/>
  <c r="K7118" i="1"/>
  <c r="L7118" i="1"/>
  <c r="K7119" i="1"/>
  <c r="L7119" i="1"/>
  <c r="K7120" i="1"/>
  <c r="L7120" i="1"/>
  <c r="K7121" i="1"/>
  <c r="L7121" i="1"/>
  <c r="K7122" i="1"/>
  <c r="L7122" i="1"/>
  <c r="K7123" i="1"/>
  <c r="L7123" i="1"/>
  <c r="K7124" i="1"/>
  <c r="L7124" i="1"/>
  <c r="K7125" i="1"/>
  <c r="L7125" i="1"/>
  <c r="K7126" i="1"/>
  <c r="L7126" i="1"/>
  <c r="K7127" i="1"/>
  <c r="L7127" i="1"/>
  <c r="K7128" i="1"/>
  <c r="L7128" i="1"/>
  <c r="K7129" i="1"/>
  <c r="L7129" i="1"/>
  <c r="K7130" i="1"/>
  <c r="L7130" i="1"/>
  <c r="K7131" i="1"/>
  <c r="L7131" i="1"/>
  <c r="K7132" i="1"/>
  <c r="L7132" i="1"/>
  <c r="K7133" i="1"/>
  <c r="L7133" i="1"/>
  <c r="K7134" i="1"/>
  <c r="L7134" i="1"/>
  <c r="K7135" i="1"/>
  <c r="L7135" i="1"/>
  <c r="K7136" i="1"/>
  <c r="L7136" i="1"/>
  <c r="K7137" i="1"/>
  <c r="L7137" i="1"/>
  <c r="K7138" i="1"/>
  <c r="L7138" i="1"/>
  <c r="K7139" i="1"/>
  <c r="L7139" i="1"/>
  <c r="K7140" i="1"/>
  <c r="L7140" i="1"/>
  <c r="K7141" i="1"/>
  <c r="L7141" i="1"/>
  <c r="K7142" i="1"/>
  <c r="L7142" i="1"/>
  <c r="K7143" i="1"/>
  <c r="L7143" i="1"/>
  <c r="K7144" i="1"/>
  <c r="L7144" i="1"/>
  <c r="K7145" i="1"/>
  <c r="L7145" i="1"/>
  <c r="K7146" i="1"/>
  <c r="L7146" i="1"/>
  <c r="K7147" i="1"/>
  <c r="L7147" i="1"/>
  <c r="K7148" i="1"/>
  <c r="L7148" i="1"/>
  <c r="K7149" i="1"/>
  <c r="L7149" i="1"/>
  <c r="K7150" i="1"/>
  <c r="L7150" i="1"/>
  <c r="K7151" i="1"/>
  <c r="L7151" i="1"/>
  <c r="K7152" i="1"/>
  <c r="L7152" i="1"/>
  <c r="K7153" i="1"/>
  <c r="L7153" i="1"/>
  <c r="K7154" i="1"/>
  <c r="L7154" i="1"/>
  <c r="K7155" i="1"/>
  <c r="L7155" i="1"/>
  <c r="K7156" i="1"/>
  <c r="L7156" i="1"/>
  <c r="K7157" i="1"/>
  <c r="L7157" i="1"/>
  <c r="K7158" i="1"/>
  <c r="L7158" i="1"/>
  <c r="K7159" i="1"/>
  <c r="L7159" i="1"/>
  <c r="K7160" i="1"/>
  <c r="L7160" i="1"/>
  <c r="K7161" i="1"/>
  <c r="L7161" i="1"/>
  <c r="K7162" i="1"/>
  <c r="L7162" i="1"/>
  <c r="K7163" i="1"/>
  <c r="L7163" i="1"/>
  <c r="K7164" i="1"/>
  <c r="L7164" i="1"/>
  <c r="K7165" i="1"/>
  <c r="L7165" i="1"/>
  <c r="K7166" i="1"/>
  <c r="L7166" i="1"/>
  <c r="K7167" i="1"/>
  <c r="L7167" i="1"/>
  <c r="K7168" i="1"/>
  <c r="L7168" i="1"/>
  <c r="K7169" i="1"/>
  <c r="L7169" i="1"/>
  <c r="K7170" i="1"/>
  <c r="L7170" i="1"/>
  <c r="K7171" i="1"/>
  <c r="L7171" i="1"/>
  <c r="K7172" i="1"/>
  <c r="L7172" i="1"/>
  <c r="K7173" i="1"/>
  <c r="L7173" i="1"/>
  <c r="K7174" i="1"/>
  <c r="L7174" i="1"/>
  <c r="K7175" i="1"/>
  <c r="L7175" i="1"/>
  <c r="K7176" i="1"/>
  <c r="L7176" i="1"/>
  <c r="K7177" i="1"/>
  <c r="L7177" i="1"/>
  <c r="K7178" i="1"/>
  <c r="L7178" i="1"/>
  <c r="K7179" i="1"/>
  <c r="L7179" i="1"/>
  <c r="K7180" i="1"/>
  <c r="L7180" i="1"/>
  <c r="K7181" i="1"/>
  <c r="L7181" i="1"/>
  <c r="K7182" i="1"/>
  <c r="L7182" i="1"/>
  <c r="K7183" i="1"/>
  <c r="L7183" i="1"/>
  <c r="K7184" i="1"/>
  <c r="L7184" i="1"/>
  <c r="K7185" i="1"/>
  <c r="L7185" i="1"/>
  <c r="K7186" i="1"/>
  <c r="L7186" i="1"/>
  <c r="K7187" i="1"/>
  <c r="L7187" i="1"/>
  <c r="K7188" i="1"/>
  <c r="L7188" i="1"/>
  <c r="K7189" i="1"/>
  <c r="L7189" i="1"/>
  <c r="K7190" i="1"/>
  <c r="L7190" i="1"/>
  <c r="K7191" i="1"/>
  <c r="L7191" i="1"/>
  <c r="K7192" i="1"/>
  <c r="L7192" i="1"/>
  <c r="K7193" i="1"/>
  <c r="L7193" i="1"/>
  <c r="K7194" i="1"/>
  <c r="L7194" i="1"/>
  <c r="K7195" i="1"/>
  <c r="L7195" i="1"/>
  <c r="K7196" i="1"/>
  <c r="L7196" i="1"/>
  <c r="K7197" i="1"/>
  <c r="L7197" i="1"/>
  <c r="K7198" i="1"/>
  <c r="L7198" i="1"/>
  <c r="K7199" i="1"/>
  <c r="L7199" i="1"/>
  <c r="K7200" i="1"/>
  <c r="L7200" i="1"/>
  <c r="K7201" i="1"/>
  <c r="L7201" i="1"/>
  <c r="K7202" i="1"/>
  <c r="L7202" i="1"/>
  <c r="K7203" i="1"/>
  <c r="L7203" i="1"/>
  <c r="K7204" i="1"/>
  <c r="L7204" i="1"/>
  <c r="K7205" i="1"/>
  <c r="L7205" i="1"/>
  <c r="K7206" i="1"/>
  <c r="L7206" i="1"/>
  <c r="K7207" i="1"/>
  <c r="L7207" i="1"/>
  <c r="K7208" i="1"/>
  <c r="L7208" i="1"/>
  <c r="K7209" i="1"/>
  <c r="L7209" i="1"/>
  <c r="K7210" i="1"/>
  <c r="L7210" i="1"/>
  <c r="K7211" i="1"/>
  <c r="L7211" i="1"/>
  <c r="K7212" i="1"/>
  <c r="L7212" i="1"/>
  <c r="K7213" i="1"/>
  <c r="L7213" i="1"/>
  <c r="K7214" i="1"/>
  <c r="L7214" i="1"/>
  <c r="K7215" i="1"/>
  <c r="L7215" i="1"/>
  <c r="K7216" i="1"/>
  <c r="L7216" i="1"/>
  <c r="K7217" i="1"/>
  <c r="L7217" i="1"/>
  <c r="K7218" i="1"/>
  <c r="L7218" i="1"/>
  <c r="K7219" i="1"/>
  <c r="L7219" i="1"/>
  <c r="K7220" i="1"/>
  <c r="L7220" i="1"/>
  <c r="K7221" i="1"/>
  <c r="L7221" i="1"/>
  <c r="K7222" i="1"/>
  <c r="L7222" i="1"/>
  <c r="K7223" i="1"/>
  <c r="L7223" i="1"/>
  <c r="K7224" i="1"/>
  <c r="L7224" i="1"/>
  <c r="K7225" i="1"/>
  <c r="L7225" i="1"/>
  <c r="K7226" i="1"/>
  <c r="L7226" i="1"/>
  <c r="K7227" i="1"/>
  <c r="L7227" i="1"/>
  <c r="K7228" i="1"/>
  <c r="L7228" i="1"/>
  <c r="K7229" i="1"/>
  <c r="L7229" i="1"/>
  <c r="K7230" i="1"/>
  <c r="L7230" i="1"/>
  <c r="K7231" i="1"/>
  <c r="L7231" i="1"/>
  <c r="K7232" i="1"/>
  <c r="L7232" i="1"/>
  <c r="K7233" i="1"/>
  <c r="L7233" i="1"/>
  <c r="K7234" i="1"/>
  <c r="L7234" i="1"/>
  <c r="K7235" i="1"/>
  <c r="L7235" i="1"/>
  <c r="K7236" i="1"/>
  <c r="L7236" i="1"/>
  <c r="K7237" i="1"/>
  <c r="L7237" i="1"/>
  <c r="K7238" i="1"/>
  <c r="L7238" i="1"/>
  <c r="K7239" i="1"/>
  <c r="L7239" i="1"/>
  <c r="K7240" i="1"/>
  <c r="L7240" i="1"/>
  <c r="K7241" i="1"/>
  <c r="L7241" i="1"/>
  <c r="K7242" i="1"/>
  <c r="L7242" i="1"/>
  <c r="K7243" i="1"/>
  <c r="L7243" i="1"/>
  <c r="K7244" i="1"/>
  <c r="L7244" i="1"/>
  <c r="K7245" i="1"/>
  <c r="L7245" i="1"/>
  <c r="K7246" i="1"/>
  <c r="L7246" i="1"/>
  <c r="K7247" i="1"/>
  <c r="L7247" i="1"/>
  <c r="K7248" i="1"/>
  <c r="L7248" i="1"/>
  <c r="K7249" i="1"/>
  <c r="L7249" i="1"/>
  <c r="K7250" i="1"/>
  <c r="L7250" i="1"/>
  <c r="K7251" i="1"/>
  <c r="L7251" i="1"/>
  <c r="K7252" i="1"/>
  <c r="L7252" i="1"/>
  <c r="K7253" i="1"/>
  <c r="L7253" i="1"/>
  <c r="K7254" i="1"/>
  <c r="L7254" i="1"/>
  <c r="K7255" i="1"/>
  <c r="L7255" i="1"/>
  <c r="K7256" i="1"/>
  <c r="L7256" i="1"/>
  <c r="K7257" i="1"/>
  <c r="L7257" i="1"/>
  <c r="K7258" i="1"/>
  <c r="L7258" i="1"/>
  <c r="K7259" i="1"/>
  <c r="L7259" i="1"/>
  <c r="K7260" i="1"/>
  <c r="L7260" i="1"/>
  <c r="K7261" i="1"/>
  <c r="L7261" i="1"/>
  <c r="K7262" i="1"/>
  <c r="L7262" i="1"/>
  <c r="K7263" i="1"/>
  <c r="L7263" i="1"/>
  <c r="K7264" i="1"/>
  <c r="L7264" i="1"/>
  <c r="K7265" i="1"/>
  <c r="L7265" i="1"/>
  <c r="K7266" i="1"/>
  <c r="L7266" i="1"/>
  <c r="K7267" i="1"/>
  <c r="L7267" i="1"/>
  <c r="K7268" i="1"/>
  <c r="L7268" i="1"/>
  <c r="K7269" i="1"/>
  <c r="L7269" i="1"/>
  <c r="K7270" i="1"/>
  <c r="L7270" i="1"/>
  <c r="K7271" i="1"/>
  <c r="L7271" i="1"/>
  <c r="K7272" i="1"/>
  <c r="L7272" i="1"/>
  <c r="K7273" i="1"/>
  <c r="L7273" i="1"/>
  <c r="K7274" i="1"/>
  <c r="L7274" i="1"/>
  <c r="K7275" i="1"/>
  <c r="L7275" i="1"/>
  <c r="K7276" i="1"/>
  <c r="L7276" i="1"/>
  <c r="K7277" i="1"/>
  <c r="L7277" i="1"/>
  <c r="K7278" i="1"/>
  <c r="L7278" i="1"/>
  <c r="K7279" i="1"/>
  <c r="L7279" i="1"/>
  <c r="K7280" i="1"/>
  <c r="L7280" i="1"/>
  <c r="K7281" i="1"/>
  <c r="L7281" i="1"/>
  <c r="K7282" i="1"/>
  <c r="L7282" i="1"/>
  <c r="K7283" i="1"/>
  <c r="L7283" i="1"/>
  <c r="K7284" i="1"/>
  <c r="L7284" i="1"/>
  <c r="K7285" i="1"/>
  <c r="L7285" i="1"/>
  <c r="K7286" i="1"/>
  <c r="L7286" i="1"/>
  <c r="K7287" i="1"/>
  <c r="L7287" i="1"/>
  <c r="K7288" i="1"/>
  <c r="L7288" i="1"/>
  <c r="K7289" i="1"/>
  <c r="L7289" i="1"/>
  <c r="K7290" i="1"/>
  <c r="L7290" i="1"/>
  <c r="K7291" i="1"/>
  <c r="L7291" i="1"/>
  <c r="K7292" i="1"/>
  <c r="L7292" i="1"/>
  <c r="K7293" i="1"/>
  <c r="L7293" i="1"/>
  <c r="K7294" i="1"/>
  <c r="L7294" i="1"/>
  <c r="K7295" i="1"/>
  <c r="L7295" i="1"/>
  <c r="K7296" i="1"/>
  <c r="L7296" i="1"/>
  <c r="K7297" i="1"/>
  <c r="L7297" i="1"/>
  <c r="K7298" i="1"/>
  <c r="L7298" i="1"/>
  <c r="K7299" i="1"/>
  <c r="L7299" i="1"/>
  <c r="K7300" i="1"/>
  <c r="L7300" i="1"/>
  <c r="K7301" i="1"/>
  <c r="L7301" i="1"/>
  <c r="K7302" i="1"/>
  <c r="L7302" i="1"/>
  <c r="K7303" i="1"/>
  <c r="L7303" i="1"/>
  <c r="K7304" i="1"/>
  <c r="L7304" i="1"/>
  <c r="K7305" i="1"/>
  <c r="L7305" i="1"/>
  <c r="K7306" i="1"/>
  <c r="L7306" i="1"/>
  <c r="K7307" i="1"/>
  <c r="L7307" i="1"/>
  <c r="K7308" i="1"/>
  <c r="L7308" i="1"/>
  <c r="K7309" i="1"/>
  <c r="L7309" i="1"/>
  <c r="K7310" i="1"/>
  <c r="L7310" i="1"/>
  <c r="K7311" i="1"/>
  <c r="L7311" i="1"/>
  <c r="K7312" i="1"/>
  <c r="L7312" i="1"/>
  <c r="K7313" i="1"/>
  <c r="L7313" i="1"/>
  <c r="K7314" i="1"/>
  <c r="L7314" i="1"/>
  <c r="K7315" i="1"/>
  <c r="L7315" i="1"/>
  <c r="K7316" i="1"/>
  <c r="L7316" i="1"/>
  <c r="K7317" i="1"/>
  <c r="L7317" i="1"/>
  <c r="K7318" i="1"/>
  <c r="L7318" i="1"/>
  <c r="K7319" i="1"/>
  <c r="L7319" i="1"/>
  <c r="K7320" i="1"/>
  <c r="L7320" i="1"/>
  <c r="K7321" i="1"/>
  <c r="L7321" i="1"/>
  <c r="K7322" i="1"/>
  <c r="L7322" i="1"/>
  <c r="K7323" i="1"/>
  <c r="L7323" i="1"/>
  <c r="K7324" i="1"/>
  <c r="L7324" i="1"/>
  <c r="K7325" i="1"/>
  <c r="L7325" i="1"/>
  <c r="K7326" i="1"/>
  <c r="L7326" i="1"/>
  <c r="K7327" i="1"/>
  <c r="L7327" i="1"/>
  <c r="K7328" i="1"/>
  <c r="L7328" i="1"/>
  <c r="K7329" i="1"/>
  <c r="L7329" i="1"/>
  <c r="K7330" i="1"/>
  <c r="L7330" i="1"/>
  <c r="K7331" i="1"/>
  <c r="L7331" i="1"/>
  <c r="K7332" i="1"/>
  <c r="L7332" i="1"/>
  <c r="K7333" i="1"/>
  <c r="L7333" i="1"/>
  <c r="K7334" i="1"/>
  <c r="L7334" i="1"/>
  <c r="K7335" i="1"/>
  <c r="L7335" i="1"/>
  <c r="K7336" i="1"/>
  <c r="L7336" i="1"/>
  <c r="K7337" i="1"/>
  <c r="L7337" i="1"/>
  <c r="K7338" i="1"/>
  <c r="L7338" i="1"/>
  <c r="K7339" i="1"/>
  <c r="L7339" i="1"/>
  <c r="K7340" i="1"/>
  <c r="L7340" i="1"/>
  <c r="K7341" i="1"/>
  <c r="L7341" i="1"/>
  <c r="K7342" i="1"/>
  <c r="L7342" i="1"/>
  <c r="K7343" i="1"/>
  <c r="L7343" i="1"/>
  <c r="K7344" i="1"/>
  <c r="L7344" i="1"/>
  <c r="K7345" i="1"/>
  <c r="L7345" i="1"/>
  <c r="K7346" i="1"/>
  <c r="L7346" i="1"/>
  <c r="K7347" i="1"/>
  <c r="L7347" i="1"/>
  <c r="K7348" i="1"/>
  <c r="L7348" i="1"/>
  <c r="K7349" i="1"/>
  <c r="L7349" i="1"/>
  <c r="K7350" i="1"/>
  <c r="L7350" i="1"/>
  <c r="K7351" i="1"/>
  <c r="L7351" i="1"/>
  <c r="K7352" i="1"/>
  <c r="L7352" i="1"/>
  <c r="K7353" i="1"/>
  <c r="L7353" i="1"/>
  <c r="K7354" i="1"/>
  <c r="L7354" i="1"/>
  <c r="K7355" i="1"/>
  <c r="L7355" i="1"/>
  <c r="K7356" i="1"/>
  <c r="L7356" i="1"/>
  <c r="K7357" i="1"/>
  <c r="L7357" i="1"/>
  <c r="K7358" i="1"/>
  <c r="L7358" i="1"/>
  <c r="K7359" i="1"/>
  <c r="L7359" i="1"/>
  <c r="K7360" i="1"/>
  <c r="L7360" i="1"/>
  <c r="K7361" i="1"/>
  <c r="L7361" i="1"/>
  <c r="K7362" i="1"/>
  <c r="L7362" i="1"/>
  <c r="K7363" i="1"/>
  <c r="L7363" i="1"/>
  <c r="K7364" i="1"/>
  <c r="L7364" i="1"/>
  <c r="K7365" i="1"/>
  <c r="L7365" i="1"/>
  <c r="K7366" i="1"/>
  <c r="L7366" i="1"/>
  <c r="K7367" i="1"/>
  <c r="L7367" i="1"/>
  <c r="K7368" i="1"/>
  <c r="L7368" i="1"/>
  <c r="K7369" i="1"/>
  <c r="L7369" i="1"/>
  <c r="K7370" i="1"/>
  <c r="L7370" i="1"/>
  <c r="K7371" i="1"/>
  <c r="L7371" i="1"/>
  <c r="K7372" i="1"/>
  <c r="L7372" i="1"/>
  <c r="K7373" i="1"/>
  <c r="L7373" i="1"/>
  <c r="K7374" i="1"/>
  <c r="L7374" i="1"/>
  <c r="K7375" i="1"/>
  <c r="L7375" i="1"/>
  <c r="K7376" i="1"/>
  <c r="L7376" i="1"/>
  <c r="K7377" i="1"/>
  <c r="L7377" i="1"/>
  <c r="K7378" i="1"/>
  <c r="L7378" i="1"/>
  <c r="K7379" i="1"/>
  <c r="L7379" i="1"/>
  <c r="K7380" i="1"/>
  <c r="L7380" i="1"/>
  <c r="K7381" i="1"/>
  <c r="L7381" i="1"/>
  <c r="K7382" i="1"/>
  <c r="L7382" i="1"/>
  <c r="K7383" i="1"/>
  <c r="L7383" i="1"/>
  <c r="K7384" i="1"/>
  <c r="L7384" i="1"/>
  <c r="K7385" i="1"/>
  <c r="L7385" i="1"/>
  <c r="K7386" i="1"/>
  <c r="L7386" i="1"/>
  <c r="K7387" i="1"/>
  <c r="L7387" i="1"/>
  <c r="K7388" i="1"/>
  <c r="L7388" i="1"/>
  <c r="K7389" i="1"/>
  <c r="L7389" i="1"/>
  <c r="K7390" i="1"/>
  <c r="L7390" i="1"/>
  <c r="K7391" i="1"/>
  <c r="L7391" i="1"/>
  <c r="K7392" i="1"/>
  <c r="L7392" i="1"/>
  <c r="K7393" i="1"/>
  <c r="L7393" i="1"/>
  <c r="K7394" i="1"/>
  <c r="L7394" i="1"/>
  <c r="K7395" i="1"/>
  <c r="L7395" i="1"/>
  <c r="K7396" i="1"/>
  <c r="L7396" i="1"/>
  <c r="K7397" i="1"/>
  <c r="L7397" i="1"/>
  <c r="K7398" i="1"/>
  <c r="L7398" i="1"/>
  <c r="K7399" i="1"/>
  <c r="L7399" i="1"/>
  <c r="K7400" i="1"/>
  <c r="L7400" i="1"/>
  <c r="K7401" i="1"/>
  <c r="L7401" i="1"/>
  <c r="K7402" i="1"/>
  <c r="L7402" i="1"/>
  <c r="K7403" i="1"/>
  <c r="L7403" i="1"/>
  <c r="K7404" i="1"/>
  <c r="L7404" i="1"/>
  <c r="K7405" i="1"/>
  <c r="L7405" i="1"/>
  <c r="K7406" i="1"/>
  <c r="L7406" i="1"/>
  <c r="K7407" i="1"/>
  <c r="L7407" i="1"/>
  <c r="K7408" i="1"/>
  <c r="L7408" i="1"/>
  <c r="K7409" i="1"/>
  <c r="L7409" i="1"/>
  <c r="K7410" i="1"/>
  <c r="L7410" i="1"/>
  <c r="K7411" i="1"/>
  <c r="L7411" i="1"/>
  <c r="K7412" i="1"/>
  <c r="L7412" i="1"/>
  <c r="K7413" i="1"/>
  <c r="L7413" i="1"/>
  <c r="K7414" i="1"/>
  <c r="L7414" i="1"/>
  <c r="K7415" i="1"/>
  <c r="L7415" i="1"/>
  <c r="K7416" i="1"/>
  <c r="L7416" i="1"/>
  <c r="K7417" i="1"/>
  <c r="L7417" i="1"/>
  <c r="K7418" i="1"/>
  <c r="L7418" i="1"/>
  <c r="K7419" i="1"/>
  <c r="L7419" i="1"/>
  <c r="K7420" i="1"/>
  <c r="L7420" i="1"/>
  <c r="K7421" i="1"/>
  <c r="L7421" i="1"/>
  <c r="K7422" i="1"/>
  <c r="L7422" i="1"/>
  <c r="K7423" i="1"/>
  <c r="L7423" i="1"/>
  <c r="K7424" i="1"/>
  <c r="L7424" i="1"/>
  <c r="K7425" i="1"/>
  <c r="L7425" i="1"/>
  <c r="K7426" i="1"/>
  <c r="L7426" i="1"/>
  <c r="K7427" i="1"/>
  <c r="L7427" i="1"/>
  <c r="K7428" i="1"/>
  <c r="L7428" i="1"/>
  <c r="K7429" i="1"/>
  <c r="L7429" i="1"/>
  <c r="K7430" i="1"/>
  <c r="L7430" i="1"/>
  <c r="K7431" i="1"/>
  <c r="L7431" i="1"/>
  <c r="K7432" i="1"/>
  <c r="L7432" i="1"/>
  <c r="K7433" i="1"/>
  <c r="L7433" i="1"/>
  <c r="K7434" i="1"/>
  <c r="L7434" i="1"/>
  <c r="K7435" i="1"/>
  <c r="L7435" i="1"/>
  <c r="K7436" i="1"/>
  <c r="L7436" i="1"/>
  <c r="K7437" i="1"/>
  <c r="L7437" i="1"/>
  <c r="K7438" i="1"/>
  <c r="L7438" i="1"/>
  <c r="K7439" i="1"/>
  <c r="L7439" i="1"/>
  <c r="K7440" i="1"/>
  <c r="L7440" i="1"/>
  <c r="K7441" i="1"/>
  <c r="L7441" i="1"/>
  <c r="K7442" i="1"/>
  <c r="L7442" i="1"/>
  <c r="K7443" i="1"/>
  <c r="L7443" i="1"/>
  <c r="K7444" i="1"/>
  <c r="L7444" i="1"/>
  <c r="K7445" i="1"/>
  <c r="L7445" i="1"/>
  <c r="K7446" i="1"/>
  <c r="L7446" i="1"/>
  <c r="K7447" i="1"/>
  <c r="L7447" i="1"/>
  <c r="K7448" i="1"/>
  <c r="L7448" i="1"/>
  <c r="K7449" i="1"/>
  <c r="L7449" i="1"/>
  <c r="K7450" i="1"/>
  <c r="L7450" i="1"/>
  <c r="K7451" i="1"/>
  <c r="L7451" i="1"/>
  <c r="K7452" i="1"/>
  <c r="L7452" i="1"/>
  <c r="K7453" i="1"/>
  <c r="L7453" i="1"/>
  <c r="K7454" i="1"/>
  <c r="L7454" i="1"/>
  <c r="K7455" i="1"/>
  <c r="L7455" i="1"/>
  <c r="K7456" i="1"/>
  <c r="L7456" i="1"/>
  <c r="K7457" i="1"/>
  <c r="L7457" i="1"/>
  <c r="K7458" i="1"/>
  <c r="L7458" i="1"/>
  <c r="K7459" i="1"/>
  <c r="L7459" i="1"/>
  <c r="K7460" i="1"/>
  <c r="L7460" i="1"/>
  <c r="L2" i="1"/>
  <c r="K2" i="1"/>
  <c r="H4" i="1"/>
  <c r="E4" i="1"/>
  <c r="B4" i="1"/>
  <c r="A9" i="1"/>
  <c r="D9" i="1"/>
  <c r="G9" i="1"/>
</calcChain>
</file>

<file path=xl/sharedStrings.xml><?xml version="1.0" encoding="utf-8"?>
<sst xmlns="http://schemas.openxmlformats.org/spreadsheetml/2006/main" count="6252" uniqueCount="19">
  <si>
    <t>12M T-Bill</t>
  </si>
  <si>
    <t>Security</t>
  </si>
  <si>
    <t>FBTB12M INDEX</t>
  </si>
  <si>
    <t>Start Date</t>
  </si>
  <si>
    <t>End Date</t>
  </si>
  <si>
    <t>Period</t>
  </si>
  <si>
    <t>D</t>
  </si>
  <si>
    <t>Currency</t>
  </si>
  <si>
    <t>INR</t>
  </si>
  <si>
    <t>Date</t>
  </si>
  <si>
    <t>PX_LAST</t>
  </si>
  <si>
    <t>INRPYLPD Index</t>
  </si>
  <si>
    <t>GIND1YR INDEX</t>
  </si>
  <si>
    <t>#N/A N/A</t>
  </si>
  <si>
    <t>Repo Rate</t>
  </si>
  <si>
    <t>1Y G-Sec</t>
  </si>
  <si>
    <t>Repo rate</t>
  </si>
  <si>
    <t>1Y Gsec</t>
  </si>
  <si>
    <t>1Y Gsec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</si>
</sst>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1" fillId="0" borderId="0"/>
  </cellStyleXfs>
  <cellXfs count="4">
    <xf numFmtId="0" fontId="0" fillId="0" borderId="0" xfId="0"/>
    <xf numFmtId="22" fontId="1" fillId="0" borderId="0" xfId="1"/>
    <xf numFmtId="14" fontId="0" fillId="0" borderId="0" xfId="0" applyNumberFormat="1"/>
    <xf numFmtId="164" fontId="0" fillId="0" borderId="0" xfId="0" applyNumberFormat="1"/>
  </cellXfs>
  <cellStyles count="2">
    <cellStyle name="blp_datetime" xfId="1" xr:uid="{C2840C3D-7E0C-4A06-BBE6-23FB2FC8712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Repo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Sheet1!$J$2:$J$7460</c:f>
              <c:numCache>
                <c:formatCode>m/d/yyyy</c:formatCode>
                <c:ptCount val="7459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  <c:pt idx="30">
                  <c:v>37287</c:v>
                </c:pt>
                <c:pt idx="31">
                  <c:v>37288</c:v>
                </c:pt>
                <c:pt idx="32">
                  <c:v>37289</c:v>
                </c:pt>
                <c:pt idx="33">
                  <c:v>37290</c:v>
                </c:pt>
                <c:pt idx="34">
                  <c:v>37291</c:v>
                </c:pt>
                <c:pt idx="35">
                  <c:v>37292</c:v>
                </c:pt>
                <c:pt idx="36">
                  <c:v>37293</c:v>
                </c:pt>
                <c:pt idx="37">
                  <c:v>37294</c:v>
                </c:pt>
                <c:pt idx="38">
                  <c:v>37295</c:v>
                </c:pt>
                <c:pt idx="39">
                  <c:v>37296</c:v>
                </c:pt>
                <c:pt idx="40">
                  <c:v>37297</c:v>
                </c:pt>
                <c:pt idx="41">
                  <c:v>37298</c:v>
                </c:pt>
                <c:pt idx="42">
                  <c:v>37299</c:v>
                </c:pt>
                <c:pt idx="43">
                  <c:v>37300</c:v>
                </c:pt>
                <c:pt idx="44">
                  <c:v>37301</c:v>
                </c:pt>
                <c:pt idx="45">
                  <c:v>37302</c:v>
                </c:pt>
                <c:pt idx="46">
                  <c:v>37303</c:v>
                </c:pt>
                <c:pt idx="47">
                  <c:v>37304</c:v>
                </c:pt>
                <c:pt idx="48">
                  <c:v>37305</c:v>
                </c:pt>
                <c:pt idx="49">
                  <c:v>37306</c:v>
                </c:pt>
                <c:pt idx="50">
                  <c:v>37307</c:v>
                </c:pt>
                <c:pt idx="51">
                  <c:v>37308</c:v>
                </c:pt>
                <c:pt idx="52">
                  <c:v>37309</c:v>
                </c:pt>
                <c:pt idx="53">
                  <c:v>37310</c:v>
                </c:pt>
                <c:pt idx="54">
                  <c:v>37311</c:v>
                </c:pt>
                <c:pt idx="55">
                  <c:v>37312</c:v>
                </c:pt>
                <c:pt idx="56">
                  <c:v>37313</c:v>
                </c:pt>
                <c:pt idx="57">
                  <c:v>37314</c:v>
                </c:pt>
                <c:pt idx="58">
                  <c:v>37315</c:v>
                </c:pt>
                <c:pt idx="59">
                  <c:v>37316</c:v>
                </c:pt>
                <c:pt idx="60">
                  <c:v>37317</c:v>
                </c:pt>
                <c:pt idx="61">
                  <c:v>37318</c:v>
                </c:pt>
                <c:pt idx="62">
                  <c:v>37319</c:v>
                </c:pt>
                <c:pt idx="63">
                  <c:v>37320</c:v>
                </c:pt>
                <c:pt idx="64">
                  <c:v>37321</c:v>
                </c:pt>
                <c:pt idx="65">
                  <c:v>37322</c:v>
                </c:pt>
                <c:pt idx="66">
                  <c:v>37323</c:v>
                </c:pt>
                <c:pt idx="67">
                  <c:v>37324</c:v>
                </c:pt>
                <c:pt idx="68">
                  <c:v>37325</c:v>
                </c:pt>
                <c:pt idx="69">
                  <c:v>37326</c:v>
                </c:pt>
                <c:pt idx="70">
                  <c:v>37327</c:v>
                </c:pt>
                <c:pt idx="71">
                  <c:v>37328</c:v>
                </c:pt>
                <c:pt idx="72">
                  <c:v>37329</c:v>
                </c:pt>
                <c:pt idx="73">
                  <c:v>37330</c:v>
                </c:pt>
                <c:pt idx="74">
                  <c:v>37331</c:v>
                </c:pt>
                <c:pt idx="75">
                  <c:v>37332</c:v>
                </c:pt>
                <c:pt idx="76">
                  <c:v>37333</c:v>
                </c:pt>
                <c:pt idx="77">
                  <c:v>37334</c:v>
                </c:pt>
                <c:pt idx="78">
                  <c:v>37335</c:v>
                </c:pt>
                <c:pt idx="79">
                  <c:v>37336</c:v>
                </c:pt>
                <c:pt idx="80">
                  <c:v>37337</c:v>
                </c:pt>
                <c:pt idx="81">
                  <c:v>37338</c:v>
                </c:pt>
                <c:pt idx="82">
                  <c:v>37339</c:v>
                </c:pt>
                <c:pt idx="83">
                  <c:v>37340</c:v>
                </c:pt>
                <c:pt idx="84">
                  <c:v>37341</c:v>
                </c:pt>
                <c:pt idx="85">
                  <c:v>37342</c:v>
                </c:pt>
                <c:pt idx="86">
                  <c:v>37343</c:v>
                </c:pt>
                <c:pt idx="87">
                  <c:v>37344</c:v>
                </c:pt>
                <c:pt idx="88">
                  <c:v>37345</c:v>
                </c:pt>
                <c:pt idx="89">
                  <c:v>37346</c:v>
                </c:pt>
                <c:pt idx="90">
                  <c:v>37347</c:v>
                </c:pt>
                <c:pt idx="91">
                  <c:v>37348</c:v>
                </c:pt>
                <c:pt idx="92">
                  <c:v>37349</c:v>
                </c:pt>
                <c:pt idx="93">
                  <c:v>37350</c:v>
                </c:pt>
                <c:pt idx="94">
                  <c:v>37351</c:v>
                </c:pt>
                <c:pt idx="95">
                  <c:v>37352</c:v>
                </c:pt>
                <c:pt idx="96">
                  <c:v>37353</c:v>
                </c:pt>
                <c:pt idx="97">
                  <c:v>37354</c:v>
                </c:pt>
                <c:pt idx="98">
                  <c:v>37355</c:v>
                </c:pt>
                <c:pt idx="99">
                  <c:v>37356</c:v>
                </c:pt>
                <c:pt idx="100">
                  <c:v>37357</c:v>
                </c:pt>
                <c:pt idx="101">
                  <c:v>37358</c:v>
                </c:pt>
                <c:pt idx="102">
                  <c:v>37359</c:v>
                </c:pt>
                <c:pt idx="103">
                  <c:v>37360</c:v>
                </c:pt>
                <c:pt idx="104">
                  <c:v>37361</c:v>
                </c:pt>
                <c:pt idx="105">
                  <c:v>37362</c:v>
                </c:pt>
                <c:pt idx="106">
                  <c:v>37363</c:v>
                </c:pt>
                <c:pt idx="107">
                  <c:v>37364</c:v>
                </c:pt>
                <c:pt idx="108">
                  <c:v>37365</c:v>
                </c:pt>
                <c:pt idx="109">
                  <c:v>37366</c:v>
                </c:pt>
                <c:pt idx="110">
                  <c:v>37367</c:v>
                </c:pt>
                <c:pt idx="111">
                  <c:v>37368</c:v>
                </c:pt>
                <c:pt idx="112">
                  <c:v>37369</c:v>
                </c:pt>
                <c:pt idx="113">
                  <c:v>37370</c:v>
                </c:pt>
                <c:pt idx="114">
                  <c:v>37371</c:v>
                </c:pt>
                <c:pt idx="115">
                  <c:v>37372</c:v>
                </c:pt>
                <c:pt idx="116">
                  <c:v>37373</c:v>
                </c:pt>
                <c:pt idx="117">
                  <c:v>37374</c:v>
                </c:pt>
                <c:pt idx="118">
                  <c:v>37375</c:v>
                </c:pt>
                <c:pt idx="119">
                  <c:v>37376</c:v>
                </c:pt>
                <c:pt idx="120">
                  <c:v>37377</c:v>
                </c:pt>
                <c:pt idx="121">
                  <c:v>37378</c:v>
                </c:pt>
                <c:pt idx="122">
                  <c:v>37379</c:v>
                </c:pt>
                <c:pt idx="123">
                  <c:v>37380</c:v>
                </c:pt>
                <c:pt idx="124">
                  <c:v>37381</c:v>
                </c:pt>
                <c:pt idx="125">
                  <c:v>37382</c:v>
                </c:pt>
                <c:pt idx="126">
                  <c:v>37383</c:v>
                </c:pt>
                <c:pt idx="127">
                  <c:v>37384</c:v>
                </c:pt>
                <c:pt idx="128">
                  <c:v>37385</c:v>
                </c:pt>
                <c:pt idx="129">
                  <c:v>37386</c:v>
                </c:pt>
                <c:pt idx="130">
                  <c:v>37387</c:v>
                </c:pt>
                <c:pt idx="131">
                  <c:v>37388</c:v>
                </c:pt>
                <c:pt idx="132">
                  <c:v>37389</c:v>
                </c:pt>
                <c:pt idx="133">
                  <c:v>37390</c:v>
                </c:pt>
                <c:pt idx="134">
                  <c:v>37391</c:v>
                </c:pt>
                <c:pt idx="135">
                  <c:v>37392</c:v>
                </c:pt>
                <c:pt idx="136">
                  <c:v>37393</c:v>
                </c:pt>
                <c:pt idx="137">
                  <c:v>37394</c:v>
                </c:pt>
                <c:pt idx="138">
                  <c:v>37395</c:v>
                </c:pt>
                <c:pt idx="139">
                  <c:v>37396</c:v>
                </c:pt>
                <c:pt idx="140">
                  <c:v>37397</c:v>
                </c:pt>
                <c:pt idx="141">
                  <c:v>37398</c:v>
                </c:pt>
                <c:pt idx="142">
                  <c:v>37399</c:v>
                </c:pt>
                <c:pt idx="143">
                  <c:v>37400</c:v>
                </c:pt>
                <c:pt idx="144">
                  <c:v>37401</c:v>
                </c:pt>
                <c:pt idx="145">
                  <c:v>37402</c:v>
                </c:pt>
                <c:pt idx="146">
                  <c:v>37403</c:v>
                </c:pt>
                <c:pt idx="147">
                  <c:v>37404</c:v>
                </c:pt>
                <c:pt idx="148">
                  <c:v>37405</c:v>
                </c:pt>
                <c:pt idx="149">
                  <c:v>37406</c:v>
                </c:pt>
                <c:pt idx="150">
                  <c:v>37407</c:v>
                </c:pt>
                <c:pt idx="151">
                  <c:v>37408</c:v>
                </c:pt>
                <c:pt idx="152">
                  <c:v>37409</c:v>
                </c:pt>
                <c:pt idx="153">
                  <c:v>37410</c:v>
                </c:pt>
                <c:pt idx="154">
                  <c:v>37411</c:v>
                </c:pt>
                <c:pt idx="155">
                  <c:v>37412</c:v>
                </c:pt>
                <c:pt idx="156">
                  <c:v>37413</c:v>
                </c:pt>
                <c:pt idx="157">
                  <c:v>37414</c:v>
                </c:pt>
                <c:pt idx="158">
                  <c:v>37415</c:v>
                </c:pt>
                <c:pt idx="159">
                  <c:v>37416</c:v>
                </c:pt>
                <c:pt idx="160">
                  <c:v>37417</c:v>
                </c:pt>
                <c:pt idx="161">
                  <c:v>37418</c:v>
                </c:pt>
                <c:pt idx="162">
                  <c:v>37419</c:v>
                </c:pt>
                <c:pt idx="163">
                  <c:v>37420</c:v>
                </c:pt>
                <c:pt idx="164">
                  <c:v>37421</c:v>
                </c:pt>
                <c:pt idx="165">
                  <c:v>37422</c:v>
                </c:pt>
                <c:pt idx="166">
                  <c:v>37423</c:v>
                </c:pt>
                <c:pt idx="167">
                  <c:v>37424</c:v>
                </c:pt>
                <c:pt idx="168">
                  <c:v>37425</c:v>
                </c:pt>
                <c:pt idx="169">
                  <c:v>37426</c:v>
                </c:pt>
                <c:pt idx="170">
                  <c:v>37427</c:v>
                </c:pt>
                <c:pt idx="171">
                  <c:v>37428</c:v>
                </c:pt>
                <c:pt idx="172">
                  <c:v>37429</c:v>
                </c:pt>
                <c:pt idx="173">
                  <c:v>37430</c:v>
                </c:pt>
                <c:pt idx="174">
                  <c:v>37431</c:v>
                </c:pt>
                <c:pt idx="175">
                  <c:v>37432</c:v>
                </c:pt>
                <c:pt idx="176">
                  <c:v>37433</c:v>
                </c:pt>
                <c:pt idx="177">
                  <c:v>37434</c:v>
                </c:pt>
                <c:pt idx="178">
                  <c:v>37435</c:v>
                </c:pt>
                <c:pt idx="179">
                  <c:v>37436</c:v>
                </c:pt>
                <c:pt idx="180">
                  <c:v>37437</c:v>
                </c:pt>
                <c:pt idx="181">
                  <c:v>37438</c:v>
                </c:pt>
                <c:pt idx="182">
                  <c:v>37439</c:v>
                </c:pt>
                <c:pt idx="183">
                  <c:v>37440</c:v>
                </c:pt>
                <c:pt idx="184">
                  <c:v>37441</c:v>
                </c:pt>
                <c:pt idx="185">
                  <c:v>37442</c:v>
                </c:pt>
                <c:pt idx="186">
                  <c:v>37443</c:v>
                </c:pt>
                <c:pt idx="187">
                  <c:v>37444</c:v>
                </c:pt>
                <c:pt idx="188">
                  <c:v>37445</c:v>
                </c:pt>
                <c:pt idx="189">
                  <c:v>37446</c:v>
                </c:pt>
                <c:pt idx="190">
                  <c:v>37447</c:v>
                </c:pt>
                <c:pt idx="191">
                  <c:v>37448</c:v>
                </c:pt>
                <c:pt idx="192">
                  <c:v>37449</c:v>
                </c:pt>
                <c:pt idx="193">
                  <c:v>37450</c:v>
                </c:pt>
                <c:pt idx="194">
                  <c:v>37451</c:v>
                </c:pt>
                <c:pt idx="195">
                  <c:v>37452</c:v>
                </c:pt>
                <c:pt idx="196">
                  <c:v>37453</c:v>
                </c:pt>
                <c:pt idx="197">
                  <c:v>37454</c:v>
                </c:pt>
                <c:pt idx="198">
                  <c:v>37455</c:v>
                </c:pt>
                <c:pt idx="199">
                  <c:v>37456</c:v>
                </c:pt>
                <c:pt idx="200">
                  <c:v>37457</c:v>
                </c:pt>
                <c:pt idx="201">
                  <c:v>37458</c:v>
                </c:pt>
                <c:pt idx="202">
                  <c:v>37459</c:v>
                </c:pt>
                <c:pt idx="203">
                  <c:v>37460</c:v>
                </c:pt>
                <c:pt idx="204">
                  <c:v>37461</c:v>
                </c:pt>
                <c:pt idx="205">
                  <c:v>37462</c:v>
                </c:pt>
                <c:pt idx="206">
                  <c:v>37463</c:v>
                </c:pt>
                <c:pt idx="207">
                  <c:v>37464</c:v>
                </c:pt>
                <c:pt idx="208">
                  <c:v>37465</c:v>
                </c:pt>
                <c:pt idx="209">
                  <c:v>37466</c:v>
                </c:pt>
                <c:pt idx="210">
                  <c:v>37467</c:v>
                </c:pt>
                <c:pt idx="211">
                  <c:v>37468</c:v>
                </c:pt>
                <c:pt idx="212">
                  <c:v>37469</c:v>
                </c:pt>
                <c:pt idx="213">
                  <c:v>37470</c:v>
                </c:pt>
                <c:pt idx="214">
                  <c:v>37471</c:v>
                </c:pt>
                <c:pt idx="215">
                  <c:v>37472</c:v>
                </c:pt>
                <c:pt idx="216">
                  <c:v>37473</c:v>
                </c:pt>
                <c:pt idx="217">
                  <c:v>37474</c:v>
                </c:pt>
                <c:pt idx="218">
                  <c:v>37475</c:v>
                </c:pt>
                <c:pt idx="219">
                  <c:v>37476</c:v>
                </c:pt>
                <c:pt idx="220">
                  <c:v>37477</c:v>
                </c:pt>
                <c:pt idx="221">
                  <c:v>37478</c:v>
                </c:pt>
                <c:pt idx="222">
                  <c:v>37479</c:v>
                </c:pt>
                <c:pt idx="223">
                  <c:v>37480</c:v>
                </c:pt>
                <c:pt idx="224">
                  <c:v>37481</c:v>
                </c:pt>
                <c:pt idx="225">
                  <c:v>37482</c:v>
                </c:pt>
                <c:pt idx="226">
                  <c:v>37483</c:v>
                </c:pt>
                <c:pt idx="227">
                  <c:v>37484</c:v>
                </c:pt>
                <c:pt idx="228">
                  <c:v>37485</c:v>
                </c:pt>
                <c:pt idx="229">
                  <c:v>37486</c:v>
                </c:pt>
                <c:pt idx="230">
                  <c:v>37487</c:v>
                </c:pt>
                <c:pt idx="231">
                  <c:v>37488</c:v>
                </c:pt>
                <c:pt idx="232">
                  <c:v>37489</c:v>
                </c:pt>
                <c:pt idx="233">
                  <c:v>37490</c:v>
                </c:pt>
                <c:pt idx="234">
                  <c:v>37491</c:v>
                </c:pt>
                <c:pt idx="235">
                  <c:v>37492</c:v>
                </c:pt>
                <c:pt idx="236">
                  <c:v>37493</c:v>
                </c:pt>
                <c:pt idx="237">
                  <c:v>37494</c:v>
                </c:pt>
                <c:pt idx="238">
                  <c:v>37495</c:v>
                </c:pt>
                <c:pt idx="239">
                  <c:v>37496</c:v>
                </c:pt>
                <c:pt idx="240">
                  <c:v>37497</c:v>
                </c:pt>
                <c:pt idx="241">
                  <c:v>37498</c:v>
                </c:pt>
                <c:pt idx="242">
                  <c:v>37499</c:v>
                </c:pt>
                <c:pt idx="243">
                  <c:v>37500</c:v>
                </c:pt>
                <c:pt idx="244">
                  <c:v>37501</c:v>
                </c:pt>
                <c:pt idx="245">
                  <c:v>37502</c:v>
                </c:pt>
                <c:pt idx="246">
                  <c:v>37503</c:v>
                </c:pt>
                <c:pt idx="247">
                  <c:v>37504</c:v>
                </c:pt>
                <c:pt idx="248">
                  <c:v>37505</c:v>
                </c:pt>
                <c:pt idx="249">
                  <c:v>37506</c:v>
                </c:pt>
                <c:pt idx="250">
                  <c:v>37507</c:v>
                </c:pt>
                <c:pt idx="251">
                  <c:v>37508</c:v>
                </c:pt>
                <c:pt idx="252">
                  <c:v>37509</c:v>
                </c:pt>
                <c:pt idx="253">
                  <c:v>37510</c:v>
                </c:pt>
                <c:pt idx="254">
                  <c:v>37511</c:v>
                </c:pt>
                <c:pt idx="255">
                  <c:v>37512</c:v>
                </c:pt>
                <c:pt idx="256">
                  <c:v>37513</c:v>
                </c:pt>
                <c:pt idx="257">
                  <c:v>37514</c:v>
                </c:pt>
                <c:pt idx="258">
                  <c:v>37515</c:v>
                </c:pt>
                <c:pt idx="259">
                  <c:v>37516</c:v>
                </c:pt>
                <c:pt idx="260">
                  <c:v>37517</c:v>
                </c:pt>
                <c:pt idx="261">
                  <c:v>37518</c:v>
                </c:pt>
                <c:pt idx="262">
                  <c:v>37519</c:v>
                </c:pt>
                <c:pt idx="263">
                  <c:v>37520</c:v>
                </c:pt>
                <c:pt idx="264">
                  <c:v>37521</c:v>
                </c:pt>
                <c:pt idx="265">
                  <c:v>37522</c:v>
                </c:pt>
                <c:pt idx="266">
                  <c:v>37523</c:v>
                </c:pt>
                <c:pt idx="267">
                  <c:v>37524</c:v>
                </c:pt>
                <c:pt idx="268">
                  <c:v>37525</c:v>
                </c:pt>
                <c:pt idx="269">
                  <c:v>37526</c:v>
                </c:pt>
                <c:pt idx="270">
                  <c:v>37527</c:v>
                </c:pt>
                <c:pt idx="271">
                  <c:v>37528</c:v>
                </c:pt>
                <c:pt idx="272">
                  <c:v>37529</c:v>
                </c:pt>
                <c:pt idx="273">
                  <c:v>37530</c:v>
                </c:pt>
                <c:pt idx="274">
                  <c:v>37531</c:v>
                </c:pt>
                <c:pt idx="275">
                  <c:v>37532</c:v>
                </c:pt>
                <c:pt idx="276">
                  <c:v>37533</c:v>
                </c:pt>
                <c:pt idx="277">
                  <c:v>37534</c:v>
                </c:pt>
                <c:pt idx="278">
                  <c:v>37535</c:v>
                </c:pt>
                <c:pt idx="279">
                  <c:v>37536</c:v>
                </c:pt>
                <c:pt idx="280">
                  <c:v>37537</c:v>
                </c:pt>
                <c:pt idx="281">
                  <c:v>37538</c:v>
                </c:pt>
                <c:pt idx="282">
                  <c:v>37539</c:v>
                </c:pt>
                <c:pt idx="283">
                  <c:v>37540</c:v>
                </c:pt>
                <c:pt idx="284">
                  <c:v>37541</c:v>
                </c:pt>
                <c:pt idx="285">
                  <c:v>37542</c:v>
                </c:pt>
                <c:pt idx="286">
                  <c:v>37543</c:v>
                </c:pt>
                <c:pt idx="287">
                  <c:v>37544</c:v>
                </c:pt>
                <c:pt idx="288">
                  <c:v>37545</c:v>
                </c:pt>
                <c:pt idx="289">
                  <c:v>37546</c:v>
                </c:pt>
                <c:pt idx="290">
                  <c:v>37547</c:v>
                </c:pt>
                <c:pt idx="291">
                  <c:v>37548</c:v>
                </c:pt>
                <c:pt idx="292">
                  <c:v>37549</c:v>
                </c:pt>
                <c:pt idx="293">
                  <c:v>37550</c:v>
                </c:pt>
                <c:pt idx="294">
                  <c:v>37551</c:v>
                </c:pt>
                <c:pt idx="295">
                  <c:v>37552</c:v>
                </c:pt>
                <c:pt idx="296">
                  <c:v>37553</c:v>
                </c:pt>
                <c:pt idx="297">
                  <c:v>37554</c:v>
                </c:pt>
                <c:pt idx="298">
                  <c:v>37555</c:v>
                </c:pt>
                <c:pt idx="299">
                  <c:v>37556</c:v>
                </c:pt>
                <c:pt idx="300">
                  <c:v>37557</c:v>
                </c:pt>
                <c:pt idx="301">
                  <c:v>37558</c:v>
                </c:pt>
                <c:pt idx="302">
                  <c:v>37559</c:v>
                </c:pt>
                <c:pt idx="303">
                  <c:v>37560</c:v>
                </c:pt>
                <c:pt idx="304">
                  <c:v>37561</c:v>
                </c:pt>
                <c:pt idx="305">
                  <c:v>37562</c:v>
                </c:pt>
                <c:pt idx="306">
                  <c:v>37563</c:v>
                </c:pt>
                <c:pt idx="307">
                  <c:v>37564</c:v>
                </c:pt>
                <c:pt idx="308">
                  <c:v>37565</c:v>
                </c:pt>
                <c:pt idx="309">
                  <c:v>37566</c:v>
                </c:pt>
                <c:pt idx="310">
                  <c:v>37567</c:v>
                </c:pt>
                <c:pt idx="311">
                  <c:v>37568</c:v>
                </c:pt>
                <c:pt idx="312">
                  <c:v>37569</c:v>
                </c:pt>
                <c:pt idx="313">
                  <c:v>37570</c:v>
                </c:pt>
                <c:pt idx="314">
                  <c:v>37571</c:v>
                </c:pt>
                <c:pt idx="315">
                  <c:v>37572</c:v>
                </c:pt>
                <c:pt idx="316">
                  <c:v>37573</c:v>
                </c:pt>
                <c:pt idx="317">
                  <c:v>37574</c:v>
                </c:pt>
                <c:pt idx="318">
                  <c:v>37575</c:v>
                </c:pt>
                <c:pt idx="319">
                  <c:v>37576</c:v>
                </c:pt>
                <c:pt idx="320">
                  <c:v>37577</c:v>
                </c:pt>
                <c:pt idx="321">
                  <c:v>37578</c:v>
                </c:pt>
                <c:pt idx="322">
                  <c:v>37579</c:v>
                </c:pt>
                <c:pt idx="323">
                  <c:v>37580</c:v>
                </c:pt>
                <c:pt idx="324">
                  <c:v>37581</c:v>
                </c:pt>
                <c:pt idx="325">
                  <c:v>37582</c:v>
                </c:pt>
                <c:pt idx="326">
                  <c:v>37583</c:v>
                </c:pt>
                <c:pt idx="327">
                  <c:v>37584</c:v>
                </c:pt>
                <c:pt idx="328">
                  <c:v>37585</c:v>
                </c:pt>
                <c:pt idx="329">
                  <c:v>37586</c:v>
                </c:pt>
                <c:pt idx="330">
                  <c:v>37587</c:v>
                </c:pt>
                <c:pt idx="331">
                  <c:v>37588</c:v>
                </c:pt>
                <c:pt idx="332">
                  <c:v>37589</c:v>
                </c:pt>
                <c:pt idx="333">
                  <c:v>37590</c:v>
                </c:pt>
                <c:pt idx="334">
                  <c:v>37591</c:v>
                </c:pt>
                <c:pt idx="335">
                  <c:v>37592</c:v>
                </c:pt>
                <c:pt idx="336">
                  <c:v>37593</c:v>
                </c:pt>
                <c:pt idx="337">
                  <c:v>37594</c:v>
                </c:pt>
                <c:pt idx="338">
                  <c:v>37595</c:v>
                </c:pt>
                <c:pt idx="339">
                  <c:v>37596</c:v>
                </c:pt>
                <c:pt idx="340">
                  <c:v>37597</c:v>
                </c:pt>
                <c:pt idx="341">
                  <c:v>37598</c:v>
                </c:pt>
                <c:pt idx="342">
                  <c:v>37599</c:v>
                </c:pt>
                <c:pt idx="343">
                  <c:v>37600</c:v>
                </c:pt>
                <c:pt idx="344">
                  <c:v>37601</c:v>
                </c:pt>
                <c:pt idx="345">
                  <c:v>37602</c:v>
                </c:pt>
                <c:pt idx="346">
                  <c:v>37603</c:v>
                </c:pt>
                <c:pt idx="347">
                  <c:v>37604</c:v>
                </c:pt>
                <c:pt idx="348">
                  <c:v>37605</c:v>
                </c:pt>
                <c:pt idx="349">
                  <c:v>37606</c:v>
                </c:pt>
                <c:pt idx="350">
                  <c:v>37607</c:v>
                </c:pt>
                <c:pt idx="351">
                  <c:v>37608</c:v>
                </c:pt>
                <c:pt idx="352">
                  <c:v>37609</c:v>
                </c:pt>
                <c:pt idx="353">
                  <c:v>37610</c:v>
                </c:pt>
                <c:pt idx="354">
                  <c:v>37611</c:v>
                </c:pt>
                <c:pt idx="355">
                  <c:v>37612</c:v>
                </c:pt>
                <c:pt idx="356">
                  <c:v>37613</c:v>
                </c:pt>
                <c:pt idx="357">
                  <c:v>37614</c:v>
                </c:pt>
                <c:pt idx="358">
                  <c:v>37615</c:v>
                </c:pt>
                <c:pt idx="359">
                  <c:v>37616</c:v>
                </c:pt>
                <c:pt idx="360">
                  <c:v>37617</c:v>
                </c:pt>
                <c:pt idx="361">
                  <c:v>37618</c:v>
                </c:pt>
                <c:pt idx="362">
                  <c:v>37619</c:v>
                </c:pt>
                <c:pt idx="363">
                  <c:v>37620</c:v>
                </c:pt>
                <c:pt idx="364">
                  <c:v>37621</c:v>
                </c:pt>
                <c:pt idx="365">
                  <c:v>37622</c:v>
                </c:pt>
                <c:pt idx="366">
                  <c:v>37623</c:v>
                </c:pt>
                <c:pt idx="367">
                  <c:v>37624</c:v>
                </c:pt>
                <c:pt idx="368">
                  <c:v>37625</c:v>
                </c:pt>
                <c:pt idx="369">
                  <c:v>37626</c:v>
                </c:pt>
                <c:pt idx="370">
                  <c:v>37627</c:v>
                </c:pt>
                <c:pt idx="371">
                  <c:v>37628</c:v>
                </c:pt>
                <c:pt idx="372">
                  <c:v>37629</c:v>
                </c:pt>
                <c:pt idx="373">
                  <c:v>37630</c:v>
                </c:pt>
                <c:pt idx="374">
                  <c:v>37631</c:v>
                </c:pt>
                <c:pt idx="375">
                  <c:v>37632</c:v>
                </c:pt>
                <c:pt idx="376">
                  <c:v>37633</c:v>
                </c:pt>
                <c:pt idx="377">
                  <c:v>37634</c:v>
                </c:pt>
                <c:pt idx="378">
                  <c:v>37635</c:v>
                </c:pt>
                <c:pt idx="379">
                  <c:v>37636</c:v>
                </c:pt>
                <c:pt idx="380">
                  <c:v>37637</c:v>
                </c:pt>
                <c:pt idx="381">
                  <c:v>37638</c:v>
                </c:pt>
                <c:pt idx="382">
                  <c:v>37639</c:v>
                </c:pt>
                <c:pt idx="383">
                  <c:v>37640</c:v>
                </c:pt>
                <c:pt idx="384">
                  <c:v>37641</c:v>
                </c:pt>
                <c:pt idx="385">
                  <c:v>37642</c:v>
                </c:pt>
                <c:pt idx="386">
                  <c:v>37643</c:v>
                </c:pt>
                <c:pt idx="387">
                  <c:v>37644</c:v>
                </c:pt>
                <c:pt idx="388">
                  <c:v>37645</c:v>
                </c:pt>
                <c:pt idx="389">
                  <c:v>37646</c:v>
                </c:pt>
                <c:pt idx="390">
                  <c:v>37647</c:v>
                </c:pt>
                <c:pt idx="391">
                  <c:v>37648</c:v>
                </c:pt>
                <c:pt idx="392">
                  <c:v>37649</c:v>
                </c:pt>
                <c:pt idx="393">
                  <c:v>37650</c:v>
                </c:pt>
                <c:pt idx="394">
                  <c:v>37651</c:v>
                </c:pt>
                <c:pt idx="395">
                  <c:v>37652</c:v>
                </c:pt>
                <c:pt idx="396">
                  <c:v>37653</c:v>
                </c:pt>
                <c:pt idx="397">
                  <c:v>37654</c:v>
                </c:pt>
                <c:pt idx="398">
                  <c:v>37655</c:v>
                </c:pt>
                <c:pt idx="399">
                  <c:v>37656</c:v>
                </c:pt>
                <c:pt idx="400">
                  <c:v>37657</c:v>
                </c:pt>
                <c:pt idx="401">
                  <c:v>37658</c:v>
                </c:pt>
                <c:pt idx="402">
                  <c:v>37659</c:v>
                </c:pt>
                <c:pt idx="403">
                  <c:v>37660</c:v>
                </c:pt>
                <c:pt idx="404">
                  <c:v>37661</c:v>
                </c:pt>
                <c:pt idx="405">
                  <c:v>37662</c:v>
                </c:pt>
                <c:pt idx="406">
                  <c:v>37663</c:v>
                </c:pt>
                <c:pt idx="407">
                  <c:v>37664</c:v>
                </c:pt>
                <c:pt idx="408">
                  <c:v>37665</c:v>
                </c:pt>
                <c:pt idx="409">
                  <c:v>37666</c:v>
                </c:pt>
                <c:pt idx="410">
                  <c:v>37667</c:v>
                </c:pt>
                <c:pt idx="411">
                  <c:v>37668</c:v>
                </c:pt>
                <c:pt idx="412">
                  <c:v>37669</c:v>
                </c:pt>
                <c:pt idx="413">
                  <c:v>37670</c:v>
                </c:pt>
                <c:pt idx="414">
                  <c:v>37671</c:v>
                </c:pt>
                <c:pt idx="415">
                  <c:v>37672</c:v>
                </c:pt>
                <c:pt idx="416">
                  <c:v>37673</c:v>
                </c:pt>
                <c:pt idx="417">
                  <c:v>37674</c:v>
                </c:pt>
                <c:pt idx="418">
                  <c:v>37675</c:v>
                </c:pt>
                <c:pt idx="419">
                  <c:v>37676</c:v>
                </c:pt>
                <c:pt idx="420">
                  <c:v>37677</c:v>
                </c:pt>
                <c:pt idx="421">
                  <c:v>37678</c:v>
                </c:pt>
                <c:pt idx="422">
                  <c:v>37679</c:v>
                </c:pt>
                <c:pt idx="423">
                  <c:v>37680</c:v>
                </c:pt>
                <c:pt idx="424">
                  <c:v>37681</c:v>
                </c:pt>
                <c:pt idx="425">
                  <c:v>37682</c:v>
                </c:pt>
                <c:pt idx="426">
                  <c:v>37683</c:v>
                </c:pt>
                <c:pt idx="427">
                  <c:v>37684</c:v>
                </c:pt>
                <c:pt idx="428">
                  <c:v>37685</c:v>
                </c:pt>
                <c:pt idx="429">
                  <c:v>37686</c:v>
                </c:pt>
                <c:pt idx="430">
                  <c:v>37687</c:v>
                </c:pt>
                <c:pt idx="431">
                  <c:v>37688</c:v>
                </c:pt>
                <c:pt idx="432">
                  <c:v>37689</c:v>
                </c:pt>
                <c:pt idx="433">
                  <c:v>37690</c:v>
                </c:pt>
                <c:pt idx="434">
                  <c:v>37691</c:v>
                </c:pt>
                <c:pt idx="435">
                  <c:v>37692</c:v>
                </c:pt>
                <c:pt idx="436">
                  <c:v>37693</c:v>
                </c:pt>
                <c:pt idx="437">
                  <c:v>37694</c:v>
                </c:pt>
                <c:pt idx="438">
                  <c:v>37695</c:v>
                </c:pt>
                <c:pt idx="439">
                  <c:v>37696</c:v>
                </c:pt>
                <c:pt idx="440">
                  <c:v>37697</c:v>
                </c:pt>
                <c:pt idx="441">
                  <c:v>37698</c:v>
                </c:pt>
                <c:pt idx="442">
                  <c:v>37699</c:v>
                </c:pt>
                <c:pt idx="443">
                  <c:v>37700</c:v>
                </c:pt>
                <c:pt idx="444">
                  <c:v>37701</c:v>
                </c:pt>
                <c:pt idx="445">
                  <c:v>37702</c:v>
                </c:pt>
                <c:pt idx="446">
                  <c:v>37703</c:v>
                </c:pt>
                <c:pt idx="447">
                  <c:v>37704</c:v>
                </c:pt>
                <c:pt idx="448">
                  <c:v>37705</c:v>
                </c:pt>
                <c:pt idx="449">
                  <c:v>37706</c:v>
                </c:pt>
                <c:pt idx="450">
                  <c:v>37707</c:v>
                </c:pt>
                <c:pt idx="451">
                  <c:v>37708</c:v>
                </c:pt>
                <c:pt idx="452">
                  <c:v>37709</c:v>
                </c:pt>
                <c:pt idx="453">
                  <c:v>37710</c:v>
                </c:pt>
                <c:pt idx="454">
                  <c:v>37711</c:v>
                </c:pt>
                <c:pt idx="455">
                  <c:v>37712</c:v>
                </c:pt>
                <c:pt idx="456">
                  <c:v>37713</c:v>
                </c:pt>
                <c:pt idx="457">
                  <c:v>37714</c:v>
                </c:pt>
                <c:pt idx="458">
                  <c:v>37715</c:v>
                </c:pt>
                <c:pt idx="459">
                  <c:v>37716</c:v>
                </c:pt>
                <c:pt idx="460">
                  <c:v>37717</c:v>
                </c:pt>
                <c:pt idx="461">
                  <c:v>37718</c:v>
                </c:pt>
                <c:pt idx="462">
                  <c:v>37719</c:v>
                </c:pt>
                <c:pt idx="463">
                  <c:v>37720</c:v>
                </c:pt>
                <c:pt idx="464">
                  <c:v>37721</c:v>
                </c:pt>
                <c:pt idx="465">
                  <c:v>37722</c:v>
                </c:pt>
                <c:pt idx="466">
                  <c:v>37723</c:v>
                </c:pt>
                <c:pt idx="467">
                  <c:v>37724</c:v>
                </c:pt>
                <c:pt idx="468">
                  <c:v>37725</c:v>
                </c:pt>
                <c:pt idx="469">
                  <c:v>37726</c:v>
                </c:pt>
                <c:pt idx="470">
                  <c:v>37727</c:v>
                </c:pt>
                <c:pt idx="471">
                  <c:v>37728</c:v>
                </c:pt>
                <c:pt idx="472">
                  <c:v>37729</c:v>
                </c:pt>
                <c:pt idx="473">
                  <c:v>37730</c:v>
                </c:pt>
                <c:pt idx="474">
                  <c:v>37731</c:v>
                </c:pt>
                <c:pt idx="475">
                  <c:v>37732</c:v>
                </c:pt>
                <c:pt idx="476">
                  <c:v>37733</c:v>
                </c:pt>
                <c:pt idx="477">
                  <c:v>37734</c:v>
                </c:pt>
                <c:pt idx="478">
                  <c:v>37735</c:v>
                </c:pt>
                <c:pt idx="479">
                  <c:v>37736</c:v>
                </c:pt>
                <c:pt idx="480">
                  <c:v>37737</c:v>
                </c:pt>
                <c:pt idx="481">
                  <c:v>37738</c:v>
                </c:pt>
                <c:pt idx="482">
                  <c:v>37739</c:v>
                </c:pt>
                <c:pt idx="483">
                  <c:v>37740</c:v>
                </c:pt>
                <c:pt idx="484">
                  <c:v>37741</c:v>
                </c:pt>
                <c:pt idx="485">
                  <c:v>37742</c:v>
                </c:pt>
                <c:pt idx="486">
                  <c:v>37743</c:v>
                </c:pt>
                <c:pt idx="487">
                  <c:v>37744</c:v>
                </c:pt>
                <c:pt idx="488">
                  <c:v>37745</c:v>
                </c:pt>
                <c:pt idx="489">
                  <c:v>37746</c:v>
                </c:pt>
                <c:pt idx="490">
                  <c:v>37747</c:v>
                </c:pt>
                <c:pt idx="491">
                  <c:v>37748</c:v>
                </c:pt>
                <c:pt idx="492">
                  <c:v>37749</c:v>
                </c:pt>
                <c:pt idx="493">
                  <c:v>37750</c:v>
                </c:pt>
                <c:pt idx="494">
                  <c:v>37751</c:v>
                </c:pt>
                <c:pt idx="495">
                  <c:v>37752</c:v>
                </c:pt>
                <c:pt idx="496">
                  <c:v>37753</c:v>
                </c:pt>
                <c:pt idx="497">
                  <c:v>37754</c:v>
                </c:pt>
                <c:pt idx="498">
                  <c:v>37755</c:v>
                </c:pt>
                <c:pt idx="499">
                  <c:v>37756</c:v>
                </c:pt>
                <c:pt idx="500">
                  <c:v>37757</c:v>
                </c:pt>
                <c:pt idx="501">
                  <c:v>37758</c:v>
                </c:pt>
                <c:pt idx="502">
                  <c:v>37759</c:v>
                </c:pt>
                <c:pt idx="503">
                  <c:v>37760</c:v>
                </c:pt>
                <c:pt idx="504">
                  <c:v>37761</c:v>
                </c:pt>
                <c:pt idx="505">
                  <c:v>37762</c:v>
                </c:pt>
                <c:pt idx="506">
                  <c:v>37763</c:v>
                </c:pt>
                <c:pt idx="507">
                  <c:v>37764</c:v>
                </c:pt>
                <c:pt idx="508">
                  <c:v>37765</c:v>
                </c:pt>
                <c:pt idx="509">
                  <c:v>37766</c:v>
                </c:pt>
                <c:pt idx="510">
                  <c:v>37767</c:v>
                </c:pt>
                <c:pt idx="511">
                  <c:v>37768</c:v>
                </c:pt>
                <c:pt idx="512">
                  <c:v>37769</c:v>
                </c:pt>
                <c:pt idx="513">
                  <c:v>37770</c:v>
                </c:pt>
                <c:pt idx="514">
                  <c:v>37771</c:v>
                </c:pt>
                <c:pt idx="515">
                  <c:v>37772</c:v>
                </c:pt>
                <c:pt idx="516">
                  <c:v>37773</c:v>
                </c:pt>
                <c:pt idx="517">
                  <c:v>37774</c:v>
                </c:pt>
                <c:pt idx="518">
                  <c:v>37775</c:v>
                </c:pt>
                <c:pt idx="519">
                  <c:v>37776</c:v>
                </c:pt>
                <c:pt idx="520">
                  <c:v>37777</c:v>
                </c:pt>
                <c:pt idx="521">
                  <c:v>37778</c:v>
                </c:pt>
                <c:pt idx="522">
                  <c:v>37779</c:v>
                </c:pt>
                <c:pt idx="523">
                  <c:v>37780</c:v>
                </c:pt>
                <c:pt idx="524">
                  <c:v>37781</c:v>
                </c:pt>
                <c:pt idx="525">
                  <c:v>37782</c:v>
                </c:pt>
                <c:pt idx="526">
                  <c:v>37783</c:v>
                </c:pt>
                <c:pt idx="527">
                  <c:v>37784</c:v>
                </c:pt>
                <c:pt idx="528">
                  <c:v>37785</c:v>
                </c:pt>
                <c:pt idx="529">
                  <c:v>37786</c:v>
                </c:pt>
                <c:pt idx="530">
                  <c:v>37787</c:v>
                </c:pt>
                <c:pt idx="531">
                  <c:v>37788</c:v>
                </c:pt>
                <c:pt idx="532">
                  <c:v>37789</c:v>
                </c:pt>
                <c:pt idx="533">
                  <c:v>37790</c:v>
                </c:pt>
                <c:pt idx="534">
                  <c:v>37791</c:v>
                </c:pt>
                <c:pt idx="535">
                  <c:v>37792</c:v>
                </c:pt>
                <c:pt idx="536">
                  <c:v>37793</c:v>
                </c:pt>
                <c:pt idx="537">
                  <c:v>37794</c:v>
                </c:pt>
                <c:pt idx="538">
                  <c:v>37795</c:v>
                </c:pt>
                <c:pt idx="539">
                  <c:v>37796</c:v>
                </c:pt>
                <c:pt idx="540">
                  <c:v>37797</c:v>
                </c:pt>
                <c:pt idx="541">
                  <c:v>37798</c:v>
                </c:pt>
                <c:pt idx="542">
                  <c:v>37799</c:v>
                </c:pt>
                <c:pt idx="543">
                  <c:v>37800</c:v>
                </c:pt>
                <c:pt idx="544">
                  <c:v>37801</c:v>
                </c:pt>
                <c:pt idx="545">
                  <c:v>37802</c:v>
                </c:pt>
                <c:pt idx="546">
                  <c:v>37803</c:v>
                </c:pt>
                <c:pt idx="547">
                  <c:v>37804</c:v>
                </c:pt>
                <c:pt idx="548">
                  <c:v>37805</c:v>
                </c:pt>
                <c:pt idx="549">
                  <c:v>37806</c:v>
                </c:pt>
                <c:pt idx="550">
                  <c:v>37807</c:v>
                </c:pt>
                <c:pt idx="551">
                  <c:v>37808</c:v>
                </c:pt>
                <c:pt idx="552">
                  <c:v>37809</c:v>
                </c:pt>
                <c:pt idx="553">
                  <c:v>37810</c:v>
                </c:pt>
                <c:pt idx="554">
                  <c:v>37811</c:v>
                </c:pt>
                <c:pt idx="555">
                  <c:v>37812</c:v>
                </c:pt>
                <c:pt idx="556">
                  <c:v>37813</c:v>
                </c:pt>
                <c:pt idx="557">
                  <c:v>37814</c:v>
                </c:pt>
                <c:pt idx="558">
                  <c:v>37815</c:v>
                </c:pt>
                <c:pt idx="559">
                  <c:v>37816</c:v>
                </c:pt>
                <c:pt idx="560">
                  <c:v>37817</c:v>
                </c:pt>
                <c:pt idx="561">
                  <c:v>37818</c:v>
                </c:pt>
                <c:pt idx="562">
                  <c:v>37819</c:v>
                </c:pt>
                <c:pt idx="563">
                  <c:v>37820</c:v>
                </c:pt>
                <c:pt idx="564">
                  <c:v>37821</c:v>
                </c:pt>
                <c:pt idx="565">
                  <c:v>37822</c:v>
                </c:pt>
                <c:pt idx="566">
                  <c:v>37823</c:v>
                </c:pt>
                <c:pt idx="567">
                  <c:v>37824</c:v>
                </c:pt>
                <c:pt idx="568">
                  <c:v>37825</c:v>
                </c:pt>
                <c:pt idx="569">
                  <c:v>37826</c:v>
                </c:pt>
                <c:pt idx="570">
                  <c:v>37827</c:v>
                </c:pt>
                <c:pt idx="571">
                  <c:v>37828</c:v>
                </c:pt>
                <c:pt idx="572">
                  <c:v>37829</c:v>
                </c:pt>
                <c:pt idx="573">
                  <c:v>37830</c:v>
                </c:pt>
                <c:pt idx="574">
                  <c:v>37831</c:v>
                </c:pt>
                <c:pt idx="575">
                  <c:v>37832</c:v>
                </c:pt>
                <c:pt idx="576">
                  <c:v>37833</c:v>
                </c:pt>
                <c:pt idx="577">
                  <c:v>37834</c:v>
                </c:pt>
                <c:pt idx="578">
                  <c:v>37835</c:v>
                </c:pt>
                <c:pt idx="579">
                  <c:v>37836</c:v>
                </c:pt>
                <c:pt idx="580">
                  <c:v>37837</c:v>
                </c:pt>
                <c:pt idx="581">
                  <c:v>37838</c:v>
                </c:pt>
                <c:pt idx="582">
                  <c:v>37839</c:v>
                </c:pt>
                <c:pt idx="583">
                  <c:v>37840</c:v>
                </c:pt>
                <c:pt idx="584">
                  <c:v>37841</c:v>
                </c:pt>
                <c:pt idx="585">
                  <c:v>37842</c:v>
                </c:pt>
                <c:pt idx="586">
                  <c:v>37843</c:v>
                </c:pt>
                <c:pt idx="587">
                  <c:v>37844</c:v>
                </c:pt>
                <c:pt idx="588">
                  <c:v>37845</c:v>
                </c:pt>
                <c:pt idx="589">
                  <c:v>37846</c:v>
                </c:pt>
                <c:pt idx="590">
                  <c:v>37847</c:v>
                </c:pt>
                <c:pt idx="591">
                  <c:v>37848</c:v>
                </c:pt>
                <c:pt idx="592">
                  <c:v>37849</c:v>
                </c:pt>
                <c:pt idx="593">
                  <c:v>37850</c:v>
                </c:pt>
                <c:pt idx="594">
                  <c:v>37851</c:v>
                </c:pt>
                <c:pt idx="595">
                  <c:v>37852</c:v>
                </c:pt>
                <c:pt idx="596">
                  <c:v>37853</c:v>
                </c:pt>
                <c:pt idx="597">
                  <c:v>37854</c:v>
                </c:pt>
                <c:pt idx="598">
                  <c:v>37855</c:v>
                </c:pt>
                <c:pt idx="599">
                  <c:v>37856</c:v>
                </c:pt>
                <c:pt idx="600">
                  <c:v>37857</c:v>
                </c:pt>
                <c:pt idx="601">
                  <c:v>37858</c:v>
                </c:pt>
                <c:pt idx="602">
                  <c:v>37859</c:v>
                </c:pt>
                <c:pt idx="603">
                  <c:v>37860</c:v>
                </c:pt>
                <c:pt idx="604">
                  <c:v>37861</c:v>
                </c:pt>
                <c:pt idx="605">
                  <c:v>37862</c:v>
                </c:pt>
                <c:pt idx="606">
                  <c:v>37863</c:v>
                </c:pt>
                <c:pt idx="607">
                  <c:v>37864</c:v>
                </c:pt>
                <c:pt idx="608">
                  <c:v>37865</c:v>
                </c:pt>
                <c:pt idx="609">
                  <c:v>37866</c:v>
                </c:pt>
                <c:pt idx="610">
                  <c:v>37867</c:v>
                </c:pt>
                <c:pt idx="611">
                  <c:v>37868</c:v>
                </c:pt>
                <c:pt idx="612">
                  <c:v>37869</c:v>
                </c:pt>
                <c:pt idx="613">
                  <c:v>37870</c:v>
                </c:pt>
                <c:pt idx="614">
                  <c:v>37871</c:v>
                </c:pt>
                <c:pt idx="615">
                  <c:v>37872</c:v>
                </c:pt>
                <c:pt idx="616">
                  <c:v>37873</c:v>
                </c:pt>
                <c:pt idx="617">
                  <c:v>37874</c:v>
                </c:pt>
                <c:pt idx="618">
                  <c:v>37875</c:v>
                </c:pt>
                <c:pt idx="619">
                  <c:v>37876</c:v>
                </c:pt>
                <c:pt idx="620">
                  <c:v>37877</c:v>
                </c:pt>
                <c:pt idx="621">
                  <c:v>37878</c:v>
                </c:pt>
                <c:pt idx="622">
                  <c:v>37879</c:v>
                </c:pt>
                <c:pt idx="623">
                  <c:v>37880</c:v>
                </c:pt>
                <c:pt idx="624">
                  <c:v>37881</c:v>
                </c:pt>
                <c:pt idx="625">
                  <c:v>37882</c:v>
                </c:pt>
                <c:pt idx="626">
                  <c:v>37883</c:v>
                </c:pt>
                <c:pt idx="627">
                  <c:v>37884</c:v>
                </c:pt>
                <c:pt idx="628">
                  <c:v>37885</c:v>
                </c:pt>
                <c:pt idx="629">
                  <c:v>37886</c:v>
                </c:pt>
                <c:pt idx="630">
                  <c:v>37887</c:v>
                </c:pt>
                <c:pt idx="631">
                  <c:v>37888</c:v>
                </c:pt>
                <c:pt idx="632">
                  <c:v>37889</c:v>
                </c:pt>
                <c:pt idx="633">
                  <c:v>37890</c:v>
                </c:pt>
                <c:pt idx="634">
                  <c:v>37891</c:v>
                </c:pt>
                <c:pt idx="635">
                  <c:v>37892</c:v>
                </c:pt>
                <c:pt idx="636">
                  <c:v>37893</c:v>
                </c:pt>
                <c:pt idx="637">
                  <c:v>37894</c:v>
                </c:pt>
                <c:pt idx="638">
                  <c:v>37895</c:v>
                </c:pt>
                <c:pt idx="639">
                  <c:v>37896</c:v>
                </c:pt>
                <c:pt idx="640">
                  <c:v>37897</c:v>
                </c:pt>
                <c:pt idx="641">
                  <c:v>37898</c:v>
                </c:pt>
                <c:pt idx="642">
                  <c:v>37899</c:v>
                </c:pt>
                <c:pt idx="643">
                  <c:v>37900</c:v>
                </c:pt>
                <c:pt idx="644">
                  <c:v>37901</c:v>
                </c:pt>
                <c:pt idx="645">
                  <c:v>37902</c:v>
                </c:pt>
                <c:pt idx="646">
                  <c:v>37903</c:v>
                </c:pt>
                <c:pt idx="647">
                  <c:v>37904</c:v>
                </c:pt>
                <c:pt idx="648">
                  <c:v>37905</c:v>
                </c:pt>
                <c:pt idx="649">
                  <c:v>37906</c:v>
                </c:pt>
                <c:pt idx="650">
                  <c:v>37907</c:v>
                </c:pt>
                <c:pt idx="651">
                  <c:v>37908</c:v>
                </c:pt>
                <c:pt idx="652">
                  <c:v>37909</c:v>
                </c:pt>
                <c:pt idx="653">
                  <c:v>37910</c:v>
                </c:pt>
                <c:pt idx="654">
                  <c:v>37911</c:v>
                </c:pt>
                <c:pt idx="655">
                  <c:v>37912</c:v>
                </c:pt>
                <c:pt idx="656">
                  <c:v>37913</c:v>
                </c:pt>
                <c:pt idx="657">
                  <c:v>37914</c:v>
                </c:pt>
                <c:pt idx="658">
                  <c:v>37915</c:v>
                </c:pt>
                <c:pt idx="659">
                  <c:v>37916</c:v>
                </c:pt>
                <c:pt idx="660">
                  <c:v>37917</c:v>
                </c:pt>
                <c:pt idx="661">
                  <c:v>37918</c:v>
                </c:pt>
                <c:pt idx="662">
                  <c:v>37919</c:v>
                </c:pt>
                <c:pt idx="663">
                  <c:v>37920</c:v>
                </c:pt>
                <c:pt idx="664">
                  <c:v>37921</c:v>
                </c:pt>
                <c:pt idx="665">
                  <c:v>37922</c:v>
                </c:pt>
                <c:pt idx="666">
                  <c:v>37923</c:v>
                </c:pt>
                <c:pt idx="667">
                  <c:v>37924</c:v>
                </c:pt>
                <c:pt idx="668">
                  <c:v>37925</c:v>
                </c:pt>
                <c:pt idx="669">
                  <c:v>37926</c:v>
                </c:pt>
                <c:pt idx="670">
                  <c:v>37927</c:v>
                </c:pt>
                <c:pt idx="671">
                  <c:v>37928</c:v>
                </c:pt>
                <c:pt idx="672">
                  <c:v>37929</c:v>
                </c:pt>
                <c:pt idx="673">
                  <c:v>37930</c:v>
                </c:pt>
                <c:pt idx="674">
                  <c:v>37931</c:v>
                </c:pt>
                <c:pt idx="675">
                  <c:v>37932</c:v>
                </c:pt>
                <c:pt idx="676">
                  <c:v>37933</c:v>
                </c:pt>
                <c:pt idx="677">
                  <c:v>37934</c:v>
                </c:pt>
                <c:pt idx="678">
                  <c:v>37935</c:v>
                </c:pt>
                <c:pt idx="679">
                  <c:v>37936</c:v>
                </c:pt>
                <c:pt idx="680">
                  <c:v>37937</c:v>
                </c:pt>
                <c:pt idx="681">
                  <c:v>37938</c:v>
                </c:pt>
                <c:pt idx="682">
                  <c:v>37939</c:v>
                </c:pt>
                <c:pt idx="683">
                  <c:v>37940</c:v>
                </c:pt>
                <c:pt idx="684">
                  <c:v>37941</c:v>
                </c:pt>
                <c:pt idx="685">
                  <c:v>37942</c:v>
                </c:pt>
                <c:pt idx="686">
                  <c:v>37943</c:v>
                </c:pt>
                <c:pt idx="687">
                  <c:v>37944</c:v>
                </c:pt>
                <c:pt idx="688">
                  <c:v>37945</c:v>
                </c:pt>
                <c:pt idx="689">
                  <c:v>37946</c:v>
                </c:pt>
                <c:pt idx="690">
                  <c:v>37947</c:v>
                </c:pt>
                <c:pt idx="691">
                  <c:v>37948</c:v>
                </c:pt>
                <c:pt idx="692">
                  <c:v>37949</c:v>
                </c:pt>
                <c:pt idx="693">
                  <c:v>37950</c:v>
                </c:pt>
                <c:pt idx="694">
                  <c:v>37951</c:v>
                </c:pt>
                <c:pt idx="695">
                  <c:v>37952</c:v>
                </c:pt>
                <c:pt idx="696">
                  <c:v>37953</c:v>
                </c:pt>
                <c:pt idx="697">
                  <c:v>37954</c:v>
                </c:pt>
                <c:pt idx="698">
                  <c:v>37955</c:v>
                </c:pt>
                <c:pt idx="699">
                  <c:v>37956</c:v>
                </c:pt>
                <c:pt idx="700">
                  <c:v>37957</c:v>
                </c:pt>
                <c:pt idx="701">
                  <c:v>37958</c:v>
                </c:pt>
                <c:pt idx="702">
                  <c:v>37959</c:v>
                </c:pt>
                <c:pt idx="703">
                  <c:v>37960</c:v>
                </c:pt>
                <c:pt idx="704">
                  <c:v>37961</c:v>
                </c:pt>
                <c:pt idx="705">
                  <c:v>37962</c:v>
                </c:pt>
                <c:pt idx="706">
                  <c:v>37963</c:v>
                </c:pt>
                <c:pt idx="707">
                  <c:v>37964</c:v>
                </c:pt>
                <c:pt idx="708">
                  <c:v>37965</c:v>
                </c:pt>
                <c:pt idx="709">
                  <c:v>37966</c:v>
                </c:pt>
                <c:pt idx="710">
                  <c:v>37967</c:v>
                </c:pt>
                <c:pt idx="711">
                  <c:v>37968</c:v>
                </c:pt>
                <c:pt idx="712">
                  <c:v>37969</c:v>
                </c:pt>
                <c:pt idx="713">
                  <c:v>37970</c:v>
                </c:pt>
                <c:pt idx="714">
                  <c:v>37971</c:v>
                </c:pt>
                <c:pt idx="715">
                  <c:v>37972</c:v>
                </c:pt>
                <c:pt idx="716">
                  <c:v>37973</c:v>
                </c:pt>
                <c:pt idx="717">
                  <c:v>37974</c:v>
                </c:pt>
                <c:pt idx="718">
                  <c:v>37975</c:v>
                </c:pt>
                <c:pt idx="719">
                  <c:v>37976</c:v>
                </c:pt>
                <c:pt idx="720">
                  <c:v>37977</c:v>
                </c:pt>
                <c:pt idx="721">
                  <c:v>37978</c:v>
                </c:pt>
                <c:pt idx="722">
                  <c:v>37979</c:v>
                </c:pt>
                <c:pt idx="723">
                  <c:v>37980</c:v>
                </c:pt>
                <c:pt idx="724">
                  <c:v>37981</c:v>
                </c:pt>
                <c:pt idx="725">
                  <c:v>37982</c:v>
                </c:pt>
                <c:pt idx="726">
                  <c:v>37983</c:v>
                </c:pt>
                <c:pt idx="727">
                  <c:v>37984</c:v>
                </c:pt>
                <c:pt idx="728">
                  <c:v>37985</c:v>
                </c:pt>
                <c:pt idx="729">
                  <c:v>37986</c:v>
                </c:pt>
                <c:pt idx="730">
                  <c:v>37987</c:v>
                </c:pt>
                <c:pt idx="731">
                  <c:v>37988</c:v>
                </c:pt>
                <c:pt idx="732">
                  <c:v>37989</c:v>
                </c:pt>
                <c:pt idx="733">
                  <c:v>37990</c:v>
                </c:pt>
                <c:pt idx="734">
                  <c:v>37991</c:v>
                </c:pt>
                <c:pt idx="735">
                  <c:v>37992</c:v>
                </c:pt>
                <c:pt idx="736">
                  <c:v>37993</c:v>
                </c:pt>
                <c:pt idx="737">
                  <c:v>37994</c:v>
                </c:pt>
                <c:pt idx="738">
                  <c:v>37995</c:v>
                </c:pt>
                <c:pt idx="739">
                  <c:v>37996</c:v>
                </c:pt>
                <c:pt idx="740">
                  <c:v>37997</c:v>
                </c:pt>
                <c:pt idx="741">
                  <c:v>37998</c:v>
                </c:pt>
                <c:pt idx="742">
                  <c:v>37999</c:v>
                </c:pt>
                <c:pt idx="743">
                  <c:v>38000</c:v>
                </c:pt>
                <c:pt idx="744">
                  <c:v>38001</c:v>
                </c:pt>
                <c:pt idx="745">
                  <c:v>38002</c:v>
                </c:pt>
                <c:pt idx="746">
                  <c:v>38003</c:v>
                </c:pt>
                <c:pt idx="747">
                  <c:v>38004</c:v>
                </c:pt>
                <c:pt idx="748">
                  <c:v>38005</c:v>
                </c:pt>
                <c:pt idx="749">
                  <c:v>38006</c:v>
                </c:pt>
                <c:pt idx="750">
                  <c:v>38007</c:v>
                </c:pt>
                <c:pt idx="751">
                  <c:v>38008</c:v>
                </c:pt>
                <c:pt idx="752">
                  <c:v>38009</c:v>
                </c:pt>
                <c:pt idx="753">
                  <c:v>38010</c:v>
                </c:pt>
                <c:pt idx="754">
                  <c:v>38011</c:v>
                </c:pt>
                <c:pt idx="755">
                  <c:v>38012</c:v>
                </c:pt>
                <c:pt idx="756">
                  <c:v>38013</c:v>
                </c:pt>
                <c:pt idx="757">
                  <c:v>38014</c:v>
                </c:pt>
                <c:pt idx="758">
                  <c:v>38015</c:v>
                </c:pt>
                <c:pt idx="759">
                  <c:v>38016</c:v>
                </c:pt>
                <c:pt idx="760">
                  <c:v>38017</c:v>
                </c:pt>
                <c:pt idx="761">
                  <c:v>38018</c:v>
                </c:pt>
                <c:pt idx="762">
                  <c:v>38019</c:v>
                </c:pt>
                <c:pt idx="763">
                  <c:v>38020</c:v>
                </c:pt>
                <c:pt idx="764">
                  <c:v>38021</c:v>
                </c:pt>
                <c:pt idx="765">
                  <c:v>38022</c:v>
                </c:pt>
                <c:pt idx="766">
                  <c:v>38023</c:v>
                </c:pt>
                <c:pt idx="767">
                  <c:v>38024</c:v>
                </c:pt>
                <c:pt idx="768">
                  <c:v>38025</c:v>
                </c:pt>
                <c:pt idx="769">
                  <c:v>38026</c:v>
                </c:pt>
                <c:pt idx="770">
                  <c:v>38027</c:v>
                </c:pt>
                <c:pt idx="771">
                  <c:v>38028</c:v>
                </c:pt>
                <c:pt idx="772">
                  <c:v>38029</c:v>
                </c:pt>
                <c:pt idx="773">
                  <c:v>38030</c:v>
                </c:pt>
                <c:pt idx="774">
                  <c:v>38031</c:v>
                </c:pt>
                <c:pt idx="775">
                  <c:v>38032</c:v>
                </c:pt>
                <c:pt idx="776">
                  <c:v>38033</c:v>
                </c:pt>
                <c:pt idx="777">
                  <c:v>38034</c:v>
                </c:pt>
                <c:pt idx="778">
                  <c:v>38035</c:v>
                </c:pt>
                <c:pt idx="779">
                  <c:v>38036</c:v>
                </c:pt>
                <c:pt idx="780">
                  <c:v>38037</c:v>
                </c:pt>
                <c:pt idx="781">
                  <c:v>38038</c:v>
                </c:pt>
                <c:pt idx="782">
                  <c:v>38039</c:v>
                </c:pt>
                <c:pt idx="783">
                  <c:v>38040</c:v>
                </c:pt>
                <c:pt idx="784">
                  <c:v>38041</c:v>
                </c:pt>
                <c:pt idx="785">
                  <c:v>38042</c:v>
                </c:pt>
                <c:pt idx="786">
                  <c:v>38043</c:v>
                </c:pt>
                <c:pt idx="787">
                  <c:v>38044</c:v>
                </c:pt>
                <c:pt idx="788">
                  <c:v>38045</c:v>
                </c:pt>
                <c:pt idx="789">
                  <c:v>38046</c:v>
                </c:pt>
                <c:pt idx="790">
                  <c:v>38047</c:v>
                </c:pt>
                <c:pt idx="791">
                  <c:v>38048</c:v>
                </c:pt>
                <c:pt idx="792">
                  <c:v>38049</c:v>
                </c:pt>
                <c:pt idx="793">
                  <c:v>38050</c:v>
                </c:pt>
                <c:pt idx="794">
                  <c:v>38051</c:v>
                </c:pt>
                <c:pt idx="795">
                  <c:v>38052</c:v>
                </c:pt>
                <c:pt idx="796">
                  <c:v>38053</c:v>
                </c:pt>
                <c:pt idx="797">
                  <c:v>38054</c:v>
                </c:pt>
                <c:pt idx="798">
                  <c:v>38055</c:v>
                </c:pt>
                <c:pt idx="799">
                  <c:v>38056</c:v>
                </c:pt>
                <c:pt idx="800">
                  <c:v>38057</c:v>
                </c:pt>
                <c:pt idx="801">
                  <c:v>38058</c:v>
                </c:pt>
                <c:pt idx="802">
                  <c:v>38059</c:v>
                </c:pt>
                <c:pt idx="803">
                  <c:v>38060</c:v>
                </c:pt>
                <c:pt idx="804">
                  <c:v>38061</c:v>
                </c:pt>
                <c:pt idx="805">
                  <c:v>38062</c:v>
                </c:pt>
                <c:pt idx="806">
                  <c:v>38063</c:v>
                </c:pt>
                <c:pt idx="807">
                  <c:v>38064</c:v>
                </c:pt>
                <c:pt idx="808">
                  <c:v>38065</c:v>
                </c:pt>
                <c:pt idx="809">
                  <c:v>38066</c:v>
                </c:pt>
                <c:pt idx="810">
                  <c:v>38067</c:v>
                </c:pt>
                <c:pt idx="811">
                  <c:v>38068</c:v>
                </c:pt>
                <c:pt idx="812">
                  <c:v>38069</c:v>
                </c:pt>
                <c:pt idx="813">
                  <c:v>38070</c:v>
                </c:pt>
                <c:pt idx="814">
                  <c:v>38071</c:v>
                </c:pt>
                <c:pt idx="815">
                  <c:v>38072</c:v>
                </c:pt>
                <c:pt idx="816">
                  <c:v>38073</c:v>
                </c:pt>
                <c:pt idx="817">
                  <c:v>38074</c:v>
                </c:pt>
                <c:pt idx="818">
                  <c:v>38075</c:v>
                </c:pt>
                <c:pt idx="819">
                  <c:v>38076</c:v>
                </c:pt>
                <c:pt idx="820">
                  <c:v>38077</c:v>
                </c:pt>
                <c:pt idx="821">
                  <c:v>38078</c:v>
                </c:pt>
                <c:pt idx="822">
                  <c:v>38079</c:v>
                </c:pt>
                <c:pt idx="823">
                  <c:v>38080</c:v>
                </c:pt>
                <c:pt idx="824">
                  <c:v>38081</c:v>
                </c:pt>
                <c:pt idx="825">
                  <c:v>38082</c:v>
                </c:pt>
                <c:pt idx="826">
                  <c:v>38083</c:v>
                </c:pt>
                <c:pt idx="827">
                  <c:v>38084</c:v>
                </c:pt>
                <c:pt idx="828">
                  <c:v>38085</c:v>
                </c:pt>
                <c:pt idx="829">
                  <c:v>38086</c:v>
                </c:pt>
                <c:pt idx="830">
                  <c:v>38087</c:v>
                </c:pt>
                <c:pt idx="831">
                  <c:v>38088</c:v>
                </c:pt>
                <c:pt idx="832">
                  <c:v>38089</c:v>
                </c:pt>
                <c:pt idx="833">
                  <c:v>38090</c:v>
                </c:pt>
                <c:pt idx="834">
                  <c:v>38091</c:v>
                </c:pt>
                <c:pt idx="835">
                  <c:v>38092</c:v>
                </c:pt>
                <c:pt idx="836">
                  <c:v>38093</c:v>
                </c:pt>
                <c:pt idx="837">
                  <c:v>38094</c:v>
                </c:pt>
                <c:pt idx="838">
                  <c:v>38095</c:v>
                </c:pt>
                <c:pt idx="839">
                  <c:v>38096</c:v>
                </c:pt>
                <c:pt idx="840">
                  <c:v>38097</c:v>
                </c:pt>
                <c:pt idx="841">
                  <c:v>38098</c:v>
                </c:pt>
                <c:pt idx="842">
                  <c:v>38099</c:v>
                </c:pt>
                <c:pt idx="843">
                  <c:v>38100</c:v>
                </c:pt>
                <c:pt idx="844">
                  <c:v>38101</c:v>
                </c:pt>
                <c:pt idx="845">
                  <c:v>38102</c:v>
                </c:pt>
                <c:pt idx="846">
                  <c:v>38103</c:v>
                </c:pt>
                <c:pt idx="847">
                  <c:v>38104</c:v>
                </c:pt>
                <c:pt idx="848">
                  <c:v>38105</c:v>
                </c:pt>
                <c:pt idx="849">
                  <c:v>38106</c:v>
                </c:pt>
                <c:pt idx="850">
                  <c:v>38107</c:v>
                </c:pt>
                <c:pt idx="851">
                  <c:v>38108</c:v>
                </c:pt>
                <c:pt idx="852">
                  <c:v>38109</c:v>
                </c:pt>
                <c:pt idx="853">
                  <c:v>38110</c:v>
                </c:pt>
                <c:pt idx="854">
                  <c:v>38111</c:v>
                </c:pt>
                <c:pt idx="855">
                  <c:v>38112</c:v>
                </c:pt>
                <c:pt idx="856">
                  <c:v>38113</c:v>
                </c:pt>
                <c:pt idx="857">
                  <c:v>38114</c:v>
                </c:pt>
                <c:pt idx="858">
                  <c:v>38115</c:v>
                </c:pt>
                <c:pt idx="859">
                  <c:v>38116</c:v>
                </c:pt>
                <c:pt idx="860">
                  <c:v>38117</c:v>
                </c:pt>
                <c:pt idx="861">
                  <c:v>38118</c:v>
                </c:pt>
                <c:pt idx="862">
                  <c:v>38119</c:v>
                </c:pt>
                <c:pt idx="863">
                  <c:v>38120</c:v>
                </c:pt>
                <c:pt idx="864">
                  <c:v>38121</c:v>
                </c:pt>
                <c:pt idx="865">
                  <c:v>38122</c:v>
                </c:pt>
                <c:pt idx="866">
                  <c:v>38123</c:v>
                </c:pt>
                <c:pt idx="867">
                  <c:v>38124</c:v>
                </c:pt>
                <c:pt idx="868">
                  <c:v>38125</c:v>
                </c:pt>
                <c:pt idx="869">
                  <c:v>38126</c:v>
                </c:pt>
                <c:pt idx="870">
                  <c:v>38127</c:v>
                </c:pt>
                <c:pt idx="871">
                  <c:v>38128</c:v>
                </c:pt>
                <c:pt idx="872">
                  <c:v>38129</c:v>
                </c:pt>
                <c:pt idx="873">
                  <c:v>38130</c:v>
                </c:pt>
                <c:pt idx="874">
                  <c:v>38131</c:v>
                </c:pt>
                <c:pt idx="875">
                  <c:v>38132</c:v>
                </c:pt>
                <c:pt idx="876">
                  <c:v>38133</c:v>
                </c:pt>
                <c:pt idx="877">
                  <c:v>38134</c:v>
                </c:pt>
                <c:pt idx="878">
                  <c:v>38135</c:v>
                </c:pt>
                <c:pt idx="879">
                  <c:v>38136</c:v>
                </c:pt>
                <c:pt idx="880">
                  <c:v>38137</c:v>
                </c:pt>
                <c:pt idx="881">
                  <c:v>38138</c:v>
                </c:pt>
                <c:pt idx="882">
                  <c:v>38139</c:v>
                </c:pt>
                <c:pt idx="883">
                  <c:v>38140</c:v>
                </c:pt>
                <c:pt idx="884">
                  <c:v>38141</c:v>
                </c:pt>
                <c:pt idx="885">
                  <c:v>38142</c:v>
                </c:pt>
                <c:pt idx="886">
                  <c:v>38143</c:v>
                </c:pt>
                <c:pt idx="887">
                  <c:v>38144</c:v>
                </c:pt>
                <c:pt idx="888">
                  <c:v>38145</c:v>
                </c:pt>
                <c:pt idx="889">
                  <c:v>38146</c:v>
                </c:pt>
                <c:pt idx="890">
                  <c:v>38147</c:v>
                </c:pt>
                <c:pt idx="891">
                  <c:v>38148</c:v>
                </c:pt>
                <c:pt idx="892">
                  <c:v>38149</c:v>
                </c:pt>
                <c:pt idx="893">
                  <c:v>38150</c:v>
                </c:pt>
                <c:pt idx="894">
                  <c:v>38151</c:v>
                </c:pt>
                <c:pt idx="895">
                  <c:v>38152</c:v>
                </c:pt>
                <c:pt idx="896">
                  <c:v>38153</c:v>
                </c:pt>
                <c:pt idx="897">
                  <c:v>38154</c:v>
                </c:pt>
                <c:pt idx="898">
                  <c:v>38155</c:v>
                </c:pt>
                <c:pt idx="899">
                  <c:v>38156</c:v>
                </c:pt>
                <c:pt idx="900">
                  <c:v>38157</c:v>
                </c:pt>
                <c:pt idx="901">
                  <c:v>38158</c:v>
                </c:pt>
                <c:pt idx="902">
                  <c:v>38159</c:v>
                </c:pt>
                <c:pt idx="903">
                  <c:v>38160</c:v>
                </c:pt>
                <c:pt idx="904">
                  <c:v>38161</c:v>
                </c:pt>
                <c:pt idx="905">
                  <c:v>38162</c:v>
                </c:pt>
                <c:pt idx="906">
                  <c:v>38163</c:v>
                </c:pt>
                <c:pt idx="907">
                  <c:v>38164</c:v>
                </c:pt>
                <c:pt idx="908">
                  <c:v>38165</c:v>
                </c:pt>
                <c:pt idx="909">
                  <c:v>38166</c:v>
                </c:pt>
                <c:pt idx="910">
                  <c:v>38167</c:v>
                </c:pt>
                <c:pt idx="911">
                  <c:v>38168</c:v>
                </c:pt>
                <c:pt idx="912">
                  <c:v>38169</c:v>
                </c:pt>
                <c:pt idx="913">
                  <c:v>38170</c:v>
                </c:pt>
                <c:pt idx="914">
                  <c:v>38171</c:v>
                </c:pt>
                <c:pt idx="915">
                  <c:v>38172</c:v>
                </c:pt>
                <c:pt idx="916">
                  <c:v>38173</c:v>
                </c:pt>
                <c:pt idx="917">
                  <c:v>38174</c:v>
                </c:pt>
                <c:pt idx="918">
                  <c:v>38175</c:v>
                </c:pt>
                <c:pt idx="919">
                  <c:v>38176</c:v>
                </c:pt>
                <c:pt idx="920">
                  <c:v>38177</c:v>
                </c:pt>
                <c:pt idx="921">
                  <c:v>38178</c:v>
                </c:pt>
                <c:pt idx="922">
                  <c:v>38179</c:v>
                </c:pt>
                <c:pt idx="923">
                  <c:v>38180</c:v>
                </c:pt>
                <c:pt idx="924">
                  <c:v>38181</c:v>
                </c:pt>
                <c:pt idx="925">
                  <c:v>38182</c:v>
                </c:pt>
                <c:pt idx="926">
                  <c:v>38183</c:v>
                </c:pt>
                <c:pt idx="927">
                  <c:v>38184</c:v>
                </c:pt>
                <c:pt idx="928">
                  <c:v>38185</c:v>
                </c:pt>
                <c:pt idx="929">
                  <c:v>38186</c:v>
                </c:pt>
                <c:pt idx="930">
                  <c:v>38187</c:v>
                </c:pt>
                <c:pt idx="931">
                  <c:v>38188</c:v>
                </c:pt>
                <c:pt idx="932">
                  <c:v>38189</c:v>
                </c:pt>
                <c:pt idx="933">
                  <c:v>38190</c:v>
                </c:pt>
                <c:pt idx="934">
                  <c:v>38191</c:v>
                </c:pt>
                <c:pt idx="935">
                  <c:v>38192</c:v>
                </c:pt>
                <c:pt idx="936">
                  <c:v>38193</c:v>
                </c:pt>
                <c:pt idx="937">
                  <c:v>38194</c:v>
                </c:pt>
                <c:pt idx="938">
                  <c:v>38195</c:v>
                </c:pt>
                <c:pt idx="939">
                  <c:v>38196</c:v>
                </c:pt>
                <c:pt idx="940">
                  <c:v>38197</c:v>
                </c:pt>
                <c:pt idx="941">
                  <c:v>38198</c:v>
                </c:pt>
                <c:pt idx="942">
                  <c:v>38199</c:v>
                </c:pt>
                <c:pt idx="943">
                  <c:v>38200</c:v>
                </c:pt>
                <c:pt idx="944">
                  <c:v>38201</c:v>
                </c:pt>
                <c:pt idx="945">
                  <c:v>38202</c:v>
                </c:pt>
                <c:pt idx="946">
                  <c:v>38203</c:v>
                </c:pt>
                <c:pt idx="947">
                  <c:v>38204</c:v>
                </c:pt>
                <c:pt idx="948">
                  <c:v>38205</c:v>
                </c:pt>
                <c:pt idx="949">
                  <c:v>38206</c:v>
                </c:pt>
                <c:pt idx="950">
                  <c:v>38207</c:v>
                </c:pt>
                <c:pt idx="951">
                  <c:v>38208</c:v>
                </c:pt>
                <c:pt idx="952">
                  <c:v>38209</c:v>
                </c:pt>
                <c:pt idx="953">
                  <c:v>38210</c:v>
                </c:pt>
                <c:pt idx="954">
                  <c:v>38211</c:v>
                </c:pt>
                <c:pt idx="955">
                  <c:v>38212</c:v>
                </c:pt>
                <c:pt idx="956">
                  <c:v>38213</c:v>
                </c:pt>
                <c:pt idx="957">
                  <c:v>38214</c:v>
                </c:pt>
                <c:pt idx="958">
                  <c:v>38215</c:v>
                </c:pt>
                <c:pt idx="959">
                  <c:v>38216</c:v>
                </c:pt>
                <c:pt idx="960">
                  <c:v>38217</c:v>
                </c:pt>
                <c:pt idx="961">
                  <c:v>38218</c:v>
                </c:pt>
                <c:pt idx="962">
                  <c:v>38219</c:v>
                </c:pt>
                <c:pt idx="963">
                  <c:v>38220</c:v>
                </c:pt>
                <c:pt idx="964">
                  <c:v>38221</c:v>
                </c:pt>
                <c:pt idx="965">
                  <c:v>38222</c:v>
                </c:pt>
                <c:pt idx="966">
                  <c:v>38223</c:v>
                </c:pt>
                <c:pt idx="967">
                  <c:v>38224</c:v>
                </c:pt>
                <c:pt idx="968">
                  <c:v>38225</c:v>
                </c:pt>
                <c:pt idx="969">
                  <c:v>38226</c:v>
                </c:pt>
                <c:pt idx="970">
                  <c:v>38227</c:v>
                </c:pt>
                <c:pt idx="971">
                  <c:v>38228</c:v>
                </c:pt>
                <c:pt idx="972">
                  <c:v>38229</c:v>
                </c:pt>
                <c:pt idx="973">
                  <c:v>38230</c:v>
                </c:pt>
                <c:pt idx="974">
                  <c:v>38231</c:v>
                </c:pt>
                <c:pt idx="975">
                  <c:v>38232</c:v>
                </c:pt>
                <c:pt idx="976">
                  <c:v>38233</c:v>
                </c:pt>
                <c:pt idx="977">
                  <c:v>38234</c:v>
                </c:pt>
                <c:pt idx="978">
                  <c:v>38235</c:v>
                </c:pt>
                <c:pt idx="979">
                  <c:v>38236</c:v>
                </c:pt>
                <c:pt idx="980">
                  <c:v>38237</c:v>
                </c:pt>
                <c:pt idx="981">
                  <c:v>38238</c:v>
                </c:pt>
                <c:pt idx="982">
                  <c:v>38239</c:v>
                </c:pt>
                <c:pt idx="983">
                  <c:v>38240</c:v>
                </c:pt>
                <c:pt idx="984">
                  <c:v>38241</c:v>
                </c:pt>
                <c:pt idx="985">
                  <c:v>38242</c:v>
                </c:pt>
                <c:pt idx="986">
                  <c:v>38243</c:v>
                </c:pt>
                <c:pt idx="987">
                  <c:v>38244</c:v>
                </c:pt>
                <c:pt idx="988">
                  <c:v>38245</c:v>
                </c:pt>
                <c:pt idx="989">
                  <c:v>38246</c:v>
                </c:pt>
                <c:pt idx="990">
                  <c:v>38247</c:v>
                </c:pt>
                <c:pt idx="991">
                  <c:v>38248</c:v>
                </c:pt>
                <c:pt idx="992">
                  <c:v>38249</c:v>
                </c:pt>
                <c:pt idx="993">
                  <c:v>38250</c:v>
                </c:pt>
                <c:pt idx="994">
                  <c:v>38251</c:v>
                </c:pt>
                <c:pt idx="995">
                  <c:v>38252</c:v>
                </c:pt>
                <c:pt idx="996">
                  <c:v>38253</c:v>
                </c:pt>
                <c:pt idx="997">
                  <c:v>38254</c:v>
                </c:pt>
                <c:pt idx="998">
                  <c:v>38255</c:v>
                </c:pt>
                <c:pt idx="999">
                  <c:v>38256</c:v>
                </c:pt>
                <c:pt idx="1000">
                  <c:v>38257</c:v>
                </c:pt>
                <c:pt idx="1001">
                  <c:v>38258</c:v>
                </c:pt>
                <c:pt idx="1002">
                  <c:v>38259</c:v>
                </c:pt>
                <c:pt idx="1003">
                  <c:v>38260</c:v>
                </c:pt>
                <c:pt idx="1004">
                  <c:v>38261</c:v>
                </c:pt>
                <c:pt idx="1005">
                  <c:v>38262</c:v>
                </c:pt>
                <c:pt idx="1006">
                  <c:v>38263</c:v>
                </c:pt>
                <c:pt idx="1007">
                  <c:v>38264</c:v>
                </c:pt>
                <c:pt idx="1008">
                  <c:v>38265</c:v>
                </c:pt>
                <c:pt idx="1009">
                  <c:v>38266</c:v>
                </c:pt>
                <c:pt idx="1010">
                  <c:v>38267</c:v>
                </c:pt>
                <c:pt idx="1011">
                  <c:v>38268</c:v>
                </c:pt>
                <c:pt idx="1012">
                  <c:v>38269</c:v>
                </c:pt>
                <c:pt idx="1013">
                  <c:v>38270</c:v>
                </c:pt>
                <c:pt idx="1014">
                  <c:v>38271</c:v>
                </c:pt>
                <c:pt idx="1015">
                  <c:v>38272</c:v>
                </c:pt>
                <c:pt idx="1016">
                  <c:v>38273</c:v>
                </c:pt>
                <c:pt idx="1017">
                  <c:v>38274</c:v>
                </c:pt>
                <c:pt idx="1018">
                  <c:v>38275</c:v>
                </c:pt>
                <c:pt idx="1019">
                  <c:v>38276</c:v>
                </c:pt>
                <c:pt idx="1020">
                  <c:v>38277</c:v>
                </c:pt>
                <c:pt idx="1021">
                  <c:v>38278</c:v>
                </c:pt>
                <c:pt idx="1022">
                  <c:v>38279</c:v>
                </c:pt>
                <c:pt idx="1023">
                  <c:v>38280</c:v>
                </c:pt>
                <c:pt idx="1024">
                  <c:v>38281</c:v>
                </c:pt>
                <c:pt idx="1025">
                  <c:v>38282</c:v>
                </c:pt>
                <c:pt idx="1026">
                  <c:v>38283</c:v>
                </c:pt>
                <c:pt idx="1027">
                  <c:v>38284</c:v>
                </c:pt>
                <c:pt idx="1028">
                  <c:v>38285</c:v>
                </c:pt>
                <c:pt idx="1029">
                  <c:v>38286</c:v>
                </c:pt>
                <c:pt idx="1030">
                  <c:v>38287</c:v>
                </c:pt>
                <c:pt idx="1031">
                  <c:v>38288</c:v>
                </c:pt>
                <c:pt idx="1032">
                  <c:v>38289</c:v>
                </c:pt>
                <c:pt idx="1033">
                  <c:v>38290</c:v>
                </c:pt>
                <c:pt idx="1034">
                  <c:v>38291</c:v>
                </c:pt>
                <c:pt idx="1035">
                  <c:v>38292</c:v>
                </c:pt>
                <c:pt idx="1036">
                  <c:v>38293</c:v>
                </c:pt>
                <c:pt idx="1037">
                  <c:v>38294</c:v>
                </c:pt>
                <c:pt idx="1038">
                  <c:v>38295</c:v>
                </c:pt>
                <c:pt idx="1039">
                  <c:v>38296</c:v>
                </c:pt>
                <c:pt idx="1040">
                  <c:v>38297</c:v>
                </c:pt>
                <c:pt idx="1041">
                  <c:v>38298</c:v>
                </c:pt>
                <c:pt idx="1042">
                  <c:v>38299</c:v>
                </c:pt>
                <c:pt idx="1043">
                  <c:v>38300</c:v>
                </c:pt>
                <c:pt idx="1044">
                  <c:v>38301</c:v>
                </c:pt>
                <c:pt idx="1045">
                  <c:v>38302</c:v>
                </c:pt>
                <c:pt idx="1046">
                  <c:v>38303</c:v>
                </c:pt>
                <c:pt idx="1047">
                  <c:v>38304</c:v>
                </c:pt>
                <c:pt idx="1048">
                  <c:v>38305</c:v>
                </c:pt>
                <c:pt idx="1049">
                  <c:v>38306</c:v>
                </c:pt>
                <c:pt idx="1050">
                  <c:v>38307</c:v>
                </c:pt>
                <c:pt idx="1051">
                  <c:v>38308</c:v>
                </c:pt>
                <c:pt idx="1052">
                  <c:v>38309</c:v>
                </c:pt>
                <c:pt idx="1053">
                  <c:v>38310</c:v>
                </c:pt>
                <c:pt idx="1054">
                  <c:v>38311</c:v>
                </c:pt>
                <c:pt idx="1055">
                  <c:v>38312</c:v>
                </c:pt>
                <c:pt idx="1056">
                  <c:v>38313</c:v>
                </c:pt>
                <c:pt idx="1057">
                  <c:v>38314</c:v>
                </c:pt>
                <c:pt idx="1058">
                  <c:v>38315</c:v>
                </c:pt>
                <c:pt idx="1059">
                  <c:v>38316</c:v>
                </c:pt>
                <c:pt idx="1060">
                  <c:v>38317</c:v>
                </c:pt>
                <c:pt idx="1061">
                  <c:v>38318</c:v>
                </c:pt>
                <c:pt idx="1062">
                  <c:v>38319</c:v>
                </c:pt>
                <c:pt idx="1063">
                  <c:v>38320</c:v>
                </c:pt>
                <c:pt idx="1064">
                  <c:v>38321</c:v>
                </c:pt>
                <c:pt idx="1065">
                  <c:v>38322</c:v>
                </c:pt>
                <c:pt idx="1066">
                  <c:v>38323</c:v>
                </c:pt>
                <c:pt idx="1067">
                  <c:v>38324</c:v>
                </c:pt>
                <c:pt idx="1068">
                  <c:v>38325</c:v>
                </c:pt>
                <c:pt idx="1069">
                  <c:v>38326</c:v>
                </c:pt>
                <c:pt idx="1070">
                  <c:v>38327</c:v>
                </c:pt>
                <c:pt idx="1071">
                  <c:v>38328</c:v>
                </c:pt>
                <c:pt idx="1072">
                  <c:v>38329</c:v>
                </c:pt>
                <c:pt idx="1073">
                  <c:v>38330</c:v>
                </c:pt>
                <c:pt idx="1074">
                  <c:v>38331</c:v>
                </c:pt>
                <c:pt idx="1075">
                  <c:v>38332</c:v>
                </c:pt>
                <c:pt idx="1076">
                  <c:v>38333</c:v>
                </c:pt>
                <c:pt idx="1077">
                  <c:v>38334</c:v>
                </c:pt>
                <c:pt idx="1078">
                  <c:v>38335</c:v>
                </c:pt>
                <c:pt idx="1079">
                  <c:v>38336</c:v>
                </c:pt>
                <c:pt idx="1080">
                  <c:v>38337</c:v>
                </c:pt>
                <c:pt idx="1081">
                  <c:v>38338</c:v>
                </c:pt>
                <c:pt idx="1082">
                  <c:v>38339</c:v>
                </c:pt>
                <c:pt idx="1083">
                  <c:v>38340</c:v>
                </c:pt>
                <c:pt idx="1084">
                  <c:v>38341</c:v>
                </c:pt>
                <c:pt idx="1085">
                  <c:v>38342</c:v>
                </c:pt>
                <c:pt idx="1086">
                  <c:v>38343</c:v>
                </c:pt>
                <c:pt idx="1087">
                  <c:v>38344</c:v>
                </c:pt>
                <c:pt idx="1088">
                  <c:v>38345</c:v>
                </c:pt>
                <c:pt idx="1089">
                  <c:v>38346</c:v>
                </c:pt>
                <c:pt idx="1090">
                  <c:v>38347</c:v>
                </c:pt>
                <c:pt idx="1091">
                  <c:v>38348</c:v>
                </c:pt>
                <c:pt idx="1092">
                  <c:v>38349</c:v>
                </c:pt>
                <c:pt idx="1093">
                  <c:v>38350</c:v>
                </c:pt>
                <c:pt idx="1094">
                  <c:v>38351</c:v>
                </c:pt>
                <c:pt idx="1095">
                  <c:v>38352</c:v>
                </c:pt>
                <c:pt idx="1096">
                  <c:v>38353</c:v>
                </c:pt>
                <c:pt idx="1097">
                  <c:v>38354</c:v>
                </c:pt>
                <c:pt idx="1098">
                  <c:v>38355</c:v>
                </c:pt>
                <c:pt idx="1099">
                  <c:v>38356</c:v>
                </c:pt>
                <c:pt idx="1100">
                  <c:v>38357</c:v>
                </c:pt>
                <c:pt idx="1101">
                  <c:v>38358</c:v>
                </c:pt>
                <c:pt idx="1102">
                  <c:v>38359</c:v>
                </c:pt>
                <c:pt idx="1103">
                  <c:v>38360</c:v>
                </c:pt>
                <c:pt idx="1104">
                  <c:v>38361</c:v>
                </c:pt>
                <c:pt idx="1105">
                  <c:v>38362</c:v>
                </c:pt>
                <c:pt idx="1106">
                  <c:v>38363</c:v>
                </c:pt>
                <c:pt idx="1107">
                  <c:v>38364</c:v>
                </c:pt>
                <c:pt idx="1108">
                  <c:v>38365</c:v>
                </c:pt>
                <c:pt idx="1109">
                  <c:v>38366</c:v>
                </c:pt>
                <c:pt idx="1110">
                  <c:v>38367</c:v>
                </c:pt>
                <c:pt idx="1111">
                  <c:v>38368</c:v>
                </c:pt>
                <c:pt idx="1112">
                  <c:v>38369</c:v>
                </c:pt>
                <c:pt idx="1113">
                  <c:v>38370</c:v>
                </c:pt>
                <c:pt idx="1114">
                  <c:v>38371</c:v>
                </c:pt>
                <c:pt idx="1115">
                  <c:v>38372</c:v>
                </c:pt>
                <c:pt idx="1116">
                  <c:v>38373</c:v>
                </c:pt>
                <c:pt idx="1117">
                  <c:v>38374</c:v>
                </c:pt>
                <c:pt idx="1118">
                  <c:v>38375</c:v>
                </c:pt>
                <c:pt idx="1119">
                  <c:v>38376</c:v>
                </c:pt>
                <c:pt idx="1120">
                  <c:v>38377</c:v>
                </c:pt>
                <c:pt idx="1121">
                  <c:v>38378</c:v>
                </c:pt>
                <c:pt idx="1122">
                  <c:v>38379</c:v>
                </c:pt>
                <c:pt idx="1123">
                  <c:v>38380</c:v>
                </c:pt>
                <c:pt idx="1124">
                  <c:v>38381</c:v>
                </c:pt>
                <c:pt idx="1125">
                  <c:v>38382</c:v>
                </c:pt>
                <c:pt idx="1126">
                  <c:v>38383</c:v>
                </c:pt>
                <c:pt idx="1127">
                  <c:v>38384</c:v>
                </c:pt>
                <c:pt idx="1128">
                  <c:v>38385</c:v>
                </c:pt>
                <c:pt idx="1129">
                  <c:v>38386</c:v>
                </c:pt>
                <c:pt idx="1130">
                  <c:v>38387</c:v>
                </c:pt>
                <c:pt idx="1131">
                  <c:v>38388</c:v>
                </c:pt>
                <c:pt idx="1132">
                  <c:v>38389</c:v>
                </c:pt>
                <c:pt idx="1133">
                  <c:v>38390</c:v>
                </c:pt>
                <c:pt idx="1134">
                  <c:v>38391</c:v>
                </c:pt>
                <c:pt idx="1135">
                  <c:v>38392</c:v>
                </c:pt>
                <c:pt idx="1136">
                  <c:v>38393</c:v>
                </c:pt>
                <c:pt idx="1137">
                  <c:v>38394</c:v>
                </c:pt>
                <c:pt idx="1138">
                  <c:v>38395</c:v>
                </c:pt>
                <c:pt idx="1139">
                  <c:v>38396</c:v>
                </c:pt>
                <c:pt idx="1140">
                  <c:v>38397</c:v>
                </c:pt>
                <c:pt idx="1141">
                  <c:v>38398</c:v>
                </c:pt>
                <c:pt idx="1142">
                  <c:v>38399</c:v>
                </c:pt>
                <c:pt idx="1143">
                  <c:v>38400</c:v>
                </c:pt>
                <c:pt idx="1144">
                  <c:v>38401</c:v>
                </c:pt>
                <c:pt idx="1145">
                  <c:v>38402</c:v>
                </c:pt>
                <c:pt idx="1146">
                  <c:v>38403</c:v>
                </c:pt>
                <c:pt idx="1147">
                  <c:v>38404</c:v>
                </c:pt>
                <c:pt idx="1148">
                  <c:v>38405</c:v>
                </c:pt>
                <c:pt idx="1149">
                  <c:v>38406</c:v>
                </c:pt>
                <c:pt idx="1150">
                  <c:v>38407</c:v>
                </c:pt>
                <c:pt idx="1151">
                  <c:v>38408</c:v>
                </c:pt>
                <c:pt idx="1152">
                  <c:v>38409</c:v>
                </c:pt>
                <c:pt idx="1153">
                  <c:v>38410</c:v>
                </c:pt>
                <c:pt idx="1154">
                  <c:v>38411</c:v>
                </c:pt>
                <c:pt idx="1155">
                  <c:v>38412</c:v>
                </c:pt>
                <c:pt idx="1156">
                  <c:v>38413</c:v>
                </c:pt>
                <c:pt idx="1157">
                  <c:v>38414</c:v>
                </c:pt>
                <c:pt idx="1158">
                  <c:v>38415</c:v>
                </c:pt>
                <c:pt idx="1159">
                  <c:v>38416</c:v>
                </c:pt>
                <c:pt idx="1160">
                  <c:v>38417</c:v>
                </c:pt>
                <c:pt idx="1161">
                  <c:v>38418</c:v>
                </c:pt>
                <c:pt idx="1162">
                  <c:v>38419</c:v>
                </c:pt>
                <c:pt idx="1163">
                  <c:v>38420</c:v>
                </c:pt>
                <c:pt idx="1164">
                  <c:v>38421</c:v>
                </c:pt>
                <c:pt idx="1165">
                  <c:v>38422</c:v>
                </c:pt>
                <c:pt idx="1166">
                  <c:v>38423</c:v>
                </c:pt>
                <c:pt idx="1167">
                  <c:v>38424</c:v>
                </c:pt>
                <c:pt idx="1168">
                  <c:v>38425</c:v>
                </c:pt>
                <c:pt idx="1169">
                  <c:v>38426</c:v>
                </c:pt>
                <c:pt idx="1170">
                  <c:v>38427</c:v>
                </c:pt>
                <c:pt idx="1171">
                  <c:v>38428</c:v>
                </c:pt>
                <c:pt idx="1172">
                  <c:v>38429</c:v>
                </c:pt>
                <c:pt idx="1173">
                  <c:v>38430</c:v>
                </c:pt>
                <c:pt idx="1174">
                  <c:v>38431</c:v>
                </c:pt>
                <c:pt idx="1175">
                  <c:v>38432</c:v>
                </c:pt>
                <c:pt idx="1176">
                  <c:v>38433</c:v>
                </c:pt>
                <c:pt idx="1177">
                  <c:v>38434</c:v>
                </c:pt>
                <c:pt idx="1178">
                  <c:v>38435</c:v>
                </c:pt>
                <c:pt idx="1179">
                  <c:v>38436</c:v>
                </c:pt>
                <c:pt idx="1180">
                  <c:v>38437</c:v>
                </c:pt>
                <c:pt idx="1181">
                  <c:v>38438</c:v>
                </c:pt>
                <c:pt idx="1182">
                  <c:v>38439</c:v>
                </c:pt>
                <c:pt idx="1183">
                  <c:v>38440</c:v>
                </c:pt>
                <c:pt idx="1184">
                  <c:v>38441</c:v>
                </c:pt>
                <c:pt idx="1185">
                  <c:v>38442</c:v>
                </c:pt>
                <c:pt idx="1186">
                  <c:v>38443</c:v>
                </c:pt>
                <c:pt idx="1187">
                  <c:v>38444</c:v>
                </c:pt>
                <c:pt idx="1188">
                  <c:v>38445</c:v>
                </c:pt>
                <c:pt idx="1189">
                  <c:v>38446</c:v>
                </c:pt>
                <c:pt idx="1190">
                  <c:v>38447</c:v>
                </c:pt>
                <c:pt idx="1191">
                  <c:v>38448</c:v>
                </c:pt>
                <c:pt idx="1192">
                  <c:v>38449</c:v>
                </c:pt>
                <c:pt idx="1193">
                  <c:v>38450</c:v>
                </c:pt>
                <c:pt idx="1194">
                  <c:v>38451</c:v>
                </c:pt>
                <c:pt idx="1195">
                  <c:v>38452</c:v>
                </c:pt>
                <c:pt idx="1196">
                  <c:v>38453</c:v>
                </c:pt>
                <c:pt idx="1197">
                  <c:v>38454</c:v>
                </c:pt>
                <c:pt idx="1198">
                  <c:v>38455</c:v>
                </c:pt>
                <c:pt idx="1199">
                  <c:v>38456</c:v>
                </c:pt>
                <c:pt idx="1200">
                  <c:v>38457</c:v>
                </c:pt>
                <c:pt idx="1201">
                  <c:v>38458</c:v>
                </c:pt>
                <c:pt idx="1202">
                  <c:v>38459</c:v>
                </c:pt>
                <c:pt idx="1203">
                  <c:v>38460</c:v>
                </c:pt>
                <c:pt idx="1204">
                  <c:v>38461</c:v>
                </c:pt>
                <c:pt idx="1205">
                  <c:v>38462</c:v>
                </c:pt>
                <c:pt idx="1206">
                  <c:v>38463</c:v>
                </c:pt>
                <c:pt idx="1207">
                  <c:v>38464</c:v>
                </c:pt>
                <c:pt idx="1208">
                  <c:v>38465</c:v>
                </c:pt>
                <c:pt idx="1209">
                  <c:v>38466</c:v>
                </c:pt>
                <c:pt idx="1210">
                  <c:v>38467</c:v>
                </c:pt>
                <c:pt idx="1211">
                  <c:v>38468</c:v>
                </c:pt>
                <c:pt idx="1212">
                  <c:v>38469</c:v>
                </c:pt>
                <c:pt idx="1213">
                  <c:v>38470</c:v>
                </c:pt>
                <c:pt idx="1214">
                  <c:v>38471</c:v>
                </c:pt>
                <c:pt idx="1215">
                  <c:v>38472</c:v>
                </c:pt>
                <c:pt idx="1216">
                  <c:v>38473</c:v>
                </c:pt>
                <c:pt idx="1217">
                  <c:v>38474</c:v>
                </c:pt>
                <c:pt idx="1218">
                  <c:v>38475</c:v>
                </c:pt>
                <c:pt idx="1219">
                  <c:v>38476</c:v>
                </c:pt>
                <c:pt idx="1220">
                  <c:v>38477</c:v>
                </c:pt>
                <c:pt idx="1221">
                  <c:v>38478</c:v>
                </c:pt>
                <c:pt idx="1222">
                  <c:v>38479</c:v>
                </c:pt>
                <c:pt idx="1223">
                  <c:v>38480</c:v>
                </c:pt>
                <c:pt idx="1224">
                  <c:v>38481</c:v>
                </c:pt>
                <c:pt idx="1225">
                  <c:v>38482</c:v>
                </c:pt>
                <c:pt idx="1226">
                  <c:v>38483</c:v>
                </c:pt>
                <c:pt idx="1227">
                  <c:v>38484</c:v>
                </c:pt>
                <c:pt idx="1228">
                  <c:v>38485</c:v>
                </c:pt>
                <c:pt idx="1229">
                  <c:v>38486</c:v>
                </c:pt>
                <c:pt idx="1230">
                  <c:v>38487</c:v>
                </c:pt>
                <c:pt idx="1231">
                  <c:v>38488</c:v>
                </c:pt>
                <c:pt idx="1232">
                  <c:v>38489</c:v>
                </c:pt>
                <c:pt idx="1233">
                  <c:v>38490</c:v>
                </c:pt>
                <c:pt idx="1234">
                  <c:v>38491</c:v>
                </c:pt>
                <c:pt idx="1235">
                  <c:v>38492</c:v>
                </c:pt>
                <c:pt idx="1236">
                  <c:v>38493</c:v>
                </c:pt>
                <c:pt idx="1237">
                  <c:v>38494</c:v>
                </c:pt>
                <c:pt idx="1238">
                  <c:v>38495</c:v>
                </c:pt>
                <c:pt idx="1239">
                  <c:v>38496</c:v>
                </c:pt>
                <c:pt idx="1240">
                  <c:v>38497</c:v>
                </c:pt>
                <c:pt idx="1241">
                  <c:v>38498</c:v>
                </c:pt>
                <c:pt idx="1242">
                  <c:v>38499</c:v>
                </c:pt>
                <c:pt idx="1243">
                  <c:v>38500</c:v>
                </c:pt>
                <c:pt idx="1244">
                  <c:v>38501</c:v>
                </c:pt>
                <c:pt idx="1245">
                  <c:v>38502</c:v>
                </c:pt>
                <c:pt idx="1246">
                  <c:v>38503</c:v>
                </c:pt>
                <c:pt idx="1247">
                  <c:v>38504</c:v>
                </c:pt>
                <c:pt idx="1248">
                  <c:v>38505</c:v>
                </c:pt>
                <c:pt idx="1249">
                  <c:v>38506</c:v>
                </c:pt>
                <c:pt idx="1250">
                  <c:v>38507</c:v>
                </c:pt>
                <c:pt idx="1251">
                  <c:v>38508</c:v>
                </c:pt>
                <c:pt idx="1252">
                  <c:v>38509</c:v>
                </c:pt>
                <c:pt idx="1253">
                  <c:v>38510</c:v>
                </c:pt>
                <c:pt idx="1254">
                  <c:v>38511</c:v>
                </c:pt>
                <c:pt idx="1255">
                  <c:v>38512</c:v>
                </c:pt>
                <c:pt idx="1256">
                  <c:v>38513</c:v>
                </c:pt>
                <c:pt idx="1257">
                  <c:v>38514</c:v>
                </c:pt>
                <c:pt idx="1258">
                  <c:v>38515</c:v>
                </c:pt>
                <c:pt idx="1259">
                  <c:v>38516</c:v>
                </c:pt>
                <c:pt idx="1260">
                  <c:v>38517</c:v>
                </c:pt>
                <c:pt idx="1261">
                  <c:v>38518</c:v>
                </c:pt>
                <c:pt idx="1262">
                  <c:v>38519</c:v>
                </c:pt>
                <c:pt idx="1263">
                  <c:v>38520</c:v>
                </c:pt>
                <c:pt idx="1264">
                  <c:v>38521</c:v>
                </c:pt>
                <c:pt idx="1265">
                  <c:v>38522</c:v>
                </c:pt>
                <c:pt idx="1266">
                  <c:v>38523</c:v>
                </c:pt>
                <c:pt idx="1267">
                  <c:v>38524</c:v>
                </c:pt>
                <c:pt idx="1268">
                  <c:v>38525</c:v>
                </c:pt>
                <c:pt idx="1269">
                  <c:v>38526</c:v>
                </c:pt>
                <c:pt idx="1270">
                  <c:v>38527</c:v>
                </c:pt>
                <c:pt idx="1271">
                  <c:v>38528</c:v>
                </c:pt>
                <c:pt idx="1272">
                  <c:v>38529</c:v>
                </c:pt>
                <c:pt idx="1273">
                  <c:v>38530</c:v>
                </c:pt>
                <c:pt idx="1274">
                  <c:v>38531</c:v>
                </c:pt>
                <c:pt idx="1275">
                  <c:v>38532</c:v>
                </c:pt>
                <c:pt idx="1276">
                  <c:v>38533</c:v>
                </c:pt>
                <c:pt idx="1277">
                  <c:v>38534</c:v>
                </c:pt>
                <c:pt idx="1278">
                  <c:v>38535</c:v>
                </c:pt>
                <c:pt idx="1279">
                  <c:v>38536</c:v>
                </c:pt>
                <c:pt idx="1280">
                  <c:v>38537</c:v>
                </c:pt>
                <c:pt idx="1281">
                  <c:v>38538</c:v>
                </c:pt>
                <c:pt idx="1282">
                  <c:v>38539</c:v>
                </c:pt>
                <c:pt idx="1283">
                  <c:v>38540</c:v>
                </c:pt>
                <c:pt idx="1284">
                  <c:v>38541</c:v>
                </c:pt>
                <c:pt idx="1285">
                  <c:v>38542</c:v>
                </c:pt>
                <c:pt idx="1286">
                  <c:v>38543</c:v>
                </c:pt>
                <c:pt idx="1287">
                  <c:v>38544</c:v>
                </c:pt>
                <c:pt idx="1288">
                  <c:v>38545</c:v>
                </c:pt>
                <c:pt idx="1289">
                  <c:v>38546</c:v>
                </c:pt>
                <c:pt idx="1290">
                  <c:v>38547</c:v>
                </c:pt>
                <c:pt idx="1291">
                  <c:v>38548</c:v>
                </c:pt>
                <c:pt idx="1292">
                  <c:v>38549</c:v>
                </c:pt>
                <c:pt idx="1293">
                  <c:v>38550</c:v>
                </c:pt>
                <c:pt idx="1294">
                  <c:v>38551</c:v>
                </c:pt>
                <c:pt idx="1295">
                  <c:v>38552</c:v>
                </c:pt>
                <c:pt idx="1296">
                  <c:v>38553</c:v>
                </c:pt>
                <c:pt idx="1297">
                  <c:v>38554</c:v>
                </c:pt>
                <c:pt idx="1298">
                  <c:v>38555</c:v>
                </c:pt>
                <c:pt idx="1299">
                  <c:v>38556</c:v>
                </c:pt>
                <c:pt idx="1300">
                  <c:v>38557</c:v>
                </c:pt>
                <c:pt idx="1301">
                  <c:v>38558</c:v>
                </c:pt>
                <c:pt idx="1302">
                  <c:v>38559</c:v>
                </c:pt>
                <c:pt idx="1303">
                  <c:v>38560</c:v>
                </c:pt>
                <c:pt idx="1304">
                  <c:v>38561</c:v>
                </c:pt>
                <c:pt idx="1305">
                  <c:v>38562</c:v>
                </c:pt>
                <c:pt idx="1306">
                  <c:v>38563</c:v>
                </c:pt>
                <c:pt idx="1307">
                  <c:v>38564</c:v>
                </c:pt>
                <c:pt idx="1308">
                  <c:v>38565</c:v>
                </c:pt>
                <c:pt idx="1309">
                  <c:v>38566</c:v>
                </c:pt>
                <c:pt idx="1310">
                  <c:v>38567</c:v>
                </c:pt>
                <c:pt idx="1311">
                  <c:v>38568</c:v>
                </c:pt>
                <c:pt idx="1312">
                  <c:v>38569</c:v>
                </c:pt>
                <c:pt idx="1313">
                  <c:v>38570</c:v>
                </c:pt>
                <c:pt idx="1314">
                  <c:v>38571</c:v>
                </c:pt>
                <c:pt idx="1315">
                  <c:v>38572</c:v>
                </c:pt>
                <c:pt idx="1316">
                  <c:v>38573</c:v>
                </c:pt>
                <c:pt idx="1317">
                  <c:v>38574</c:v>
                </c:pt>
                <c:pt idx="1318">
                  <c:v>38575</c:v>
                </c:pt>
                <c:pt idx="1319">
                  <c:v>38576</c:v>
                </c:pt>
                <c:pt idx="1320">
                  <c:v>38577</c:v>
                </c:pt>
                <c:pt idx="1321">
                  <c:v>38578</c:v>
                </c:pt>
                <c:pt idx="1322">
                  <c:v>38579</c:v>
                </c:pt>
                <c:pt idx="1323">
                  <c:v>38580</c:v>
                </c:pt>
                <c:pt idx="1324">
                  <c:v>38581</c:v>
                </c:pt>
                <c:pt idx="1325">
                  <c:v>38582</c:v>
                </c:pt>
                <c:pt idx="1326">
                  <c:v>38583</c:v>
                </c:pt>
                <c:pt idx="1327">
                  <c:v>38584</c:v>
                </c:pt>
                <c:pt idx="1328">
                  <c:v>38585</c:v>
                </c:pt>
                <c:pt idx="1329">
                  <c:v>38586</c:v>
                </c:pt>
                <c:pt idx="1330">
                  <c:v>38587</c:v>
                </c:pt>
                <c:pt idx="1331">
                  <c:v>38588</c:v>
                </c:pt>
                <c:pt idx="1332">
                  <c:v>38589</c:v>
                </c:pt>
                <c:pt idx="1333">
                  <c:v>38590</c:v>
                </c:pt>
                <c:pt idx="1334">
                  <c:v>38591</c:v>
                </c:pt>
                <c:pt idx="1335">
                  <c:v>38592</c:v>
                </c:pt>
                <c:pt idx="1336">
                  <c:v>38593</c:v>
                </c:pt>
                <c:pt idx="1337">
                  <c:v>38594</c:v>
                </c:pt>
                <c:pt idx="1338">
                  <c:v>38595</c:v>
                </c:pt>
                <c:pt idx="1339">
                  <c:v>38596</c:v>
                </c:pt>
                <c:pt idx="1340">
                  <c:v>38597</c:v>
                </c:pt>
                <c:pt idx="1341">
                  <c:v>38598</c:v>
                </c:pt>
                <c:pt idx="1342">
                  <c:v>38599</c:v>
                </c:pt>
                <c:pt idx="1343">
                  <c:v>38600</c:v>
                </c:pt>
                <c:pt idx="1344">
                  <c:v>38601</c:v>
                </c:pt>
                <c:pt idx="1345">
                  <c:v>38602</c:v>
                </c:pt>
                <c:pt idx="1346">
                  <c:v>38603</c:v>
                </c:pt>
                <c:pt idx="1347">
                  <c:v>38604</c:v>
                </c:pt>
                <c:pt idx="1348">
                  <c:v>38605</c:v>
                </c:pt>
                <c:pt idx="1349">
                  <c:v>38606</c:v>
                </c:pt>
                <c:pt idx="1350">
                  <c:v>38607</c:v>
                </c:pt>
                <c:pt idx="1351">
                  <c:v>38608</c:v>
                </c:pt>
                <c:pt idx="1352">
                  <c:v>38609</c:v>
                </c:pt>
                <c:pt idx="1353">
                  <c:v>38610</c:v>
                </c:pt>
                <c:pt idx="1354">
                  <c:v>38611</c:v>
                </c:pt>
                <c:pt idx="1355">
                  <c:v>38612</c:v>
                </c:pt>
                <c:pt idx="1356">
                  <c:v>38613</c:v>
                </c:pt>
                <c:pt idx="1357">
                  <c:v>38614</c:v>
                </c:pt>
                <c:pt idx="1358">
                  <c:v>38615</c:v>
                </c:pt>
                <c:pt idx="1359">
                  <c:v>38616</c:v>
                </c:pt>
                <c:pt idx="1360">
                  <c:v>38617</c:v>
                </c:pt>
                <c:pt idx="1361">
                  <c:v>38618</c:v>
                </c:pt>
                <c:pt idx="1362">
                  <c:v>38619</c:v>
                </c:pt>
                <c:pt idx="1363">
                  <c:v>38620</c:v>
                </c:pt>
                <c:pt idx="1364">
                  <c:v>38621</c:v>
                </c:pt>
                <c:pt idx="1365">
                  <c:v>38622</c:v>
                </c:pt>
                <c:pt idx="1366">
                  <c:v>38623</c:v>
                </c:pt>
                <c:pt idx="1367">
                  <c:v>38624</c:v>
                </c:pt>
                <c:pt idx="1368">
                  <c:v>38625</c:v>
                </c:pt>
                <c:pt idx="1369">
                  <c:v>38626</c:v>
                </c:pt>
                <c:pt idx="1370">
                  <c:v>38627</c:v>
                </c:pt>
                <c:pt idx="1371">
                  <c:v>38628</c:v>
                </c:pt>
                <c:pt idx="1372">
                  <c:v>38629</c:v>
                </c:pt>
                <c:pt idx="1373">
                  <c:v>38630</c:v>
                </c:pt>
                <c:pt idx="1374">
                  <c:v>38631</c:v>
                </c:pt>
                <c:pt idx="1375">
                  <c:v>38632</c:v>
                </c:pt>
                <c:pt idx="1376">
                  <c:v>38633</c:v>
                </c:pt>
                <c:pt idx="1377">
                  <c:v>38634</c:v>
                </c:pt>
                <c:pt idx="1378">
                  <c:v>38635</c:v>
                </c:pt>
                <c:pt idx="1379">
                  <c:v>38636</c:v>
                </c:pt>
                <c:pt idx="1380">
                  <c:v>38637</c:v>
                </c:pt>
                <c:pt idx="1381">
                  <c:v>38638</c:v>
                </c:pt>
                <c:pt idx="1382">
                  <c:v>38639</c:v>
                </c:pt>
                <c:pt idx="1383">
                  <c:v>38640</c:v>
                </c:pt>
                <c:pt idx="1384">
                  <c:v>38641</c:v>
                </c:pt>
                <c:pt idx="1385">
                  <c:v>38642</c:v>
                </c:pt>
                <c:pt idx="1386">
                  <c:v>38643</c:v>
                </c:pt>
                <c:pt idx="1387">
                  <c:v>38644</c:v>
                </c:pt>
                <c:pt idx="1388">
                  <c:v>38645</c:v>
                </c:pt>
                <c:pt idx="1389">
                  <c:v>38646</c:v>
                </c:pt>
                <c:pt idx="1390">
                  <c:v>38647</c:v>
                </c:pt>
                <c:pt idx="1391">
                  <c:v>38648</c:v>
                </c:pt>
                <c:pt idx="1392">
                  <c:v>38649</c:v>
                </c:pt>
                <c:pt idx="1393">
                  <c:v>38650</c:v>
                </c:pt>
                <c:pt idx="1394">
                  <c:v>38651</c:v>
                </c:pt>
                <c:pt idx="1395">
                  <c:v>38652</c:v>
                </c:pt>
                <c:pt idx="1396">
                  <c:v>38653</c:v>
                </c:pt>
                <c:pt idx="1397">
                  <c:v>38654</c:v>
                </c:pt>
                <c:pt idx="1398">
                  <c:v>38655</c:v>
                </c:pt>
                <c:pt idx="1399">
                  <c:v>38656</c:v>
                </c:pt>
                <c:pt idx="1400">
                  <c:v>38657</c:v>
                </c:pt>
                <c:pt idx="1401">
                  <c:v>38658</c:v>
                </c:pt>
                <c:pt idx="1402">
                  <c:v>38659</c:v>
                </c:pt>
                <c:pt idx="1403">
                  <c:v>38660</c:v>
                </c:pt>
                <c:pt idx="1404">
                  <c:v>38661</c:v>
                </c:pt>
                <c:pt idx="1405">
                  <c:v>38662</c:v>
                </c:pt>
                <c:pt idx="1406">
                  <c:v>38663</c:v>
                </c:pt>
                <c:pt idx="1407">
                  <c:v>38664</c:v>
                </c:pt>
                <c:pt idx="1408">
                  <c:v>38665</c:v>
                </c:pt>
                <c:pt idx="1409">
                  <c:v>38666</c:v>
                </c:pt>
                <c:pt idx="1410">
                  <c:v>38667</c:v>
                </c:pt>
                <c:pt idx="1411">
                  <c:v>38668</c:v>
                </c:pt>
                <c:pt idx="1412">
                  <c:v>38669</c:v>
                </c:pt>
                <c:pt idx="1413">
                  <c:v>38670</c:v>
                </c:pt>
                <c:pt idx="1414">
                  <c:v>38671</c:v>
                </c:pt>
                <c:pt idx="1415">
                  <c:v>38672</c:v>
                </c:pt>
                <c:pt idx="1416">
                  <c:v>38673</c:v>
                </c:pt>
                <c:pt idx="1417">
                  <c:v>38674</c:v>
                </c:pt>
                <c:pt idx="1418">
                  <c:v>38675</c:v>
                </c:pt>
                <c:pt idx="1419">
                  <c:v>38676</c:v>
                </c:pt>
                <c:pt idx="1420">
                  <c:v>38677</c:v>
                </c:pt>
                <c:pt idx="1421">
                  <c:v>38678</c:v>
                </c:pt>
                <c:pt idx="1422">
                  <c:v>38679</c:v>
                </c:pt>
                <c:pt idx="1423">
                  <c:v>38680</c:v>
                </c:pt>
                <c:pt idx="1424">
                  <c:v>38681</c:v>
                </c:pt>
                <c:pt idx="1425">
                  <c:v>38682</c:v>
                </c:pt>
                <c:pt idx="1426">
                  <c:v>38683</c:v>
                </c:pt>
                <c:pt idx="1427">
                  <c:v>38684</c:v>
                </c:pt>
                <c:pt idx="1428">
                  <c:v>38685</c:v>
                </c:pt>
                <c:pt idx="1429">
                  <c:v>38686</c:v>
                </c:pt>
                <c:pt idx="1430">
                  <c:v>38687</c:v>
                </c:pt>
                <c:pt idx="1431">
                  <c:v>38688</c:v>
                </c:pt>
                <c:pt idx="1432">
                  <c:v>38689</c:v>
                </c:pt>
                <c:pt idx="1433">
                  <c:v>38690</c:v>
                </c:pt>
                <c:pt idx="1434">
                  <c:v>38691</c:v>
                </c:pt>
                <c:pt idx="1435">
                  <c:v>38692</c:v>
                </c:pt>
                <c:pt idx="1436">
                  <c:v>38693</c:v>
                </c:pt>
                <c:pt idx="1437">
                  <c:v>38694</c:v>
                </c:pt>
                <c:pt idx="1438">
                  <c:v>38695</c:v>
                </c:pt>
                <c:pt idx="1439">
                  <c:v>38696</c:v>
                </c:pt>
                <c:pt idx="1440">
                  <c:v>38697</c:v>
                </c:pt>
                <c:pt idx="1441">
                  <c:v>38698</c:v>
                </c:pt>
                <c:pt idx="1442">
                  <c:v>38699</c:v>
                </c:pt>
                <c:pt idx="1443">
                  <c:v>38700</c:v>
                </c:pt>
                <c:pt idx="1444">
                  <c:v>38701</c:v>
                </c:pt>
                <c:pt idx="1445">
                  <c:v>38702</c:v>
                </c:pt>
                <c:pt idx="1446">
                  <c:v>38703</c:v>
                </c:pt>
                <c:pt idx="1447">
                  <c:v>38704</c:v>
                </c:pt>
                <c:pt idx="1448">
                  <c:v>38705</c:v>
                </c:pt>
                <c:pt idx="1449">
                  <c:v>38706</c:v>
                </c:pt>
                <c:pt idx="1450">
                  <c:v>38707</c:v>
                </c:pt>
                <c:pt idx="1451">
                  <c:v>38708</c:v>
                </c:pt>
                <c:pt idx="1452">
                  <c:v>38709</c:v>
                </c:pt>
                <c:pt idx="1453">
                  <c:v>38710</c:v>
                </c:pt>
                <c:pt idx="1454">
                  <c:v>38711</c:v>
                </c:pt>
                <c:pt idx="1455">
                  <c:v>38712</c:v>
                </c:pt>
                <c:pt idx="1456">
                  <c:v>38713</c:v>
                </c:pt>
                <c:pt idx="1457">
                  <c:v>38714</c:v>
                </c:pt>
                <c:pt idx="1458">
                  <c:v>38715</c:v>
                </c:pt>
                <c:pt idx="1459">
                  <c:v>38716</c:v>
                </c:pt>
                <c:pt idx="1460">
                  <c:v>38717</c:v>
                </c:pt>
                <c:pt idx="1461">
                  <c:v>38718</c:v>
                </c:pt>
                <c:pt idx="1462">
                  <c:v>38719</c:v>
                </c:pt>
                <c:pt idx="1463">
                  <c:v>38720</c:v>
                </c:pt>
                <c:pt idx="1464">
                  <c:v>38721</c:v>
                </c:pt>
                <c:pt idx="1465">
                  <c:v>38722</c:v>
                </c:pt>
                <c:pt idx="1466">
                  <c:v>38723</c:v>
                </c:pt>
                <c:pt idx="1467">
                  <c:v>38724</c:v>
                </c:pt>
                <c:pt idx="1468">
                  <c:v>38725</c:v>
                </c:pt>
                <c:pt idx="1469">
                  <c:v>38726</c:v>
                </c:pt>
                <c:pt idx="1470">
                  <c:v>38727</c:v>
                </c:pt>
                <c:pt idx="1471">
                  <c:v>38728</c:v>
                </c:pt>
                <c:pt idx="1472">
                  <c:v>38729</c:v>
                </c:pt>
                <c:pt idx="1473">
                  <c:v>38730</c:v>
                </c:pt>
                <c:pt idx="1474">
                  <c:v>38731</c:v>
                </c:pt>
                <c:pt idx="1475">
                  <c:v>38732</c:v>
                </c:pt>
                <c:pt idx="1476">
                  <c:v>38733</c:v>
                </c:pt>
                <c:pt idx="1477">
                  <c:v>38734</c:v>
                </c:pt>
                <c:pt idx="1478">
                  <c:v>38735</c:v>
                </c:pt>
                <c:pt idx="1479">
                  <c:v>38736</c:v>
                </c:pt>
                <c:pt idx="1480">
                  <c:v>38737</c:v>
                </c:pt>
                <c:pt idx="1481">
                  <c:v>38738</c:v>
                </c:pt>
                <c:pt idx="1482">
                  <c:v>38739</c:v>
                </c:pt>
                <c:pt idx="1483">
                  <c:v>38740</c:v>
                </c:pt>
                <c:pt idx="1484">
                  <c:v>38741</c:v>
                </c:pt>
                <c:pt idx="1485">
                  <c:v>38742</c:v>
                </c:pt>
                <c:pt idx="1486">
                  <c:v>38743</c:v>
                </c:pt>
                <c:pt idx="1487">
                  <c:v>38744</c:v>
                </c:pt>
                <c:pt idx="1488">
                  <c:v>38745</c:v>
                </c:pt>
                <c:pt idx="1489">
                  <c:v>38746</c:v>
                </c:pt>
                <c:pt idx="1490">
                  <c:v>38747</c:v>
                </c:pt>
                <c:pt idx="1491">
                  <c:v>38748</c:v>
                </c:pt>
                <c:pt idx="1492">
                  <c:v>38749</c:v>
                </c:pt>
                <c:pt idx="1493">
                  <c:v>38750</c:v>
                </c:pt>
                <c:pt idx="1494">
                  <c:v>38751</c:v>
                </c:pt>
                <c:pt idx="1495">
                  <c:v>38752</c:v>
                </c:pt>
                <c:pt idx="1496">
                  <c:v>38753</c:v>
                </c:pt>
                <c:pt idx="1497">
                  <c:v>38754</c:v>
                </c:pt>
                <c:pt idx="1498">
                  <c:v>38755</c:v>
                </c:pt>
                <c:pt idx="1499">
                  <c:v>38756</c:v>
                </c:pt>
                <c:pt idx="1500">
                  <c:v>38757</c:v>
                </c:pt>
                <c:pt idx="1501">
                  <c:v>38758</c:v>
                </c:pt>
                <c:pt idx="1502">
                  <c:v>38759</c:v>
                </c:pt>
                <c:pt idx="1503">
                  <c:v>38760</c:v>
                </c:pt>
                <c:pt idx="1504">
                  <c:v>38761</c:v>
                </c:pt>
                <c:pt idx="1505">
                  <c:v>38762</c:v>
                </c:pt>
                <c:pt idx="1506">
                  <c:v>38763</c:v>
                </c:pt>
                <c:pt idx="1507">
                  <c:v>38764</c:v>
                </c:pt>
                <c:pt idx="1508">
                  <c:v>38765</c:v>
                </c:pt>
                <c:pt idx="1509">
                  <c:v>38766</c:v>
                </c:pt>
                <c:pt idx="1510">
                  <c:v>38767</c:v>
                </c:pt>
                <c:pt idx="1511">
                  <c:v>38768</c:v>
                </c:pt>
                <c:pt idx="1512">
                  <c:v>38769</c:v>
                </c:pt>
                <c:pt idx="1513">
                  <c:v>38770</c:v>
                </c:pt>
                <c:pt idx="1514">
                  <c:v>38771</c:v>
                </c:pt>
                <c:pt idx="1515">
                  <c:v>38772</c:v>
                </c:pt>
                <c:pt idx="1516">
                  <c:v>38773</c:v>
                </c:pt>
                <c:pt idx="1517">
                  <c:v>38774</c:v>
                </c:pt>
                <c:pt idx="1518">
                  <c:v>38775</c:v>
                </c:pt>
                <c:pt idx="1519">
                  <c:v>38776</c:v>
                </c:pt>
                <c:pt idx="1520">
                  <c:v>38777</c:v>
                </c:pt>
                <c:pt idx="1521">
                  <c:v>38778</c:v>
                </c:pt>
                <c:pt idx="1522">
                  <c:v>38779</c:v>
                </c:pt>
                <c:pt idx="1523">
                  <c:v>38780</c:v>
                </c:pt>
                <c:pt idx="1524">
                  <c:v>38781</c:v>
                </c:pt>
                <c:pt idx="1525">
                  <c:v>38782</c:v>
                </c:pt>
                <c:pt idx="1526">
                  <c:v>38783</c:v>
                </c:pt>
                <c:pt idx="1527">
                  <c:v>38784</c:v>
                </c:pt>
                <c:pt idx="1528">
                  <c:v>38785</c:v>
                </c:pt>
                <c:pt idx="1529">
                  <c:v>38786</c:v>
                </c:pt>
                <c:pt idx="1530">
                  <c:v>38787</c:v>
                </c:pt>
                <c:pt idx="1531">
                  <c:v>38788</c:v>
                </c:pt>
                <c:pt idx="1532">
                  <c:v>38789</c:v>
                </c:pt>
                <c:pt idx="1533">
                  <c:v>38790</c:v>
                </c:pt>
                <c:pt idx="1534">
                  <c:v>38791</c:v>
                </c:pt>
                <c:pt idx="1535">
                  <c:v>38792</c:v>
                </c:pt>
                <c:pt idx="1536">
                  <c:v>38793</c:v>
                </c:pt>
                <c:pt idx="1537">
                  <c:v>38794</c:v>
                </c:pt>
                <c:pt idx="1538">
                  <c:v>38795</c:v>
                </c:pt>
                <c:pt idx="1539">
                  <c:v>38796</c:v>
                </c:pt>
                <c:pt idx="1540">
                  <c:v>38797</c:v>
                </c:pt>
                <c:pt idx="1541">
                  <c:v>38798</c:v>
                </c:pt>
                <c:pt idx="1542">
                  <c:v>38799</c:v>
                </c:pt>
                <c:pt idx="1543">
                  <c:v>38800</c:v>
                </c:pt>
                <c:pt idx="1544">
                  <c:v>38801</c:v>
                </c:pt>
                <c:pt idx="1545">
                  <c:v>38802</c:v>
                </c:pt>
                <c:pt idx="1546">
                  <c:v>38803</c:v>
                </c:pt>
                <c:pt idx="1547">
                  <c:v>38804</c:v>
                </c:pt>
                <c:pt idx="1548">
                  <c:v>38805</c:v>
                </c:pt>
                <c:pt idx="1549">
                  <c:v>38806</c:v>
                </c:pt>
                <c:pt idx="1550">
                  <c:v>38807</c:v>
                </c:pt>
                <c:pt idx="1551">
                  <c:v>38808</c:v>
                </c:pt>
                <c:pt idx="1552">
                  <c:v>38809</c:v>
                </c:pt>
                <c:pt idx="1553">
                  <c:v>38810</c:v>
                </c:pt>
                <c:pt idx="1554">
                  <c:v>38811</c:v>
                </c:pt>
                <c:pt idx="1555">
                  <c:v>38812</c:v>
                </c:pt>
                <c:pt idx="1556">
                  <c:v>38813</c:v>
                </c:pt>
                <c:pt idx="1557">
                  <c:v>38814</c:v>
                </c:pt>
                <c:pt idx="1558">
                  <c:v>38815</c:v>
                </c:pt>
                <c:pt idx="1559">
                  <c:v>38816</c:v>
                </c:pt>
                <c:pt idx="1560">
                  <c:v>38817</c:v>
                </c:pt>
                <c:pt idx="1561">
                  <c:v>38818</c:v>
                </c:pt>
                <c:pt idx="1562">
                  <c:v>38819</c:v>
                </c:pt>
                <c:pt idx="1563">
                  <c:v>38820</c:v>
                </c:pt>
                <c:pt idx="1564">
                  <c:v>38821</c:v>
                </c:pt>
                <c:pt idx="1565">
                  <c:v>38822</c:v>
                </c:pt>
                <c:pt idx="1566">
                  <c:v>38823</c:v>
                </c:pt>
                <c:pt idx="1567">
                  <c:v>38824</c:v>
                </c:pt>
                <c:pt idx="1568">
                  <c:v>38825</c:v>
                </c:pt>
                <c:pt idx="1569">
                  <c:v>38826</c:v>
                </c:pt>
                <c:pt idx="1570">
                  <c:v>38827</c:v>
                </c:pt>
                <c:pt idx="1571">
                  <c:v>38828</c:v>
                </c:pt>
                <c:pt idx="1572">
                  <c:v>38829</c:v>
                </c:pt>
                <c:pt idx="1573">
                  <c:v>38830</c:v>
                </c:pt>
                <c:pt idx="1574">
                  <c:v>38831</c:v>
                </c:pt>
                <c:pt idx="1575">
                  <c:v>38832</c:v>
                </c:pt>
                <c:pt idx="1576">
                  <c:v>38833</c:v>
                </c:pt>
                <c:pt idx="1577">
                  <c:v>38834</c:v>
                </c:pt>
                <c:pt idx="1578">
                  <c:v>38835</c:v>
                </c:pt>
                <c:pt idx="1579">
                  <c:v>38836</c:v>
                </c:pt>
                <c:pt idx="1580">
                  <c:v>38837</c:v>
                </c:pt>
                <c:pt idx="1581">
                  <c:v>38838</c:v>
                </c:pt>
                <c:pt idx="1582">
                  <c:v>38839</c:v>
                </c:pt>
                <c:pt idx="1583">
                  <c:v>38840</c:v>
                </c:pt>
                <c:pt idx="1584">
                  <c:v>38841</c:v>
                </c:pt>
                <c:pt idx="1585">
                  <c:v>38842</c:v>
                </c:pt>
                <c:pt idx="1586">
                  <c:v>38843</c:v>
                </c:pt>
                <c:pt idx="1587">
                  <c:v>38844</c:v>
                </c:pt>
                <c:pt idx="1588">
                  <c:v>38845</c:v>
                </c:pt>
                <c:pt idx="1589">
                  <c:v>38846</c:v>
                </c:pt>
                <c:pt idx="1590">
                  <c:v>38847</c:v>
                </c:pt>
                <c:pt idx="1591">
                  <c:v>38848</c:v>
                </c:pt>
                <c:pt idx="1592">
                  <c:v>38849</c:v>
                </c:pt>
                <c:pt idx="1593">
                  <c:v>38850</c:v>
                </c:pt>
                <c:pt idx="1594">
                  <c:v>38851</c:v>
                </c:pt>
                <c:pt idx="1595">
                  <c:v>38852</c:v>
                </c:pt>
                <c:pt idx="1596">
                  <c:v>38853</c:v>
                </c:pt>
                <c:pt idx="1597">
                  <c:v>38854</c:v>
                </c:pt>
                <c:pt idx="1598">
                  <c:v>38855</c:v>
                </c:pt>
                <c:pt idx="1599">
                  <c:v>38856</c:v>
                </c:pt>
                <c:pt idx="1600">
                  <c:v>38857</c:v>
                </c:pt>
                <c:pt idx="1601">
                  <c:v>38858</c:v>
                </c:pt>
                <c:pt idx="1602">
                  <c:v>38859</c:v>
                </c:pt>
                <c:pt idx="1603">
                  <c:v>38860</c:v>
                </c:pt>
                <c:pt idx="1604">
                  <c:v>38861</c:v>
                </c:pt>
                <c:pt idx="1605">
                  <c:v>38862</c:v>
                </c:pt>
                <c:pt idx="1606">
                  <c:v>38863</c:v>
                </c:pt>
                <c:pt idx="1607">
                  <c:v>38864</c:v>
                </c:pt>
                <c:pt idx="1608">
                  <c:v>38865</c:v>
                </c:pt>
                <c:pt idx="1609">
                  <c:v>38866</c:v>
                </c:pt>
                <c:pt idx="1610">
                  <c:v>38867</c:v>
                </c:pt>
                <c:pt idx="1611">
                  <c:v>38868</c:v>
                </c:pt>
                <c:pt idx="1612">
                  <c:v>38869</c:v>
                </c:pt>
                <c:pt idx="1613">
                  <c:v>38870</c:v>
                </c:pt>
                <c:pt idx="1614">
                  <c:v>38871</c:v>
                </c:pt>
                <c:pt idx="1615">
                  <c:v>38872</c:v>
                </c:pt>
                <c:pt idx="1616">
                  <c:v>38873</c:v>
                </c:pt>
                <c:pt idx="1617">
                  <c:v>38874</c:v>
                </c:pt>
                <c:pt idx="1618">
                  <c:v>38875</c:v>
                </c:pt>
                <c:pt idx="1619">
                  <c:v>38876</c:v>
                </c:pt>
                <c:pt idx="1620">
                  <c:v>38877</c:v>
                </c:pt>
                <c:pt idx="1621">
                  <c:v>38878</c:v>
                </c:pt>
                <c:pt idx="1622">
                  <c:v>38879</c:v>
                </c:pt>
                <c:pt idx="1623">
                  <c:v>38880</c:v>
                </c:pt>
                <c:pt idx="1624">
                  <c:v>38881</c:v>
                </c:pt>
                <c:pt idx="1625">
                  <c:v>38882</c:v>
                </c:pt>
                <c:pt idx="1626">
                  <c:v>38883</c:v>
                </c:pt>
                <c:pt idx="1627">
                  <c:v>38884</c:v>
                </c:pt>
                <c:pt idx="1628">
                  <c:v>38885</c:v>
                </c:pt>
                <c:pt idx="1629">
                  <c:v>38886</c:v>
                </c:pt>
                <c:pt idx="1630">
                  <c:v>38887</c:v>
                </c:pt>
                <c:pt idx="1631">
                  <c:v>38888</c:v>
                </c:pt>
                <c:pt idx="1632">
                  <c:v>38889</c:v>
                </c:pt>
                <c:pt idx="1633">
                  <c:v>38890</c:v>
                </c:pt>
                <c:pt idx="1634">
                  <c:v>38891</c:v>
                </c:pt>
                <c:pt idx="1635">
                  <c:v>38892</c:v>
                </c:pt>
                <c:pt idx="1636">
                  <c:v>38893</c:v>
                </c:pt>
                <c:pt idx="1637">
                  <c:v>38894</c:v>
                </c:pt>
                <c:pt idx="1638">
                  <c:v>38895</c:v>
                </c:pt>
                <c:pt idx="1639">
                  <c:v>38896</c:v>
                </c:pt>
                <c:pt idx="1640">
                  <c:v>38897</c:v>
                </c:pt>
                <c:pt idx="1641">
                  <c:v>38898</c:v>
                </c:pt>
                <c:pt idx="1642">
                  <c:v>38899</c:v>
                </c:pt>
                <c:pt idx="1643">
                  <c:v>38900</c:v>
                </c:pt>
                <c:pt idx="1644">
                  <c:v>38901</c:v>
                </c:pt>
                <c:pt idx="1645">
                  <c:v>38902</c:v>
                </c:pt>
                <c:pt idx="1646">
                  <c:v>38903</c:v>
                </c:pt>
                <c:pt idx="1647">
                  <c:v>38904</c:v>
                </c:pt>
                <c:pt idx="1648">
                  <c:v>38905</c:v>
                </c:pt>
                <c:pt idx="1649">
                  <c:v>38906</c:v>
                </c:pt>
                <c:pt idx="1650">
                  <c:v>38907</c:v>
                </c:pt>
                <c:pt idx="1651">
                  <c:v>38908</c:v>
                </c:pt>
                <c:pt idx="1652">
                  <c:v>38909</c:v>
                </c:pt>
                <c:pt idx="1653">
                  <c:v>38910</c:v>
                </c:pt>
                <c:pt idx="1654">
                  <c:v>38911</c:v>
                </c:pt>
                <c:pt idx="1655">
                  <c:v>38912</c:v>
                </c:pt>
                <c:pt idx="1656">
                  <c:v>38913</c:v>
                </c:pt>
                <c:pt idx="1657">
                  <c:v>38914</c:v>
                </c:pt>
                <c:pt idx="1658">
                  <c:v>38915</c:v>
                </c:pt>
                <c:pt idx="1659">
                  <c:v>38916</c:v>
                </c:pt>
                <c:pt idx="1660">
                  <c:v>38917</c:v>
                </c:pt>
                <c:pt idx="1661">
                  <c:v>38918</c:v>
                </c:pt>
                <c:pt idx="1662">
                  <c:v>38919</c:v>
                </c:pt>
                <c:pt idx="1663">
                  <c:v>38920</c:v>
                </c:pt>
                <c:pt idx="1664">
                  <c:v>38921</c:v>
                </c:pt>
                <c:pt idx="1665">
                  <c:v>38922</c:v>
                </c:pt>
                <c:pt idx="1666">
                  <c:v>38923</c:v>
                </c:pt>
                <c:pt idx="1667">
                  <c:v>38924</c:v>
                </c:pt>
                <c:pt idx="1668">
                  <c:v>38925</c:v>
                </c:pt>
                <c:pt idx="1669">
                  <c:v>38926</c:v>
                </c:pt>
                <c:pt idx="1670">
                  <c:v>38927</c:v>
                </c:pt>
                <c:pt idx="1671">
                  <c:v>38928</c:v>
                </c:pt>
                <c:pt idx="1672">
                  <c:v>38929</c:v>
                </c:pt>
                <c:pt idx="1673">
                  <c:v>38930</c:v>
                </c:pt>
                <c:pt idx="1674">
                  <c:v>38931</c:v>
                </c:pt>
                <c:pt idx="1675">
                  <c:v>38932</c:v>
                </c:pt>
                <c:pt idx="1676">
                  <c:v>38933</c:v>
                </c:pt>
                <c:pt idx="1677">
                  <c:v>38934</c:v>
                </c:pt>
                <c:pt idx="1678">
                  <c:v>38935</c:v>
                </c:pt>
                <c:pt idx="1679">
                  <c:v>38936</c:v>
                </c:pt>
                <c:pt idx="1680">
                  <c:v>38937</c:v>
                </c:pt>
                <c:pt idx="1681">
                  <c:v>38938</c:v>
                </c:pt>
                <c:pt idx="1682">
                  <c:v>38939</c:v>
                </c:pt>
                <c:pt idx="1683">
                  <c:v>38940</c:v>
                </c:pt>
                <c:pt idx="1684">
                  <c:v>38941</c:v>
                </c:pt>
                <c:pt idx="1685">
                  <c:v>38942</c:v>
                </c:pt>
                <c:pt idx="1686">
                  <c:v>38943</c:v>
                </c:pt>
                <c:pt idx="1687">
                  <c:v>38944</c:v>
                </c:pt>
                <c:pt idx="1688">
                  <c:v>38945</c:v>
                </c:pt>
                <c:pt idx="1689">
                  <c:v>38946</c:v>
                </c:pt>
                <c:pt idx="1690">
                  <c:v>38947</c:v>
                </c:pt>
                <c:pt idx="1691">
                  <c:v>38948</c:v>
                </c:pt>
                <c:pt idx="1692">
                  <c:v>38949</c:v>
                </c:pt>
                <c:pt idx="1693">
                  <c:v>38950</c:v>
                </c:pt>
                <c:pt idx="1694">
                  <c:v>38951</c:v>
                </c:pt>
                <c:pt idx="1695">
                  <c:v>38952</c:v>
                </c:pt>
                <c:pt idx="1696">
                  <c:v>38953</c:v>
                </c:pt>
                <c:pt idx="1697">
                  <c:v>38954</c:v>
                </c:pt>
                <c:pt idx="1698">
                  <c:v>38955</c:v>
                </c:pt>
                <c:pt idx="1699">
                  <c:v>38956</c:v>
                </c:pt>
                <c:pt idx="1700">
                  <c:v>38957</c:v>
                </c:pt>
                <c:pt idx="1701">
                  <c:v>38958</c:v>
                </c:pt>
                <c:pt idx="1702">
                  <c:v>38959</c:v>
                </c:pt>
                <c:pt idx="1703">
                  <c:v>38960</c:v>
                </c:pt>
                <c:pt idx="1704">
                  <c:v>38961</c:v>
                </c:pt>
                <c:pt idx="1705">
                  <c:v>38962</c:v>
                </c:pt>
                <c:pt idx="1706">
                  <c:v>38963</c:v>
                </c:pt>
                <c:pt idx="1707">
                  <c:v>38964</c:v>
                </c:pt>
                <c:pt idx="1708">
                  <c:v>38965</c:v>
                </c:pt>
                <c:pt idx="1709">
                  <c:v>38966</c:v>
                </c:pt>
                <c:pt idx="1710">
                  <c:v>38967</c:v>
                </c:pt>
                <c:pt idx="1711">
                  <c:v>38968</c:v>
                </c:pt>
                <c:pt idx="1712">
                  <c:v>38969</c:v>
                </c:pt>
                <c:pt idx="1713">
                  <c:v>38970</c:v>
                </c:pt>
                <c:pt idx="1714">
                  <c:v>38971</c:v>
                </c:pt>
                <c:pt idx="1715">
                  <c:v>38972</c:v>
                </c:pt>
                <c:pt idx="1716">
                  <c:v>38973</c:v>
                </c:pt>
                <c:pt idx="1717">
                  <c:v>38974</c:v>
                </c:pt>
                <c:pt idx="1718">
                  <c:v>38975</c:v>
                </c:pt>
                <c:pt idx="1719">
                  <c:v>38976</c:v>
                </c:pt>
                <c:pt idx="1720">
                  <c:v>38977</c:v>
                </c:pt>
                <c:pt idx="1721">
                  <c:v>38978</c:v>
                </c:pt>
                <c:pt idx="1722">
                  <c:v>38979</c:v>
                </c:pt>
                <c:pt idx="1723">
                  <c:v>38980</c:v>
                </c:pt>
                <c:pt idx="1724">
                  <c:v>38981</c:v>
                </c:pt>
                <c:pt idx="1725">
                  <c:v>38982</c:v>
                </c:pt>
                <c:pt idx="1726">
                  <c:v>38983</c:v>
                </c:pt>
                <c:pt idx="1727">
                  <c:v>38984</c:v>
                </c:pt>
                <c:pt idx="1728">
                  <c:v>38985</c:v>
                </c:pt>
                <c:pt idx="1729">
                  <c:v>38986</c:v>
                </c:pt>
                <c:pt idx="1730">
                  <c:v>38987</c:v>
                </c:pt>
                <c:pt idx="1731">
                  <c:v>38988</c:v>
                </c:pt>
                <c:pt idx="1732">
                  <c:v>38989</c:v>
                </c:pt>
                <c:pt idx="1733">
                  <c:v>38990</c:v>
                </c:pt>
                <c:pt idx="1734">
                  <c:v>38991</c:v>
                </c:pt>
                <c:pt idx="1735">
                  <c:v>38992</c:v>
                </c:pt>
                <c:pt idx="1736">
                  <c:v>38993</c:v>
                </c:pt>
                <c:pt idx="1737">
                  <c:v>38994</c:v>
                </c:pt>
                <c:pt idx="1738">
                  <c:v>38995</c:v>
                </c:pt>
                <c:pt idx="1739">
                  <c:v>38996</c:v>
                </c:pt>
                <c:pt idx="1740">
                  <c:v>38997</c:v>
                </c:pt>
                <c:pt idx="1741">
                  <c:v>38998</c:v>
                </c:pt>
                <c:pt idx="1742">
                  <c:v>38999</c:v>
                </c:pt>
                <c:pt idx="1743">
                  <c:v>39000</c:v>
                </c:pt>
                <c:pt idx="1744">
                  <c:v>39001</c:v>
                </c:pt>
                <c:pt idx="1745">
                  <c:v>39002</c:v>
                </c:pt>
                <c:pt idx="1746">
                  <c:v>39003</c:v>
                </c:pt>
                <c:pt idx="1747">
                  <c:v>39004</c:v>
                </c:pt>
                <c:pt idx="1748">
                  <c:v>39005</c:v>
                </c:pt>
                <c:pt idx="1749">
                  <c:v>39006</c:v>
                </c:pt>
                <c:pt idx="1750">
                  <c:v>39007</c:v>
                </c:pt>
                <c:pt idx="1751">
                  <c:v>39008</c:v>
                </c:pt>
                <c:pt idx="1752">
                  <c:v>39009</c:v>
                </c:pt>
                <c:pt idx="1753">
                  <c:v>39010</c:v>
                </c:pt>
                <c:pt idx="1754">
                  <c:v>39011</c:v>
                </c:pt>
                <c:pt idx="1755">
                  <c:v>39012</c:v>
                </c:pt>
                <c:pt idx="1756">
                  <c:v>39013</c:v>
                </c:pt>
                <c:pt idx="1757">
                  <c:v>39014</c:v>
                </c:pt>
                <c:pt idx="1758">
                  <c:v>39015</c:v>
                </c:pt>
                <c:pt idx="1759">
                  <c:v>39016</c:v>
                </c:pt>
                <c:pt idx="1760">
                  <c:v>39017</c:v>
                </c:pt>
                <c:pt idx="1761">
                  <c:v>39018</c:v>
                </c:pt>
                <c:pt idx="1762">
                  <c:v>39019</c:v>
                </c:pt>
                <c:pt idx="1763">
                  <c:v>39020</c:v>
                </c:pt>
                <c:pt idx="1764">
                  <c:v>39021</c:v>
                </c:pt>
                <c:pt idx="1765">
                  <c:v>39022</c:v>
                </c:pt>
                <c:pt idx="1766">
                  <c:v>39023</c:v>
                </c:pt>
                <c:pt idx="1767">
                  <c:v>39024</c:v>
                </c:pt>
                <c:pt idx="1768">
                  <c:v>39025</c:v>
                </c:pt>
                <c:pt idx="1769">
                  <c:v>39026</c:v>
                </c:pt>
                <c:pt idx="1770">
                  <c:v>39027</c:v>
                </c:pt>
                <c:pt idx="1771">
                  <c:v>39028</c:v>
                </c:pt>
                <c:pt idx="1772">
                  <c:v>39029</c:v>
                </c:pt>
                <c:pt idx="1773">
                  <c:v>39030</c:v>
                </c:pt>
                <c:pt idx="1774">
                  <c:v>39031</c:v>
                </c:pt>
                <c:pt idx="1775">
                  <c:v>39032</c:v>
                </c:pt>
                <c:pt idx="1776">
                  <c:v>39033</c:v>
                </c:pt>
                <c:pt idx="1777">
                  <c:v>39034</c:v>
                </c:pt>
                <c:pt idx="1778">
                  <c:v>39035</c:v>
                </c:pt>
                <c:pt idx="1779">
                  <c:v>39036</c:v>
                </c:pt>
                <c:pt idx="1780">
                  <c:v>39037</c:v>
                </c:pt>
                <c:pt idx="1781">
                  <c:v>39038</c:v>
                </c:pt>
                <c:pt idx="1782">
                  <c:v>39039</c:v>
                </c:pt>
                <c:pt idx="1783">
                  <c:v>39040</c:v>
                </c:pt>
                <c:pt idx="1784">
                  <c:v>39041</c:v>
                </c:pt>
                <c:pt idx="1785">
                  <c:v>39042</c:v>
                </c:pt>
                <c:pt idx="1786">
                  <c:v>39043</c:v>
                </c:pt>
                <c:pt idx="1787">
                  <c:v>39044</c:v>
                </c:pt>
                <c:pt idx="1788">
                  <c:v>39045</c:v>
                </c:pt>
                <c:pt idx="1789">
                  <c:v>39046</c:v>
                </c:pt>
                <c:pt idx="1790">
                  <c:v>39047</c:v>
                </c:pt>
                <c:pt idx="1791">
                  <c:v>39048</c:v>
                </c:pt>
                <c:pt idx="1792">
                  <c:v>39049</c:v>
                </c:pt>
                <c:pt idx="1793">
                  <c:v>39050</c:v>
                </c:pt>
                <c:pt idx="1794">
                  <c:v>39051</c:v>
                </c:pt>
                <c:pt idx="1795">
                  <c:v>39052</c:v>
                </c:pt>
                <c:pt idx="1796">
                  <c:v>39053</c:v>
                </c:pt>
                <c:pt idx="1797">
                  <c:v>39054</c:v>
                </c:pt>
                <c:pt idx="1798">
                  <c:v>39055</c:v>
                </c:pt>
                <c:pt idx="1799">
                  <c:v>39056</c:v>
                </c:pt>
                <c:pt idx="1800">
                  <c:v>39057</c:v>
                </c:pt>
                <c:pt idx="1801">
                  <c:v>39058</c:v>
                </c:pt>
                <c:pt idx="1802">
                  <c:v>39059</c:v>
                </c:pt>
                <c:pt idx="1803">
                  <c:v>39060</c:v>
                </c:pt>
                <c:pt idx="1804">
                  <c:v>39061</c:v>
                </c:pt>
                <c:pt idx="1805">
                  <c:v>39062</c:v>
                </c:pt>
                <c:pt idx="1806">
                  <c:v>39063</c:v>
                </c:pt>
                <c:pt idx="1807">
                  <c:v>39064</c:v>
                </c:pt>
                <c:pt idx="1808">
                  <c:v>39065</c:v>
                </c:pt>
                <c:pt idx="1809">
                  <c:v>39066</c:v>
                </c:pt>
                <c:pt idx="1810">
                  <c:v>39067</c:v>
                </c:pt>
                <c:pt idx="1811">
                  <c:v>39068</c:v>
                </c:pt>
                <c:pt idx="1812">
                  <c:v>39069</c:v>
                </c:pt>
                <c:pt idx="1813">
                  <c:v>39070</c:v>
                </c:pt>
                <c:pt idx="1814">
                  <c:v>39071</c:v>
                </c:pt>
                <c:pt idx="1815">
                  <c:v>39072</c:v>
                </c:pt>
                <c:pt idx="1816">
                  <c:v>39073</c:v>
                </c:pt>
                <c:pt idx="1817">
                  <c:v>39074</c:v>
                </c:pt>
                <c:pt idx="1818">
                  <c:v>39075</c:v>
                </c:pt>
                <c:pt idx="1819">
                  <c:v>39076</c:v>
                </c:pt>
                <c:pt idx="1820">
                  <c:v>39077</c:v>
                </c:pt>
                <c:pt idx="1821">
                  <c:v>39078</c:v>
                </c:pt>
                <c:pt idx="1822">
                  <c:v>39079</c:v>
                </c:pt>
                <c:pt idx="1823">
                  <c:v>39080</c:v>
                </c:pt>
                <c:pt idx="1824">
                  <c:v>39081</c:v>
                </c:pt>
                <c:pt idx="1825">
                  <c:v>39082</c:v>
                </c:pt>
                <c:pt idx="1826">
                  <c:v>39083</c:v>
                </c:pt>
                <c:pt idx="1827">
                  <c:v>39084</c:v>
                </c:pt>
                <c:pt idx="1828">
                  <c:v>39085</c:v>
                </c:pt>
                <c:pt idx="1829">
                  <c:v>39086</c:v>
                </c:pt>
                <c:pt idx="1830">
                  <c:v>39087</c:v>
                </c:pt>
                <c:pt idx="1831">
                  <c:v>39088</c:v>
                </c:pt>
                <c:pt idx="1832">
                  <c:v>39089</c:v>
                </c:pt>
                <c:pt idx="1833">
                  <c:v>39090</c:v>
                </c:pt>
                <c:pt idx="1834">
                  <c:v>39091</c:v>
                </c:pt>
                <c:pt idx="1835">
                  <c:v>39092</c:v>
                </c:pt>
                <c:pt idx="1836">
                  <c:v>39093</c:v>
                </c:pt>
                <c:pt idx="1837">
                  <c:v>39094</c:v>
                </c:pt>
                <c:pt idx="1838">
                  <c:v>39095</c:v>
                </c:pt>
                <c:pt idx="1839">
                  <c:v>39096</c:v>
                </c:pt>
                <c:pt idx="1840">
                  <c:v>39097</c:v>
                </c:pt>
                <c:pt idx="1841">
                  <c:v>39098</c:v>
                </c:pt>
                <c:pt idx="1842">
                  <c:v>39099</c:v>
                </c:pt>
                <c:pt idx="1843">
                  <c:v>39100</c:v>
                </c:pt>
                <c:pt idx="1844">
                  <c:v>39101</c:v>
                </c:pt>
                <c:pt idx="1845">
                  <c:v>39102</c:v>
                </c:pt>
                <c:pt idx="1846">
                  <c:v>39103</c:v>
                </c:pt>
                <c:pt idx="1847">
                  <c:v>39104</c:v>
                </c:pt>
                <c:pt idx="1848">
                  <c:v>39105</c:v>
                </c:pt>
                <c:pt idx="1849">
                  <c:v>39106</c:v>
                </c:pt>
                <c:pt idx="1850">
                  <c:v>39107</c:v>
                </c:pt>
                <c:pt idx="1851">
                  <c:v>39108</c:v>
                </c:pt>
                <c:pt idx="1852">
                  <c:v>39109</c:v>
                </c:pt>
                <c:pt idx="1853">
                  <c:v>39110</c:v>
                </c:pt>
                <c:pt idx="1854">
                  <c:v>39111</c:v>
                </c:pt>
                <c:pt idx="1855">
                  <c:v>39112</c:v>
                </c:pt>
                <c:pt idx="1856">
                  <c:v>39113</c:v>
                </c:pt>
                <c:pt idx="1857">
                  <c:v>39114</c:v>
                </c:pt>
                <c:pt idx="1858">
                  <c:v>39115</c:v>
                </c:pt>
                <c:pt idx="1859">
                  <c:v>39116</c:v>
                </c:pt>
                <c:pt idx="1860">
                  <c:v>39117</c:v>
                </c:pt>
                <c:pt idx="1861">
                  <c:v>39118</c:v>
                </c:pt>
                <c:pt idx="1862">
                  <c:v>39119</c:v>
                </c:pt>
                <c:pt idx="1863">
                  <c:v>39120</c:v>
                </c:pt>
                <c:pt idx="1864">
                  <c:v>39121</c:v>
                </c:pt>
                <c:pt idx="1865">
                  <c:v>39122</c:v>
                </c:pt>
                <c:pt idx="1866">
                  <c:v>39123</c:v>
                </c:pt>
                <c:pt idx="1867">
                  <c:v>39124</c:v>
                </c:pt>
                <c:pt idx="1868">
                  <c:v>39125</c:v>
                </c:pt>
                <c:pt idx="1869">
                  <c:v>39126</c:v>
                </c:pt>
                <c:pt idx="1870">
                  <c:v>39127</c:v>
                </c:pt>
                <c:pt idx="1871">
                  <c:v>39128</c:v>
                </c:pt>
                <c:pt idx="1872">
                  <c:v>39129</c:v>
                </c:pt>
                <c:pt idx="1873">
                  <c:v>39130</c:v>
                </c:pt>
                <c:pt idx="1874">
                  <c:v>39131</c:v>
                </c:pt>
                <c:pt idx="1875">
                  <c:v>39132</c:v>
                </c:pt>
                <c:pt idx="1876">
                  <c:v>39133</c:v>
                </c:pt>
                <c:pt idx="1877">
                  <c:v>39134</c:v>
                </c:pt>
                <c:pt idx="1878">
                  <c:v>39135</c:v>
                </c:pt>
                <c:pt idx="1879">
                  <c:v>39136</c:v>
                </c:pt>
                <c:pt idx="1880">
                  <c:v>39137</c:v>
                </c:pt>
                <c:pt idx="1881">
                  <c:v>39138</c:v>
                </c:pt>
                <c:pt idx="1882">
                  <c:v>39139</c:v>
                </c:pt>
                <c:pt idx="1883">
                  <c:v>39140</c:v>
                </c:pt>
                <c:pt idx="1884">
                  <c:v>39141</c:v>
                </c:pt>
                <c:pt idx="1885">
                  <c:v>39142</c:v>
                </c:pt>
                <c:pt idx="1886">
                  <c:v>39143</c:v>
                </c:pt>
                <c:pt idx="1887">
                  <c:v>39144</c:v>
                </c:pt>
                <c:pt idx="1888">
                  <c:v>39145</c:v>
                </c:pt>
                <c:pt idx="1889">
                  <c:v>39146</c:v>
                </c:pt>
                <c:pt idx="1890">
                  <c:v>39147</c:v>
                </c:pt>
                <c:pt idx="1891">
                  <c:v>39148</c:v>
                </c:pt>
                <c:pt idx="1892">
                  <c:v>39149</c:v>
                </c:pt>
                <c:pt idx="1893">
                  <c:v>39150</c:v>
                </c:pt>
                <c:pt idx="1894">
                  <c:v>39151</c:v>
                </c:pt>
                <c:pt idx="1895">
                  <c:v>39152</c:v>
                </c:pt>
                <c:pt idx="1896">
                  <c:v>39153</c:v>
                </c:pt>
                <c:pt idx="1897">
                  <c:v>39154</c:v>
                </c:pt>
                <c:pt idx="1898">
                  <c:v>39155</c:v>
                </c:pt>
                <c:pt idx="1899">
                  <c:v>39156</c:v>
                </c:pt>
                <c:pt idx="1900">
                  <c:v>39157</c:v>
                </c:pt>
                <c:pt idx="1901">
                  <c:v>39158</c:v>
                </c:pt>
                <c:pt idx="1902">
                  <c:v>39159</c:v>
                </c:pt>
                <c:pt idx="1903">
                  <c:v>39160</c:v>
                </c:pt>
                <c:pt idx="1904">
                  <c:v>39161</c:v>
                </c:pt>
                <c:pt idx="1905">
                  <c:v>39162</c:v>
                </c:pt>
                <c:pt idx="1906">
                  <c:v>39163</c:v>
                </c:pt>
                <c:pt idx="1907">
                  <c:v>39164</c:v>
                </c:pt>
                <c:pt idx="1908">
                  <c:v>39165</c:v>
                </c:pt>
                <c:pt idx="1909">
                  <c:v>39166</c:v>
                </c:pt>
                <c:pt idx="1910">
                  <c:v>39167</c:v>
                </c:pt>
                <c:pt idx="1911">
                  <c:v>39168</c:v>
                </c:pt>
                <c:pt idx="1912">
                  <c:v>39169</c:v>
                </c:pt>
                <c:pt idx="1913">
                  <c:v>39170</c:v>
                </c:pt>
                <c:pt idx="1914">
                  <c:v>39171</c:v>
                </c:pt>
                <c:pt idx="1915">
                  <c:v>39172</c:v>
                </c:pt>
                <c:pt idx="1916">
                  <c:v>39173</c:v>
                </c:pt>
                <c:pt idx="1917">
                  <c:v>39174</c:v>
                </c:pt>
                <c:pt idx="1918">
                  <c:v>39175</c:v>
                </c:pt>
                <c:pt idx="1919">
                  <c:v>39176</c:v>
                </c:pt>
                <c:pt idx="1920">
                  <c:v>39177</c:v>
                </c:pt>
                <c:pt idx="1921">
                  <c:v>39178</c:v>
                </c:pt>
                <c:pt idx="1922">
                  <c:v>39179</c:v>
                </c:pt>
                <c:pt idx="1923">
                  <c:v>39180</c:v>
                </c:pt>
                <c:pt idx="1924">
                  <c:v>39181</c:v>
                </c:pt>
                <c:pt idx="1925">
                  <c:v>39182</c:v>
                </c:pt>
                <c:pt idx="1926">
                  <c:v>39183</c:v>
                </c:pt>
                <c:pt idx="1927">
                  <c:v>39184</c:v>
                </c:pt>
                <c:pt idx="1928">
                  <c:v>39185</c:v>
                </c:pt>
                <c:pt idx="1929">
                  <c:v>39186</c:v>
                </c:pt>
                <c:pt idx="1930">
                  <c:v>39187</c:v>
                </c:pt>
                <c:pt idx="1931">
                  <c:v>39188</c:v>
                </c:pt>
                <c:pt idx="1932">
                  <c:v>39189</c:v>
                </c:pt>
                <c:pt idx="1933">
                  <c:v>39190</c:v>
                </c:pt>
                <c:pt idx="1934">
                  <c:v>39191</c:v>
                </c:pt>
                <c:pt idx="1935">
                  <c:v>39192</c:v>
                </c:pt>
                <c:pt idx="1936">
                  <c:v>39193</c:v>
                </c:pt>
                <c:pt idx="1937">
                  <c:v>39194</c:v>
                </c:pt>
                <c:pt idx="1938">
                  <c:v>39195</c:v>
                </c:pt>
                <c:pt idx="1939">
                  <c:v>39196</c:v>
                </c:pt>
                <c:pt idx="1940">
                  <c:v>39197</c:v>
                </c:pt>
                <c:pt idx="1941">
                  <c:v>39198</c:v>
                </c:pt>
                <c:pt idx="1942">
                  <c:v>39199</c:v>
                </c:pt>
                <c:pt idx="1943">
                  <c:v>39200</c:v>
                </c:pt>
                <c:pt idx="1944">
                  <c:v>39201</c:v>
                </c:pt>
                <c:pt idx="1945">
                  <c:v>39202</c:v>
                </c:pt>
                <c:pt idx="1946">
                  <c:v>39203</c:v>
                </c:pt>
                <c:pt idx="1947">
                  <c:v>39204</c:v>
                </c:pt>
                <c:pt idx="1948">
                  <c:v>39205</c:v>
                </c:pt>
                <c:pt idx="1949">
                  <c:v>39206</c:v>
                </c:pt>
                <c:pt idx="1950">
                  <c:v>39207</c:v>
                </c:pt>
                <c:pt idx="1951">
                  <c:v>39208</c:v>
                </c:pt>
                <c:pt idx="1952">
                  <c:v>39209</c:v>
                </c:pt>
                <c:pt idx="1953">
                  <c:v>39210</c:v>
                </c:pt>
                <c:pt idx="1954">
                  <c:v>39211</c:v>
                </c:pt>
                <c:pt idx="1955">
                  <c:v>39212</c:v>
                </c:pt>
                <c:pt idx="1956">
                  <c:v>39213</c:v>
                </c:pt>
                <c:pt idx="1957">
                  <c:v>39214</c:v>
                </c:pt>
                <c:pt idx="1958">
                  <c:v>39215</c:v>
                </c:pt>
                <c:pt idx="1959">
                  <c:v>39216</c:v>
                </c:pt>
                <c:pt idx="1960">
                  <c:v>39217</c:v>
                </c:pt>
                <c:pt idx="1961">
                  <c:v>39218</c:v>
                </c:pt>
                <c:pt idx="1962">
                  <c:v>39219</c:v>
                </c:pt>
                <c:pt idx="1963">
                  <c:v>39220</c:v>
                </c:pt>
                <c:pt idx="1964">
                  <c:v>39221</c:v>
                </c:pt>
                <c:pt idx="1965">
                  <c:v>39222</c:v>
                </c:pt>
                <c:pt idx="1966">
                  <c:v>39223</c:v>
                </c:pt>
                <c:pt idx="1967">
                  <c:v>39224</c:v>
                </c:pt>
                <c:pt idx="1968">
                  <c:v>39225</c:v>
                </c:pt>
                <c:pt idx="1969">
                  <c:v>39226</c:v>
                </c:pt>
                <c:pt idx="1970">
                  <c:v>39227</c:v>
                </c:pt>
                <c:pt idx="1971">
                  <c:v>39228</c:v>
                </c:pt>
                <c:pt idx="1972">
                  <c:v>39229</c:v>
                </c:pt>
                <c:pt idx="1973">
                  <c:v>39230</c:v>
                </c:pt>
                <c:pt idx="1974">
                  <c:v>39231</c:v>
                </c:pt>
                <c:pt idx="1975">
                  <c:v>39232</c:v>
                </c:pt>
                <c:pt idx="1976">
                  <c:v>39233</c:v>
                </c:pt>
                <c:pt idx="1977">
                  <c:v>39234</c:v>
                </c:pt>
                <c:pt idx="1978">
                  <c:v>39235</c:v>
                </c:pt>
                <c:pt idx="1979">
                  <c:v>39236</c:v>
                </c:pt>
                <c:pt idx="1980">
                  <c:v>39237</c:v>
                </c:pt>
                <c:pt idx="1981">
                  <c:v>39238</c:v>
                </c:pt>
                <c:pt idx="1982">
                  <c:v>39239</c:v>
                </c:pt>
                <c:pt idx="1983">
                  <c:v>39240</c:v>
                </c:pt>
                <c:pt idx="1984">
                  <c:v>39241</c:v>
                </c:pt>
                <c:pt idx="1985">
                  <c:v>39242</c:v>
                </c:pt>
                <c:pt idx="1986">
                  <c:v>39243</c:v>
                </c:pt>
                <c:pt idx="1987">
                  <c:v>39244</c:v>
                </c:pt>
                <c:pt idx="1988">
                  <c:v>39245</c:v>
                </c:pt>
                <c:pt idx="1989">
                  <c:v>39246</c:v>
                </c:pt>
                <c:pt idx="1990">
                  <c:v>39247</c:v>
                </c:pt>
                <c:pt idx="1991">
                  <c:v>39248</c:v>
                </c:pt>
                <c:pt idx="1992">
                  <c:v>39249</c:v>
                </c:pt>
                <c:pt idx="1993">
                  <c:v>39250</c:v>
                </c:pt>
                <c:pt idx="1994">
                  <c:v>39251</c:v>
                </c:pt>
                <c:pt idx="1995">
                  <c:v>39252</c:v>
                </c:pt>
                <c:pt idx="1996">
                  <c:v>39253</c:v>
                </c:pt>
                <c:pt idx="1997">
                  <c:v>39254</c:v>
                </c:pt>
                <c:pt idx="1998">
                  <c:v>39255</c:v>
                </c:pt>
                <c:pt idx="1999">
                  <c:v>39256</c:v>
                </c:pt>
                <c:pt idx="2000">
                  <c:v>39257</c:v>
                </c:pt>
                <c:pt idx="2001">
                  <c:v>39258</c:v>
                </c:pt>
                <c:pt idx="2002">
                  <c:v>39259</c:v>
                </c:pt>
                <c:pt idx="2003">
                  <c:v>39260</c:v>
                </c:pt>
                <c:pt idx="2004">
                  <c:v>39261</c:v>
                </c:pt>
                <c:pt idx="2005">
                  <c:v>39262</c:v>
                </c:pt>
                <c:pt idx="2006">
                  <c:v>39263</c:v>
                </c:pt>
                <c:pt idx="2007">
                  <c:v>39264</c:v>
                </c:pt>
                <c:pt idx="2008">
                  <c:v>39265</c:v>
                </c:pt>
                <c:pt idx="2009">
                  <c:v>39266</c:v>
                </c:pt>
                <c:pt idx="2010">
                  <c:v>39267</c:v>
                </c:pt>
                <c:pt idx="2011">
                  <c:v>39268</c:v>
                </c:pt>
                <c:pt idx="2012">
                  <c:v>39269</c:v>
                </c:pt>
                <c:pt idx="2013">
                  <c:v>39270</c:v>
                </c:pt>
                <c:pt idx="2014">
                  <c:v>39271</c:v>
                </c:pt>
                <c:pt idx="2015">
                  <c:v>39272</c:v>
                </c:pt>
                <c:pt idx="2016">
                  <c:v>39273</c:v>
                </c:pt>
                <c:pt idx="2017">
                  <c:v>39274</c:v>
                </c:pt>
                <c:pt idx="2018">
                  <c:v>39275</c:v>
                </c:pt>
                <c:pt idx="2019">
                  <c:v>39276</c:v>
                </c:pt>
                <c:pt idx="2020">
                  <c:v>39277</c:v>
                </c:pt>
                <c:pt idx="2021">
                  <c:v>39278</c:v>
                </c:pt>
                <c:pt idx="2022">
                  <c:v>39279</c:v>
                </c:pt>
                <c:pt idx="2023">
                  <c:v>39280</c:v>
                </c:pt>
                <c:pt idx="2024">
                  <c:v>39281</c:v>
                </c:pt>
                <c:pt idx="2025">
                  <c:v>39282</c:v>
                </c:pt>
                <c:pt idx="2026">
                  <c:v>39283</c:v>
                </c:pt>
                <c:pt idx="2027">
                  <c:v>39284</c:v>
                </c:pt>
                <c:pt idx="2028">
                  <c:v>39285</c:v>
                </c:pt>
                <c:pt idx="2029">
                  <c:v>39286</c:v>
                </c:pt>
                <c:pt idx="2030">
                  <c:v>39287</c:v>
                </c:pt>
                <c:pt idx="2031">
                  <c:v>39288</c:v>
                </c:pt>
                <c:pt idx="2032">
                  <c:v>39289</c:v>
                </c:pt>
                <c:pt idx="2033">
                  <c:v>39290</c:v>
                </c:pt>
                <c:pt idx="2034">
                  <c:v>39291</c:v>
                </c:pt>
                <c:pt idx="2035">
                  <c:v>39292</c:v>
                </c:pt>
                <c:pt idx="2036">
                  <c:v>39293</c:v>
                </c:pt>
                <c:pt idx="2037">
                  <c:v>39294</c:v>
                </c:pt>
                <c:pt idx="2038">
                  <c:v>39295</c:v>
                </c:pt>
                <c:pt idx="2039">
                  <c:v>39296</c:v>
                </c:pt>
                <c:pt idx="2040">
                  <c:v>39297</c:v>
                </c:pt>
                <c:pt idx="2041">
                  <c:v>39298</c:v>
                </c:pt>
                <c:pt idx="2042">
                  <c:v>39299</c:v>
                </c:pt>
                <c:pt idx="2043">
                  <c:v>39300</c:v>
                </c:pt>
                <c:pt idx="2044">
                  <c:v>39301</c:v>
                </c:pt>
                <c:pt idx="2045">
                  <c:v>39302</c:v>
                </c:pt>
                <c:pt idx="2046">
                  <c:v>39303</c:v>
                </c:pt>
                <c:pt idx="2047">
                  <c:v>39304</c:v>
                </c:pt>
                <c:pt idx="2048">
                  <c:v>39305</c:v>
                </c:pt>
                <c:pt idx="2049">
                  <c:v>39306</c:v>
                </c:pt>
                <c:pt idx="2050">
                  <c:v>39307</c:v>
                </c:pt>
                <c:pt idx="2051">
                  <c:v>39308</c:v>
                </c:pt>
                <c:pt idx="2052">
                  <c:v>39309</c:v>
                </c:pt>
                <c:pt idx="2053">
                  <c:v>39310</c:v>
                </c:pt>
                <c:pt idx="2054">
                  <c:v>39311</c:v>
                </c:pt>
                <c:pt idx="2055">
                  <c:v>39312</c:v>
                </c:pt>
                <c:pt idx="2056">
                  <c:v>39313</c:v>
                </c:pt>
                <c:pt idx="2057">
                  <c:v>39314</c:v>
                </c:pt>
                <c:pt idx="2058">
                  <c:v>39315</c:v>
                </c:pt>
                <c:pt idx="2059">
                  <c:v>39316</c:v>
                </c:pt>
                <c:pt idx="2060">
                  <c:v>39317</c:v>
                </c:pt>
                <c:pt idx="2061">
                  <c:v>39318</c:v>
                </c:pt>
                <c:pt idx="2062">
                  <c:v>39319</c:v>
                </c:pt>
                <c:pt idx="2063">
                  <c:v>39320</c:v>
                </c:pt>
                <c:pt idx="2064">
                  <c:v>39321</c:v>
                </c:pt>
                <c:pt idx="2065">
                  <c:v>39322</c:v>
                </c:pt>
                <c:pt idx="2066">
                  <c:v>39323</c:v>
                </c:pt>
                <c:pt idx="2067">
                  <c:v>39324</c:v>
                </c:pt>
                <c:pt idx="2068">
                  <c:v>39325</c:v>
                </c:pt>
                <c:pt idx="2069">
                  <c:v>39326</c:v>
                </c:pt>
                <c:pt idx="2070">
                  <c:v>39327</c:v>
                </c:pt>
                <c:pt idx="2071">
                  <c:v>39328</c:v>
                </c:pt>
                <c:pt idx="2072">
                  <c:v>39329</c:v>
                </c:pt>
                <c:pt idx="2073">
                  <c:v>39330</c:v>
                </c:pt>
                <c:pt idx="2074">
                  <c:v>39331</c:v>
                </c:pt>
                <c:pt idx="2075">
                  <c:v>39332</c:v>
                </c:pt>
                <c:pt idx="2076">
                  <c:v>39333</c:v>
                </c:pt>
                <c:pt idx="2077">
                  <c:v>39334</c:v>
                </c:pt>
                <c:pt idx="2078">
                  <c:v>39335</c:v>
                </c:pt>
                <c:pt idx="2079">
                  <c:v>39336</c:v>
                </c:pt>
                <c:pt idx="2080">
                  <c:v>39337</c:v>
                </c:pt>
                <c:pt idx="2081">
                  <c:v>39338</c:v>
                </c:pt>
                <c:pt idx="2082">
                  <c:v>39339</c:v>
                </c:pt>
                <c:pt idx="2083">
                  <c:v>39340</c:v>
                </c:pt>
                <c:pt idx="2084">
                  <c:v>39341</c:v>
                </c:pt>
                <c:pt idx="2085">
                  <c:v>39342</c:v>
                </c:pt>
                <c:pt idx="2086">
                  <c:v>39343</c:v>
                </c:pt>
                <c:pt idx="2087">
                  <c:v>39344</c:v>
                </c:pt>
                <c:pt idx="2088">
                  <c:v>39345</c:v>
                </c:pt>
                <c:pt idx="2089">
                  <c:v>39346</c:v>
                </c:pt>
                <c:pt idx="2090">
                  <c:v>39347</c:v>
                </c:pt>
                <c:pt idx="2091">
                  <c:v>39348</c:v>
                </c:pt>
                <c:pt idx="2092">
                  <c:v>39349</c:v>
                </c:pt>
                <c:pt idx="2093">
                  <c:v>39350</c:v>
                </c:pt>
                <c:pt idx="2094">
                  <c:v>39351</c:v>
                </c:pt>
                <c:pt idx="2095">
                  <c:v>39352</c:v>
                </c:pt>
                <c:pt idx="2096">
                  <c:v>39353</c:v>
                </c:pt>
                <c:pt idx="2097">
                  <c:v>39354</c:v>
                </c:pt>
                <c:pt idx="2098">
                  <c:v>39355</c:v>
                </c:pt>
                <c:pt idx="2099">
                  <c:v>39356</c:v>
                </c:pt>
                <c:pt idx="2100">
                  <c:v>39357</c:v>
                </c:pt>
                <c:pt idx="2101">
                  <c:v>39358</c:v>
                </c:pt>
                <c:pt idx="2102">
                  <c:v>39359</c:v>
                </c:pt>
                <c:pt idx="2103">
                  <c:v>39360</c:v>
                </c:pt>
                <c:pt idx="2104">
                  <c:v>39361</c:v>
                </c:pt>
                <c:pt idx="2105">
                  <c:v>39362</c:v>
                </c:pt>
                <c:pt idx="2106">
                  <c:v>39363</c:v>
                </c:pt>
                <c:pt idx="2107">
                  <c:v>39364</c:v>
                </c:pt>
                <c:pt idx="2108">
                  <c:v>39365</c:v>
                </c:pt>
                <c:pt idx="2109">
                  <c:v>39366</c:v>
                </c:pt>
                <c:pt idx="2110">
                  <c:v>39367</c:v>
                </c:pt>
                <c:pt idx="2111">
                  <c:v>39368</c:v>
                </c:pt>
                <c:pt idx="2112">
                  <c:v>39369</c:v>
                </c:pt>
                <c:pt idx="2113">
                  <c:v>39370</c:v>
                </c:pt>
                <c:pt idx="2114">
                  <c:v>39371</c:v>
                </c:pt>
                <c:pt idx="2115">
                  <c:v>39372</c:v>
                </c:pt>
                <c:pt idx="2116">
                  <c:v>39373</c:v>
                </c:pt>
                <c:pt idx="2117">
                  <c:v>39374</c:v>
                </c:pt>
                <c:pt idx="2118">
                  <c:v>39375</c:v>
                </c:pt>
                <c:pt idx="2119">
                  <c:v>39376</c:v>
                </c:pt>
                <c:pt idx="2120">
                  <c:v>39377</c:v>
                </c:pt>
                <c:pt idx="2121">
                  <c:v>39378</c:v>
                </c:pt>
                <c:pt idx="2122">
                  <c:v>39379</c:v>
                </c:pt>
                <c:pt idx="2123">
                  <c:v>39380</c:v>
                </c:pt>
                <c:pt idx="2124">
                  <c:v>39381</c:v>
                </c:pt>
                <c:pt idx="2125">
                  <c:v>39382</c:v>
                </c:pt>
                <c:pt idx="2126">
                  <c:v>39383</c:v>
                </c:pt>
                <c:pt idx="2127">
                  <c:v>39384</c:v>
                </c:pt>
                <c:pt idx="2128">
                  <c:v>39385</c:v>
                </c:pt>
                <c:pt idx="2129">
                  <c:v>39386</c:v>
                </c:pt>
                <c:pt idx="2130">
                  <c:v>39387</c:v>
                </c:pt>
                <c:pt idx="2131">
                  <c:v>39388</c:v>
                </c:pt>
                <c:pt idx="2132">
                  <c:v>39389</c:v>
                </c:pt>
                <c:pt idx="2133">
                  <c:v>39390</c:v>
                </c:pt>
                <c:pt idx="2134">
                  <c:v>39391</c:v>
                </c:pt>
                <c:pt idx="2135">
                  <c:v>39392</c:v>
                </c:pt>
                <c:pt idx="2136">
                  <c:v>39393</c:v>
                </c:pt>
                <c:pt idx="2137">
                  <c:v>39394</c:v>
                </c:pt>
                <c:pt idx="2138">
                  <c:v>39395</c:v>
                </c:pt>
                <c:pt idx="2139">
                  <c:v>39396</c:v>
                </c:pt>
                <c:pt idx="2140">
                  <c:v>39397</c:v>
                </c:pt>
                <c:pt idx="2141">
                  <c:v>39398</c:v>
                </c:pt>
                <c:pt idx="2142">
                  <c:v>39399</c:v>
                </c:pt>
                <c:pt idx="2143">
                  <c:v>39400</c:v>
                </c:pt>
                <c:pt idx="2144">
                  <c:v>39401</c:v>
                </c:pt>
                <c:pt idx="2145">
                  <c:v>39402</c:v>
                </c:pt>
                <c:pt idx="2146">
                  <c:v>39403</c:v>
                </c:pt>
                <c:pt idx="2147">
                  <c:v>39404</c:v>
                </c:pt>
                <c:pt idx="2148">
                  <c:v>39405</c:v>
                </c:pt>
                <c:pt idx="2149">
                  <c:v>39406</c:v>
                </c:pt>
                <c:pt idx="2150">
                  <c:v>39407</c:v>
                </c:pt>
                <c:pt idx="2151">
                  <c:v>39408</c:v>
                </c:pt>
                <c:pt idx="2152">
                  <c:v>39409</c:v>
                </c:pt>
                <c:pt idx="2153">
                  <c:v>39410</c:v>
                </c:pt>
                <c:pt idx="2154">
                  <c:v>39411</c:v>
                </c:pt>
                <c:pt idx="2155">
                  <c:v>39412</c:v>
                </c:pt>
                <c:pt idx="2156">
                  <c:v>39413</c:v>
                </c:pt>
                <c:pt idx="2157">
                  <c:v>39414</c:v>
                </c:pt>
                <c:pt idx="2158">
                  <c:v>39415</c:v>
                </c:pt>
                <c:pt idx="2159">
                  <c:v>39416</c:v>
                </c:pt>
                <c:pt idx="2160">
                  <c:v>39417</c:v>
                </c:pt>
                <c:pt idx="2161">
                  <c:v>39418</c:v>
                </c:pt>
                <c:pt idx="2162">
                  <c:v>39419</c:v>
                </c:pt>
                <c:pt idx="2163">
                  <c:v>39420</c:v>
                </c:pt>
                <c:pt idx="2164">
                  <c:v>39421</c:v>
                </c:pt>
                <c:pt idx="2165">
                  <c:v>39422</c:v>
                </c:pt>
                <c:pt idx="2166">
                  <c:v>39423</c:v>
                </c:pt>
                <c:pt idx="2167">
                  <c:v>39424</c:v>
                </c:pt>
                <c:pt idx="2168">
                  <c:v>39425</c:v>
                </c:pt>
                <c:pt idx="2169">
                  <c:v>39426</c:v>
                </c:pt>
                <c:pt idx="2170">
                  <c:v>39427</c:v>
                </c:pt>
                <c:pt idx="2171">
                  <c:v>39428</c:v>
                </c:pt>
                <c:pt idx="2172">
                  <c:v>39429</c:v>
                </c:pt>
                <c:pt idx="2173">
                  <c:v>39430</c:v>
                </c:pt>
                <c:pt idx="2174">
                  <c:v>39431</c:v>
                </c:pt>
                <c:pt idx="2175">
                  <c:v>39432</c:v>
                </c:pt>
                <c:pt idx="2176">
                  <c:v>39433</c:v>
                </c:pt>
                <c:pt idx="2177">
                  <c:v>39434</c:v>
                </c:pt>
                <c:pt idx="2178">
                  <c:v>39435</c:v>
                </c:pt>
                <c:pt idx="2179">
                  <c:v>39436</c:v>
                </c:pt>
                <c:pt idx="2180">
                  <c:v>39437</c:v>
                </c:pt>
                <c:pt idx="2181">
                  <c:v>39438</c:v>
                </c:pt>
                <c:pt idx="2182">
                  <c:v>39439</c:v>
                </c:pt>
                <c:pt idx="2183">
                  <c:v>39440</c:v>
                </c:pt>
                <c:pt idx="2184">
                  <c:v>39441</c:v>
                </c:pt>
                <c:pt idx="2185">
                  <c:v>39442</c:v>
                </c:pt>
                <c:pt idx="2186">
                  <c:v>39443</c:v>
                </c:pt>
                <c:pt idx="2187">
                  <c:v>39444</c:v>
                </c:pt>
                <c:pt idx="2188">
                  <c:v>39445</c:v>
                </c:pt>
                <c:pt idx="2189">
                  <c:v>39446</c:v>
                </c:pt>
                <c:pt idx="2190">
                  <c:v>39447</c:v>
                </c:pt>
                <c:pt idx="2191">
                  <c:v>39448</c:v>
                </c:pt>
                <c:pt idx="2192">
                  <c:v>39449</c:v>
                </c:pt>
                <c:pt idx="2193">
                  <c:v>39450</c:v>
                </c:pt>
                <c:pt idx="2194">
                  <c:v>39451</c:v>
                </c:pt>
                <c:pt idx="2195">
                  <c:v>39452</c:v>
                </c:pt>
                <c:pt idx="2196">
                  <c:v>39453</c:v>
                </c:pt>
                <c:pt idx="2197">
                  <c:v>39454</c:v>
                </c:pt>
                <c:pt idx="2198">
                  <c:v>39455</c:v>
                </c:pt>
                <c:pt idx="2199">
                  <c:v>39456</c:v>
                </c:pt>
                <c:pt idx="2200">
                  <c:v>39457</c:v>
                </c:pt>
                <c:pt idx="2201">
                  <c:v>39458</c:v>
                </c:pt>
                <c:pt idx="2202">
                  <c:v>39459</c:v>
                </c:pt>
                <c:pt idx="2203">
                  <c:v>39460</c:v>
                </c:pt>
                <c:pt idx="2204">
                  <c:v>39461</c:v>
                </c:pt>
                <c:pt idx="2205">
                  <c:v>39462</c:v>
                </c:pt>
                <c:pt idx="2206">
                  <c:v>39463</c:v>
                </c:pt>
                <c:pt idx="2207">
                  <c:v>39464</c:v>
                </c:pt>
                <c:pt idx="2208">
                  <c:v>39465</c:v>
                </c:pt>
                <c:pt idx="2209">
                  <c:v>39466</c:v>
                </c:pt>
                <c:pt idx="2210">
                  <c:v>39467</c:v>
                </c:pt>
                <c:pt idx="2211">
                  <c:v>39468</c:v>
                </c:pt>
                <c:pt idx="2212">
                  <c:v>39469</c:v>
                </c:pt>
                <c:pt idx="2213">
                  <c:v>39470</c:v>
                </c:pt>
                <c:pt idx="2214">
                  <c:v>39471</c:v>
                </c:pt>
                <c:pt idx="2215">
                  <c:v>39472</c:v>
                </c:pt>
                <c:pt idx="2216">
                  <c:v>39473</c:v>
                </c:pt>
                <c:pt idx="2217">
                  <c:v>39474</c:v>
                </c:pt>
                <c:pt idx="2218">
                  <c:v>39475</c:v>
                </c:pt>
                <c:pt idx="2219">
                  <c:v>39476</c:v>
                </c:pt>
                <c:pt idx="2220">
                  <c:v>39477</c:v>
                </c:pt>
                <c:pt idx="2221">
                  <c:v>39478</c:v>
                </c:pt>
                <c:pt idx="2222">
                  <c:v>39479</c:v>
                </c:pt>
                <c:pt idx="2223">
                  <c:v>39480</c:v>
                </c:pt>
                <c:pt idx="2224">
                  <c:v>39481</c:v>
                </c:pt>
                <c:pt idx="2225">
                  <c:v>39482</c:v>
                </c:pt>
                <c:pt idx="2226">
                  <c:v>39483</c:v>
                </c:pt>
                <c:pt idx="2227">
                  <c:v>39484</c:v>
                </c:pt>
                <c:pt idx="2228">
                  <c:v>39485</c:v>
                </c:pt>
                <c:pt idx="2229">
                  <c:v>39486</c:v>
                </c:pt>
                <c:pt idx="2230">
                  <c:v>39487</c:v>
                </c:pt>
                <c:pt idx="2231">
                  <c:v>39488</c:v>
                </c:pt>
                <c:pt idx="2232">
                  <c:v>39489</c:v>
                </c:pt>
                <c:pt idx="2233">
                  <c:v>39490</c:v>
                </c:pt>
                <c:pt idx="2234">
                  <c:v>39491</c:v>
                </c:pt>
                <c:pt idx="2235">
                  <c:v>39492</c:v>
                </c:pt>
                <c:pt idx="2236">
                  <c:v>39493</c:v>
                </c:pt>
                <c:pt idx="2237">
                  <c:v>39494</c:v>
                </c:pt>
                <c:pt idx="2238">
                  <c:v>39495</c:v>
                </c:pt>
                <c:pt idx="2239">
                  <c:v>39496</c:v>
                </c:pt>
                <c:pt idx="2240">
                  <c:v>39497</c:v>
                </c:pt>
                <c:pt idx="2241">
                  <c:v>39498</c:v>
                </c:pt>
                <c:pt idx="2242">
                  <c:v>39499</c:v>
                </c:pt>
                <c:pt idx="2243">
                  <c:v>39500</c:v>
                </c:pt>
                <c:pt idx="2244">
                  <c:v>39501</c:v>
                </c:pt>
                <c:pt idx="2245">
                  <c:v>39502</c:v>
                </c:pt>
                <c:pt idx="2246">
                  <c:v>39503</c:v>
                </c:pt>
                <c:pt idx="2247">
                  <c:v>39504</c:v>
                </c:pt>
                <c:pt idx="2248">
                  <c:v>39505</c:v>
                </c:pt>
                <c:pt idx="2249">
                  <c:v>39506</c:v>
                </c:pt>
                <c:pt idx="2250">
                  <c:v>39507</c:v>
                </c:pt>
                <c:pt idx="2251">
                  <c:v>39508</c:v>
                </c:pt>
                <c:pt idx="2252">
                  <c:v>39509</c:v>
                </c:pt>
                <c:pt idx="2253">
                  <c:v>39510</c:v>
                </c:pt>
                <c:pt idx="2254">
                  <c:v>39511</c:v>
                </c:pt>
                <c:pt idx="2255">
                  <c:v>39512</c:v>
                </c:pt>
                <c:pt idx="2256">
                  <c:v>39513</c:v>
                </c:pt>
                <c:pt idx="2257">
                  <c:v>39514</c:v>
                </c:pt>
                <c:pt idx="2258">
                  <c:v>39515</c:v>
                </c:pt>
                <c:pt idx="2259">
                  <c:v>39516</c:v>
                </c:pt>
                <c:pt idx="2260">
                  <c:v>39517</c:v>
                </c:pt>
                <c:pt idx="2261">
                  <c:v>39518</c:v>
                </c:pt>
                <c:pt idx="2262">
                  <c:v>39519</c:v>
                </c:pt>
                <c:pt idx="2263">
                  <c:v>39520</c:v>
                </c:pt>
                <c:pt idx="2264">
                  <c:v>39521</c:v>
                </c:pt>
                <c:pt idx="2265">
                  <c:v>39522</c:v>
                </c:pt>
                <c:pt idx="2266">
                  <c:v>39523</c:v>
                </c:pt>
                <c:pt idx="2267">
                  <c:v>39524</c:v>
                </c:pt>
                <c:pt idx="2268">
                  <c:v>39525</c:v>
                </c:pt>
                <c:pt idx="2269">
                  <c:v>39526</c:v>
                </c:pt>
                <c:pt idx="2270">
                  <c:v>39527</c:v>
                </c:pt>
                <c:pt idx="2271">
                  <c:v>39528</c:v>
                </c:pt>
                <c:pt idx="2272">
                  <c:v>39529</c:v>
                </c:pt>
                <c:pt idx="2273">
                  <c:v>39530</c:v>
                </c:pt>
                <c:pt idx="2274">
                  <c:v>39531</c:v>
                </c:pt>
                <c:pt idx="2275">
                  <c:v>39532</c:v>
                </c:pt>
                <c:pt idx="2276">
                  <c:v>39533</c:v>
                </c:pt>
                <c:pt idx="2277">
                  <c:v>39534</c:v>
                </c:pt>
                <c:pt idx="2278">
                  <c:v>39535</c:v>
                </c:pt>
                <c:pt idx="2279">
                  <c:v>39536</c:v>
                </c:pt>
                <c:pt idx="2280">
                  <c:v>39537</c:v>
                </c:pt>
                <c:pt idx="2281">
                  <c:v>39538</c:v>
                </c:pt>
                <c:pt idx="2282">
                  <c:v>39539</c:v>
                </c:pt>
                <c:pt idx="2283">
                  <c:v>39540</c:v>
                </c:pt>
                <c:pt idx="2284">
                  <c:v>39541</c:v>
                </c:pt>
                <c:pt idx="2285">
                  <c:v>39542</c:v>
                </c:pt>
                <c:pt idx="2286">
                  <c:v>39543</c:v>
                </c:pt>
                <c:pt idx="2287">
                  <c:v>39544</c:v>
                </c:pt>
                <c:pt idx="2288">
                  <c:v>39545</c:v>
                </c:pt>
                <c:pt idx="2289">
                  <c:v>39546</c:v>
                </c:pt>
                <c:pt idx="2290">
                  <c:v>39547</c:v>
                </c:pt>
                <c:pt idx="2291">
                  <c:v>39548</c:v>
                </c:pt>
                <c:pt idx="2292">
                  <c:v>39549</c:v>
                </c:pt>
                <c:pt idx="2293">
                  <c:v>39550</c:v>
                </c:pt>
                <c:pt idx="2294">
                  <c:v>39551</c:v>
                </c:pt>
                <c:pt idx="2295">
                  <c:v>39552</c:v>
                </c:pt>
                <c:pt idx="2296">
                  <c:v>39553</c:v>
                </c:pt>
                <c:pt idx="2297">
                  <c:v>39554</c:v>
                </c:pt>
                <c:pt idx="2298">
                  <c:v>39555</c:v>
                </c:pt>
                <c:pt idx="2299">
                  <c:v>39556</c:v>
                </c:pt>
                <c:pt idx="2300">
                  <c:v>39557</c:v>
                </c:pt>
                <c:pt idx="2301">
                  <c:v>39558</c:v>
                </c:pt>
                <c:pt idx="2302">
                  <c:v>39559</c:v>
                </c:pt>
                <c:pt idx="2303">
                  <c:v>39560</c:v>
                </c:pt>
                <c:pt idx="2304">
                  <c:v>39561</c:v>
                </c:pt>
                <c:pt idx="2305">
                  <c:v>39562</c:v>
                </c:pt>
                <c:pt idx="2306">
                  <c:v>39563</c:v>
                </c:pt>
                <c:pt idx="2307">
                  <c:v>39564</c:v>
                </c:pt>
                <c:pt idx="2308">
                  <c:v>39565</c:v>
                </c:pt>
                <c:pt idx="2309">
                  <c:v>39566</c:v>
                </c:pt>
                <c:pt idx="2310">
                  <c:v>39567</c:v>
                </c:pt>
                <c:pt idx="2311">
                  <c:v>39568</c:v>
                </c:pt>
                <c:pt idx="2312">
                  <c:v>39569</c:v>
                </c:pt>
                <c:pt idx="2313">
                  <c:v>39570</c:v>
                </c:pt>
                <c:pt idx="2314">
                  <c:v>39571</c:v>
                </c:pt>
                <c:pt idx="2315">
                  <c:v>39572</c:v>
                </c:pt>
                <c:pt idx="2316">
                  <c:v>39573</c:v>
                </c:pt>
                <c:pt idx="2317">
                  <c:v>39574</c:v>
                </c:pt>
                <c:pt idx="2318">
                  <c:v>39575</c:v>
                </c:pt>
                <c:pt idx="2319">
                  <c:v>39576</c:v>
                </c:pt>
                <c:pt idx="2320">
                  <c:v>39577</c:v>
                </c:pt>
                <c:pt idx="2321">
                  <c:v>39578</c:v>
                </c:pt>
                <c:pt idx="2322">
                  <c:v>39579</c:v>
                </c:pt>
                <c:pt idx="2323">
                  <c:v>39580</c:v>
                </c:pt>
                <c:pt idx="2324">
                  <c:v>39581</c:v>
                </c:pt>
                <c:pt idx="2325">
                  <c:v>39582</c:v>
                </c:pt>
                <c:pt idx="2326">
                  <c:v>39583</c:v>
                </c:pt>
                <c:pt idx="2327">
                  <c:v>39584</c:v>
                </c:pt>
                <c:pt idx="2328">
                  <c:v>39585</c:v>
                </c:pt>
                <c:pt idx="2329">
                  <c:v>39586</c:v>
                </c:pt>
                <c:pt idx="2330">
                  <c:v>39587</c:v>
                </c:pt>
                <c:pt idx="2331">
                  <c:v>39588</c:v>
                </c:pt>
                <c:pt idx="2332">
                  <c:v>39589</c:v>
                </c:pt>
                <c:pt idx="2333">
                  <c:v>39590</c:v>
                </c:pt>
                <c:pt idx="2334">
                  <c:v>39591</c:v>
                </c:pt>
                <c:pt idx="2335">
                  <c:v>39592</c:v>
                </c:pt>
                <c:pt idx="2336">
                  <c:v>39593</c:v>
                </c:pt>
                <c:pt idx="2337">
                  <c:v>39594</c:v>
                </c:pt>
                <c:pt idx="2338">
                  <c:v>39595</c:v>
                </c:pt>
                <c:pt idx="2339">
                  <c:v>39596</c:v>
                </c:pt>
                <c:pt idx="2340">
                  <c:v>39597</c:v>
                </c:pt>
                <c:pt idx="2341">
                  <c:v>39598</c:v>
                </c:pt>
                <c:pt idx="2342">
                  <c:v>39599</c:v>
                </c:pt>
                <c:pt idx="2343">
                  <c:v>39600</c:v>
                </c:pt>
                <c:pt idx="2344">
                  <c:v>39601</c:v>
                </c:pt>
                <c:pt idx="2345">
                  <c:v>39602</c:v>
                </c:pt>
                <c:pt idx="2346">
                  <c:v>39603</c:v>
                </c:pt>
                <c:pt idx="2347">
                  <c:v>39604</c:v>
                </c:pt>
                <c:pt idx="2348">
                  <c:v>39605</c:v>
                </c:pt>
                <c:pt idx="2349">
                  <c:v>39606</c:v>
                </c:pt>
                <c:pt idx="2350">
                  <c:v>39607</c:v>
                </c:pt>
                <c:pt idx="2351">
                  <c:v>39608</c:v>
                </c:pt>
                <c:pt idx="2352">
                  <c:v>39609</c:v>
                </c:pt>
                <c:pt idx="2353">
                  <c:v>39610</c:v>
                </c:pt>
                <c:pt idx="2354">
                  <c:v>39611</c:v>
                </c:pt>
                <c:pt idx="2355">
                  <c:v>39612</c:v>
                </c:pt>
                <c:pt idx="2356">
                  <c:v>39613</c:v>
                </c:pt>
                <c:pt idx="2357">
                  <c:v>39614</c:v>
                </c:pt>
                <c:pt idx="2358">
                  <c:v>39615</c:v>
                </c:pt>
                <c:pt idx="2359">
                  <c:v>39616</c:v>
                </c:pt>
                <c:pt idx="2360">
                  <c:v>39617</c:v>
                </c:pt>
                <c:pt idx="2361">
                  <c:v>39618</c:v>
                </c:pt>
                <c:pt idx="2362">
                  <c:v>39619</c:v>
                </c:pt>
                <c:pt idx="2363">
                  <c:v>39620</c:v>
                </c:pt>
                <c:pt idx="2364">
                  <c:v>39621</c:v>
                </c:pt>
                <c:pt idx="2365">
                  <c:v>39622</c:v>
                </c:pt>
                <c:pt idx="2366">
                  <c:v>39623</c:v>
                </c:pt>
                <c:pt idx="2367">
                  <c:v>39624</c:v>
                </c:pt>
                <c:pt idx="2368">
                  <c:v>39625</c:v>
                </c:pt>
                <c:pt idx="2369">
                  <c:v>39626</c:v>
                </c:pt>
                <c:pt idx="2370">
                  <c:v>39627</c:v>
                </c:pt>
                <c:pt idx="2371">
                  <c:v>39628</c:v>
                </c:pt>
                <c:pt idx="2372">
                  <c:v>39629</c:v>
                </c:pt>
                <c:pt idx="2373">
                  <c:v>39630</c:v>
                </c:pt>
                <c:pt idx="2374">
                  <c:v>39631</c:v>
                </c:pt>
                <c:pt idx="2375">
                  <c:v>39632</c:v>
                </c:pt>
                <c:pt idx="2376">
                  <c:v>39633</c:v>
                </c:pt>
                <c:pt idx="2377">
                  <c:v>39634</c:v>
                </c:pt>
                <c:pt idx="2378">
                  <c:v>39635</c:v>
                </c:pt>
                <c:pt idx="2379">
                  <c:v>39636</c:v>
                </c:pt>
                <c:pt idx="2380">
                  <c:v>39637</c:v>
                </c:pt>
                <c:pt idx="2381">
                  <c:v>39638</c:v>
                </c:pt>
                <c:pt idx="2382">
                  <c:v>39639</c:v>
                </c:pt>
                <c:pt idx="2383">
                  <c:v>39640</c:v>
                </c:pt>
                <c:pt idx="2384">
                  <c:v>39641</c:v>
                </c:pt>
                <c:pt idx="2385">
                  <c:v>39642</c:v>
                </c:pt>
                <c:pt idx="2386">
                  <c:v>39643</c:v>
                </c:pt>
                <c:pt idx="2387">
                  <c:v>39644</c:v>
                </c:pt>
                <c:pt idx="2388">
                  <c:v>39645</c:v>
                </c:pt>
                <c:pt idx="2389">
                  <c:v>39646</c:v>
                </c:pt>
                <c:pt idx="2390">
                  <c:v>39647</c:v>
                </c:pt>
                <c:pt idx="2391">
                  <c:v>39648</c:v>
                </c:pt>
                <c:pt idx="2392">
                  <c:v>39649</c:v>
                </c:pt>
                <c:pt idx="2393">
                  <c:v>39650</c:v>
                </c:pt>
                <c:pt idx="2394">
                  <c:v>39651</c:v>
                </c:pt>
                <c:pt idx="2395">
                  <c:v>39652</c:v>
                </c:pt>
                <c:pt idx="2396">
                  <c:v>39653</c:v>
                </c:pt>
                <c:pt idx="2397">
                  <c:v>39654</c:v>
                </c:pt>
                <c:pt idx="2398">
                  <c:v>39655</c:v>
                </c:pt>
                <c:pt idx="2399">
                  <c:v>39656</c:v>
                </c:pt>
                <c:pt idx="2400">
                  <c:v>39657</c:v>
                </c:pt>
                <c:pt idx="2401">
                  <c:v>39658</c:v>
                </c:pt>
                <c:pt idx="2402">
                  <c:v>39659</c:v>
                </c:pt>
                <c:pt idx="2403">
                  <c:v>39660</c:v>
                </c:pt>
                <c:pt idx="2404">
                  <c:v>39661</c:v>
                </c:pt>
                <c:pt idx="2405">
                  <c:v>39662</c:v>
                </c:pt>
                <c:pt idx="2406">
                  <c:v>39663</c:v>
                </c:pt>
                <c:pt idx="2407">
                  <c:v>39664</c:v>
                </c:pt>
                <c:pt idx="2408">
                  <c:v>39665</c:v>
                </c:pt>
                <c:pt idx="2409">
                  <c:v>39666</c:v>
                </c:pt>
                <c:pt idx="2410">
                  <c:v>39667</c:v>
                </c:pt>
                <c:pt idx="2411">
                  <c:v>39668</c:v>
                </c:pt>
                <c:pt idx="2412">
                  <c:v>39669</c:v>
                </c:pt>
                <c:pt idx="2413">
                  <c:v>39670</c:v>
                </c:pt>
                <c:pt idx="2414">
                  <c:v>39671</c:v>
                </c:pt>
                <c:pt idx="2415">
                  <c:v>39672</c:v>
                </c:pt>
                <c:pt idx="2416">
                  <c:v>39673</c:v>
                </c:pt>
                <c:pt idx="2417">
                  <c:v>39674</c:v>
                </c:pt>
                <c:pt idx="2418">
                  <c:v>39675</c:v>
                </c:pt>
                <c:pt idx="2419">
                  <c:v>39676</c:v>
                </c:pt>
                <c:pt idx="2420">
                  <c:v>39677</c:v>
                </c:pt>
                <c:pt idx="2421">
                  <c:v>39678</c:v>
                </c:pt>
                <c:pt idx="2422">
                  <c:v>39679</c:v>
                </c:pt>
                <c:pt idx="2423">
                  <c:v>39680</c:v>
                </c:pt>
                <c:pt idx="2424">
                  <c:v>39681</c:v>
                </c:pt>
                <c:pt idx="2425">
                  <c:v>39682</c:v>
                </c:pt>
                <c:pt idx="2426">
                  <c:v>39683</c:v>
                </c:pt>
                <c:pt idx="2427">
                  <c:v>39684</c:v>
                </c:pt>
                <c:pt idx="2428">
                  <c:v>39685</c:v>
                </c:pt>
                <c:pt idx="2429">
                  <c:v>39686</c:v>
                </c:pt>
                <c:pt idx="2430">
                  <c:v>39687</c:v>
                </c:pt>
                <c:pt idx="2431">
                  <c:v>39688</c:v>
                </c:pt>
                <c:pt idx="2432">
                  <c:v>39689</c:v>
                </c:pt>
                <c:pt idx="2433">
                  <c:v>39690</c:v>
                </c:pt>
                <c:pt idx="2434">
                  <c:v>39691</c:v>
                </c:pt>
                <c:pt idx="2435">
                  <c:v>39692</c:v>
                </c:pt>
                <c:pt idx="2436">
                  <c:v>39693</c:v>
                </c:pt>
                <c:pt idx="2437">
                  <c:v>39694</c:v>
                </c:pt>
                <c:pt idx="2438">
                  <c:v>39695</c:v>
                </c:pt>
                <c:pt idx="2439">
                  <c:v>39696</c:v>
                </c:pt>
                <c:pt idx="2440">
                  <c:v>39697</c:v>
                </c:pt>
                <c:pt idx="2441">
                  <c:v>39698</c:v>
                </c:pt>
                <c:pt idx="2442">
                  <c:v>39699</c:v>
                </c:pt>
                <c:pt idx="2443">
                  <c:v>39700</c:v>
                </c:pt>
                <c:pt idx="2444">
                  <c:v>39701</c:v>
                </c:pt>
                <c:pt idx="2445">
                  <c:v>39702</c:v>
                </c:pt>
                <c:pt idx="2446">
                  <c:v>39703</c:v>
                </c:pt>
                <c:pt idx="2447">
                  <c:v>39704</c:v>
                </c:pt>
                <c:pt idx="2448">
                  <c:v>39705</c:v>
                </c:pt>
                <c:pt idx="2449">
                  <c:v>39706</c:v>
                </c:pt>
                <c:pt idx="2450">
                  <c:v>39707</c:v>
                </c:pt>
                <c:pt idx="2451">
                  <c:v>39708</c:v>
                </c:pt>
                <c:pt idx="2452">
                  <c:v>39709</c:v>
                </c:pt>
                <c:pt idx="2453">
                  <c:v>39710</c:v>
                </c:pt>
                <c:pt idx="2454">
                  <c:v>39711</c:v>
                </c:pt>
                <c:pt idx="2455">
                  <c:v>39712</c:v>
                </c:pt>
                <c:pt idx="2456">
                  <c:v>39713</c:v>
                </c:pt>
                <c:pt idx="2457">
                  <c:v>39714</c:v>
                </c:pt>
                <c:pt idx="2458">
                  <c:v>39715</c:v>
                </c:pt>
                <c:pt idx="2459">
                  <c:v>39716</c:v>
                </c:pt>
                <c:pt idx="2460">
                  <c:v>39717</c:v>
                </c:pt>
                <c:pt idx="2461">
                  <c:v>39718</c:v>
                </c:pt>
                <c:pt idx="2462">
                  <c:v>39719</c:v>
                </c:pt>
                <c:pt idx="2463">
                  <c:v>39720</c:v>
                </c:pt>
                <c:pt idx="2464">
                  <c:v>39721</c:v>
                </c:pt>
                <c:pt idx="2465">
                  <c:v>39722</c:v>
                </c:pt>
                <c:pt idx="2466">
                  <c:v>39723</c:v>
                </c:pt>
                <c:pt idx="2467">
                  <c:v>39724</c:v>
                </c:pt>
                <c:pt idx="2468">
                  <c:v>39725</c:v>
                </c:pt>
                <c:pt idx="2469">
                  <c:v>39726</c:v>
                </c:pt>
                <c:pt idx="2470">
                  <c:v>39727</c:v>
                </c:pt>
                <c:pt idx="2471">
                  <c:v>39728</c:v>
                </c:pt>
                <c:pt idx="2472">
                  <c:v>39729</c:v>
                </c:pt>
                <c:pt idx="2473">
                  <c:v>39730</c:v>
                </c:pt>
                <c:pt idx="2474">
                  <c:v>39731</c:v>
                </c:pt>
                <c:pt idx="2475">
                  <c:v>39732</c:v>
                </c:pt>
                <c:pt idx="2476">
                  <c:v>39733</c:v>
                </c:pt>
                <c:pt idx="2477">
                  <c:v>39734</c:v>
                </c:pt>
                <c:pt idx="2478">
                  <c:v>39735</c:v>
                </c:pt>
                <c:pt idx="2479">
                  <c:v>39736</c:v>
                </c:pt>
                <c:pt idx="2480">
                  <c:v>39737</c:v>
                </c:pt>
                <c:pt idx="2481">
                  <c:v>39738</c:v>
                </c:pt>
                <c:pt idx="2482">
                  <c:v>39739</c:v>
                </c:pt>
                <c:pt idx="2483">
                  <c:v>39740</c:v>
                </c:pt>
                <c:pt idx="2484">
                  <c:v>39741</c:v>
                </c:pt>
                <c:pt idx="2485">
                  <c:v>39742</c:v>
                </c:pt>
                <c:pt idx="2486">
                  <c:v>39743</c:v>
                </c:pt>
                <c:pt idx="2487">
                  <c:v>39744</c:v>
                </c:pt>
                <c:pt idx="2488">
                  <c:v>39745</c:v>
                </c:pt>
                <c:pt idx="2489">
                  <c:v>39746</c:v>
                </c:pt>
                <c:pt idx="2490">
                  <c:v>39747</c:v>
                </c:pt>
                <c:pt idx="2491">
                  <c:v>39748</c:v>
                </c:pt>
                <c:pt idx="2492">
                  <c:v>39749</c:v>
                </c:pt>
                <c:pt idx="2493">
                  <c:v>39750</c:v>
                </c:pt>
                <c:pt idx="2494">
                  <c:v>39751</c:v>
                </c:pt>
                <c:pt idx="2495">
                  <c:v>39752</c:v>
                </c:pt>
                <c:pt idx="2496">
                  <c:v>39753</c:v>
                </c:pt>
                <c:pt idx="2497">
                  <c:v>39754</c:v>
                </c:pt>
                <c:pt idx="2498">
                  <c:v>39755</c:v>
                </c:pt>
                <c:pt idx="2499">
                  <c:v>39756</c:v>
                </c:pt>
                <c:pt idx="2500">
                  <c:v>39757</c:v>
                </c:pt>
                <c:pt idx="2501">
                  <c:v>39758</c:v>
                </c:pt>
                <c:pt idx="2502">
                  <c:v>39759</c:v>
                </c:pt>
                <c:pt idx="2503">
                  <c:v>39760</c:v>
                </c:pt>
                <c:pt idx="2504">
                  <c:v>39761</c:v>
                </c:pt>
                <c:pt idx="2505">
                  <c:v>39762</c:v>
                </c:pt>
                <c:pt idx="2506">
                  <c:v>39763</c:v>
                </c:pt>
                <c:pt idx="2507">
                  <c:v>39764</c:v>
                </c:pt>
                <c:pt idx="2508">
                  <c:v>39765</c:v>
                </c:pt>
                <c:pt idx="2509">
                  <c:v>39766</c:v>
                </c:pt>
                <c:pt idx="2510">
                  <c:v>39767</c:v>
                </c:pt>
                <c:pt idx="2511">
                  <c:v>39768</c:v>
                </c:pt>
                <c:pt idx="2512">
                  <c:v>39769</c:v>
                </c:pt>
                <c:pt idx="2513">
                  <c:v>39770</c:v>
                </c:pt>
                <c:pt idx="2514">
                  <c:v>39771</c:v>
                </c:pt>
                <c:pt idx="2515">
                  <c:v>39772</c:v>
                </c:pt>
                <c:pt idx="2516">
                  <c:v>39773</c:v>
                </c:pt>
                <c:pt idx="2517">
                  <c:v>39774</c:v>
                </c:pt>
                <c:pt idx="2518">
                  <c:v>39775</c:v>
                </c:pt>
                <c:pt idx="2519">
                  <c:v>39776</c:v>
                </c:pt>
                <c:pt idx="2520">
                  <c:v>39777</c:v>
                </c:pt>
                <c:pt idx="2521">
                  <c:v>39778</c:v>
                </c:pt>
                <c:pt idx="2522">
                  <c:v>39779</c:v>
                </c:pt>
                <c:pt idx="2523">
                  <c:v>39780</c:v>
                </c:pt>
                <c:pt idx="2524">
                  <c:v>39781</c:v>
                </c:pt>
                <c:pt idx="2525">
                  <c:v>39782</c:v>
                </c:pt>
                <c:pt idx="2526">
                  <c:v>39783</c:v>
                </c:pt>
                <c:pt idx="2527">
                  <c:v>39784</c:v>
                </c:pt>
                <c:pt idx="2528">
                  <c:v>39785</c:v>
                </c:pt>
                <c:pt idx="2529">
                  <c:v>39786</c:v>
                </c:pt>
                <c:pt idx="2530">
                  <c:v>39787</c:v>
                </c:pt>
                <c:pt idx="2531">
                  <c:v>39788</c:v>
                </c:pt>
                <c:pt idx="2532">
                  <c:v>39789</c:v>
                </c:pt>
                <c:pt idx="2533">
                  <c:v>39790</c:v>
                </c:pt>
                <c:pt idx="2534">
                  <c:v>39791</c:v>
                </c:pt>
                <c:pt idx="2535">
                  <c:v>39792</c:v>
                </c:pt>
                <c:pt idx="2536">
                  <c:v>39793</c:v>
                </c:pt>
                <c:pt idx="2537">
                  <c:v>39794</c:v>
                </c:pt>
                <c:pt idx="2538">
                  <c:v>39795</c:v>
                </c:pt>
                <c:pt idx="2539">
                  <c:v>39796</c:v>
                </c:pt>
                <c:pt idx="2540">
                  <c:v>39797</c:v>
                </c:pt>
                <c:pt idx="2541">
                  <c:v>39798</c:v>
                </c:pt>
                <c:pt idx="2542">
                  <c:v>39799</c:v>
                </c:pt>
                <c:pt idx="2543">
                  <c:v>39800</c:v>
                </c:pt>
                <c:pt idx="2544">
                  <c:v>39801</c:v>
                </c:pt>
                <c:pt idx="2545">
                  <c:v>39802</c:v>
                </c:pt>
                <c:pt idx="2546">
                  <c:v>39803</c:v>
                </c:pt>
                <c:pt idx="2547">
                  <c:v>39804</c:v>
                </c:pt>
                <c:pt idx="2548">
                  <c:v>39805</c:v>
                </c:pt>
                <c:pt idx="2549">
                  <c:v>39806</c:v>
                </c:pt>
                <c:pt idx="2550">
                  <c:v>39807</c:v>
                </c:pt>
                <c:pt idx="2551">
                  <c:v>39808</c:v>
                </c:pt>
                <c:pt idx="2552">
                  <c:v>39809</c:v>
                </c:pt>
                <c:pt idx="2553">
                  <c:v>39810</c:v>
                </c:pt>
                <c:pt idx="2554">
                  <c:v>39811</c:v>
                </c:pt>
                <c:pt idx="2555">
                  <c:v>39812</c:v>
                </c:pt>
                <c:pt idx="2556">
                  <c:v>39813</c:v>
                </c:pt>
                <c:pt idx="2557">
                  <c:v>39814</c:v>
                </c:pt>
                <c:pt idx="2558">
                  <c:v>39815</c:v>
                </c:pt>
                <c:pt idx="2559">
                  <c:v>39816</c:v>
                </c:pt>
                <c:pt idx="2560">
                  <c:v>39817</c:v>
                </c:pt>
                <c:pt idx="2561">
                  <c:v>39818</c:v>
                </c:pt>
                <c:pt idx="2562">
                  <c:v>39819</c:v>
                </c:pt>
                <c:pt idx="2563">
                  <c:v>39820</c:v>
                </c:pt>
                <c:pt idx="2564">
                  <c:v>39821</c:v>
                </c:pt>
                <c:pt idx="2565">
                  <c:v>39822</c:v>
                </c:pt>
                <c:pt idx="2566">
                  <c:v>39823</c:v>
                </c:pt>
                <c:pt idx="2567">
                  <c:v>39824</c:v>
                </c:pt>
                <c:pt idx="2568">
                  <c:v>39825</c:v>
                </c:pt>
                <c:pt idx="2569">
                  <c:v>39826</c:v>
                </c:pt>
                <c:pt idx="2570">
                  <c:v>39827</c:v>
                </c:pt>
                <c:pt idx="2571">
                  <c:v>39828</c:v>
                </c:pt>
                <c:pt idx="2572">
                  <c:v>39829</c:v>
                </c:pt>
                <c:pt idx="2573">
                  <c:v>39830</c:v>
                </c:pt>
                <c:pt idx="2574">
                  <c:v>39831</c:v>
                </c:pt>
                <c:pt idx="2575">
                  <c:v>39832</c:v>
                </c:pt>
                <c:pt idx="2576">
                  <c:v>39833</c:v>
                </c:pt>
                <c:pt idx="2577">
                  <c:v>39834</c:v>
                </c:pt>
                <c:pt idx="2578">
                  <c:v>39835</c:v>
                </c:pt>
                <c:pt idx="2579">
                  <c:v>39836</c:v>
                </c:pt>
                <c:pt idx="2580">
                  <c:v>39837</c:v>
                </c:pt>
                <c:pt idx="2581">
                  <c:v>39838</c:v>
                </c:pt>
                <c:pt idx="2582">
                  <c:v>39839</c:v>
                </c:pt>
                <c:pt idx="2583">
                  <c:v>39840</c:v>
                </c:pt>
                <c:pt idx="2584">
                  <c:v>39841</c:v>
                </c:pt>
                <c:pt idx="2585">
                  <c:v>39842</c:v>
                </c:pt>
                <c:pt idx="2586">
                  <c:v>39843</c:v>
                </c:pt>
                <c:pt idx="2587">
                  <c:v>39844</c:v>
                </c:pt>
                <c:pt idx="2588">
                  <c:v>39845</c:v>
                </c:pt>
                <c:pt idx="2589">
                  <c:v>39846</c:v>
                </c:pt>
                <c:pt idx="2590">
                  <c:v>39847</c:v>
                </c:pt>
                <c:pt idx="2591">
                  <c:v>39848</c:v>
                </c:pt>
                <c:pt idx="2592">
                  <c:v>39849</c:v>
                </c:pt>
                <c:pt idx="2593">
                  <c:v>39850</c:v>
                </c:pt>
                <c:pt idx="2594">
                  <c:v>39851</c:v>
                </c:pt>
                <c:pt idx="2595">
                  <c:v>39852</c:v>
                </c:pt>
                <c:pt idx="2596">
                  <c:v>39853</c:v>
                </c:pt>
                <c:pt idx="2597">
                  <c:v>39854</c:v>
                </c:pt>
                <c:pt idx="2598">
                  <c:v>39855</c:v>
                </c:pt>
                <c:pt idx="2599">
                  <c:v>39856</c:v>
                </c:pt>
                <c:pt idx="2600">
                  <c:v>39857</c:v>
                </c:pt>
                <c:pt idx="2601">
                  <c:v>39858</c:v>
                </c:pt>
                <c:pt idx="2602">
                  <c:v>39859</c:v>
                </c:pt>
                <c:pt idx="2603">
                  <c:v>39860</c:v>
                </c:pt>
                <c:pt idx="2604">
                  <c:v>39861</c:v>
                </c:pt>
                <c:pt idx="2605">
                  <c:v>39862</c:v>
                </c:pt>
                <c:pt idx="2606">
                  <c:v>39863</c:v>
                </c:pt>
                <c:pt idx="2607">
                  <c:v>39864</c:v>
                </c:pt>
                <c:pt idx="2608">
                  <c:v>39865</c:v>
                </c:pt>
                <c:pt idx="2609">
                  <c:v>39866</c:v>
                </c:pt>
                <c:pt idx="2610">
                  <c:v>39867</c:v>
                </c:pt>
                <c:pt idx="2611">
                  <c:v>39868</c:v>
                </c:pt>
                <c:pt idx="2612">
                  <c:v>39869</c:v>
                </c:pt>
                <c:pt idx="2613">
                  <c:v>39870</c:v>
                </c:pt>
                <c:pt idx="2614">
                  <c:v>39871</c:v>
                </c:pt>
                <c:pt idx="2615">
                  <c:v>39872</c:v>
                </c:pt>
                <c:pt idx="2616">
                  <c:v>39873</c:v>
                </c:pt>
                <c:pt idx="2617">
                  <c:v>39874</c:v>
                </c:pt>
                <c:pt idx="2618">
                  <c:v>39875</c:v>
                </c:pt>
                <c:pt idx="2619">
                  <c:v>39876</c:v>
                </c:pt>
                <c:pt idx="2620">
                  <c:v>39877</c:v>
                </c:pt>
                <c:pt idx="2621">
                  <c:v>39878</c:v>
                </c:pt>
                <c:pt idx="2622">
                  <c:v>39879</c:v>
                </c:pt>
                <c:pt idx="2623">
                  <c:v>39880</c:v>
                </c:pt>
                <c:pt idx="2624">
                  <c:v>39881</c:v>
                </c:pt>
                <c:pt idx="2625">
                  <c:v>39882</c:v>
                </c:pt>
                <c:pt idx="2626">
                  <c:v>39883</c:v>
                </c:pt>
                <c:pt idx="2627">
                  <c:v>39884</c:v>
                </c:pt>
                <c:pt idx="2628">
                  <c:v>39885</c:v>
                </c:pt>
                <c:pt idx="2629">
                  <c:v>39886</c:v>
                </c:pt>
                <c:pt idx="2630">
                  <c:v>39887</c:v>
                </c:pt>
                <c:pt idx="2631">
                  <c:v>39888</c:v>
                </c:pt>
                <c:pt idx="2632">
                  <c:v>39889</c:v>
                </c:pt>
                <c:pt idx="2633">
                  <c:v>39890</c:v>
                </c:pt>
                <c:pt idx="2634">
                  <c:v>39891</c:v>
                </c:pt>
                <c:pt idx="2635">
                  <c:v>39892</c:v>
                </c:pt>
                <c:pt idx="2636">
                  <c:v>39893</c:v>
                </c:pt>
                <c:pt idx="2637">
                  <c:v>39894</c:v>
                </c:pt>
                <c:pt idx="2638">
                  <c:v>39895</c:v>
                </c:pt>
                <c:pt idx="2639">
                  <c:v>39896</c:v>
                </c:pt>
                <c:pt idx="2640">
                  <c:v>39897</c:v>
                </c:pt>
                <c:pt idx="2641">
                  <c:v>39898</c:v>
                </c:pt>
                <c:pt idx="2642">
                  <c:v>39899</c:v>
                </c:pt>
                <c:pt idx="2643">
                  <c:v>39900</c:v>
                </c:pt>
                <c:pt idx="2644">
                  <c:v>39901</c:v>
                </c:pt>
                <c:pt idx="2645">
                  <c:v>39902</c:v>
                </c:pt>
                <c:pt idx="2646">
                  <c:v>39903</c:v>
                </c:pt>
                <c:pt idx="2647">
                  <c:v>39904</c:v>
                </c:pt>
                <c:pt idx="2648">
                  <c:v>39905</c:v>
                </c:pt>
                <c:pt idx="2649">
                  <c:v>39906</c:v>
                </c:pt>
                <c:pt idx="2650">
                  <c:v>39907</c:v>
                </c:pt>
                <c:pt idx="2651">
                  <c:v>39908</c:v>
                </c:pt>
                <c:pt idx="2652">
                  <c:v>39909</c:v>
                </c:pt>
                <c:pt idx="2653">
                  <c:v>39910</c:v>
                </c:pt>
                <c:pt idx="2654">
                  <c:v>39911</c:v>
                </c:pt>
                <c:pt idx="2655">
                  <c:v>39912</c:v>
                </c:pt>
                <c:pt idx="2656">
                  <c:v>39913</c:v>
                </c:pt>
                <c:pt idx="2657">
                  <c:v>39914</c:v>
                </c:pt>
                <c:pt idx="2658">
                  <c:v>39915</c:v>
                </c:pt>
                <c:pt idx="2659">
                  <c:v>39916</c:v>
                </c:pt>
                <c:pt idx="2660">
                  <c:v>39917</c:v>
                </c:pt>
                <c:pt idx="2661">
                  <c:v>39918</c:v>
                </c:pt>
                <c:pt idx="2662">
                  <c:v>39919</c:v>
                </c:pt>
                <c:pt idx="2663">
                  <c:v>39920</c:v>
                </c:pt>
                <c:pt idx="2664">
                  <c:v>39921</c:v>
                </c:pt>
                <c:pt idx="2665">
                  <c:v>39922</c:v>
                </c:pt>
                <c:pt idx="2666">
                  <c:v>39923</c:v>
                </c:pt>
                <c:pt idx="2667">
                  <c:v>39924</c:v>
                </c:pt>
                <c:pt idx="2668">
                  <c:v>39925</c:v>
                </c:pt>
                <c:pt idx="2669">
                  <c:v>39926</c:v>
                </c:pt>
                <c:pt idx="2670">
                  <c:v>39927</c:v>
                </c:pt>
                <c:pt idx="2671">
                  <c:v>39928</c:v>
                </c:pt>
                <c:pt idx="2672">
                  <c:v>39929</c:v>
                </c:pt>
                <c:pt idx="2673">
                  <c:v>39930</c:v>
                </c:pt>
                <c:pt idx="2674">
                  <c:v>39931</c:v>
                </c:pt>
                <c:pt idx="2675">
                  <c:v>39932</c:v>
                </c:pt>
                <c:pt idx="2676">
                  <c:v>39933</c:v>
                </c:pt>
                <c:pt idx="2677">
                  <c:v>39934</c:v>
                </c:pt>
                <c:pt idx="2678">
                  <c:v>39935</c:v>
                </c:pt>
                <c:pt idx="2679">
                  <c:v>39936</c:v>
                </c:pt>
                <c:pt idx="2680">
                  <c:v>39937</c:v>
                </c:pt>
                <c:pt idx="2681">
                  <c:v>39938</c:v>
                </c:pt>
                <c:pt idx="2682">
                  <c:v>39939</c:v>
                </c:pt>
                <c:pt idx="2683">
                  <c:v>39940</c:v>
                </c:pt>
                <c:pt idx="2684">
                  <c:v>39941</c:v>
                </c:pt>
                <c:pt idx="2685">
                  <c:v>39942</c:v>
                </c:pt>
                <c:pt idx="2686">
                  <c:v>39943</c:v>
                </c:pt>
                <c:pt idx="2687">
                  <c:v>39944</c:v>
                </c:pt>
                <c:pt idx="2688">
                  <c:v>39945</c:v>
                </c:pt>
                <c:pt idx="2689">
                  <c:v>39946</c:v>
                </c:pt>
                <c:pt idx="2690">
                  <c:v>39947</c:v>
                </c:pt>
                <c:pt idx="2691">
                  <c:v>39948</c:v>
                </c:pt>
                <c:pt idx="2692">
                  <c:v>39949</c:v>
                </c:pt>
                <c:pt idx="2693">
                  <c:v>39950</c:v>
                </c:pt>
                <c:pt idx="2694">
                  <c:v>39951</c:v>
                </c:pt>
                <c:pt idx="2695">
                  <c:v>39952</c:v>
                </c:pt>
                <c:pt idx="2696">
                  <c:v>39953</c:v>
                </c:pt>
                <c:pt idx="2697">
                  <c:v>39954</c:v>
                </c:pt>
                <c:pt idx="2698">
                  <c:v>39955</c:v>
                </c:pt>
                <c:pt idx="2699">
                  <c:v>39956</c:v>
                </c:pt>
                <c:pt idx="2700">
                  <c:v>39957</c:v>
                </c:pt>
                <c:pt idx="2701">
                  <c:v>39958</c:v>
                </c:pt>
                <c:pt idx="2702">
                  <c:v>39959</c:v>
                </c:pt>
                <c:pt idx="2703">
                  <c:v>39960</c:v>
                </c:pt>
                <c:pt idx="2704">
                  <c:v>39961</c:v>
                </c:pt>
                <c:pt idx="2705">
                  <c:v>39962</c:v>
                </c:pt>
                <c:pt idx="2706">
                  <c:v>39963</c:v>
                </c:pt>
                <c:pt idx="2707">
                  <c:v>39964</c:v>
                </c:pt>
                <c:pt idx="2708">
                  <c:v>39965</c:v>
                </c:pt>
                <c:pt idx="2709">
                  <c:v>39966</c:v>
                </c:pt>
                <c:pt idx="2710">
                  <c:v>39967</c:v>
                </c:pt>
                <c:pt idx="2711">
                  <c:v>39968</c:v>
                </c:pt>
                <c:pt idx="2712">
                  <c:v>39969</c:v>
                </c:pt>
                <c:pt idx="2713">
                  <c:v>39970</c:v>
                </c:pt>
                <c:pt idx="2714">
                  <c:v>39971</c:v>
                </c:pt>
                <c:pt idx="2715">
                  <c:v>39972</c:v>
                </c:pt>
                <c:pt idx="2716">
                  <c:v>39973</c:v>
                </c:pt>
                <c:pt idx="2717">
                  <c:v>39974</c:v>
                </c:pt>
                <c:pt idx="2718">
                  <c:v>39975</c:v>
                </c:pt>
                <c:pt idx="2719">
                  <c:v>39976</c:v>
                </c:pt>
                <c:pt idx="2720">
                  <c:v>39977</c:v>
                </c:pt>
                <c:pt idx="2721">
                  <c:v>39978</c:v>
                </c:pt>
                <c:pt idx="2722">
                  <c:v>39979</c:v>
                </c:pt>
                <c:pt idx="2723">
                  <c:v>39980</c:v>
                </c:pt>
                <c:pt idx="2724">
                  <c:v>39981</c:v>
                </c:pt>
                <c:pt idx="2725">
                  <c:v>39982</c:v>
                </c:pt>
                <c:pt idx="2726">
                  <c:v>39983</c:v>
                </c:pt>
                <c:pt idx="2727">
                  <c:v>39984</c:v>
                </c:pt>
                <c:pt idx="2728">
                  <c:v>39985</c:v>
                </c:pt>
                <c:pt idx="2729">
                  <c:v>39986</c:v>
                </c:pt>
                <c:pt idx="2730">
                  <c:v>39987</c:v>
                </c:pt>
                <c:pt idx="2731">
                  <c:v>39988</c:v>
                </c:pt>
                <c:pt idx="2732">
                  <c:v>39989</c:v>
                </c:pt>
                <c:pt idx="2733">
                  <c:v>39990</c:v>
                </c:pt>
                <c:pt idx="2734">
                  <c:v>39991</c:v>
                </c:pt>
                <c:pt idx="2735">
                  <c:v>39992</c:v>
                </c:pt>
                <c:pt idx="2736">
                  <c:v>39993</c:v>
                </c:pt>
                <c:pt idx="2737">
                  <c:v>39994</c:v>
                </c:pt>
                <c:pt idx="2738">
                  <c:v>39995</c:v>
                </c:pt>
                <c:pt idx="2739">
                  <c:v>39996</c:v>
                </c:pt>
                <c:pt idx="2740">
                  <c:v>39997</c:v>
                </c:pt>
                <c:pt idx="2741">
                  <c:v>39998</c:v>
                </c:pt>
                <c:pt idx="2742">
                  <c:v>39999</c:v>
                </c:pt>
                <c:pt idx="2743">
                  <c:v>40000</c:v>
                </c:pt>
                <c:pt idx="2744">
                  <c:v>40001</c:v>
                </c:pt>
                <c:pt idx="2745">
                  <c:v>40002</c:v>
                </c:pt>
                <c:pt idx="2746">
                  <c:v>40003</c:v>
                </c:pt>
                <c:pt idx="2747">
                  <c:v>40004</c:v>
                </c:pt>
                <c:pt idx="2748">
                  <c:v>40005</c:v>
                </c:pt>
                <c:pt idx="2749">
                  <c:v>40006</c:v>
                </c:pt>
                <c:pt idx="2750">
                  <c:v>40007</c:v>
                </c:pt>
                <c:pt idx="2751">
                  <c:v>40008</c:v>
                </c:pt>
                <c:pt idx="2752">
                  <c:v>40009</c:v>
                </c:pt>
                <c:pt idx="2753">
                  <c:v>40010</c:v>
                </c:pt>
                <c:pt idx="2754">
                  <c:v>40011</c:v>
                </c:pt>
                <c:pt idx="2755">
                  <c:v>40012</c:v>
                </c:pt>
                <c:pt idx="2756">
                  <c:v>40013</c:v>
                </c:pt>
                <c:pt idx="2757">
                  <c:v>40014</c:v>
                </c:pt>
                <c:pt idx="2758">
                  <c:v>40015</c:v>
                </c:pt>
                <c:pt idx="2759">
                  <c:v>40016</c:v>
                </c:pt>
                <c:pt idx="2760">
                  <c:v>40017</c:v>
                </c:pt>
                <c:pt idx="2761">
                  <c:v>40018</c:v>
                </c:pt>
                <c:pt idx="2762">
                  <c:v>40019</c:v>
                </c:pt>
                <c:pt idx="2763">
                  <c:v>40020</c:v>
                </c:pt>
                <c:pt idx="2764">
                  <c:v>40021</c:v>
                </c:pt>
                <c:pt idx="2765">
                  <c:v>40022</c:v>
                </c:pt>
                <c:pt idx="2766">
                  <c:v>40023</c:v>
                </c:pt>
                <c:pt idx="2767">
                  <c:v>40024</c:v>
                </c:pt>
                <c:pt idx="2768">
                  <c:v>40025</c:v>
                </c:pt>
                <c:pt idx="2769">
                  <c:v>40026</c:v>
                </c:pt>
                <c:pt idx="2770">
                  <c:v>40027</c:v>
                </c:pt>
                <c:pt idx="2771">
                  <c:v>40028</c:v>
                </c:pt>
                <c:pt idx="2772">
                  <c:v>40029</c:v>
                </c:pt>
                <c:pt idx="2773">
                  <c:v>40030</c:v>
                </c:pt>
                <c:pt idx="2774">
                  <c:v>40031</c:v>
                </c:pt>
                <c:pt idx="2775">
                  <c:v>40032</c:v>
                </c:pt>
                <c:pt idx="2776">
                  <c:v>40033</c:v>
                </c:pt>
                <c:pt idx="2777">
                  <c:v>40034</c:v>
                </c:pt>
                <c:pt idx="2778">
                  <c:v>40035</c:v>
                </c:pt>
                <c:pt idx="2779">
                  <c:v>40036</c:v>
                </c:pt>
                <c:pt idx="2780">
                  <c:v>40037</c:v>
                </c:pt>
                <c:pt idx="2781">
                  <c:v>40038</c:v>
                </c:pt>
                <c:pt idx="2782">
                  <c:v>40039</c:v>
                </c:pt>
                <c:pt idx="2783">
                  <c:v>40040</c:v>
                </c:pt>
                <c:pt idx="2784">
                  <c:v>40041</c:v>
                </c:pt>
                <c:pt idx="2785">
                  <c:v>40042</c:v>
                </c:pt>
                <c:pt idx="2786">
                  <c:v>40043</c:v>
                </c:pt>
                <c:pt idx="2787">
                  <c:v>40044</c:v>
                </c:pt>
                <c:pt idx="2788">
                  <c:v>40045</c:v>
                </c:pt>
                <c:pt idx="2789">
                  <c:v>40046</c:v>
                </c:pt>
                <c:pt idx="2790">
                  <c:v>40047</c:v>
                </c:pt>
                <c:pt idx="2791">
                  <c:v>40048</c:v>
                </c:pt>
                <c:pt idx="2792">
                  <c:v>40049</c:v>
                </c:pt>
                <c:pt idx="2793">
                  <c:v>40050</c:v>
                </c:pt>
                <c:pt idx="2794">
                  <c:v>40051</c:v>
                </c:pt>
                <c:pt idx="2795">
                  <c:v>40052</c:v>
                </c:pt>
                <c:pt idx="2796">
                  <c:v>40053</c:v>
                </c:pt>
                <c:pt idx="2797">
                  <c:v>40054</c:v>
                </c:pt>
                <c:pt idx="2798">
                  <c:v>40055</c:v>
                </c:pt>
                <c:pt idx="2799">
                  <c:v>40056</c:v>
                </c:pt>
                <c:pt idx="2800">
                  <c:v>40057</c:v>
                </c:pt>
                <c:pt idx="2801">
                  <c:v>40058</c:v>
                </c:pt>
                <c:pt idx="2802">
                  <c:v>40059</c:v>
                </c:pt>
                <c:pt idx="2803">
                  <c:v>40060</c:v>
                </c:pt>
                <c:pt idx="2804">
                  <c:v>40061</c:v>
                </c:pt>
                <c:pt idx="2805">
                  <c:v>40062</c:v>
                </c:pt>
                <c:pt idx="2806">
                  <c:v>40063</c:v>
                </c:pt>
                <c:pt idx="2807">
                  <c:v>40064</c:v>
                </c:pt>
                <c:pt idx="2808">
                  <c:v>40065</c:v>
                </c:pt>
                <c:pt idx="2809">
                  <c:v>40066</c:v>
                </c:pt>
                <c:pt idx="2810">
                  <c:v>40067</c:v>
                </c:pt>
                <c:pt idx="2811">
                  <c:v>40068</c:v>
                </c:pt>
                <c:pt idx="2812">
                  <c:v>40069</c:v>
                </c:pt>
                <c:pt idx="2813">
                  <c:v>40070</c:v>
                </c:pt>
                <c:pt idx="2814">
                  <c:v>40071</c:v>
                </c:pt>
                <c:pt idx="2815">
                  <c:v>40072</c:v>
                </c:pt>
                <c:pt idx="2816">
                  <c:v>40073</c:v>
                </c:pt>
                <c:pt idx="2817">
                  <c:v>40074</c:v>
                </c:pt>
                <c:pt idx="2818">
                  <c:v>40075</c:v>
                </c:pt>
                <c:pt idx="2819">
                  <c:v>40076</c:v>
                </c:pt>
                <c:pt idx="2820">
                  <c:v>40077</c:v>
                </c:pt>
                <c:pt idx="2821">
                  <c:v>40078</c:v>
                </c:pt>
                <c:pt idx="2822">
                  <c:v>40079</c:v>
                </c:pt>
                <c:pt idx="2823">
                  <c:v>40080</c:v>
                </c:pt>
                <c:pt idx="2824">
                  <c:v>40081</c:v>
                </c:pt>
                <c:pt idx="2825">
                  <c:v>40082</c:v>
                </c:pt>
                <c:pt idx="2826">
                  <c:v>40083</c:v>
                </c:pt>
                <c:pt idx="2827">
                  <c:v>40084</c:v>
                </c:pt>
                <c:pt idx="2828">
                  <c:v>40085</c:v>
                </c:pt>
                <c:pt idx="2829">
                  <c:v>40086</c:v>
                </c:pt>
                <c:pt idx="2830">
                  <c:v>40087</c:v>
                </c:pt>
                <c:pt idx="2831">
                  <c:v>40088</c:v>
                </c:pt>
                <c:pt idx="2832">
                  <c:v>40089</c:v>
                </c:pt>
                <c:pt idx="2833">
                  <c:v>40090</c:v>
                </c:pt>
                <c:pt idx="2834">
                  <c:v>40091</c:v>
                </c:pt>
                <c:pt idx="2835">
                  <c:v>40092</c:v>
                </c:pt>
                <c:pt idx="2836">
                  <c:v>40093</c:v>
                </c:pt>
                <c:pt idx="2837">
                  <c:v>40094</c:v>
                </c:pt>
                <c:pt idx="2838">
                  <c:v>40095</c:v>
                </c:pt>
                <c:pt idx="2839">
                  <c:v>40096</c:v>
                </c:pt>
                <c:pt idx="2840">
                  <c:v>40097</c:v>
                </c:pt>
                <c:pt idx="2841">
                  <c:v>40098</c:v>
                </c:pt>
                <c:pt idx="2842">
                  <c:v>40099</c:v>
                </c:pt>
                <c:pt idx="2843">
                  <c:v>40100</c:v>
                </c:pt>
                <c:pt idx="2844">
                  <c:v>40101</c:v>
                </c:pt>
                <c:pt idx="2845">
                  <c:v>40102</c:v>
                </c:pt>
                <c:pt idx="2846">
                  <c:v>40103</c:v>
                </c:pt>
                <c:pt idx="2847">
                  <c:v>40104</c:v>
                </c:pt>
                <c:pt idx="2848">
                  <c:v>40105</c:v>
                </c:pt>
                <c:pt idx="2849">
                  <c:v>40106</c:v>
                </c:pt>
                <c:pt idx="2850">
                  <c:v>40107</c:v>
                </c:pt>
                <c:pt idx="2851">
                  <c:v>40108</c:v>
                </c:pt>
                <c:pt idx="2852">
                  <c:v>40109</c:v>
                </c:pt>
                <c:pt idx="2853">
                  <c:v>40110</c:v>
                </c:pt>
                <c:pt idx="2854">
                  <c:v>40111</c:v>
                </c:pt>
                <c:pt idx="2855">
                  <c:v>40112</c:v>
                </c:pt>
                <c:pt idx="2856">
                  <c:v>40113</c:v>
                </c:pt>
                <c:pt idx="2857">
                  <c:v>40114</c:v>
                </c:pt>
                <c:pt idx="2858">
                  <c:v>40115</c:v>
                </c:pt>
                <c:pt idx="2859">
                  <c:v>40116</c:v>
                </c:pt>
                <c:pt idx="2860">
                  <c:v>40117</c:v>
                </c:pt>
                <c:pt idx="2861">
                  <c:v>40118</c:v>
                </c:pt>
                <c:pt idx="2862">
                  <c:v>40119</c:v>
                </c:pt>
                <c:pt idx="2863">
                  <c:v>40120</c:v>
                </c:pt>
                <c:pt idx="2864">
                  <c:v>40121</c:v>
                </c:pt>
                <c:pt idx="2865">
                  <c:v>40122</c:v>
                </c:pt>
                <c:pt idx="2866">
                  <c:v>40123</c:v>
                </c:pt>
                <c:pt idx="2867">
                  <c:v>40124</c:v>
                </c:pt>
                <c:pt idx="2868">
                  <c:v>40125</c:v>
                </c:pt>
                <c:pt idx="2869">
                  <c:v>40126</c:v>
                </c:pt>
                <c:pt idx="2870">
                  <c:v>40127</c:v>
                </c:pt>
                <c:pt idx="2871">
                  <c:v>40128</c:v>
                </c:pt>
                <c:pt idx="2872">
                  <c:v>40129</c:v>
                </c:pt>
                <c:pt idx="2873">
                  <c:v>40130</c:v>
                </c:pt>
                <c:pt idx="2874">
                  <c:v>40131</c:v>
                </c:pt>
                <c:pt idx="2875">
                  <c:v>40132</c:v>
                </c:pt>
                <c:pt idx="2876">
                  <c:v>40133</c:v>
                </c:pt>
                <c:pt idx="2877">
                  <c:v>40134</c:v>
                </c:pt>
                <c:pt idx="2878">
                  <c:v>40135</c:v>
                </c:pt>
                <c:pt idx="2879">
                  <c:v>40136</c:v>
                </c:pt>
                <c:pt idx="2880">
                  <c:v>40137</c:v>
                </c:pt>
                <c:pt idx="2881">
                  <c:v>40138</c:v>
                </c:pt>
                <c:pt idx="2882">
                  <c:v>40139</c:v>
                </c:pt>
                <c:pt idx="2883">
                  <c:v>40140</c:v>
                </c:pt>
                <c:pt idx="2884">
                  <c:v>40141</c:v>
                </c:pt>
                <c:pt idx="2885">
                  <c:v>40142</c:v>
                </c:pt>
                <c:pt idx="2886">
                  <c:v>40143</c:v>
                </c:pt>
                <c:pt idx="2887">
                  <c:v>40144</c:v>
                </c:pt>
                <c:pt idx="2888">
                  <c:v>40145</c:v>
                </c:pt>
                <c:pt idx="2889">
                  <c:v>40146</c:v>
                </c:pt>
                <c:pt idx="2890">
                  <c:v>40147</c:v>
                </c:pt>
                <c:pt idx="2891">
                  <c:v>40148</c:v>
                </c:pt>
                <c:pt idx="2892">
                  <c:v>40149</c:v>
                </c:pt>
                <c:pt idx="2893">
                  <c:v>40150</c:v>
                </c:pt>
                <c:pt idx="2894">
                  <c:v>40151</c:v>
                </c:pt>
                <c:pt idx="2895">
                  <c:v>40152</c:v>
                </c:pt>
                <c:pt idx="2896">
                  <c:v>40153</c:v>
                </c:pt>
                <c:pt idx="2897">
                  <c:v>40154</c:v>
                </c:pt>
                <c:pt idx="2898">
                  <c:v>40155</c:v>
                </c:pt>
                <c:pt idx="2899">
                  <c:v>40156</c:v>
                </c:pt>
                <c:pt idx="2900">
                  <c:v>40157</c:v>
                </c:pt>
                <c:pt idx="2901">
                  <c:v>40158</c:v>
                </c:pt>
                <c:pt idx="2902">
                  <c:v>40159</c:v>
                </c:pt>
                <c:pt idx="2903">
                  <c:v>40160</c:v>
                </c:pt>
                <c:pt idx="2904">
                  <c:v>40161</c:v>
                </c:pt>
                <c:pt idx="2905">
                  <c:v>40162</c:v>
                </c:pt>
                <c:pt idx="2906">
                  <c:v>40163</c:v>
                </c:pt>
                <c:pt idx="2907">
                  <c:v>40164</c:v>
                </c:pt>
                <c:pt idx="2908">
                  <c:v>40165</c:v>
                </c:pt>
                <c:pt idx="2909">
                  <c:v>40166</c:v>
                </c:pt>
                <c:pt idx="2910">
                  <c:v>40167</c:v>
                </c:pt>
                <c:pt idx="2911">
                  <c:v>40168</c:v>
                </c:pt>
                <c:pt idx="2912">
                  <c:v>40169</c:v>
                </c:pt>
                <c:pt idx="2913">
                  <c:v>40170</c:v>
                </c:pt>
                <c:pt idx="2914">
                  <c:v>40171</c:v>
                </c:pt>
                <c:pt idx="2915">
                  <c:v>40172</c:v>
                </c:pt>
                <c:pt idx="2916">
                  <c:v>40173</c:v>
                </c:pt>
                <c:pt idx="2917">
                  <c:v>40174</c:v>
                </c:pt>
                <c:pt idx="2918">
                  <c:v>40175</c:v>
                </c:pt>
                <c:pt idx="2919">
                  <c:v>40176</c:v>
                </c:pt>
                <c:pt idx="2920">
                  <c:v>40177</c:v>
                </c:pt>
                <c:pt idx="2921">
                  <c:v>40178</c:v>
                </c:pt>
                <c:pt idx="2922">
                  <c:v>40179</c:v>
                </c:pt>
                <c:pt idx="2923">
                  <c:v>40180</c:v>
                </c:pt>
                <c:pt idx="2924">
                  <c:v>40181</c:v>
                </c:pt>
                <c:pt idx="2925">
                  <c:v>40182</c:v>
                </c:pt>
                <c:pt idx="2926">
                  <c:v>40183</c:v>
                </c:pt>
                <c:pt idx="2927">
                  <c:v>40184</c:v>
                </c:pt>
                <c:pt idx="2928">
                  <c:v>40185</c:v>
                </c:pt>
                <c:pt idx="2929">
                  <c:v>40186</c:v>
                </c:pt>
                <c:pt idx="2930">
                  <c:v>40187</c:v>
                </c:pt>
                <c:pt idx="2931">
                  <c:v>40188</c:v>
                </c:pt>
                <c:pt idx="2932">
                  <c:v>40189</c:v>
                </c:pt>
                <c:pt idx="2933">
                  <c:v>40190</c:v>
                </c:pt>
                <c:pt idx="2934">
                  <c:v>40191</c:v>
                </c:pt>
                <c:pt idx="2935">
                  <c:v>40192</c:v>
                </c:pt>
                <c:pt idx="2936">
                  <c:v>40193</c:v>
                </c:pt>
                <c:pt idx="2937">
                  <c:v>40194</c:v>
                </c:pt>
                <c:pt idx="2938">
                  <c:v>40195</c:v>
                </c:pt>
                <c:pt idx="2939">
                  <c:v>40196</c:v>
                </c:pt>
                <c:pt idx="2940">
                  <c:v>40197</c:v>
                </c:pt>
                <c:pt idx="2941">
                  <c:v>40198</c:v>
                </c:pt>
                <c:pt idx="2942">
                  <c:v>40199</c:v>
                </c:pt>
                <c:pt idx="2943">
                  <c:v>40200</c:v>
                </c:pt>
                <c:pt idx="2944">
                  <c:v>40201</c:v>
                </c:pt>
                <c:pt idx="2945">
                  <c:v>40202</c:v>
                </c:pt>
                <c:pt idx="2946">
                  <c:v>40203</c:v>
                </c:pt>
                <c:pt idx="2947">
                  <c:v>40204</c:v>
                </c:pt>
                <c:pt idx="2948">
                  <c:v>40205</c:v>
                </c:pt>
                <c:pt idx="2949">
                  <c:v>40206</c:v>
                </c:pt>
                <c:pt idx="2950">
                  <c:v>40207</c:v>
                </c:pt>
                <c:pt idx="2951">
                  <c:v>40208</c:v>
                </c:pt>
                <c:pt idx="2952">
                  <c:v>40209</c:v>
                </c:pt>
                <c:pt idx="2953">
                  <c:v>40210</c:v>
                </c:pt>
                <c:pt idx="2954">
                  <c:v>40211</c:v>
                </c:pt>
                <c:pt idx="2955">
                  <c:v>40212</c:v>
                </c:pt>
                <c:pt idx="2956">
                  <c:v>40213</c:v>
                </c:pt>
                <c:pt idx="2957">
                  <c:v>40214</c:v>
                </c:pt>
                <c:pt idx="2958">
                  <c:v>40215</c:v>
                </c:pt>
                <c:pt idx="2959">
                  <c:v>40216</c:v>
                </c:pt>
                <c:pt idx="2960">
                  <c:v>40217</c:v>
                </c:pt>
                <c:pt idx="2961">
                  <c:v>40218</c:v>
                </c:pt>
                <c:pt idx="2962">
                  <c:v>40219</c:v>
                </c:pt>
                <c:pt idx="2963">
                  <c:v>40220</c:v>
                </c:pt>
                <c:pt idx="2964">
                  <c:v>40221</c:v>
                </c:pt>
                <c:pt idx="2965">
                  <c:v>40222</c:v>
                </c:pt>
                <c:pt idx="2966">
                  <c:v>40223</c:v>
                </c:pt>
                <c:pt idx="2967">
                  <c:v>40224</c:v>
                </c:pt>
                <c:pt idx="2968">
                  <c:v>40225</c:v>
                </c:pt>
                <c:pt idx="2969">
                  <c:v>40226</c:v>
                </c:pt>
                <c:pt idx="2970">
                  <c:v>40227</c:v>
                </c:pt>
                <c:pt idx="2971">
                  <c:v>40228</c:v>
                </c:pt>
                <c:pt idx="2972">
                  <c:v>40229</c:v>
                </c:pt>
                <c:pt idx="2973">
                  <c:v>40230</c:v>
                </c:pt>
                <c:pt idx="2974">
                  <c:v>40231</c:v>
                </c:pt>
                <c:pt idx="2975">
                  <c:v>40232</c:v>
                </c:pt>
                <c:pt idx="2976">
                  <c:v>40233</c:v>
                </c:pt>
                <c:pt idx="2977">
                  <c:v>40234</c:v>
                </c:pt>
                <c:pt idx="2978">
                  <c:v>40235</c:v>
                </c:pt>
                <c:pt idx="2979">
                  <c:v>40236</c:v>
                </c:pt>
                <c:pt idx="2980">
                  <c:v>40237</c:v>
                </c:pt>
                <c:pt idx="2981">
                  <c:v>40238</c:v>
                </c:pt>
                <c:pt idx="2982">
                  <c:v>40239</c:v>
                </c:pt>
                <c:pt idx="2983">
                  <c:v>40240</c:v>
                </c:pt>
                <c:pt idx="2984">
                  <c:v>40241</c:v>
                </c:pt>
                <c:pt idx="2985">
                  <c:v>40242</c:v>
                </c:pt>
                <c:pt idx="2986">
                  <c:v>40243</c:v>
                </c:pt>
                <c:pt idx="2987">
                  <c:v>40244</c:v>
                </c:pt>
                <c:pt idx="2988">
                  <c:v>40245</c:v>
                </c:pt>
                <c:pt idx="2989">
                  <c:v>40246</c:v>
                </c:pt>
                <c:pt idx="2990">
                  <c:v>40247</c:v>
                </c:pt>
                <c:pt idx="2991">
                  <c:v>40248</c:v>
                </c:pt>
                <c:pt idx="2992">
                  <c:v>40249</c:v>
                </c:pt>
                <c:pt idx="2993">
                  <c:v>40250</c:v>
                </c:pt>
                <c:pt idx="2994">
                  <c:v>40251</c:v>
                </c:pt>
                <c:pt idx="2995">
                  <c:v>40252</c:v>
                </c:pt>
                <c:pt idx="2996">
                  <c:v>40253</c:v>
                </c:pt>
                <c:pt idx="2997">
                  <c:v>40254</c:v>
                </c:pt>
                <c:pt idx="2998">
                  <c:v>40255</c:v>
                </c:pt>
                <c:pt idx="2999">
                  <c:v>40256</c:v>
                </c:pt>
                <c:pt idx="3000">
                  <c:v>40257</c:v>
                </c:pt>
                <c:pt idx="3001">
                  <c:v>40258</c:v>
                </c:pt>
                <c:pt idx="3002">
                  <c:v>40259</c:v>
                </c:pt>
                <c:pt idx="3003">
                  <c:v>40260</c:v>
                </c:pt>
                <c:pt idx="3004">
                  <c:v>40261</c:v>
                </c:pt>
                <c:pt idx="3005">
                  <c:v>40262</c:v>
                </c:pt>
                <c:pt idx="3006">
                  <c:v>40263</c:v>
                </c:pt>
                <c:pt idx="3007">
                  <c:v>40264</c:v>
                </c:pt>
                <c:pt idx="3008">
                  <c:v>40265</c:v>
                </c:pt>
                <c:pt idx="3009">
                  <c:v>40266</c:v>
                </c:pt>
                <c:pt idx="3010">
                  <c:v>40267</c:v>
                </c:pt>
                <c:pt idx="3011">
                  <c:v>40268</c:v>
                </c:pt>
                <c:pt idx="3012">
                  <c:v>40269</c:v>
                </c:pt>
                <c:pt idx="3013">
                  <c:v>40270</c:v>
                </c:pt>
                <c:pt idx="3014">
                  <c:v>40271</c:v>
                </c:pt>
                <c:pt idx="3015">
                  <c:v>40272</c:v>
                </c:pt>
                <c:pt idx="3016">
                  <c:v>40273</c:v>
                </c:pt>
                <c:pt idx="3017">
                  <c:v>40274</c:v>
                </c:pt>
                <c:pt idx="3018">
                  <c:v>40275</c:v>
                </c:pt>
                <c:pt idx="3019">
                  <c:v>40276</c:v>
                </c:pt>
                <c:pt idx="3020">
                  <c:v>40277</c:v>
                </c:pt>
                <c:pt idx="3021">
                  <c:v>40278</c:v>
                </c:pt>
                <c:pt idx="3022">
                  <c:v>40279</c:v>
                </c:pt>
                <c:pt idx="3023">
                  <c:v>40280</c:v>
                </c:pt>
                <c:pt idx="3024">
                  <c:v>40281</c:v>
                </c:pt>
                <c:pt idx="3025">
                  <c:v>40282</c:v>
                </c:pt>
                <c:pt idx="3026">
                  <c:v>40283</c:v>
                </c:pt>
                <c:pt idx="3027">
                  <c:v>40284</c:v>
                </c:pt>
                <c:pt idx="3028">
                  <c:v>40285</c:v>
                </c:pt>
                <c:pt idx="3029">
                  <c:v>40286</c:v>
                </c:pt>
                <c:pt idx="3030">
                  <c:v>40287</c:v>
                </c:pt>
                <c:pt idx="3031">
                  <c:v>40288</c:v>
                </c:pt>
                <c:pt idx="3032">
                  <c:v>40289</c:v>
                </c:pt>
                <c:pt idx="3033">
                  <c:v>40290</c:v>
                </c:pt>
                <c:pt idx="3034">
                  <c:v>40291</c:v>
                </c:pt>
                <c:pt idx="3035">
                  <c:v>40292</c:v>
                </c:pt>
                <c:pt idx="3036">
                  <c:v>40293</c:v>
                </c:pt>
                <c:pt idx="3037">
                  <c:v>40294</c:v>
                </c:pt>
                <c:pt idx="3038">
                  <c:v>40295</c:v>
                </c:pt>
                <c:pt idx="3039">
                  <c:v>40296</c:v>
                </c:pt>
                <c:pt idx="3040">
                  <c:v>40297</c:v>
                </c:pt>
                <c:pt idx="3041">
                  <c:v>40298</c:v>
                </c:pt>
                <c:pt idx="3042">
                  <c:v>40299</c:v>
                </c:pt>
                <c:pt idx="3043">
                  <c:v>40300</c:v>
                </c:pt>
                <c:pt idx="3044">
                  <c:v>40301</c:v>
                </c:pt>
                <c:pt idx="3045">
                  <c:v>40302</c:v>
                </c:pt>
                <c:pt idx="3046">
                  <c:v>40303</c:v>
                </c:pt>
                <c:pt idx="3047">
                  <c:v>40304</c:v>
                </c:pt>
                <c:pt idx="3048">
                  <c:v>40305</c:v>
                </c:pt>
                <c:pt idx="3049">
                  <c:v>40306</c:v>
                </c:pt>
                <c:pt idx="3050">
                  <c:v>40307</c:v>
                </c:pt>
                <c:pt idx="3051">
                  <c:v>40308</c:v>
                </c:pt>
                <c:pt idx="3052">
                  <c:v>40309</c:v>
                </c:pt>
                <c:pt idx="3053">
                  <c:v>40310</c:v>
                </c:pt>
                <c:pt idx="3054">
                  <c:v>40311</c:v>
                </c:pt>
                <c:pt idx="3055">
                  <c:v>40312</c:v>
                </c:pt>
                <c:pt idx="3056">
                  <c:v>40313</c:v>
                </c:pt>
                <c:pt idx="3057">
                  <c:v>40314</c:v>
                </c:pt>
                <c:pt idx="3058">
                  <c:v>40315</c:v>
                </c:pt>
                <c:pt idx="3059">
                  <c:v>40316</c:v>
                </c:pt>
                <c:pt idx="3060">
                  <c:v>40317</c:v>
                </c:pt>
                <c:pt idx="3061">
                  <c:v>40318</c:v>
                </c:pt>
                <c:pt idx="3062">
                  <c:v>40319</c:v>
                </c:pt>
                <c:pt idx="3063">
                  <c:v>40320</c:v>
                </c:pt>
                <c:pt idx="3064">
                  <c:v>40321</c:v>
                </c:pt>
                <c:pt idx="3065">
                  <c:v>40322</c:v>
                </c:pt>
                <c:pt idx="3066">
                  <c:v>40323</c:v>
                </c:pt>
                <c:pt idx="3067">
                  <c:v>40324</c:v>
                </c:pt>
                <c:pt idx="3068">
                  <c:v>40325</c:v>
                </c:pt>
                <c:pt idx="3069">
                  <c:v>40326</c:v>
                </c:pt>
                <c:pt idx="3070">
                  <c:v>40327</c:v>
                </c:pt>
                <c:pt idx="3071">
                  <c:v>40328</c:v>
                </c:pt>
                <c:pt idx="3072">
                  <c:v>40329</c:v>
                </c:pt>
                <c:pt idx="3073">
                  <c:v>40330</c:v>
                </c:pt>
                <c:pt idx="3074">
                  <c:v>40331</c:v>
                </c:pt>
                <c:pt idx="3075">
                  <c:v>40332</c:v>
                </c:pt>
                <c:pt idx="3076">
                  <c:v>40333</c:v>
                </c:pt>
                <c:pt idx="3077">
                  <c:v>40334</c:v>
                </c:pt>
                <c:pt idx="3078">
                  <c:v>40335</c:v>
                </c:pt>
                <c:pt idx="3079">
                  <c:v>40336</c:v>
                </c:pt>
                <c:pt idx="3080">
                  <c:v>40337</c:v>
                </c:pt>
                <c:pt idx="3081">
                  <c:v>40338</c:v>
                </c:pt>
                <c:pt idx="3082">
                  <c:v>40339</c:v>
                </c:pt>
                <c:pt idx="3083">
                  <c:v>40340</c:v>
                </c:pt>
                <c:pt idx="3084">
                  <c:v>40341</c:v>
                </c:pt>
                <c:pt idx="3085">
                  <c:v>40342</c:v>
                </c:pt>
                <c:pt idx="3086">
                  <c:v>40343</c:v>
                </c:pt>
                <c:pt idx="3087">
                  <c:v>40344</c:v>
                </c:pt>
                <c:pt idx="3088">
                  <c:v>40345</c:v>
                </c:pt>
                <c:pt idx="3089">
                  <c:v>40346</c:v>
                </c:pt>
                <c:pt idx="3090">
                  <c:v>40347</c:v>
                </c:pt>
                <c:pt idx="3091">
                  <c:v>40348</c:v>
                </c:pt>
                <c:pt idx="3092">
                  <c:v>40349</c:v>
                </c:pt>
                <c:pt idx="3093">
                  <c:v>40350</c:v>
                </c:pt>
                <c:pt idx="3094">
                  <c:v>40351</c:v>
                </c:pt>
                <c:pt idx="3095">
                  <c:v>40352</c:v>
                </c:pt>
                <c:pt idx="3096">
                  <c:v>40353</c:v>
                </c:pt>
                <c:pt idx="3097">
                  <c:v>40354</c:v>
                </c:pt>
                <c:pt idx="3098">
                  <c:v>40355</c:v>
                </c:pt>
                <c:pt idx="3099">
                  <c:v>40356</c:v>
                </c:pt>
                <c:pt idx="3100">
                  <c:v>40357</c:v>
                </c:pt>
                <c:pt idx="3101">
                  <c:v>40358</c:v>
                </c:pt>
                <c:pt idx="3102">
                  <c:v>40359</c:v>
                </c:pt>
                <c:pt idx="3103">
                  <c:v>40360</c:v>
                </c:pt>
                <c:pt idx="3104">
                  <c:v>40361</c:v>
                </c:pt>
                <c:pt idx="3105">
                  <c:v>40362</c:v>
                </c:pt>
                <c:pt idx="3106">
                  <c:v>40363</c:v>
                </c:pt>
                <c:pt idx="3107">
                  <c:v>40364</c:v>
                </c:pt>
                <c:pt idx="3108">
                  <c:v>40365</c:v>
                </c:pt>
                <c:pt idx="3109">
                  <c:v>40366</c:v>
                </c:pt>
                <c:pt idx="3110">
                  <c:v>40367</c:v>
                </c:pt>
                <c:pt idx="3111">
                  <c:v>40368</c:v>
                </c:pt>
                <c:pt idx="3112">
                  <c:v>40369</c:v>
                </c:pt>
                <c:pt idx="3113">
                  <c:v>40370</c:v>
                </c:pt>
                <c:pt idx="3114">
                  <c:v>40371</c:v>
                </c:pt>
                <c:pt idx="3115">
                  <c:v>40372</c:v>
                </c:pt>
                <c:pt idx="3116">
                  <c:v>40373</c:v>
                </c:pt>
                <c:pt idx="3117">
                  <c:v>40374</c:v>
                </c:pt>
                <c:pt idx="3118">
                  <c:v>40375</c:v>
                </c:pt>
                <c:pt idx="3119">
                  <c:v>40376</c:v>
                </c:pt>
                <c:pt idx="3120">
                  <c:v>40377</c:v>
                </c:pt>
                <c:pt idx="3121">
                  <c:v>40378</c:v>
                </c:pt>
                <c:pt idx="3122">
                  <c:v>40379</c:v>
                </c:pt>
                <c:pt idx="3123">
                  <c:v>40380</c:v>
                </c:pt>
                <c:pt idx="3124">
                  <c:v>40381</c:v>
                </c:pt>
                <c:pt idx="3125">
                  <c:v>40382</c:v>
                </c:pt>
                <c:pt idx="3126">
                  <c:v>40383</c:v>
                </c:pt>
                <c:pt idx="3127">
                  <c:v>40384</c:v>
                </c:pt>
                <c:pt idx="3128">
                  <c:v>40385</c:v>
                </c:pt>
                <c:pt idx="3129">
                  <c:v>40386</c:v>
                </c:pt>
                <c:pt idx="3130">
                  <c:v>40387</c:v>
                </c:pt>
                <c:pt idx="3131">
                  <c:v>40388</c:v>
                </c:pt>
                <c:pt idx="3132">
                  <c:v>40389</c:v>
                </c:pt>
                <c:pt idx="3133">
                  <c:v>40390</c:v>
                </c:pt>
                <c:pt idx="3134">
                  <c:v>40391</c:v>
                </c:pt>
                <c:pt idx="3135">
                  <c:v>40392</c:v>
                </c:pt>
                <c:pt idx="3136">
                  <c:v>40393</c:v>
                </c:pt>
                <c:pt idx="3137">
                  <c:v>40394</c:v>
                </c:pt>
                <c:pt idx="3138">
                  <c:v>40395</c:v>
                </c:pt>
                <c:pt idx="3139">
                  <c:v>40396</c:v>
                </c:pt>
                <c:pt idx="3140">
                  <c:v>40397</c:v>
                </c:pt>
                <c:pt idx="3141">
                  <c:v>40398</c:v>
                </c:pt>
                <c:pt idx="3142">
                  <c:v>40399</c:v>
                </c:pt>
                <c:pt idx="3143">
                  <c:v>40400</c:v>
                </c:pt>
                <c:pt idx="3144">
                  <c:v>40401</c:v>
                </c:pt>
                <c:pt idx="3145">
                  <c:v>40402</c:v>
                </c:pt>
                <c:pt idx="3146">
                  <c:v>40403</c:v>
                </c:pt>
                <c:pt idx="3147">
                  <c:v>40404</c:v>
                </c:pt>
                <c:pt idx="3148">
                  <c:v>40405</c:v>
                </c:pt>
                <c:pt idx="3149">
                  <c:v>40406</c:v>
                </c:pt>
                <c:pt idx="3150">
                  <c:v>40407</c:v>
                </c:pt>
                <c:pt idx="3151">
                  <c:v>40408</c:v>
                </c:pt>
                <c:pt idx="3152">
                  <c:v>40409</c:v>
                </c:pt>
                <c:pt idx="3153">
                  <c:v>40410</c:v>
                </c:pt>
                <c:pt idx="3154">
                  <c:v>40411</c:v>
                </c:pt>
                <c:pt idx="3155">
                  <c:v>40412</c:v>
                </c:pt>
                <c:pt idx="3156">
                  <c:v>40413</c:v>
                </c:pt>
                <c:pt idx="3157">
                  <c:v>40414</c:v>
                </c:pt>
                <c:pt idx="3158">
                  <c:v>40415</c:v>
                </c:pt>
                <c:pt idx="3159">
                  <c:v>40416</c:v>
                </c:pt>
                <c:pt idx="3160">
                  <c:v>40417</c:v>
                </c:pt>
                <c:pt idx="3161">
                  <c:v>40418</c:v>
                </c:pt>
                <c:pt idx="3162">
                  <c:v>40419</c:v>
                </c:pt>
                <c:pt idx="3163">
                  <c:v>40420</c:v>
                </c:pt>
                <c:pt idx="3164">
                  <c:v>40421</c:v>
                </c:pt>
                <c:pt idx="3165">
                  <c:v>40422</c:v>
                </c:pt>
                <c:pt idx="3166">
                  <c:v>40423</c:v>
                </c:pt>
                <c:pt idx="3167">
                  <c:v>40424</c:v>
                </c:pt>
                <c:pt idx="3168">
                  <c:v>40425</c:v>
                </c:pt>
                <c:pt idx="3169">
                  <c:v>40426</c:v>
                </c:pt>
                <c:pt idx="3170">
                  <c:v>40427</c:v>
                </c:pt>
                <c:pt idx="3171">
                  <c:v>40428</c:v>
                </c:pt>
                <c:pt idx="3172">
                  <c:v>40429</c:v>
                </c:pt>
                <c:pt idx="3173">
                  <c:v>40430</c:v>
                </c:pt>
                <c:pt idx="3174">
                  <c:v>40431</c:v>
                </c:pt>
                <c:pt idx="3175">
                  <c:v>40432</c:v>
                </c:pt>
                <c:pt idx="3176">
                  <c:v>40433</c:v>
                </c:pt>
                <c:pt idx="3177">
                  <c:v>40434</c:v>
                </c:pt>
                <c:pt idx="3178">
                  <c:v>40435</c:v>
                </c:pt>
                <c:pt idx="3179">
                  <c:v>40436</c:v>
                </c:pt>
                <c:pt idx="3180">
                  <c:v>40437</c:v>
                </c:pt>
                <c:pt idx="3181">
                  <c:v>40438</c:v>
                </c:pt>
                <c:pt idx="3182">
                  <c:v>40439</c:v>
                </c:pt>
                <c:pt idx="3183">
                  <c:v>40440</c:v>
                </c:pt>
                <c:pt idx="3184">
                  <c:v>40441</c:v>
                </c:pt>
                <c:pt idx="3185">
                  <c:v>40442</c:v>
                </c:pt>
                <c:pt idx="3186">
                  <c:v>40443</c:v>
                </c:pt>
                <c:pt idx="3187">
                  <c:v>40444</c:v>
                </c:pt>
                <c:pt idx="3188">
                  <c:v>40445</c:v>
                </c:pt>
                <c:pt idx="3189">
                  <c:v>40446</c:v>
                </c:pt>
                <c:pt idx="3190">
                  <c:v>40447</c:v>
                </c:pt>
                <c:pt idx="3191">
                  <c:v>40448</c:v>
                </c:pt>
                <c:pt idx="3192">
                  <c:v>40449</c:v>
                </c:pt>
                <c:pt idx="3193">
                  <c:v>40450</c:v>
                </c:pt>
                <c:pt idx="3194">
                  <c:v>40451</c:v>
                </c:pt>
                <c:pt idx="3195">
                  <c:v>40452</c:v>
                </c:pt>
                <c:pt idx="3196">
                  <c:v>40453</c:v>
                </c:pt>
                <c:pt idx="3197">
                  <c:v>40454</c:v>
                </c:pt>
                <c:pt idx="3198">
                  <c:v>40455</c:v>
                </c:pt>
                <c:pt idx="3199">
                  <c:v>40456</c:v>
                </c:pt>
                <c:pt idx="3200">
                  <c:v>40457</c:v>
                </c:pt>
                <c:pt idx="3201">
                  <c:v>40458</c:v>
                </c:pt>
                <c:pt idx="3202">
                  <c:v>40459</c:v>
                </c:pt>
                <c:pt idx="3203">
                  <c:v>40460</c:v>
                </c:pt>
                <c:pt idx="3204">
                  <c:v>40461</c:v>
                </c:pt>
                <c:pt idx="3205">
                  <c:v>40462</c:v>
                </c:pt>
                <c:pt idx="3206">
                  <c:v>40463</c:v>
                </c:pt>
                <c:pt idx="3207">
                  <c:v>40464</c:v>
                </c:pt>
                <c:pt idx="3208">
                  <c:v>40465</c:v>
                </c:pt>
                <c:pt idx="3209">
                  <c:v>40466</c:v>
                </c:pt>
                <c:pt idx="3210">
                  <c:v>40467</c:v>
                </c:pt>
                <c:pt idx="3211">
                  <c:v>40468</c:v>
                </c:pt>
                <c:pt idx="3212">
                  <c:v>40469</c:v>
                </c:pt>
                <c:pt idx="3213">
                  <c:v>40470</c:v>
                </c:pt>
                <c:pt idx="3214">
                  <c:v>40471</c:v>
                </c:pt>
                <c:pt idx="3215">
                  <c:v>40472</c:v>
                </c:pt>
                <c:pt idx="3216">
                  <c:v>40473</c:v>
                </c:pt>
                <c:pt idx="3217">
                  <c:v>40474</c:v>
                </c:pt>
                <c:pt idx="3218">
                  <c:v>40475</c:v>
                </c:pt>
                <c:pt idx="3219">
                  <c:v>40476</c:v>
                </c:pt>
                <c:pt idx="3220">
                  <c:v>40477</c:v>
                </c:pt>
                <c:pt idx="3221">
                  <c:v>40478</c:v>
                </c:pt>
                <c:pt idx="3222">
                  <c:v>40479</c:v>
                </c:pt>
                <c:pt idx="3223">
                  <c:v>40480</c:v>
                </c:pt>
                <c:pt idx="3224">
                  <c:v>40481</c:v>
                </c:pt>
                <c:pt idx="3225">
                  <c:v>40482</c:v>
                </c:pt>
                <c:pt idx="3226">
                  <c:v>40483</c:v>
                </c:pt>
                <c:pt idx="3227">
                  <c:v>40484</c:v>
                </c:pt>
                <c:pt idx="3228">
                  <c:v>40485</c:v>
                </c:pt>
                <c:pt idx="3229">
                  <c:v>40486</c:v>
                </c:pt>
                <c:pt idx="3230">
                  <c:v>40487</c:v>
                </c:pt>
                <c:pt idx="3231">
                  <c:v>40488</c:v>
                </c:pt>
                <c:pt idx="3232">
                  <c:v>40489</c:v>
                </c:pt>
                <c:pt idx="3233">
                  <c:v>40490</c:v>
                </c:pt>
                <c:pt idx="3234">
                  <c:v>40491</c:v>
                </c:pt>
                <c:pt idx="3235">
                  <c:v>40492</c:v>
                </c:pt>
                <c:pt idx="3236">
                  <c:v>40493</c:v>
                </c:pt>
                <c:pt idx="3237">
                  <c:v>40494</c:v>
                </c:pt>
                <c:pt idx="3238">
                  <c:v>40495</c:v>
                </c:pt>
                <c:pt idx="3239">
                  <c:v>40496</c:v>
                </c:pt>
                <c:pt idx="3240">
                  <c:v>40497</c:v>
                </c:pt>
                <c:pt idx="3241">
                  <c:v>40498</c:v>
                </c:pt>
                <c:pt idx="3242">
                  <c:v>40499</c:v>
                </c:pt>
                <c:pt idx="3243">
                  <c:v>40500</c:v>
                </c:pt>
                <c:pt idx="3244">
                  <c:v>40501</c:v>
                </c:pt>
                <c:pt idx="3245">
                  <c:v>40502</c:v>
                </c:pt>
                <c:pt idx="3246">
                  <c:v>40503</c:v>
                </c:pt>
                <c:pt idx="3247">
                  <c:v>40504</c:v>
                </c:pt>
                <c:pt idx="3248">
                  <c:v>40505</c:v>
                </c:pt>
                <c:pt idx="3249">
                  <c:v>40506</c:v>
                </c:pt>
                <c:pt idx="3250">
                  <c:v>40507</c:v>
                </c:pt>
                <c:pt idx="3251">
                  <c:v>40508</c:v>
                </c:pt>
                <c:pt idx="3252">
                  <c:v>40509</c:v>
                </c:pt>
                <c:pt idx="3253">
                  <c:v>40510</c:v>
                </c:pt>
                <c:pt idx="3254">
                  <c:v>40511</c:v>
                </c:pt>
                <c:pt idx="3255">
                  <c:v>40512</c:v>
                </c:pt>
                <c:pt idx="3256">
                  <c:v>40513</c:v>
                </c:pt>
                <c:pt idx="3257">
                  <c:v>40514</c:v>
                </c:pt>
                <c:pt idx="3258">
                  <c:v>40515</c:v>
                </c:pt>
                <c:pt idx="3259">
                  <c:v>40516</c:v>
                </c:pt>
                <c:pt idx="3260">
                  <c:v>40517</c:v>
                </c:pt>
                <c:pt idx="3261">
                  <c:v>40518</c:v>
                </c:pt>
                <c:pt idx="3262">
                  <c:v>40519</c:v>
                </c:pt>
                <c:pt idx="3263">
                  <c:v>40520</c:v>
                </c:pt>
                <c:pt idx="3264">
                  <c:v>40521</c:v>
                </c:pt>
                <c:pt idx="3265">
                  <c:v>40522</c:v>
                </c:pt>
                <c:pt idx="3266">
                  <c:v>40523</c:v>
                </c:pt>
                <c:pt idx="3267">
                  <c:v>40524</c:v>
                </c:pt>
                <c:pt idx="3268">
                  <c:v>40525</c:v>
                </c:pt>
                <c:pt idx="3269">
                  <c:v>40526</c:v>
                </c:pt>
                <c:pt idx="3270">
                  <c:v>40527</c:v>
                </c:pt>
                <c:pt idx="3271">
                  <c:v>40528</c:v>
                </c:pt>
                <c:pt idx="3272">
                  <c:v>40529</c:v>
                </c:pt>
                <c:pt idx="3273">
                  <c:v>40530</c:v>
                </c:pt>
                <c:pt idx="3274">
                  <c:v>40531</c:v>
                </c:pt>
                <c:pt idx="3275">
                  <c:v>40532</c:v>
                </c:pt>
                <c:pt idx="3276">
                  <c:v>40533</c:v>
                </c:pt>
                <c:pt idx="3277">
                  <c:v>40534</c:v>
                </c:pt>
                <c:pt idx="3278">
                  <c:v>40535</c:v>
                </c:pt>
                <c:pt idx="3279">
                  <c:v>40536</c:v>
                </c:pt>
                <c:pt idx="3280">
                  <c:v>40537</c:v>
                </c:pt>
                <c:pt idx="3281">
                  <c:v>40538</c:v>
                </c:pt>
                <c:pt idx="3282">
                  <c:v>40539</c:v>
                </c:pt>
                <c:pt idx="3283">
                  <c:v>40540</c:v>
                </c:pt>
                <c:pt idx="3284">
                  <c:v>40541</c:v>
                </c:pt>
                <c:pt idx="3285">
                  <c:v>40542</c:v>
                </c:pt>
                <c:pt idx="3286">
                  <c:v>40543</c:v>
                </c:pt>
                <c:pt idx="3287">
                  <c:v>40544</c:v>
                </c:pt>
                <c:pt idx="3288">
                  <c:v>40545</c:v>
                </c:pt>
                <c:pt idx="3289">
                  <c:v>40546</c:v>
                </c:pt>
                <c:pt idx="3290">
                  <c:v>40547</c:v>
                </c:pt>
                <c:pt idx="3291">
                  <c:v>40548</c:v>
                </c:pt>
                <c:pt idx="3292">
                  <c:v>40549</c:v>
                </c:pt>
                <c:pt idx="3293">
                  <c:v>40550</c:v>
                </c:pt>
                <c:pt idx="3294">
                  <c:v>40551</c:v>
                </c:pt>
                <c:pt idx="3295">
                  <c:v>40552</c:v>
                </c:pt>
                <c:pt idx="3296">
                  <c:v>40553</c:v>
                </c:pt>
                <c:pt idx="3297">
                  <c:v>40554</c:v>
                </c:pt>
                <c:pt idx="3298">
                  <c:v>40555</c:v>
                </c:pt>
                <c:pt idx="3299">
                  <c:v>40556</c:v>
                </c:pt>
                <c:pt idx="3300">
                  <c:v>40557</c:v>
                </c:pt>
                <c:pt idx="3301">
                  <c:v>40558</c:v>
                </c:pt>
                <c:pt idx="3302">
                  <c:v>40559</c:v>
                </c:pt>
                <c:pt idx="3303">
                  <c:v>40560</c:v>
                </c:pt>
                <c:pt idx="3304">
                  <c:v>40561</c:v>
                </c:pt>
                <c:pt idx="3305">
                  <c:v>40562</c:v>
                </c:pt>
                <c:pt idx="3306">
                  <c:v>40563</c:v>
                </c:pt>
                <c:pt idx="3307">
                  <c:v>40564</c:v>
                </c:pt>
                <c:pt idx="3308">
                  <c:v>40565</c:v>
                </c:pt>
                <c:pt idx="3309">
                  <c:v>40566</c:v>
                </c:pt>
                <c:pt idx="3310">
                  <c:v>40567</c:v>
                </c:pt>
                <c:pt idx="3311">
                  <c:v>40568</c:v>
                </c:pt>
                <c:pt idx="3312">
                  <c:v>40569</c:v>
                </c:pt>
                <c:pt idx="3313">
                  <c:v>40570</c:v>
                </c:pt>
                <c:pt idx="3314">
                  <c:v>40571</c:v>
                </c:pt>
                <c:pt idx="3315">
                  <c:v>40572</c:v>
                </c:pt>
                <c:pt idx="3316">
                  <c:v>40573</c:v>
                </c:pt>
                <c:pt idx="3317">
                  <c:v>40574</c:v>
                </c:pt>
                <c:pt idx="3318">
                  <c:v>40575</c:v>
                </c:pt>
                <c:pt idx="3319">
                  <c:v>40576</c:v>
                </c:pt>
                <c:pt idx="3320">
                  <c:v>40577</c:v>
                </c:pt>
                <c:pt idx="3321">
                  <c:v>40578</c:v>
                </c:pt>
                <c:pt idx="3322">
                  <c:v>40579</c:v>
                </c:pt>
                <c:pt idx="3323">
                  <c:v>40580</c:v>
                </c:pt>
                <c:pt idx="3324">
                  <c:v>40581</c:v>
                </c:pt>
                <c:pt idx="3325">
                  <c:v>40582</c:v>
                </c:pt>
                <c:pt idx="3326">
                  <c:v>40583</c:v>
                </c:pt>
                <c:pt idx="3327">
                  <c:v>40584</c:v>
                </c:pt>
                <c:pt idx="3328">
                  <c:v>40585</c:v>
                </c:pt>
                <c:pt idx="3329">
                  <c:v>40586</c:v>
                </c:pt>
                <c:pt idx="3330">
                  <c:v>40587</c:v>
                </c:pt>
                <c:pt idx="3331">
                  <c:v>40588</c:v>
                </c:pt>
                <c:pt idx="3332">
                  <c:v>40589</c:v>
                </c:pt>
                <c:pt idx="3333">
                  <c:v>40590</c:v>
                </c:pt>
                <c:pt idx="3334">
                  <c:v>40591</c:v>
                </c:pt>
                <c:pt idx="3335">
                  <c:v>40592</c:v>
                </c:pt>
                <c:pt idx="3336">
                  <c:v>40593</c:v>
                </c:pt>
                <c:pt idx="3337">
                  <c:v>40594</c:v>
                </c:pt>
                <c:pt idx="3338">
                  <c:v>40595</c:v>
                </c:pt>
                <c:pt idx="3339">
                  <c:v>40596</c:v>
                </c:pt>
                <c:pt idx="3340">
                  <c:v>40597</c:v>
                </c:pt>
                <c:pt idx="3341">
                  <c:v>40598</c:v>
                </c:pt>
                <c:pt idx="3342">
                  <c:v>40599</c:v>
                </c:pt>
                <c:pt idx="3343">
                  <c:v>40600</c:v>
                </c:pt>
                <c:pt idx="3344">
                  <c:v>40601</c:v>
                </c:pt>
                <c:pt idx="3345">
                  <c:v>40602</c:v>
                </c:pt>
                <c:pt idx="3346">
                  <c:v>40603</c:v>
                </c:pt>
                <c:pt idx="3347">
                  <c:v>40604</c:v>
                </c:pt>
                <c:pt idx="3348">
                  <c:v>40605</c:v>
                </c:pt>
                <c:pt idx="3349">
                  <c:v>40606</c:v>
                </c:pt>
                <c:pt idx="3350">
                  <c:v>40607</c:v>
                </c:pt>
                <c:pt idx="3351">
                  <c:v>40608</c:v>
                </c:pt>
                <c:pt idx="3352">
                  <c:v>40609</c:v>
                </c:pt>
                <c:pt idx="3353">
                  <c:v>40610</c:v>
                </c:pt>
                <c:pt idx="3354">
                  <c:v>40611</c:v>
                </c:pt>
                <c:pt idx="3355">
                  <c:v>40612</c:v>
                </c:pt>
                <c:pt idx="3356">
                  <c:v>40613</c:v>
                </c:pt>
                <c:pt idx="3357">
                  <c:v>40614</c:v>
                </c:pt>
                <c:pt idx="3358">
                  <c:v>40615</c:v>
                </c:pt>
                <c:pt idx="3359">
                  <c:v>40616</c:v>
                </c:pt>
                <c:pt idx="3360">
                  <c:v>40617</c:v>
                </c:pt>
                <c:pt idx="3361">
                  <c:v>40618</c:v>
                </c:pt>
                <c:pt idx="3362">
                  <c:v>40619</c:v>
                </c:pt>
                <c:pt idx="3363">
                  <c:v>40620</c:v>
                </c:pt>
                <c:pt idx="3364">
                  <c:v>40621</c:v>
                </c:pt>
                <c:pt idx="3365">
                  <c:v>40622</c:v>
                </c:pt>
                <c:pt idx="3366">
                  <c:v>40623</c:v>
                </c:pt>
                <c:pt idx="3367">
                  <c:v>40624</c:v>
                </c:pt>
                <c:pt idx="3368">
                  <c:v>40625</c:v>
                </c:pt>
                <c:pt idx="3369">
                  <c:v>40626</c:v>
                </c:pt>
                <c:pt idx="3370">
                  <c:v>40627</c:v>
                </c:pt>
                <c:pt idx="3371">
                  <c:v>40628</c:v>
                </c:pt>
                <c:pt idx="3372">
                  <c:v>40629</c:v>
                </c:pt>
                <c:pt idx="3373">
                  <c:v>40630</c:v>
                </c:pt>
                <c:pt idx="3374">
                  <c:v>40631</c:v>
                </c:pt>
                <c:pt idx="3375">
                  <c:v>40632</c:v>
                </c:pt>
                <c:pt idx="3376">
                  <c:v>40633</c:v>
                </c:pt>
                <c:pt idx="3377">
                  <c:v>40634</c:v>
                </c:pt>
                <c:pt idx="3378">
                  <c:v>40635</c:v>
                </c:pt>
                <c:pt idx="3379">
                  <c:v>40636</c:v>
                </c:pt>
                <c:pt idx="3380">
                  <c:v>40637</c:v>
                </c:pt>
                <c:pt idx="3381">
                  <c:v>40638</c:v>
                </c:pt>
                <c:pt idx="3382">
                  <c:v>40639</c:v>
                </c:pt>
                <c:pt idx="3383">
                  <c:v>40640</c:v>
                </c:pt>
                <c:pt idx="3384">
                  <c:v>40641</c:v>
                </c:pt>
                <c:pt idx="3385">
                  <c:v>40642</c:v>
                </c:pt>
                <c:pt idx="3386">
                  <c:v>40643</c:v>
                </c:pt>
                <c:pt idx="3387">
                  <c:v>40644</c:v>
                </c:pt>
                <c:pt idx="3388">
                  <c:v>40645</c:v>
                </c:pt>
                <c:pt idx="3389">
                  <c:v>40646</c:v>
                </c:pt>
                <c:pt idx="3390">
                  <c:v>40647</c:v>
                </c:pt>
                <c:pt idx="3391">
                  <c:v>40648</c:v>
                </c:pt>
                <c:pt idx="3392">
                  <c:v>40649</c:v>
                </c:pt>
                <c:pt idx="3393">
                  <c:v>40650</c:v>
                </c:pt>
                <c:pt idx="3394">
                  <c:v>40651</c:v>
                </c:pt>
                <c:pt idx="3395">
                  <c:v>40652</c:v>
                </c:pt>
                <c:pt idx="3396">
                  <c:v>40653</c:v>
                </c:pt>
                <c:pt idx="3397">
                  <c:v>40654</c:v>
                </c:pt>
                <c:pt idx="3398">
                  <c:v>40655</c:v>
                </c:pt>
                <c:pt idx="3399">
                  <c:v>40656</c:v>
                </c:pt>
                <c:pt idx="3400">
                  <c:v>40657</c:v>
                </c:pt>
                <c:pt idx="3401">
                  <c:v>40658</c:v>
                </c:pt>
                <c:pt idx="3402">
                  <c:v>40659</c:v>
                </c:pt>
                <c:pt idx="3403">
                  <c:v>40660</c:v>
                </c:pt>
                <c:pt idx="3404">
                  <c:v>40661</c:v>
                </c:pt>
                <c:pt idx="3405">
                  <c:v>40662</c:v>
                </c:pt>
                <c:pt idx="3406">
                  <c:v>40663</c:v>
                </c:pt>
                <c:pt idx="3407">
                  <c:v>40664</c:v>
                </c:pt>
                <c:pt idx="3408">
                  <c:v>40665</c:v>
                </c:pt>
                <c:pt idx="3409">
                  <c:v>40666</c:v>
                </c:pt>
                <c:pt idx="3410">
                  <c:v>40667</c:v>
                </c:pt>
                <c:pt idx="3411">
                  <c:v>40668</c:v>
                </c:pt>
                <c:pt idx="3412">
                  <c:v>40669</c:v>
                </c:pt>
                <c:pt idx="3413">
                  <c:v>40670</c:v>
                </c:pt>
                <c:pt idx="3414">
                  <c:v>40671</c:v>
                </c:pt>
                <c:pt idx="3415">
                  <c:v>40672</c:v>
                </c:pt>
                <c:pt idx="3416">
                  <c:v>40673</c:v>
                </c:pt>
                <c:pt idx="3417">
                  <c:v>40674</c:v>
                </c:pt>
                <c:pt idx="3418">
                  <c:v>40675</c:v>
                </c:pt>
                <c:pt idx="3419">
                  <c:v>40676</c:v>
                </c:pt>
                <c:pt idx="3420">
                  <c:v>40677</c:v>
                </c:pt>
                <c:pt idx="3421">
                  <c:v>40678</c:v>
                </c:pt>
                <c:pt idx="3422">
                  <c:v>40679</c:v>
                </c:pt>
                <c:pt idx="3423">
                  <c:v>40680</c:v>
                </c:pt>
                <c:pt idx="3424">
                  <c:v>40681</c:v>
                </c:pt>
                <c:pt idx="3425">
                  <c:v>40682</c:v>
                </c:pt>
                <c:pt idx="3426">
                  <c:v>40683</c:v>
                </c:pt>
                <c:pt idx="3427">
                  <c:v>40684</c:v>
                </c:pt>
                <c:pt idx="3428">
                  <c:v>40685</c:v>
                </c:pt>
                <c:pt idx="3429">
                  <c:v>40686</c:v>
                </c:pt>
                <c:pt idx="3430">
                  <c:v>40687</c:v>
                </c:pt>
                <c:pt idx="3431">
                  <c:v>40688</c:v>
                </c:pt>
                <c:pt idx="3432">
                  <c:v>40689</c:v>
                </c:pt>
                <c:pt idx="3433">
                  <c:v>40690</c:v>
                </c:pt>
                <c:pt idx="3434">
                  <c:v>40691</c:v>
                </c:pt>
                <c:pt idx="3435">
                  <c:v>40692</c:v>
                </c:pt>
                <c:pt idx="3436">
                  <c:v>40693</c:v>
                </c:pt>
                <c:pt idx="3437">
                  <c:v>40694</c:v>
                </c:pt>
                <c:pt idx="3438">
                  <c:v>40695</c:v>
                </c:pt>
                <c:pt idx="3439">
                  <c:v>40696</c:v>
                </c:pt>
                <c:pt idx="3440">
                  <c:v>40697</c:v>
                </c:pt>
                <c:pt idx="3441">
                  <c:v>40698</c:v>
                </c:pt>
                <c:pt idx="3442">
                  <c:v>40699</c:v>
                </c:pt>
                <c:pt idx="3443">
                  <c:v>40700</c:v>
                </c:pt>
                <c:pt idx="3444">
                  <c:v>40701</c:v>
                </c:pt>
                <c:pt idx="3445">
                  <c:v>40702</c:v>
                </c:pt>
                <c:pt idx="3446">
                  <c:v>40703</c:v>
                </c:pt>
                <c:pt idx="3447">
                  <c:v>40704</c:v>
                </c:pt>
                <c:pt idx="3448">
                  <c:v>40705</c:v>
                </c:pt>
                <c:pt idx="3449">
                  <c:v>40706</c:v>
                </c:pt>
                <c:pt idx="3450">
                  <c:v>40707</c:v>
                </c:pt>
                <c:pt idx="3451">
                  <c:v>40708</c:v>
                </c:pt>
                <c:pt idx="3452">
                  <c:v>40709</c:v>
                </c:pt>
                <c:pt idx="3453">
                  <c:v>40710</c:v>
                </c:pt>
                <c:pt idx="3454">
                  <c:v>40711</c:v>
                </c:pt>
                <c:pt idx="3455">
                  <c:v>40712</c:v>
                </c:pt>
                <c:pt idx="3456">
                  <c:v>40713</c:v>
                </c:pt>
                <c:pt idx="3457">
                  <c:v>40714</c:v>
                </c:pt>
                <c:pt idx="3458">
                  <c:v>40715</c:v>
                </c:pt>
                <c:pt idx="3459">
                  <c:v>40716</c:v>
                </c:pt>
                <c:pt idx="3460">
                  <c:v>40717</c:v>
                </c:pt>
                <c:pt idx="3461">
                  <c:v>40718</c:v>
                </c:pt>
                <c:pt idx="3462">
                  <c:v>40719</c:v>
                </c:pt>
                <c:pt idx="3463">
                  <c:v>40720</c:v>
                </c:pt>
                <c:pt idx="3464">
                  <c:v>40721</c:v>
                </c:pt>
                <c:pt idx="3465">
                  <c:v>40722</c:v>
                </c:pt>
                <c:pt idx="3466">
                  <c:v>40723</c:v>
                </c:pt>
                <c:pt idx="3467">
                  <c:v>40724</c:v>
                </c:pt>
                <c:pt idx="3468">
                  <c:v>40725</c:v>
                </c:pt>
                <c:pt idx="3469">
                  <c:v>40726</c:v>
                </c:pt>
                <c:pt idx="3470">
                  <c:v>40727</c:v>
                </c:pt>
                <c:pt idx="3471">
                  <c:v>40728</c:v>
                </c:pt>
                <c:pt idx="3472">
                  <c:v>40729</c:v>
                </c:pt>
                <c:pt idx="3473">
                  <c:v>40730</c:v>
                </c:pt>
                <c:pt idx="3474">
                  <c:v>40731</c:v>
                </c:pt>
                <c:pt idx="3475">
                  <c:v>40732</c:v>
                </c:pt>
                <c:pt idx="3476">
                  <c:v>40733</c:v>
                </c:pt>
                <c:pt idx="3477">
                  <c:v>40734</c:v>
                </c:pt>
                <c:pt idx="3478">
                  <c:v>40735</c:v>
                </c:pt>
                <c:pt idx="3479">
                  <c:v>40736</c:v>
                </c:pt>
                <c:pt idx="3480">
                  <c:v>40737</c:v>
                </c:pt>
                <c:pt idx="3481">
                  <c:v>40738</c:v>
                </c:pt>
                <c:pt idx="3482">
                  <c:v>40739</c:v>
                </c:pt>
                <c:pt idx="3483">
                  <c:v>40740</c:v>
                </c:pt>
                <c:pt idx="3484">
                  <c:v>40741</c:v>
                </c:pt>
                <c:pt idx="3485">
                  <c:v>40742</c:v>
                </c:pt>
                <c:pt idx="3486">
                  <c:v>40743</c:v>
                </c:pt>
                <c:pt idx="3487">
                  <c:v>40744</c:v>
                </c:pt>
                <c:pt idx="3488">
                  <c:v>40745</c:v>
                </c:pt>
                <c:pt idx="3489">
                  <c:v>40746</c:v>
                </c:pt>
                <c:pt idx="3490">
                  <c:v>40747</c:v>
                </c:pt>
                <c:pt idx="3491">
                  <c:v>40748</c:v>
                </c:pt>
                <c:pt idx="3492">
                  <c:v>40749</c:v>
                </c:pt>
                <c:pt idx="3493">
                  <c:v>40750</c:v>
                </c:pt>
                <c:pt idx="3494">
                  <c:v>40751</c:v>
                </c:pt>
                <c:pt idx="3495">
                  <c:v>40752</c:v>
                </c:pt>
                <c:pt idx="3496">
                  <c:v>40753</c:v>
                </c:pt>
                <c:pt idx="3497">
                  <c:v>40754</c:v>
                </c:pt>
                <c:pt idx="3498">
                  <c:v>40755</c:v>
                </c:pt>
                <c:pt idx="3499">
                  <c:v>40756</c:v>
                </c:pt>
                <c:pt idx="3500">
                  <c:v>40757</c:v>
                </c:pt>
                <c:pt idx="3501">
                  <c:v>40758</c:v>
                </c:pt>
                <c:pt idx="3502">
                  <c:v>40759</c:v>
                </c:pt>
                <c:pt idx="3503">
                  <c:v>40760</c:v>
                </c:pt>
                <c:pt idx="3504">
                  <c:v>40761</c:v>
                </c:pt>
                <c:pt idx="3505">
                  <c:v>40762</c:v>
                </c:pt>
                <c:pt idx="3506">
                  <c:v>40763</c:v>
                </c:pt>
                <c:pt idx="3507">
                  <c:v>40764</c:v>
                </c:pt>
                <c:pt idx="3508">
                  <c:v>40765</c:v>
                </c:pt>
                <c:pt idx="3509">
                  <c:v>40766</c:v>
                </c:pt>
                <c:pt idx="3510">
                  <c:v>40767</c:v>
                </c:pt>
                <c:pt idx="3511">
                  <c:v>40768</c:v>
                </c:pt>
                <c:pt idx="3512">
                  <c:v>40769</c:v>
                </c:pt>
                <c:pt idx="3513">
                  <c:v>40770</c:v>
                </c:pt>
                <c:pt idx="3514">
                  <c:v>40771</c:v>
                </c:pt>
                <c:pt idx="3515">
                  <c:v>40772</c:v>
                </c:pt>
                <c:pt idx="3516">
                  <c:v>40773</c:v>
                </c:pt>
                <c:pt idx="3517">
                  <c:v>40774</c:v>
                </c:pt>
                <c:pt idx="3518">
                  <c:v>40775</c:v>
                </c:pt>
                <c:pt idx="3519">
                  <c:v>40776</c:v>
                </c:pt>
                <c:pt idx="3520">
                  <c:v>40777</c:v>
                </c:pt>
                <c:pt idx="3521">
                  <c:v>40778</c:v>
                </c:pt>
                <c:pt idx="3522">
                  <c:v>40779</c:v>
                </c:pt>
                <c:pt idx="3523">
                  <c:v>40780</c:v>
                </c:pt>
                <c:pt idx="3524">
                  <c:v>40781</c:v>
                </c:pt>
                <c:pt idx="3525">
                  <c:v>40782</c:v>
                </c:pt>
                <c:pt idx="3526">
                  <c:v>40783</c:v>
                </c:pt>
                <c:pt idx="3527">
                  <c:v>40784</c:v>
                </c:pt>
                <c:pt idx="3528">
                  <c:v>40785</c:v>
                </c:pt>
                <c:pt idx="3529">
                  <c:v>40786</c:v>
                </c:pt>
                <c:pt idx="3530">
                  <c:v>40787</c:v>
                </c:pt>
                <c:pt idx="3531">
                  <c:v>40788</c:v>
                </c:pt>
                <c:pt idx="3532">
                  <c:v>40789</c:v>
                </c:pt>
                <c:pt idx="3533">
                  <c:v>40790</c:v>
                </c:pt>
                <c:pt idx="3534">
                  <c:v>40791</c:v>
                </c:pt>
                <c:pt idx="3535">
                  <c:v>40792</c:v>
                </c:pt>
                <c:pt idx="3536">
                  <c:v>40793</c:v>
                </c:pt>
                <c:pt idx="3537">
                  <c:v>40794</c:v>
                </c:pt>
                <c:pt idx="3538">
                  <c:v>40795</c:v>
                </c:pt>
                <c:pt idx="3539">
                  <c:v>40796</c:v>
                </c:pt>
                <c:pt idx="3540">
                  <c:v>40797</c:v>
                </c:pt>
                <c:pt idx="3541">
                  <c:v>40798</c:v>
                </c:pt>
                <c:pt idx="3542">
                  <c:v>40799</c:v>
                </c:pt>
                <c:pt idx="3543">
                  <c:v>40800</c:v>
                </c:pt>
                <c:pt idx="3544">
                  <c:v>40801</c:v>
                </c:pt>
                <c:pt idx="3545">
                  <c:v>40802</c:v>
                </c:pt>
                <c:pt idx="3546">
                  <c:v>40803</c:v>
                </c:pt>
                <c:pt idx="3547">
                  <c:v>40804</c:v>
                </c:pt>
                <c:pt idx="3548">
                  <c:v>40805</c:v>
                </c:pt>
                <c:pt idx="3549">
                  <c:v>40806</c:v>
                </c:pt>
                <c:pt idx="3550">
                  <c:v>40807</c:v>
                </c:pt>
                <c:pt idx="3551">
                  <c:v>40808</c:v>
                </c:pt>
                <c:pt idx="3552">
                  <c:v>40809</c:v>
                </c:pt>
                <c:pt idx="3553">
                  <c:v>40810</c:v>
                </c:pt>
                <c:pt idx="3554">
                  <c:v>40811</c:v>
                </c:pt>
                <c:pt idx="3555">
                  <c:v>40812</c:v>
                </c:pt>
                <c:pt idx="3556">
                  <c:v>40813</c:v>
                </c:pt>
                <c:pt idx="3557">
                  <c:v>40814</c:v>
                </c:pt>
                <c:pt idx="3558">
                  <c:v>40815</c:v>
                </c:pt>
                <c:pt idx="3559">
                  <c:v>40816</c:v>
                </c:pt>
                <c:pt idx="3560">
                  <c:v>40817</c:v>
                </c:pt>
                <c:pt idx="3561">
                  <c:v>40818</c:v>
                </c:pt>
                <c:pt idx="3562">
                  <c:v>40819</c:v>
                </c:pt>
                <c:pt idx="3563">
                  <c:v>40820</c:v>
                </c:pt>
                <c:pt idx="3564">
                  <c:v>40821</c:v>
                </c:pt>
                <c:pt idx="3565">
                  <c:v>40822</c:v>
                </c:pt>
                <c:pt idx="3566">
                  <c:v>40823</c:v>
                </c:pt>
                <c:pt idx="3567">
                  <c:v>40824</c:v>
                </c:pt>
                <c:pt idx="3568">
                  <c:v>40825</c:v>
                </c:pt>
                <c:pt idx="3569">
                  <c:v>40826</c:v>
                </c:pt>
                <c:pt idx="3570">
                  <c:v>40827</c:v>
                </c:pt>
                <c:pt idx="3571">
                  <c:v>40828</c:v>
                </c:pt>
                <c:pt idx="3572">
                  <c:v>40829</c:v>
                </c:pt>
                <c:pt idx="3573">
                  <c:v>40830</c:v>
                </c:pt>
                <c:pt idx="3574">
                  <c:v>40831</c:v>
                </c:pt>
                <c:pt idx="3575">
                  <c:v>40832</c:v>
                </c:pt>
                <c:pt idx="3576">
                  <c:v>40833</c:v>
                </c:pt>
                <c:pt idx="3577">
                  <c:v>40834</c:v>
                </c:pt>
                <c:pt idx="3578">
                  <c:v>40835</c:v>
                </c:pt>
                <c:pt idx="3579">
                  <c:v>40836</c:v>
                </c:pt>
                <c:pt idx="3580">
                  <c:v>40837</c:v>
                </c:pt>
                <c:pt idx="3581">
                  <c:v>40838</c:v>
                </c:pt>
                <c:pt idx="3582">
                  <c:v>40839</c:v>
                </c:pt>
                <c:pt idx="3583">
                  <c:v>40840</c:v>
                </c:pt>
                <c:pt idx="3584">
                  <c:v>40841</c:v>
                </c:pt>
                <c:pt idx="3585">
                  <c:v>40842</c:v>
                </c:pt>
                <c:pt idx="3586">
                  <c:v>40843</c:v>
                </c:pt>
                <c:pt idx="3587">
                  <c:v>40844</c:v>
                </c:pt>
                <c:pt idx="3588">
                  <c:v>40845</c:v>
                </c:pt>
                <c:pt idx="3589">
                  <c:v>40846</c:v>
                </c:pt>
                <c:pt idx="3590">
                  <c:v>40847</c:v>
                </c:pt>
                <c:pt idx="3591">
                  <c:v>40848</c:v>
                </c:pt>
                <c:pt idx="3592">
                  <c:v>40849</c:v>
                </c:pt>
                <c:pt idx="3593">
                  <c:v>40850</c:v>
                </c:pt>
                <c:pt idx="3594">
                  <c:v>40851</c:v>
                </c:pt>
                <c:pt idx="3595">
                  <c:v>40852</c:v>
                </c:pt>
                <c:pt idx="3596">
                  <c:v>40853</c:v>
                </c:pt>
                <c:pt idx="3597">
                  <c:v>40854</c:v>
                </c:pt>
                <c:pt idx="3598">
                  <c:v>40855</c:v>
                </c:pt>
                <c:pt idx="3599">
                  <c:v>40856</c:v>
                </c:pt>
                <c:pt idx="3600">
                  <c:v>40857</c:v>
                </c:pt>
                <c:pt idx="3601">
                  <c:v>40858</c:v>
                </c:pt>
                <c:pt idx="3602">
                  <c:v>40859</c:v>
                </c:pt>
                <c:pt idx="3603">
                  <c:v>40860</c:v>
                </c:pt>
                <c:pt idx="3604">
                  <c:v>40861</c:v>
                </c:pt>
                <c:pt idx="3605">
                  <c:v>40862</c:v>
                </c:pt>
                <c:pt idx="3606">
                  <c:v>40863</c:v>
                </c:pt>
                <c:pt idx="3607">
                  <c:v>40864</c:v>
                </c:pt>
                <c:pt idx="3608">
                  <c:v>40865</c:v>
                </c:pt>
                <c:pt idx="3609">
                  <c:v>40866</c:v>
                </c:pt>
                <c:pt idx="3610">
                  <c:v>40867</c:v>
                </c:pt>
                <c:pt idx="3611">
                  <c:v>40868</c:v>
                </c:pt>
                <c:pt idx="3612">
                  <c:v>40869</c:v>
                </c:pt>
                <c:pt idx="3613">
                  <c:v>40870</c:v>
                </c:pt>
                <c:pt idx="3614">
                  <c:v>40871</c:v>
                </c:pt>
                <c:pt idx="3615">
                  <c:v>40872</c:v>
                </c:pt>
                <c:pt idx="3616">
                  <c:v>40873</c:v>
                </c:pt>
                <c:pt idx="3617">
                  <c:v>40874</c:v>
                </c:pt>
                <c:pt idx="3618">
                  <c:v>40875</c:v>
                </c:pt>
                <c:pt idx="3619">
                  <c:v>40876</c:v>
                </c:pt>
                <c:pt idx="3620">
                  <c:v>40877</c:v>
                </c:pt>
                <c:pt idx="3621">
                  <c:v>40878</c:v>
                </c:pt>
                <c:pt idx="3622">
                  <c:v>40879</c:v>
                </c:pt>
                <c:pt idx="3623">
                  <c:v>40880</c:v>
                </c:pt>
                <c:pt idx="3624">
                  <c:v>40881</c:v>
                </c:pt>
                <c:pt idx="3625">
                  <c:v>40882</c:v>
                </c:pt>
                <c:pt idx="3626">
                  <c:v>40883</c:v>
                </c:pt>
                <c:pt idx="3627">
                  <c:v>40884</c:v>
                </c:pt>
                <c:pt idx="3628">
                  <c:v>40885</c:v>
                </c:pt>
                <c:pt idx="3629">
                  <c:v>40886</c:v>
                </c:pt>
                <c:pt idx="3630">
                  <c:v>40887</c:v>
                </c:pt>
                <c:pt idx="3631">
                  <c:v>40888</c:v>
                </c:pt>
                <c:pt idx="3632">
                  <c:v>40889</c:v>
                </c:pt>
                <c:pt idx="3633">
                  <c:v>40890</c:v>
                </c:pt>
                <c:pt idx="3634">
                  <c:v>40891</c:v>
                </c:pt>
                <c:pt idx="3635">
                  <c:v>40892</c:v>
                </c:pt>
                <c:pt idx="3636">
                  <c:v>40893</c:v>
                </c:pt>
                <c:pt idx="3637">
                  <c:v>40894</c:v>
                </c:pt>
                <c:pt idx="3638">
                  <c:v>40895</c:v>
                </c:pt>
                <c:pt idx="3639">
                  <c:v>40896</c:v>
                </c:pt>
                <c:pt idx="3640">
                  <c:v>40897</c:v>
                </c:pt>
                <c:pt idx="3641">
                  <c:v>40898</c:v>
                </c:pt>
                <c:pt idx="3642">
                  <c:v>40899</c:v>
                </c:pt>
                <c:pt idx="3643">
                  <c:v>40900</c:v>
                </c:pt>
                <c:pt idx="3644">
                  <c:v>40901</c:v>
                </c:pt>
                <c:pt idx="3645">
                  <c:v>40902</c:v>
                </c:pt>
                <c:pt idx="3646">
                  <c:v>40903</c:v>
                </c:pt>
                <c:pt idx="3647">
                  <c:v>40904</c:v>
                </c:pt>
                <c:pt idx="3648">
                  <c:v>40905</c:v>
                </c:pt>
                <c:pt idx="3649">
                  <c:v>40906</c:v>
                </c:pt>
                <c:pt idx="3650">
                  <c:v>40907</c:v>
                </c:pt>
                <c:pt idx="3651">
                  <c:v>40908</c:v>
                </c:pt>
                <c:pt idx="3652">
                  <c:v>40909</c:v>
                </c:pt>
                <c:pt idx="3653">
                  <c:v>40910</c:v>
                </c:pt>
                <c:pt idx="3654">
                  <c:v>40911</c:v>
                </c:pt>
                <c:pt idx="3655">
                  <c:v>40912</c:v>
                </c:pt>
                <c:pt idx="3656">
                  <c:v>40913</c:v>
                </c:pt>
                <c:pt idx="3657">
                  <c:v>40914</c:v>
                </c:pt>
                <c:pt idx="3658">
                  <c:v>40915</c:v>
                </c:pt>
                <c:pt idx="3659">
                  <c:v>40916</c:v>
                </c:pt>
                <c:pt idx="3660">
                  <c:v>40917</c:v>
                </c:pt>
                <c:pt idx="3661">
                  <c:v>40918</c:v>
                </c:pt>
                <c:pt idx="3662">
                  <c:v>40919</c:v>
                </c:pt>
                <c:pt idx="3663">
                  <c:v>40920</c:v>
                </c:pt>
                <c:pt idx="3664">
                  <c:v>40921</c:v>
                </c:pt>
                <c:pt idx="3665">
                  <c:v>40922</c:v>
                </c:pt>
                <c:pt idx="3666">
                  <c:v>40923</c:v>
                </c:pt>
                <c:pt idx="3667">
                  <c:v>40924</c:v>
                </c:pt>
                <c:pt idx="3668">
                  <c:v>40925</c:v>
                </c:pt>
                <c:pt idx="3669">
                  <c:v>40926</c:v>
                </c:pt>
                <c:pt idx="3670">
                  <c:v>40927</c:v>
                </c:pt>
                <c:pt idx="3671">
                  <c:v>40928</c:v>
                </c:pt>
                <c:pt idx="3672">
                  <c:v>40929</c:v>
                </c:pt>
                <c:pt idx="3673">
                  <c:v>40930</c:v>
                </c:pt>
                <c:pt idx="3674">
                  <c:v>40931</c:v>
                </c:pt>
                <c:pt idx="3675">
                  <c:v>40932</c:v>
                </c:pt>
                <c:pt idx="3676">
                  <c:v>40933</c:v>
                </c:pt>
                <c:pt idx="3677">
                  <c:v>40934</c:v>
                </c:pt>
                <c:pt idx="3678">
                  <c:v>40935</c:v>
                </c:pt>
                <c:pt idx="3679">
                  <c:v>40936</c:v>
                </c:pt>
                <c:pt idx="3680">
                  <c:v>40937</c:v>
                </c:pt>
                <c:pt idx="3681">
                  <c:v>40938</c:v>
                </c:pt>
                <c:pt idx="3682">
                  <c:v>40939</c:v>
                </c:pt>
                <c:pt idx="3683">
                  <c:v>40940</c:v>
                </c:pt>
                <c:pt idx="3684">
                  <c:v>40941</c:v>
                </c:pt>
                <c:pt idx="3685">
                  <c:v>40942</c:v>
                </c:pt>
                <c:pt idx="3686">
                  <c:v>40943</c:v>
                </c:pt>
                <c:pt idx="3687">
                  <c:v>40944</c:v>
                </c:pt>
                <c:pt idx="3688">
                  <c:v>40945</c:v>
                </c:pt>
                <c:pt idx="3689">
                  <c:v>40946</c:v>
                </c:pt>
                <c:pt idx="3690">
                  <c:v>40947</c:v>
                </c:pt>
                <c:pt idx="3691">
                  <c:v>40948</c:v>
                </c:pt>
                <c:pt idx="3692">
                  <c:v>40949</c:v>
                </c:pt>
                <c:pt idx="3693">
                  <c:v>40950</c:v>
                </c:pt>
                <c:pt idx="3694">
                  <c:v>40951</c:v>
                </c:pt>
                <c:pt idx="3695">
                  <c:v>40952</c:v>
                </c:pt>
                <c:pt idx="3696">
                  <c:v>40953</c:v>
                </c:pt>
                <c:pt idx="3697">
                  <c:v>40954</c:v>
                </c:pt>
                <c:pt idx="3698">
                  <c:v>40955</c:v>
                </c:pt>
                <c:pt idx="3699">
                  <c:v>40956</c:v>
                </c:pt>
                <c:pt idx="3700">
                  <c:v>40957</c:v>
                </c:pt>
                <c:pt idx="3701">
                  <c:v>40958</c:v>
                </c:pt>
                <c:pt idx="3702">
                  <c:v>40959</c:v>
                </c:pt>
                <c:pt idx="3703">
                  <c:v>40960</c:v>
                </c:pt>
                <c:pt idx="3704">
                  <c:v>40961</c:v>
                </c:pt>
                <c:pt idx="3705">
                  <c:v>40962</c:v>
                </c:pt>
                <c:pt idx="3706">
                  <c:v>40963</c:v>
                </c:pt>
                <c:pt idx="3707">
                  <c:v>40964</c:v>
                </c:pt>
                <c:pt idx="3708">
                  <c:v>40965</c:v>
                </c:pt>
                <c:pt idx="3709">
                  <c:v>40966</c:v>
                </c:pt>
                <c:pt idx="3710">
                  <c:v>40967</c:v>
                </c:pt>
                <c:pt idx="3711">
                  <c:v>40968</c:v>
                </c:pt>
                <c:pt idx="3712">
                  <c:v>40969</c:v>
                </c:pt>
                <c:pt idx="3713">
                  <c:v>40970</c:v>
                </c:pt>
                <c:pt idx="3714">
                  <c:v>40971</c:v>
                </c:pt>
                <c:pt idx="3715">
                  <c:v>40972</c:v>
                </c:pt>
                <c:pt idx="3716">
                  <c:v>40973</c:v>
                </c:pt>
                <c:pt idx="3717">
                  <c:v>40974</c:v>
                </c:pt>
                <c:pt idx="3718">
                  <c:v>40975</c:v>
                </c:pt>
                <c:pt idx="3719">
                  <c:v>40976</c:v>
                </c:pt>
                <c:pt idx="3720">
                  <c:v>40977</c:v>
                </c:pt>
                <c:pt idx="3721">
                  <c:v>40978</c:v>
                </c:pt>
                <c:pt idx="3722">
                  <c:v>40979</c:v>
                </c:pt>
                <c:pt idx="3723">
                  <c:v>40980</c:v>
                </c:pt>
                <c:pt idx="3724">
                  <c:v>40981</c:v>
                </c:pt>
                <c:pt idx="3725">
                  <c:v>40982</c:v>
                </c:pt>
                <c:pt idx="3726">
                  <c:v>40983</c:v>
                </c:pt>
                <c:pt idx="3727">
                  <c:v>40984</c:v>
                </c:pt>
                <c:pt idx="3728">
                  <c:v>40985</c:v>
                </c:pt>
                <c:pt idx="3729">
                  <c:v>40986</c:v>
                </c:pt>
                <c:pt idx="3730">
                  <c:v>40987</c:v>
                </c:pt>
                <c:pt idx="3731">
                  <c:v>40988</c:v>
                </c:pt>
                <c:pt idx="3732">
                  <c:v>40989</c:v>
                </c:pt>
                <c:pt idx="3733">
                  <c:v>40990</c:v>
                </c:pt>
                <c:pt idx="3734">
                  <c:v>40991</c:v>
                </c:pt>
                <c:pt idx="3735">
                  <c:v>40992</c:v>
                </c:pt>
                <c:pt idx="3736">
                  <c:v>40993</c:v>
                </c:pt>
                <c:pt idx="3737">
                  <c:v>40994</c:v>
                </c:pt>
                <c:pt idx="3738">
                  <c:v>40995</c:v>
                </c:pt>
                <c:pt idx="3739">
                  <c:v>40996</c:v>
                </c:pt>
                <c:pt idx="3740">
                  <c:v>40997</c:v>
                </c:pt>
                <c:pt idx="3741">
                  <c:v>40998</c:v>
                </c:pt>
                <c:pt idx="3742">
                  <c:v>40999</c:v>
                </c:pt>
                <c:pt idx="3743">
                  <c:v>41000</c:v>
                </c:pt>
                <c:pt idx="3744">
                  <c:v>41001</c:v>
                </c:pt>
                <c:pt idx="3745">
                  <c:v>41002</c:v>
                </c:pt>
                <c:pt idx="3746">
                  <c:v>41003</c:v>
                </c:pt>
                <c:pt idx="3747">
                  <c:v>41004</c:v>
                </c:pt>
                <c:pt idx="3748">
                  <c:v>41005</c:v>
                </c:pt>
                <c:pt idx="3749">
                  <c:v>41006</c:v>
                </c:pt>
                <c:pt idx="3750">
                  <c:v>41007</c:v>
                </c:pt>
                <c:pt idx="3751">
                  <c:v>41008</c:v>
                </c:pt>
                <c:pt idx="3752">
                  <c:v>41009</c:v>
                </c:pt>
                <c:pt idx="3753">
                  <c:v>41010</c:v>
                </c:pt>
                <c:pt idx="3754">
                  <c:v>41011</c:v>
                </c:pt>
                <c:pt idx="3755">
                  <c:v>41012</c:v>
                </c:pt>
                <c:pt idx="3756">
                  <c:v>41013</c:v>
                </c:pt>
                <c:pt idx="3757">
                  <c:v>41014</c:v>
                </c:pt>
                <c:pt idx="3758">
                  <c:v>41015</c:v>
                </c:pt>
                <c:pt idx="3759">
                  <c:v>41016</c:v>
                </c:pt>
                <c:pt idx="3760">
                  <c:v>41017</c:v>
                </c:pt>
                <c:pt idx="3761">
                  <c:v>41018</c:v>
                </c:pt>
                <c:pt idx="3762">
                  <c:v>41019</c:v>
                </c:pt>
                <c:pt idx="3763">
                  <c:v>41020</c:v>
                </c:pt>
                <c:pt idx="3764">
                  <c:v>41021</c:v>
                </c:pt>
                <c:pt idx="3765">
                  <c:v>41022</c:v>
                </c:pt>
                <c:pt idx="3766">
                  <c:v>41023</c:v>
                </c:pt>
                <c:pt idx="3767">
                  <c:v>41024</c:v>
                </c:pt>
                <c:pt idx="3768">
                  <c:v>41025</c:v>
                </c:pt>
                <c:pt idx="3769">
                  <c:v>41026</c:v>
                </c:pt>
                <c:pt idx="3770">
                  <c:v>41027</c:v>
                </c:pt>
                <c:pt idx="3771">
                  <c:v>41028</c:v>
                </c:pt>
                <c:pt idx="3772">
                  <c:v>41029</c:v>
                </c:pt>
                <c:pt idx="3773">
                  <c:v>41030</c:v>
                </c:pt>
                <c:pt idx="3774">
                  <c:v>41031</c:v>
                </c:pt>
                <c:pt idx="3775">
                  <c:v>41032</c:v>
                </c:pt>
                <c:pt idx="3776">
                  <c:v>41033</c:v>
                </c:pt>
                <c:pt idx="3777">
                  <c:v>41034</c:v>
                </c:pt>
                <c:pt idx="3778">
                  <c:v>41035</c:v>
                </c:pt>
                <c:pt idx="3779">
                  <c:v>41036</c:v>
                </c:pt>
                <c:pt idx="3780">
                  <c:v>41037</c:v>
                </c:pt>
                <c:pt idx="3781">
                  <c:v>41038</c:v>
                </c:pt>
                <c:pt idx="3782">
                  <c:v>41039</c:v>
                </c:pt>
                <c:pt idx="3783">
                  <c:v>41040</c:v>
                </c:pt>
                <c:pt idx="3784">
                  <c:v>41041</c:v>
                </c:pt>
                <c:pt idx="3785">
                  <c:v>41042</c:v>
                </c:pt>
                <c:pt idx="3786">
                  <c:v>41043</c:v>
                </c:pt>
                <c:pt idx="3787">
                  <c:v>41044</c:v>
                </c:pt>
                <c:pt idx="3788">
                  <c:v>41045</c:v>
                </c:pt>
                <c:pt idx="3789">
                  <c:v>41046</c:v>
                </c:pt>
                <c:pt idx="3790">
                  <c:v>41047</c:v>
                </c:pt>
                <c:pt idx="3791">
                  <c:v>41048</c:v>
                </c:pt>
                <c:pt idx="3792">
                  <c:v>41049</c:v>
                </c:pt>
                <c:pt idx="3793">
                  <c:v>41050</c:v>
                </c:pt>
                <c:pt idx="3794">
                  <c:v>41051</c:v>
                </c:pt>
                <c:pt idx="3795">
                  <c:v>41052</c:v>
                </c:pt>
                <c:pt idx="3796">
                  <c:v>41053</c:v>
                </c:pt>
                <c:pt idx="3797">
                  <c:v>41054</c:v>
                </c:pt>
                <c:pt idx="3798">
                  <c:v>41055</c:v>
                </c:pt>
                <c:pt idx="3799">
                  <c:v>41056</c:v>
                </c:pt>
                <c:pt idx="3800">
                  <c:v>41057</c:v>
                </c:pt>
                <c:pt idx="3801">
                  <c:v>41058</c:v>
                </c:pt>
                <c:pt idx="3802">
                  <c:v>41059</c:v>
                </c:pt>
                <c:pt idx="3803">
                  <c:v>41060</c:v>
                </c:pt>
                <c:pt idx="3804">
                  <c:v>41061</c:v>
                </c:pt>
                <c:pt idx="3805">
                  <c:v>41062</c:v>
                </c:pt>
                <c:pt idx="3806">
                  <c:v>41063</c:v>
                </c:pt>
                <c:pt idx="3807">
                  <c:v>41064</c:v>
                </c:pt>
                <c:pt idx="3808">
                  <c:v>41065</c:v>
                </c:pt>
                <c:pt idx="3809">
                  <c:v>41066</c:v>
                </c:pt>
                <c:pt idx="3810">
                  <c:v>41067</c:v>
                </c:pt>
                <c:pt idx="3811">
                  <c:v>41068</c:v>
                </c:pt>
                <c:pt idx="3812">
                  <c:v>41069</c:v>
                </c:pt>
                <c:pt idx="3813">
                  <c:v>41070</c:v>
                </c:pt>
                <c:pt idx="3814">
                  <c:v>41071</c:v>
                </c:pt>
                <c:pt idx="3815">
                  <c:v>41072</c:v>
                </c:pt>
                <c:pt idx="3816">
                  <c:v>41073</c:v>
                </c:pt>
                <c:pt idx="3817">
                  <c:v>41074</c:v>
                </c:pt>
                <c:pt idx="3818">
                  <c:v>41075</c:v>
                </c:pt>
                <c:pt idx="3819">
                  <c:v>41076</c:v>
                </c:pt>
                <c:pt idx="3820">
                  <c:v>41077</c:v>
                </c:pt>
                <c:pt idx="3821">
                  <c:v>41078</c:v>
                </c:pt>
                <c:pt idx="3822">
                  <c:v>41079</c:v>
                </c:pt>
                <c:pt idx="3823">
                  <c:v>41080</c:v>
                </c:pt>
                <c:pt idx="3824">
                  <c:v>41081</c:v>
                </c:pt>
                <c:pt idx="3825">
                  <c:v>41082</c:v>
                </c:pt>
                <c:pt idx="3826">
                  <c:v>41083</c:v>
                </c:pt>
                <c:pt idx="3827">
                  <c:v>41084</c:v>
                </c:pt>
                <c:pt idx="3828">
                  <c:v>41085</c:v>
                </c:pt>
                <c:pt idx="3829">
                  <c:v>41086</c:v>
                </c:pt>
                <c:pt idx="3830">
                  <c:v>41087</c:v>
                </c:pt>
                <c:pt idx="3831">
                  <c:v>41088</c:v>
                </c:pt>
                <c:pt idx="3832">
                  <c:v>41089</c:v>
                </c:pt>
                <c:pt idx="3833">
                  <c:v>41090</c:v>
                </c:pt>
                <c:pt idx="3834">
                  <c:v>41091</c:v>
                </c:pt>
                <c:pt idx="3835">
                  <c:v>41092</c:v>
                </c:pt>
                <c:pt idx="3836">
                  <c:v>41093</c:v>
                </c:pt>
                <c:pt idx="3837">
                  <c:v>41094</c:v>
                </c:pt>
                <c:pt idx="3838">
                  <c:v>41095</c:v>
                </c:pt>
                <c:pt idx="3839">
                  <c:v>41096</c:v>
                </c:pt>
                <c:pt idx="3840">
                  <c:v>41097</c:v>
                </c:pt>
                <c:pt idx="3841">
                  <c:v>41098</c:v>
                </c:pt>
                <c:pt idx="3842">
                  <c:v>41099</c:v>
                </c:pt>
                <c:pt idx="3843">
                  <c:v>41100</c:v>
                </c:pt>
                <c:pt idx="3844">
                  <c:v>41101</c:v>
                </c:pt>
                <c:pt idx="3845">
                  <c:v>41102</c:v>
                </c:pt>
                <c:pt idx="3846">
                  <c:v>41103</c:v>
                </c:pt>
                <c:pt idx="3847">
                  <c:v>41104</c:v>
                </c:pt>
                <c:pt idx="3848">
                  <c:v>41105</c:v>
                </c:pt>
                <c:pt idx="3849">
                  <c:v>41106</c:v>
                </c:pt>
                <c:pt idx="3850">
                  <c:v>41107</c:v>
                </c:pt>
                <c:pt idx="3851">
                  <c:v>41108</c:v>
                </c:pt>
                <c:pt idx="3852">
                  <c:v>41109</c:v>
                </c:pt>
                <c:pt idx="3853">
                  <c:v>41110</c:v>
                </c:pt>
                <c:pt idx="3854">
                  <c:v>41111</c:v>
                </c:pt>
                <c:pt idx="3855">
                  <c:v>41112</c:v>
                </c:pt>
                <c:pt idx="3856">
                  <c:v>41113</c:v>
                </c:pt>
                <c:pt idx="3857">
                  <c:v>41114</c:v>
                </c:pt>
                <c:pt idx="3858">
                  <c:v>41115</c:v>
                </c:pt>
                <c:pt idx="3859">
                  <c:v>41116</c:v>
                </c:pt>
                <c:pt idx="3860">
                  <c:v>41117</c:v>
                </c:pt>
                <c:pt idx="3861">
                  <c:v>41118</c:v>
                </c:pt>
                <c:pt idx="3862">
                  <c:v>41119</c:v>
                </c:pt>
                <c:pt idx="3863">
                  <c:v>41120</c:v>
                </c:pt>
                <c:pt idx="3864">
                  <c:v>41121</c:v>
                </c:pt>
                <c:pt idx="3865">
                  <c:v>41122</c:v>
                </c:pt>
                <c:pt idx="3866">
                  <c:v>41123</c:v>
                </c:pt>
                <c:pt idx="3867">
                  <c:v>41124</c:v>
                </c:pt>
                <c:pt idx="3868">
                  <c:v>41125</c:v>
                </c:pt>
                <c:pt idx="3869">
                  <c:v>41126</c:v>
                </c:pt>
                <c:pt idx="3870">
                  <c:v>41127</c:v>
                </c:pt>
                <c:pt idx="3871">
                  <c:v>41128</c:v>
                </c:pt>
                <c:pt idx="3872">
                  <c:v>41129</c:v>
                </c:pt>
                <c:pt idx="3873">
                  <c:v>41130</c:v>
                </c:pt>
                <c:pt idx="3874">
                  <c:v>41131</c:v>
                </c:pt>
                <c:pt idx="3875">
                  <c:v>41132</c:v>
                </c:pt>
                <c:pt idx="3876">
                  <c:v>41133</c:v>
                </c:pt>
                <c:pt idx="3877">
                  <c:v>41134</c:v>
                </c:pt>
                <c:pt idx="3878">
                  <c:v>41135</c:v>
                </c:pt>
                <c:pt idx="3879">
                  <c:v>41136</c:v>
                </c:pt>
                <c:pt idx="3880">
                  <c:v>41137</c:v>
                </c:pt>
                <c:pt idx="3881">
                  <c:v>41138</c:v>
                </c:pt>
                <c:pt idx="3882">
                  <c:v>41139</c:v>
                </c:pt>
                <c:pt idx="3883">
                  <c:v>41140</c:v>
                </c:pt>
                <c:pt idx="3884">
                  <c:v>41141</c:v>
                </c:pt>
                <c:pt idx="3885">
                  <c:v>41142</c:v>
                </c:pt>
                <c:pt idx="3886">
                  <c:v>41143</c:v>
                </c:pt>
                <c:pt idx="3887">
                  <c:v>41144</c:v>
                </c:pt>
                <c:pt idx="3888">
                  <c:v>41145</c:v>
                </c:pt>
                <c:pt idx="3889">
                  <c:v>41146</c:v>
                </c:pt>
                <c:pt idx="3890">
                  <c:v>41147</c:v>
                </c:pt>
                <c:pt idx="3891">
                  <c:v>41148</c:v>
                </c:pt>
                <c:pt idx="3892">
                  <c:v>41149</c:v>
                </c:pt>
                <c:pt idx="3893">
                  <c:v>41150</c:v>
                </c:pt>
                <c:pt idx="3894">
                  <c:v>41151</c:v>
                </c:pt>
                <c:pt idx="3895">
                  <c:v>41152</c:v>
                </c:pt>
                <c:pt idx="3896">
                  <c:v>41153</c:v>
                </c:pt>
                <c:pt idx="3897">
                  <c:v>41154</c:v>
                </c:pt>
                <c:pt idx="3898">
                  <c:v>41155</c:v>
                </c:pt>
                <c:pt idx="3899">
                  <c:v>41156</c:v>
                </c:pt>
                <c:pt idx="3900">
                  <c:v>41157</c:v>
                </c:pt>
                <c:pt idx="3901">
                  <c:v>41158</c:v>
                </c:pt>
                <c:pt idx="3902">
                  <c:v>41159</c:v>
                </c:pt>
                <c:pt idx="3903">
                  <c:v>41160</c:v>
                </c:pt>
                <c:pt idx="3904">
                  <c:v>41161</c:v>
                </c:pt>
                <c:pt idx="3905">
                  <c:v>41162</c:v>
                </c:pt>
                <c:pt idx="3906">
                  <c:v>41163</c:v>
                </c:pt>
                <c:pt idx="3907">
                  <c:v>41164</c:v>
                </c:pt>
                <c:pt idx="3908">
                  <c:v>41165</c:v>
                </c:pt>
                <c:pt idx="3909">
                  <c:v>41166</c:v>
                </c:pt>
                <c:pt idx="3910">
                  <c:v>41167</c:v>
                </c:pt>
                <c:pt idx="3911">
                  <c:v>41168</c:v>
                </c:pt>
                <c:pt idx="3912">
                  <c:v>41169</c:v>
                </c:pt>
                <c:pt idx="3913">
                  <c:v>41170</c:v>
                </c:pt>
                <c:pt idx="3914">
                  <c:v>41171</c:v>
                </c:pt>
                <c:pt idx="3915">
                  <c:v>41172</c:v>
                </c:pt>
                <c:pt idx="3916">
                  <c:v>41173</c:v>
                </c:pt>
                <c:pt idx="3917">
                  <c:v>41174</c:v>
                </c:pt>
                <c:pt idx="3918">
                  <c:v>41175</c:v>
                </c:pt>
                <c:pt idx="3919">
                  <c:v>41176</c:v>
                </c:pt>
                <c:pt idx="3920">
                  <c:v>41177</c:v>
                </c:pt>
                <c:pt idx="3921">
                  <c:v>41178</c:v>
                </c:pt>
                <c:pt idx="3922">
                  <c:v>41179</c:v>
                </c:pt>
                <c:pt idx="3923">
                  <c:v>41180</c:v>
                </c:pt>
                <c:pt idx="3924">
                  <c:v>41181</c:v>
                </c:pt>
                <c:pt idx="3925">
                  <c:v>41182</c:v>
                </c:pt>
                <c:pt idx="3926">
                  <c:v>41183</c:v>
                </c:pt>
                <c:pt idx="3927">
                  <c:v>41184</c:v>
                </c:pt>
                <c:pt idx="3928">
                  <c:v>41185</c:v>
                </c:pt>
                <c:pt idx="3929">
                  <c:v>41186</c:v>
                </c:pt>
                <c:pt idx="3930">
                  <c:v>41187</c:v>
                </c:pt>
                <c:pt idx="3931">
                  <c:v>41188</c:v>
                </c:pt>
                <c:pt idx="3932">
                  <c:v>41189</c:v>
                </c:pt>
                <c:pt idx="3933">
                  <c:v>41190</c:v>
                </c:pt>
                <c:pt idx="3934">
                  <c:v>41191</c:v>
                </c:pt>
                <c:pt idx="3935">
                  <c:v>41192</c:v>
                </c:pt>
                <c:pt idx="3936">
                  <c:v>41193</c:v>
                </c:pt>
                <c:pt idx="3937">
                  <c:v>41194</c:v>
                </c:pt>
                <c:pt idx="3938">
                  <c:v>41195</c:v>
                </c:pt>
                <c:pt idx="3939">
                  <c:v>41196</c:v>
                </c:pt>
                <c:pt idx="3940">
                  <c:v>41197</c:v>
                </c:pt>
                <c:pt idx="3941">
                  <c:v>41198</c:v>
                </c:pt>
                <c:pt idx="3942">
                  <c:v>41199</c:v>
                </c:pt>
                <c:pt idx="3943">
                  <c:v>41200</c:v>
                </c:pt>
                <c:pt idx="3944">
                  <c:v>41201</c:v>
                </c:pt>
                <c:pt idx="3945">
                  <c:v>41202</c:v>
                </c:pt>
                <c:pt idx="3946">
                  <c:v>41203</c:v>
                </c:pt>
                <c:pt idx="3947">
                  <c:v>41204</c:v>
                </c:pt>
                <c:pt idx="3948">
                  <c:v>41205</c:v>
                </c:pt>
                <c:pt idx="3949">
                  <c:v>41206</c:v>
                </c:pt>
                <c:pt idx="3950">
                  <c:v>41207</c:v>
                </c:pt>
                <c:pt idx="3951">
                  <c:v>41208</c:v>
                </c:pt>
                <c:pt idx="3952">
                  <c:v>41209</c:v>
                </c:pt>
                <c:pt idx="3953">
                  <c:v>41210</c:v>
                </c:pt>
                <c:pt idx="3954">
                  <c:v>41211</c:v>
                </c:pt>
                <c:pt idx="3955">
                  <c:v>41212</c:v>
                </c:pt>
                <c:pt idx="3956">
                  <c:v>41213</c:v>
                </c:pt>
                <c:pt idx="3957">
                  <c:v>41214</c:v>
                </c:pt>
                <c:pt idx="3958">
                  <c:v>41215</c:v>
                </c:pt>
                <c:pt idx="3959">
                  <c:v>41216</c:v>
                </c:pt>
                <c:pt idx="3960">
                  <c:v>41217</c:v>
                </c:pt>
                <c:pt idx="3961">
                  <c:v>41218</c:v>
                </c:pt>
                <c:pt idx="3962">
                  <c:v>41219</c:v>
                </c:pt>
                <c:pt idx="3963">
                  <c:v>41220</c:v>
                </c:pt>
                <c:pt idx="3964">
                  <c:v>41221</c:v>
                </c:pt>
                <c:pt idx="3965">
                  <c:v>41222</c:v>
                </c:pt>
                <c:pt idx="3966">
                  <c:v>41223</c:v>
                </c:pt>
                <c:pt idx="3967">
                  <c:v>41224</c:v>
                </c:pt>
                <c:pt idx="3968">
                  <c:v>41225</c:v>
                </c:pt>
                <c:pt idx="3969">
                  <c:v>41226</c:v>
                </c:pt>
                <c:pt idx="3970">
                  <c:v>41227</c:v>
                </c:pt>
                <c:pt idx="3971">
                  <c:v>41228</c:v>
                </c:pt>
                <c:pt idx="3972">
                  <c:v>41229</c:v>
                </c:pt>
                <c:pt idx="3973">
                  <c:v>41230</c:v>
                </c:pt>
                <c:pt idx="3974">
                  <c:v>41231</c:v>
                </c:pt>
                <c:pt idx="3975">
                  <c:v>41232</c:v>
                </c:pt>
                <c:pt idx="3976">
                  <c:v>41233</c:v>
                </c:pt>
                <c:pt idx="3977">
                  <c:v>41234</c:v>
                </c:pt>
                <c:pt idx="3978">
                  <c:v>41235</c:v>
                </c:pt>
                <c:pt idx="3979">
                  <c:v>41236</c:v>
                </c:pt>
                <c:pt idx="3980">
                  <c:v>41237</c:v>
                </c:pt>
                <c:pt idx="3981">
                  <c:v>41238</c:v>
                </c:pt>
                <c:pt idx="3982">
                  <c:v>41239</c:v>
                </c:pt>
                <c:pt idx="3983">
                  <c:v>41240</c:v>
                </c:pt>
                <c:pt idx="3984">
                  <c:v>41241</c:v>
                </c:pt>
                <c:pt idx="3985">
                  <c:v>41242</c:v>
                </c:pt>
                <c:pt idx="3986">
                  <c:v>41243</c:v>
                </c:pt>
                <c:pt idx="3987">
                  <c:v>41244</c:v>
                </c:pt>
                <c:pt idx="3988">
                  <c:v>41245</c:v>
                </c:pt>
                <c:pt idx="3989">
                  <c:v>41246</c:v>
                </c:pt>
                <c:pt idx="3990">
                  <c:v>41247</c:v>
                </c:pt>
                <c:pt idx="3991">
                  <c:v>41248</c:v>
                </c:pt>
                <c:pt idx="3992">
                  <c:v>41249</c:v>
                </c:pt>
                <c:pt idx="3993">
                  <c:v>41250</c:v>
                </c:pt>
                <c:pt idx="3994">
                  <c:v>41251</c:v>
                </c:pt>
                <c:pt idx="3995">
                  <c:v>41252</c:v>
                </c:pt>
                <c:pt idx="3996">
                  <c:v>41253</c:v>
                </c:pt>
                <c:pt idx="3997">
                  <c:v>41254</c:v>
                </c:pt>
                <c:pt idx="3998">
                  <c:v>41255</c:v>
                </c:pt>
                <c:pt idx="3999">
                  <c:v>41256</c:v>
                </c:pt>
                <c:pt idx="4000">
                  <c:v>41257</c:v>
                </c:pt>
                <c:pt idx="4001">
                  <c:v>41258</c:v>
                </c:pt>
                <c:pt idx="4002">
                  <c:v>41259</c:v>
                </c:pt>
                <c:pt idx="4003">
                  <c:v>41260</c:v>
                </c:pt>
                <c:pt idx="4004">
                  <c:v>41261</c:v>
                </c:pt>
                <c:pt idx="4005">
                  <c:v>41262</c:v>
                </c:pt>
                <c:pt idx="4006">
                  <c:v>41263</c:v>
                </c:pt>
                <c:pt idx="4007">
                  <c:v>41264</c:v>
                </c:pt>
                <c:pt idx="4008">
                  <c:v>41265</c:v>
                </c:pt>
                <c:pt idx="4009">
                  <c:v>41266</c:v>
                </c:pt>
                <c:pt idx="4010">
                  <c:v>41267</c:v>
                </c:pt>
                <c:pt idx="4011">
                  <c:v>41268</c:v>
                </c:pt>
                <c:pt idx="4012">
                  <c:v>41269</c:v>
                </c:pt>
                <c:pt idx="4013">
                  <c:v>41270</c:v>
                </c:pt>
                <c:pt idx="4014">
                  <c:v>41271</c:v>
                </c:pt>
                <c:pt idx="4015">
                  <c:v>41272</c:v>
                </c:pt>
                <c:pt idx="4016">
                  <c:v>41273</c:v>
                </c:pt>
                <c:pt idx="4017">
                  <c:v>41274</c:v>
                </c:pt>
                <c:pt idx="4018">
                  <c:v>41275</c:v>
                </c:pt>
                <c:pt idx="4019">
                  <c:v>41276</c:v>
                </c:pt>
                <c:pt idx="4020">
                  <c:v>41277</c:v>
                </c:pt>
                <c:pt idx="4021">
                  <c:v>41278</c:v>
                </c:pt>
                <c:pt idx="4022">
                  <c:v>41279</c:v>
                </c:pt>
                <c:pt idx="4023">
                  <c:v>41280</c:v>
                </c:pt>
                <c:pt idx="4024">
                  <c:v>41281</c:v>
                </c:pt>
                <c:pt idx="4025">
                  <c:v>41282</c:v>
                </c:pt>
                <c:pt idx="4026">
                  <c:v>41283</c:v>
                </c:pt>
                <c:pt idx="4027">
                  <c:v>41284</c:v>
                </c:pt>
                <c:pt idx="4028">
                  <c:v>41285</c:v>
                </c:pt>
                <c:pt idx="4029">
                  <c:v>41286</c:v>
                </c:pt>
                <c:pt idx="4030">
                  <c:v>41287</c:v>
                </c:pt>
                <c:pt idx="4031">
                  <c:v>41288</c:v>
                </c:pt>
                <c:pt idx="4032">
                  <c:v>41289</c:v>
                </c:pt>
                <c:pt idx="4033">
                  <c:v>41290</c:v>
                </c:pt>
                <c:pt idx="4034">
                  <c:v>41291</c:v>
                </c:pt>
                <c:pt idx="4035">
                  <c:v>41292</c:v>
                </c:pt>
                <c:pt idx="4036">
                  <c:v>41293</c:v>
                </c:pt>
                <c:pt idx="4037">
                  <c:v>41294</c:v>
                </c:pt>
                <c:pt idx="4038">
                  <c:v>41295</c:v>
                </c:pt>
                <c:pt idx="4039">
                  <c:v>41296</c:v>
                </c:pt>
                <c:pt idx="4040">
                  <c:v>41297</c:v>
                </c:pt>
                <c:pt idx="4041">
                  <c:v>41298</c:v>
                </c:pt>
                <c:pt idx="4042">
                  <c:v>41299</c:v>
                </c:pt>
                <c:pt idx="4043">
                  <c:v>41300</c:v>
                </c:pt>
                <c:pt idx="4044">
                  <c:v>41301</c:v>
                </c:pt>
                <c:pt idx="4045">
                  <c:v>41302</c:v>
                </c:pt>
                <c:pt idx="4046">
                  <c:v>41303</c:v>
                </c:pt>
                <c:pt idx="4047">
                  <c:v>41304</c:v>
                </c:pt>
                <c:pt idx="4048">
                  <c:v>41305</c:v>
                </c:pt>
                <c:pt idx="4049">
                  <c:v>41306</c:v>
                </c:pt>
                <c:pt idx="4050">
                  <c:v>41307</c:v>
                </c:pt>
                <c:pt idx="4051">
                  <c:v>41308</c:v>
                </c:pt>
                <c:pt idx="4052">
                  <c:v>41309</c:v>
                </c:pt>
                <c:pt idx="4053">
                  <c:v>41310</c:v>
                </c:pt>
                <c:pt idx="4054">
                  <c:v>41311</c:v>
                </c:pt>
                <c:pt idx="4055">
                  <c:v>41312</c:v>
                </c:pt>
                <c:pt idx="4056">
                  <c:v>41313</c:v>
                </c:pt>
                <c:pt idx="4057">
                  <c:v>41314</c:v>
                </c:pt>
                <c:pt idx="4058">
                  <c:v>41315</c:v>
                </c:pt>
                <c:pt idx="4059">
                  <c:v>41316</c:v>
                </c:pt>
                <c:pt idx="4060">
                  <c:v>41317</c:v>
                </c:pt>
                <c:pt idx="4061">
                  <c:v>41318</c:v>
                </c:pt>
                <c:pt idx="4062">
                  <c:v>41319</c:v>
                </c:pt>
                <c:pt idx="4063">
                  <c:v>41320</c:v>
                </c:pt>
                <c:pt idx="4064">
                  <c:v>41321</c:v>
                </c:pt>
                <c:pt idx="4065">
                  <c:v>41322</c:v>
                </c:pt>
                <c:pt idx="4066">
                  <c:v>41323</c:v>
                </c:pt>
                <c:pt idx="4067">
                  <c:v>41324</c:v>
                </c:pt>
                <c:pt idx="4068">
                  <c:v>41325</c:v>
                </c:pt>
                <c:pt idx="4069">
                  <c:v>41326</c:v>
                </c:pt>
                <c:pt idx="4070">
                  <c:v>41327</c:v>
                </c:pt>
                <c:pt idx="4071">
                  <c:v>41328</c:v>
                </c:pt>
                <c:pt idx="4072">
                  <c:v>41329</c:v>
                </c:pt>
                <c:pt idx="4073">
                  <c:v>41330</c:v>
                </c:pt>
                <c:pt idx="4074">
                  <c:v>41331</c:v>
                </c:pt>
                <c:pt idx="4075">
                  <c:v>41332</c:v>
                </c:pt>
                <c:pt idx="4076">
                  <c:v>41333</c:v>
                </c:pt>
                <c:pt idx="4077">
                  <c:v>41334</c:v>
                </c:pt>
                <c:pt idx="4078">
                  <c:v>41335</c:v>
                </c:pt>
                <c:pt idx="4079">
                  <c:v>41336</c:v>
                </c:pt>
                <c:pt idx="4080">
                  <c:v>41337</c:v>
                </c:pt>
                <c:pt idx="4081">
                  <c:v>41338</c:v>
                </c:pt>
                <c:pt idx="4082">
                  <c:v>41339</c:v>
                </c:pt>
                <c:pt idx="4083">
                  <c:v>41340</c:v>
                </c:pt>
                <c:pt idx="4084">
                  <c:v>41341</c:v>
                </c:pt>
                <c:pt idx="4085">
                  <c:v>41342</c:v>
                </c:pt>
                <c:pt idx="4086">
                  <c:v>41343</c:v>
                </c:pt>
                <c:pt idx="4087">
                  <c:v>41344</c:v>
                </c:pt>
                <c:pt idx="4088">
                  <c:v>41345</c:v>
                </c:pt>
                <c:pt idx="4089">
                  <c:v>41346</c:v>
                </c:pt>
                <c:pt idx="4090">
                  <c:v>41347</c:v>
                </c:pt>
                <c:pt idx="4091">
                  <c:v>41348</c:v>
                </c:pt>
                <c:pt idx="4092">
                  <c:v>41349</c:v>
                </c:pt>
                <c:pt idx="4093">
                  <c:v>41350</c:v>
                </c:pt>
                <c:pt idx="4094">
                  <c:v>41351</c:v>
                </c:pt>
                <c:pt idx="4095">
                  <c:v>41352</c:v>
                </c:pt>
                <c:pt idx="4096">
                  <c:v>41353</c:v>
                </c:pt>
                <c:pt idx="4097">
                  <c:v>41354</c:v>
                </c:pt>
                <c:pt idx="4098">
                  <c:v>41355</c:v>
                </c:pt>
                <c:pt idx="4099">
                  <c:v>41356</c:v>
                </c:pt>
                <c:pt idx="4100">
                  <c:v>41357</c:v>
                </c:pt>
                <c:pt idx="4101">
                  <c:v>41358</c:v>
                </c:pt>
                <c:pt idx="4102">
                  <c:v>41359</c:v>
                </c:pt>
                <c:pt idx="4103">
                  <c:v>41360</c:v>
                </c:pt>
                <c:pt idx="4104">
                  <c:v>41361</c:v>
                </c:pt>
                <c:pt idx="4105">
                  <c:v>41362</c:v>
                </c:pt>
                <c:pt idx="4106">
                  <c:v>41363</c:v>
                </c:pt>
                <c:pt idx="4107">
                  <c:v>41364</c:v>
                </c:pt>
                <c:pt idx="4108">
                  <c:v>41365</c:v>
                </c:pt>
                <c:pt idx="4109">
                  <c:v>41366</c:v>
                </c:pt>
                <c:pt idx="4110">
                  <c:v>41367</c:v>
                </c:pt>
                <c:pt idx="4111">
                  <c:v>41368</c:v>
                </c:pt>
                <c:pt idx="4112">
                  <c:v>41369</c:v>
                </c:pt>
                <c:pt idx="4113">
                  <c:v>41370</c:v>
                </c:pt>
                <c:pt idx="4114">
                  <c:v>41371</c:v>
                </c:pt>
                <c:pt idx="4115">
                  <c:v>41372</c:v>
                </c:pt>
                <c:pt idx="4116">
                  <c:v>41373</c:v>
                </c:pt>
                <c:pt idx="4117">
                  <c:v>41374</c:v>
                </c:pt>
                <c:pt idx="4118">
                  <c:v>41375</c:v>
                </c:pt>
                <c:pt idx="4119">
                  <c:v>41376</c:v>
                </c:pt>
                <c:pt idx="4120">
                  <c:v>41377</c:v>
                </c:pt>
                <c:pt idx="4121">
                  <c:v>41378</c:v>
                </c:pt>
                <c:pt idx="4122">
                  <c:v>41379</c:v>
                </c:pt>
                <c:pt idx="4123">
                  <c:v>41380</c:v>
                </c:pt>
                <c:pt idx="4124">
                  <c:v>41381</c:v>
                </c:pt>
                <c:pt idx="4125">
                  <c:v>41382</c:v>
                </c:pt>
                <c:pt idx="4126">
                  <c:v>41383</c:v>
                </c:pt>
                <c:pt idx="4127">
                  <c:v>41384</c:v>
                </c:pt>
                <c:pt idx="4128">
                  <c:v>41385</c:v>
                </c:pt>
                <c:pt idx="4129">
                  <c:v>41386</c:v>
                </c:pt>
                <c:pt idx="4130">
                  <c:v>41387</c:v>
                </c:pt>
                <c:pt idx="4131">
                  <c:v>41388</c:v>
                </c:pt>
                <c:pt idx="4132">
                  <c:v>41389</c:v>
                </c:pt>
                <c:pt idx="4133">
                  <c:v>41390</c:v>
                </c:pt>
                <c:pt idx="4134">
                  <c:v>41391</c:v>
                </c:pt>
                <c:pt idx="4135">
                  <c:v>41392</c:v>
                </c:pt>
                <c:pt idx="4136">
                  <c:v>41393</c:v>
                </c:pt>
                <c:pt idx="4137">
                  <c:v>41394</c:v>
                </c:pt>
                <c:pt idx="4138">
                  <c:v>41395</c:v>
                </c:pt>
                <c:pt idx="4139">
                  <c:v>41396</c:v>
                </c:pt>
                <c:pt idx="4140">
                  <c:v>41397</c:v>
                </c:pt>
                <c:pt idx="4141">
                  <c:v>41398</c:v>
                </c:pt>
                <c:pt idx="4142">
                  <c:v>41399</c:v>
                </c:pt>
                <c:pt idx="4143">
                  <c:v>41400</c:v>
                </c:pt>
                <c:pt idx="4144">
                  <c:v>41401</c:v>
                </c:pt>
                <c:pt idx="4145">
                  <c:v>41402</c:v>
                </c:pt>
                <c:pt idx="4146">
                  <c:v>41403</c:v>
                </c:pt>
                <c:pt idx="4147">
                  <c:v>41404</c:v>
                </c:pt>
                <c:pt idx="4148">
                  <c:v>41405</c:v>
                </c:pt>
                <c:pt idx="4149">
                  <c:v>41406</c:v>
                </c:pt>
                <c:pt idx="4150">
                  <c:v>41407</c:v>
                </c:pt>
                <c:pt idx="4151">
                  <c:v>41408</c:v>
                </c:pt>
                <c:pt idx="4152">
                  <c:v>41409</c:v>
                </c:pt>
                <c:pt idx="4153">
                  <c:v>41410</c:v>
                </c:pt>
                <c:pt idx="4154">
                  <c:v>41411</c:v>
                </c:pt>
                <c:pt idx="4155">
                  <c:v>41412</c:v>
                </c:pt>
                <c:pt idx="4156">
                  <c:v>41413</c:v>
                </c:pt>
                <c:pt idx="4157">
                  <c:v>41414</c:v>
                </c:pt>
                <c:pt idx="4158">
                  <c:v>41415</c:v>
                </c:pt>
                <c:pt idx="4159">
                  <c:v>41416</c:v>
                </c:pt>
                <c:pt idx="4160">
                  <c:v>41417</c:v>
                </c:pt>
                <c:pt idx="4161">
                  <c:v>41418</c:v>
                </c:pt>
                <c:pt idx="4162">
                  <c:v>41419</c:v>
                </c:pt>
                <c:pt idx="4163">
                  <c:v>41420</c:v>
                </c:pt>
                <c:pt idx="4164">
                  <c:v>41421</c:v>
                </c:pt>
                <c:pt idx="4165">
                  <c:v>41422</c:v>
                </c:pt>
                <c:pt idx="4166">
                  <c:v>41423</c:v>
                </c:pt>
                <c:pt idx="4167">
                  <c:v>41424</c:v>
                </c:pt>
                <c:pt idx="4168">
                  <c:v>41425</c:v>
                </c:pt>
                <c:pt idx="4169">
                  <c:v>41426</c:v>
                </c:pt>
                <c:pt idx="4170">
                  <c:v>41427</c:v>
                </c:pt>
                <c:pt idx="4171">
                  <c:v>41428</c:v>
                </c:pt>
                <c:pt idx="4172">
                  <c:v>41429</c:v>
                </c:pt>
                <c:pt idx="4173">
                  <c:v>41430</c:v>
                </c:pt>
                <c:pt idx="4174">
                  <c:v>41431</c:v>
                </c:pt>
                <c:pt idx="4175">
                  <c:v>41432</c:v>
                </c:pt>
                <c:pt idx="4176">
                  <c:v>41433</c:v>
                </c:pt>
                <c:pt idx="4177">
                  <c:v>41434</c:v>
                </c:pt>
                <c:pt idx="4178">
                  <c:v>41435</c:v>
                </c:pt>
                <c:pt idx="4179">
                  <c:v>41436</c:v>
                </c:pt>
                <c:pt idx="4180">
                  <c:v>41437</c:v>
                </c:pt>
                <c:pt idx="4181">
                  <c:v>41438</c:v>
                </c:pt>
                <c:pt idx="4182">
                  <c:v>41439</c:v>
                </c:pt>
                <c:pt idx="4183">
                  <c:v>41440</c:v>
                </c:pt>
                <c:pt idx="4184">
                  <c:v>41441</c:v>
                </c:pt>
                <c:pt idx="4185">
                  <c:v>41442</c:v>
                </c:pt>
                <c:pt idx="4186">
                  <c:v>41443</c:v>
                </c:pt>
                <c:pt idx="4187">
                  <c:v>41444</c:v>
                </c:pt>
                <c:pt idx="4188">
                  <c:v>41445</c:v>
                </c:pt>
                <c:pt idx="4189">
                  <c:v>41446</c:v>
                </c:pt>
                <c:pt idx="4190">
                  <c:v>41447</c:v>
                </c:pt>
                <c:pt idx="4191">
                  <c:v>41448</c:v>
                </c:pt>
                <c:pt idx="4192">
                  <c:v>41449</c:v>
                </c:pt>
                <c:pt idx="4193">
                  <c:v>41450</c:v>
                </c:pt>
                <c:pt idx="4194">
                  <c:v>41451</c:v>
                </c:pt>
                <c:pt idx="4195">
                  <c:v>41452</c:v>
                </c:pt>
                <c:pt idx="4196">
                  <c:v>41453</c:v>
                </c:pt>
                <c:pt idx="4197">
                  <c:v>41454</c:v>
                </c:pt>
                <c:pt idx="4198">
                  <c:v>41455</c:v>
                </c:pt>
                <c:pt idx="4199">
                  <c:v>41456</c:v>
                </c:pt>
                <c:pt idx="4200">
                  <c:v>41457</c:v>
                </c:pt>
                <c:pt idx="4201">
                  <c:v>41458</c:v>
                </c:pt>
                <c:pt idx="4202">
                  <c:v>41459</c:v>
                </c:pt>
                <c:pt idx="4203">
                  <c:v>41460</c:v>
                </c:pt>
                <c:pt idx="4204">
                  <c:v>41461</c:v>
                </c:pt>
                <c:pt idx="4205">
                  <c:v>41462</c:v>
                </c:pt>
                <c:pt idx="4206">
                  <c:v>41463</c:v>
                </c:pt>
                <c:pt idx="4207">
                  <c:v>41464</c:v>
                </c:pt>
                <c:pt idx="4208">
                  <c:v>41465</c:v>
                </c:pt>
                <c:pt idx="4209">
                  <c:v>41466</c:v>
                </c:pt>
                <c:pt idx="4210">
                  <c:v>41467</c:v>
                </c:pt>
                <c:pt idx="4211">
                  <c:v>41468</c:v>
                </c:pt>
                <c:pt idx="4212">
                  <c:v>41469</c:v>
                </c:pt>
                <c:pt idx="4213">
                  <c:v>41470</c:v>
                </c:pt>
                <c:pt idx="4214">
                  <c:v>41471</c:v>
                </c:pt>
                <c:pt idx="4215">
                  <c:v>41472</c:v>
                </c:pt>
                <c:pt idx="4216">
                  <c:v>41473</c:v>
                </c:pt>
                <c:pt idx="4217">
                  <c:v>41474</c:v>
                </c:pt>
                <c:pt idx="4218">
                  <c:v>41475</c:v>
                </c:pt>
                <c:pt idx="4219">
                  <c:v>41476</c:v>
                </c:pt>
                <c:pt idx="4220">
                  <c:v>41477</c:v>
                </c:pt>
                <c:pt idx="4221">
                  <c:v>41478</c:v>
                </c:pt>
                <c:pt idx="4222">
                  <c:v>41479</c:v>
                </c:pt>
                <c:pt idx="4223">
                  <c:v>41480</c:v>
                </c:pt>
                <c:pt idx="4224">
                  <c:v>41481</c:v>
                </c:pt>
                <c:pt idx="4225">
                  <c:v>41482</c:v>
                </c:pt>
                <c:pt idx="4226">
                  <c:v>41483</c:v>
                </c:pt>
                <c:pt idx="4227">
                  <c:v>41484</c:v>
                </c:pt>
                <c:pt idx="4228">
                  <c:v>41485</c:v>
                </c:pt>
                <c:pt idx="4229">
                  <c:v>41486</c:v>
                </c:pt>
                <c:pt idx="4230">
                  <c:v>41487</c:v>
                </c:pt>
                <c:pt idx="4231">
                  <c:v>41488</c:v>
                </c:pt>
                <c:pt idx="4232">
                  <c:v>41489</c:v>
                </c:pt>
                <c:pt idx="4233">
                  <c:v>41490</c:v>
                </c:pt>
                <c:pt idx="4234">
                  <c:v>41491</c:v>
                </c:pt>
                <c:pt idx="4235">
                  <c:v>41492</c:v>
                </c:pt>
                <c:pt idx="4236">
                  <c:v>41493</c:v>
                </c:pt>
                <c:pt idx="4237">
                  <c:v>41494</c:v>
                </c:pt>
                <c:pt idx="4238">
                  <c:v>41495</c:v>
                </c:pt>
                <c:pt idx="4239">
                  <c:v>41496</c:v>
                </c:pt>
                <c:pt idx="4240">
                  <c:v>41497</c:v>
                </c:pt>
                <c:pt idx="4241">
                  <c:v>41498</c:v>
                </c:pt>
                <c:pt idx="4242">
                  <c:v>41499</c:v>
                </c:pt>
                <c:pt idx="4243">
                  <c:v>41500</c:v>
                </c:pt>
                <c:pt idx="4244">
                  <c:v>41501</c:v>
                </c:pt>
                <c:pt idx="4245">
                  <c:v>41502</c:v>
                </c:pt>
                <c:pt idx="4246">
                  <c:v>41503</c:v>
                </c:pt>
                <c:pt idx="4247">
                  <c:v>41504</c:v>
                </c:pt>
                <c:pt idx="4248">
                  <c:v>41505</c:v>
                </c:pt>
                <c:pt idx="4249">
                  <c:v>41506</c:v>
                </c:pt>
                <c:pt idx="4250">
                  <c:v>41507</c:v>
                </c:pt>
                <c:pt idx="4251">
                  <c:v>41508</c:v>
                </c:pt>
                <c:pt idx="4252">
                  <c:v>41509</c:v>
                </c:pt>
                <c:pt idx="4253">
                  <c:v>41510</c:v>
                </c:pt>
                <c:pt idx="4254">
                  <c:v>41511</c:v>
                </c:pt>
                <c:pt idx="4255">
                  <c:v>41512</c:v>
                </c:pt>
                <c:pt idx="4256">
                  <c:v>41513</c:v>
                </c:pt>
                <c:pt idx="4257">
                  <c:v>41514</c:v>
                </c:pt>
                <c:pt idx="4258">
                  <c:v>41515</c:v>
                </c:pt>
                <c:pt idx="4259">
                  <c:v>41516</c:v>
                </c:pt>
                <c:pt idx="4260">
                  <c:v>41517</c:v>
                </c:pt>
                <c:pt idx="4261">
                  <c:v>41518</c:v>
                </c:pt>
                <c:pt idx="4262">
                  <c:v>41519</c:v>
                </c:pt>
                <c:pt idx="4263">
                  <c:v>41520</c:v>
                </c:pt>
                <c:pt idx="4264">
                  <c:v>41521</c:v>
                </c:pt>
                <c:pt idx="4265">
                  <c:v>41522</c:v>
                </c:pt>
                <c:pt idx="4266">
                  <c:v>41523</c:v>
                </c:pt>
                <c:pt idx="4267">
                  <c:v>41524</c:v>
                </c:pt>
                <c:pt idx="4268">
                  <c:v>41525</c:v>
                </c:pt>
                <c:pt idx="4269">
                  <c:v>41526</c:v>
                </c:pt>
                <c:pt idx="4270">
                  <c:v>41527</c:v>
                </c:pt>
                <c:pt idx="4271">
                  <c:v>41528</c:v>
                </c:pt>
                <c:pt idx="4272">
                  <c:v>41529</c:v>
                </c:pt>
                <c:pt idx="4273">
                  <c:v>41530</c:v>
                </c:pt>
                <c:pt idx="4274">
                  <c:v>41531</c:v>
                </c:pt>
                <c:pt idx="4275">
                  <c:v>41532</c:v>
                </c:pt>
                <c:pt idx="4276">
                  <c:v>41533</c:v>
                </c:pt>
                <c:pt idx="4277">
                  <c:v>41534</c:v>
                </c:pt>
                <c:pt idx="4278">
                  <c:v>41535</c:v>
                </c:pt>
                <c:pt idx="4279">
                  <c:v>41536</c:v>
                </c:pt>
                <c:pt idx="4280">
                  <c:v>41537</c:v>
                </c:pt>
                <c:pt idx="4281">
                  <c:v>41538</c:v>
                </c:pt>
                <c:pt idx="4282">
                  <c:v>41539</c:v>
                </c:pt>
                <c:pt idx="4283">
                  <c:v>41540</c:v>
                </c:pt>
                <c:pt idx="4284">
                  <c:v>41541</c:v>
                </c:pt>
                <c:pt idx="4285">
                  <c:v>41542</c:v>
                </c:pt>
                <c:pt idx="4286">
                  <c:v>41543</c:v>
                </c:pt>
                <c:pt idx="4287">
                  <c:v>41544</c:v>
                </c:pt>
                <c:pt idx="4288">
                  <c:v>41545</c:v>
                </c:pt>
                <c:pt idx="4289">
                  <c:v>41546</c:v>
                </c:pt>
                <c:pt idx="4290">
                  <c:v>41547</c:v>
                </c:pt>
                <c:pt idx="4291">
                  <c:v>41548</c:v>
                </c:pt>
                <c:pt idx="4292">
                  <c:v>41549</c:v>
                </c:pt>
                <c:pt idx="4293">
                  <c:v>41550</c:v>
                </c:pt>
                <c:pt idx="4294">
                  <c:v>41551</c:v>
                </c:pt>
                <c:pt idx="4295">
                  <c:v>41552</c:v>
                </c:pt>
                <c:pt idx="4296">
                  <c:v>41553</c:v>
                </c:pt>
                <c:pt idx="4297">
                  <c:v>41554</c:v>
                </c:pt>
                <c:pt idx="4298">
                  <c:v>41555</c:v>
                </c:pt>
                <c:pt idx="4299">
                  <c:v>41556</c:v>
                </c:pt>
                <c:pt idx="4300">
                  <c:v>41557</c:v>
                </c:pt>
                <c:pt idx="4301">
                  <c:v>41558</c:v>
                </c:pt>
                <c:pt idx="4302">
                  <c:v>41559</c:v>
                </c:pt>
                <c:pt idx="4303">
                  <c:v>41560</c:v>
                </c:pt>
                <c:pt idx="4304">
                  <c:v>41561</c:v>
                </c:pt>
                <c:pt idx="4305">
                  <c:v>41562</c:v>
                </c:pt>
                <c:pt idx="4306">
                  <c:v>41563</c:v>
                </c:pt>
                <c:pt idx="4307">
                  <c:v>41564</c:v>
                </c:pt>
                <c:pt idx="4308">
                  <c:v>41565</c:v>
                </c:pt>
                <c:pt idx="4309">
                  <c:v>41566</c:v>
                </c:pt>
                <c:pt idx="4310">
                  <c:v>41567</c:v>
                </c:pt>
                <c:pt idx="4311">
                  <c:v>41568</c:v>
                </c:pt>
                <c:pt idx="4312">
                  <c:v>41569</c:v>
                </c:pt>
                <c:pt idx="4313">
                  <c:v>41570</c:v>
                </c:pt>
                <c:pt idx="4314">
                  <c:v>41571</c:v>
                </c:pt>
                <c:pt idx="4315">
                  <c:v>41572</c:v>
                </c:pt>
                <c:pt idx="4316">
                  <c:v>41573</c:v>
                </c:pt>
                <c:pt idx="4317">
                  <c:v>41574</c:v>
                </c:pt>
                <c:pt idx="4318">
                  <c:v>41575</c:v>
                </c:pt>
                <c:pt idx="4319">
                  <c:v>41576</c:v>
                </c:pt>
                <c:pt idx="4320">
                  <c:v>41577</c:v>
                </c:pt>
                <c:pt idx="4321">
                  <c:v>41578</c:v>
                </c:pt>
                <c:pt idx="4322">
                  <c:v>41579</c:v>
                </c:pt>
                <c:pt idx="4323">
                  <c:v>41580</c:v>
                </c:pt>
                <c:pt idx="4324">
                  <c:v>41581</c:v>
                </c:pt>
                <c:pt idx="4325">
                  <c:v>41582</c:v>
                </c:pt>
                <c:pt idx="4326">
                  <c:v>41583</c:v>
                </c:pt>
                <c:pt idx="4327">
                  <c:v>41584</c:v>
                </c:pt>
                <c:pt idx="4328">
                  <c:v>41585</c:v>
                </c:pt>
                <c:pt idx="4329">
                  <c:v>41586</c:v>
                </c:pt>
                <c:pt idx="4330">
                  <c:v>41587</c:v>
                </c:pt>
                <c:pt idx="4331">
                  <c:v>41588</c:v>
                </c:pt>
                <c:pt idx="4332">
                  <c:v>41589</c:v>
                </c:pt>
                <c:pt idx="4333">
                  <c:v>41590</c:v>
                </c:pt>
                <c:pt idx="4334">
                  <c:v>41591</c:v>
                </c:pt>
                <c:pt idx="4335">
                  <c:v>41592</c:v>
                </c:pt>
                <c:pt idx="4336">
                  <c:v>41593</c:v>
                </c:pt>
                <c:pt idx="4337">
                  <c:v>41594</c:v>
                </c:pt>
                <c:pt idx="4338">
                  <c:v>41595</c:v>
                </c:pt>
                <c:pt idx="4339">
                  <c:v>41596</c:v>
                </c:pt>
                <c:pt idx="4340">
                  <c:v>41597</c:v>
                </c:pt>
                <c:pt idx="4341">
                  <c:v>41598</c:v>
                </c:pt>
                <c:pt idx="4342">
                  <c:v>41599</c:v>
                </c:pt>
                <c:pt idx="4343">
                  <c:v>41600</c:v>
                </c:pt>
                <c:pt idx="4344">
                  <c:v>41601</c:v>
                </c:pt>
                <c:pt idx="4345">
                  <c:v>41602</c:v>
                </c:pt>
                <c:pt idx="4346">
                  <c:v>41603</c:v>
                </c:pt>
                <c:pt idx="4347">
                  <c:v>41604</c:v>
                </c:pt>
                <c:pt idx="4348">
                  <c:v>41605</c:v>
                </c:pt>
                <c:pt idx="4349">
                  <c:v>41606</c:v>
                </c:pt>
                <c:pt idx="4350">
                  <c:v>41607</c:v>
                </c:pt>
                <c:pt idx="4351">
                  <c:v>41608</c:v>
                </c:pt>
                <c:pt idx="4352">
                  <c:v>41609</c:v>
                </c:pt>
                <c:pt idx="4353">
                  <c:v>41610</c:v>
                </c:pt>
                <c:pt idx="4354">
                  <c:v>41611</c:v>
                </c:pt>
                <c:pt idx="4355">
                  <c:v>41612</c:v>
                </c:pt>
                <c:pt idx="4356">
                  <c:v>41613</c:v>
                </c:pt>
                <c:pt idx="4357">
                  <c:v>41614</c:v>
                </c:pt>
                <c:pt idx="4358">
                  <c:v>41615</c:v>
                </c:pt>
                <c:pt idx="4359">
                  <c:v>41616</c:v>
                </c:pt>
                <c:pt idx="4360">
                  <c:v>41617</c:v>
                </c:pt>
                <c:pt idx="4361">
                  <c:v>41618</c:v>
                </c:pt>
                <c:pt idx="4362">
                  <c:v>41619</c:v>
                </c:pt>
                <c:pt idx="4363">
                  <c:v>41620</c:v>
                </c:pt>
                <c:pt idx="4364">
                  <c:v>41621</c:v>
                </c:pt>
                <c:pt idx="4365">
                  <c:v>41622</c:v>
                </c:pt>
                <c:pt idx="4366">
                  <c:v>41623</c:v>
                </c:pt>
                <c:pt idx="4367">
                  <c:v>41624</c:v>
                </c:pt>
                <c:pt idx="4368">
                  <c:v>41625</c:v>
                </c:pt>
                <c:pt idx="4369">
                  <c:v>41626</c:v>
                </c:pt>
                <c:pt idx="4370">
                  <c:v>41627</c:v>
                </c:pt>
                <c:pt idx="4371">
                  <c:v>41628</c:v>
                </c:pt>
                <c:pt idx="4372">
                  <c:v>41629</c:v>
                </c:pt>
                <c:pt idx="4373">
                  <c:v>41630</c:v>
                </c:pt>
                <c:pt idx="4374">
                  <c:v>41631</c:v>
                </c:pt>
                <c:pt idx="4375">
                  <c:v>41632</c:v>
                </c:pt>
                <c:pt idx="4376">
                  <c:v>41633</c:v>
                </c:pt>
                <c:pt idx="4377">
                  <c:v>41634</c:v>
                </c:pt>
                <c:pt idx="4378">
                  <c:v>41635</c:v>
                </c:pt>
                <c:pt idx="4379">
                  <c:v>41636</c:v>
                </c:pt>
                <c:pt idx="4380">
                  <c:v>41637</c:v>
                </c:pt>
                <c:pt idx="4381">
                  <c:v>41638</c:v>
                </c:pt>
                <c:pt idx="4382">
                  <c:v>41639</c:v>
                </c:pt>
                <c:pt idx="4383">
                  <c:v>41640</c:v>
                </c:pt>
                <c:pt idx="4384">
                  <c:v>41641</c:v>
                </c:pt>
                <c:pt idx="4385">
                  <c:v>41642</c:v>
                </c:pt>
                <c:pt idx="4386">
                  <c:v>41643</c:v>
                </c:pt>
                <c:pt idx="4387">
                  <c:v>41644</c:v>
                </c:pt>
                <c:pt idx="4388">
                  <c:v>41645</c:v>
                </c:pt>
                <c:pt idx="4389">
                  <c:v>41646</c:v>
                </c:pt>
                <c:pt idx="4390">
                  <c:v>41647</c:v>
                </c:pt>
                <c:pt idx="4391">
                  <c:v>41648</c:v>
                </c:pt>
                <c:pt idx="4392">
                  <c:v>41649</c:v>
                </c:pt>
                <c:pt idx="4393">
                  <c:v>41650</c:v>
                </c:pt>
                <c:pt idx="4394">
                  <c:v>41651</c:v>
                </c:pt>
                <c:pt idx="4395">
                  <c:v>41652</c:v>
                </c:pt>
                <c:pt idx="4396">
                  <c:v>41653</c:v>
                </c:pt>
                <c:pt idx="4397">
                  <c:v>41654</c:v>
                </c:pt>
                <c:pt idx="4398">
                  <c:v>41655</c:v>
                </c:pt>
                <c:pt idx="4399">
                  <c:v>41656</c:v>
                </c:pt>
                <c:pt idx="4400">
                  <c:v>41657</c:v>
                </c:pt>
                <c:pt idx="4401">
                  <c:v>41658</c:v>
                </c:pt>
                <c:pt idx="4402">
                  <c:v>41659</c:v>
                </c:pt>
                <c:pt idx="4403">
                  <c:v>41660</c:v>
                </c:pt>
                <c:pt idx="4404">
                  <c:v>41661</c:v>
                </c:pt>
                <c:pt idx="4405">
                  <c:v>41662</c:v>
                </c:pt>
                <c:pt idx="4406">
                  <c:v>41663</c:v>
                </c:pt>
                <c:pt idx="4407">
                  <c:v>41664</c:v>
                </c:pt>
                <c:pt idx="4408">
                  <c:v>41665</c:v>
                </c:pt>
                <c:pt idx="4409">
                  <c:v>41666</c:v>
                </c:pt>
                <c:pt idx="4410">
                  <c:v>41667</c:v>
                </c:pt>
                <c:pt idx="4411">
                  <c:v>41668</c:v>
                </c:pt>
                <c:pt idx="4412">
                  <c:v>41669</c:v>
                </c:pt>
                <c:pt idx="4413">
                  <c:v>41670</c:v>
                </c:pt>
                <c:pt idx="4414">
                  <c:v>41671</c:v>
                </c:pt>
                <c:pt idx="4415">
                  <c:v>41672</c:v>
                </c:pt>
                <c:pt idx="4416">
                  <c:v>41673</c:v>
                </c:pt>
                <c:pt idx="4417">
                  <c:v>41674</c:v>
                </c:pt>
                <c:pt idx="4418">
                  <c:v>41675</c:v>
                </c:pt>
                <c:pt idx="4419">
                  <c:v>41676</c:v>
                </c:pt>
                <c:pt idx="4420">
                  <c:v>41677</c:v>
                </c:pt>
                <c:pt idx="4421">
                  <c:v>41678</c:v>
                </c:pt>
                <c:pt idx="4422">
                  <c:v>41679</c:v>
                </c:pt>
                <c:pt idx="4423">
                  <c:v>41680</c:v>
                </c:pt>
                <c:pt idx="4424">
                  <c:v>41681</c:v>
                </c:pt>
                <c:pt idx="4425">
                  <c:v>41682</c:v>
                </c:pt>
                <c:pt idx="4426">
                  <c:v>41683</c:v>
                </c:pt>
                <c:pt idx="4427">
                  <c:v>41684</c:v>
                </c:pt>
                <c:pt idx="4428">
                  <c:v>41685</c:v>
                </c:pt>
                <c:pt idx="4429">
                  <c:v>41686</c:v>
                </c:pt>
                <c:pt idx="4430">
                  <c:v>41687</c:v>
                </c:pt>
                <c:pt idx="4431">
                  <c:v>41688</c:v>
                </c:pt>
                <c:pt idx="4432">
                  <c:v>41689</c:v>
                </c:pt>
                <c:pt idx="4433">
                  <c:v>41690</c:v>
                </c:pt>
                <c:pt idx="4434">
                  <c:v>41691</c:v>
                </c:pt>
                <c:pt idx="4435">
                  <c:v>41692</c:v>
                </c:pt>
                <c:pt idx="4436">
                  <c:v>41693</c:v>
                </c:pt>
                <c:pt idx="4437">
                  <c:v>41694</c:v>
                </c:pt>
                <c:pt idx="4438">
                  <c:v>41695</c:v>
                </c:pt>
                <c:pt idx="4439">
                  <c:v>41696</c:v>
                </c:pt>
                <c:pt idx="4440">
                  <c:v>41697</c:v>
                </c:pt>
                <c:pt idx="4441">
                  <c:v>41698</c:v>
                </c:pt>
                <c:pt idx="4442">
                  <c:v>41699</c:v>
                </c:pt>
                <c:pt idx="4443">
                  <c:v>41700</c:v>
                </c:pt>
                <c:pt idx="4444">
                  <c:v>41701</c:v>
                </c:pt>
                <c:pt idx="4445">
                  <c:v>41702</c:v>
                </c:pt>
                <c:pt idx="4446">
                  <c:v>41703</c:v>
                </c:pt>
                <c:pt idx="4447">
                  <c:v>41704</c:v>
                </c:pt>
                <c:pt idx="4448">
                  <c:v>41705</c:v>
                </c:pt>
                <c:pt idx="4449">
                  <c:v>41706</c:v>
                </c:pt>
                <c:pt idx="4450">
                  <c:v>41707</c:v>
                </c:pt>
                <c:pt idx="4451">
                  <c:v>41708</c:v>
                </c:pt>
                <c:pt idx="4452">
                  <c:v>41709</c:v>
                </c:pt>
                <c:pt idx="4453">
                  <c:v>41710</c:v>
                </c:pt>
                <c:pt idx="4454">
                  <c:v>41711</c:v>
                </c:pt>
                <c:pt idx="4455">
                  <c:v>41712</c:v>
                </c:pt>
                <c:pt idx="4456">
                  <c:v>41713</c:v>
                </c:pt>
                <c:pt idx="4457">
                  <c:v>41714</c:v>
                </c:pt>
                <c:pt idx="4458">
                  <c:v>41715</c:v>
                </c:pt>
                <c:pt idx="4459">
                  <c:v>41716</c:v>
                </c:pt>
                <c:pt idx="4460">
                  <c:v>41717</c:v>
                </c:pt>
                <c:pt idx="4461">
                  <c:v>41718</c:v>
                </c:pt>
                <c:pt idx="4462">
                  <c:v>41719</c:v>
                </c:pt>
                <c:pt idx="4463">
                  <c:v>41720</c:v>
                </c:pt>
                <c:pt idx="4464">
                  <c:v>41721</c:v>
                </c:pt>
                <c:pt idx="4465">
                  <c:v>41722</c:v>
                </c:pt>
                <c:pt idx="4466">
                  <c:v>41723</c:v>
                </c:pt>
                <c:pt idx="4467">
                  <c:v>41724</c:v>
                </c:pt>
                <c:pt idx="4468">
                  <c:v>41725</c:v>
                </c:pt>
                <c:pt idx="4469">
                  <c:v>41726</c:v>
                </c:pt>
                <c:pt idx="4470">
                  <c:v>41727</c:v>
                </c:pt>
                <c:pt idx="4471">
                  <c:v>41728</c:v>
                </c:pt>
                <c:pt idx="4472">
                  <c:v>41729</c:v>
                </c:pt>
                <c:pt idx="4473">
                  <c:v>41730</c:v>
                </c:pt>
                <c:pt idx="4474">
                  <c:v>41731</c:v>
                </c:pt>
                <c:pt idx="4475">
                  <c:v>41732</c:v>
                </c:pt>
                <c:pt idx="4476">
                  <c:v>41733</c:v>
                </c:pt>
                <c:pt idx="4477">
                  <c:v>41734</c:v>
                </c:pt>
                <c:pt idx="4478">
                  <c:v>41735</c:v>
                </c:pt>
                <c:pt idx="4479">
                  <c:v>41736</c:v>
                </c:pt>
                <c:pt idx="4480">
                  <c:v>41737</c:v>
                </c:pt>
                <c:pt idx="4481">
                  <c:v>41738</c:v>
                </c:pt>
                <c:pt idx="4482">
                  <c:v>41739</c:v>
                </c:pt>
                <c:pt idx="4483">
                  <c:v>41740</c:v>
                </c:pt>
                <c:pt idx="4484">
                  <c:v>41741</c:v>
                </c:pt>
                <c:pt idx="4485">
                  <c:v>41742</c:v>
                </c:pt>
                <c:pt idx="4486">
                  <c:v>41743</c:v>
                </c:pt>
                <c:pt idx="4487">
                  <c:v>41744</c:v>
                </c:pt>
                <c:pt idx="4488">
                  <c:v>41745</c:v>
                </c:pt>
                <c:pt idx="4489">
                  <c:v>41746</c:v>
                </c:pt>
                <c:pt idx="4490">
                  <c:v>41747</c:v>
                </c:pt>
                <c:pt idx="4491">
                  <c:v>41748</c:v>
                </c:pt>
                <c:pt idx="4492">
                  <c:v>41749</c:v>
                </c:pt>
                <c:pt idx="4493">
                  <c:v>41750</c:v>
                </c:pt>
                <c:pt idx="4494">
                  <c:v>41751</c:v>
                </c:pt>
                <c:pt idx="4495">
                  <c:v>41752</c:v>
                </c:pt>
                <c:pt idx="4496">
                  <c:v>41753</c:v>
                </c:pt>
                <c:pt idx="4497">
                  <c:v>41754</c:v>
                </c:pt>
                <c:pt idx="4498">
                  <c:v>41755</c:v>
                </c:pt>
                <c:pt idx="4499">
                  <c:v>41756</c:v>
                </c:pt>
                <c:pt idx="4500">
                  <c:v>41757</c:v>
                </c:pt>
                <c:pt idx="4501">
                  <c:v>41758</c:v>
                </c:pt>
                <c:pt idx="4502">
                  <c:v>41759</c:v>
                </c:pt>
                <c:pt idx="4503">
                  <c:v>41760</c:v>
                </c:pt>
                <c:pt idx="4504">
                  <c:v>41761</c:v>
                </c:pt>
                <c:pt idx="4505">
                  <c:v>41762</c:v>
                </c:pt>
                <c:pt idx="4506">
                  <c:v>41763</c:v>
                </c:pt>
                <c:pt idx="4507">
                  <c:v>41764</c:v>
                </c:pt>
                <c:pt idx="4508">
                  <c:v>41765</c:v>
                </c:pt>
                <c:pt idx="4509">
                  <c:v>41766</c:v>
                </c:pt>
                <c:pt idx="4510">
                  <c:v>41767</c:v>
                </c:pt>
                <c:pt idx="4511">
                  <c:v>41768</c:v>
                </c:pt>
                <c:pt idx="4512">
                  <c:v>41769</c:v>
                </c:pt>
                <c:pt idx="4513">
                  <c:v>41770</c:v>
                </c:pt>
                <c:pt idx="4514">
                  <c:v>41771</c:v>
                </c:pt>
                <c:pt idx="4515">
                  <c:v>41772</c:v>
                </c:pt>
                <c:pt idx="4516">
                  <c:v>41773</c:v>
                </c:pt>
                <c:pt idx="4517">
                  <c:v>41774</c:v>
                </c:pt>
                <c:pt idx="4518">
                  <c:v>41775</c:v>
                </c:pt>
                <c:pt idx="4519">
                  <c:v>41776</c:v>
                </c:pt>
                <c:pt idx="4520">
                  <c:v>41777</c:v>
                </c:pt>
                <c:pt idx="4521">
                  <c:v>41778</c:v>
                </c:pt>
                <c:pt idx="4522">
                  <c:v>41779</c:v>
                </c:pt>
                <c:pt idx="4523">
                  <c:v>41780</c:v>
                </c:pt>
                <c:pt idx="4524">
                  <c:v>41781</c:v>
                </c:pt>
                <c:pt idx="4525">
                  <c:v>41782</c:v>
                </c:pt>
                <c:pt idx="4526">
                  <c:v>41783</c:v>
                </c:pt>
                <c:pt idx="4527">
                  <c:v>41784</c:v>
                </c:pt>
                <c:pt idx="4528">
                  <c:v>41785</c:v>
                </c:pt>
                <c:pt idx="4529">
                  <c:v>41786</c:v>
                </c:pt>
                <c:pt idx="4530">
                  <c:v>41787</c:v>
                </c:pt>
                <c:pt idx="4531">
                  <c:v>41788</c:v>
                </c:pt>
                <c:pt idx="4532">
                  <c:v>41789</c:v>
                </c:pt>
                <c:pt idx="4533">
                  <c:v>41790</c:v>
                </c:pt>
                <c:pt idx="4534">
                  <c:v>41791</c:v>
                </c:pt>
                <c:pt idx="4535">
                  <c:v>41792</c:v>
                </c:pt>
                <c:pt idx="4536">
                  <c:v>41793</c:v>
                </c:pt>
                <c:pt idx="4537">
                  <c:v>41794</c:v>
                </c:pt>
                <c:pt idx="4538">
                  <c:v>41795</c:v>
                </c:pt>
                <c:pt idx="4539">
                  <c:v>41796</c:v>
                </c:pt>
                <c:pt idx="4540">
                  <c:v>41797</c:v>
                </c:pt>
                <c:pt idx="4541">
                  <c:v>41798</c:v>
                </c:pt>
                <c:pt idx="4542">
                  <c:v>41799</c:v>
                </c:pt>
                <c:pt idx="4543">
                  <c:v>41800</c:v>
                </c:pt>
                <c:pt idx="4544">
                  <c:v>41801</c:v>
                </c:pt>
                <c:pt idx="4545">
                  <c:v>41802</c:v>
                </c:pt>
                <c:pt idx="4546">
                  <c:v>41803</c:v>
                </c:pt>
                <c:pt idx="4547">
                  <c:v>41804</c:v>
                </c:pt>
                <c:pt idx="4548">
                  <c:v>41805</c:v>
                </c:pt>
                <c:pt idx="4549">
                  <c:v>41806</c:v>
                </c:pt>
                <c:pt idx="4550">
                  <c:v>41807</c:v>
                </c:pt>
                <c:pt idx="4551">
                  <c:v>41808</c:v>
                </c:pt>
                <c:pt idx="4552">
                  <c:v>41809</c:v>
                </c:pt>
                <c:pt idx="4553">
                  <c:v>41810</c:v>
                </c:pt>
                <c:pt idx="4554">
                  <c:v>41811</c:v>
                </c:pt>
                <c:pt idx="4555">
                  <c:v>41812</c:v>
                </c:pt>
                <c:pt idx="4556">
                  <c:v>41813</c:v>
                </c:pt>
                <c:pt idx="4557">
                  <c:v>41814</c:v>
                </c:pt>
                <c:pt idx="4558">
                  <c:v>41815</c:v>
                </c:pt>
                <c:pt idx="4559">
                  <c:v>41816</c:v>
                </c:pt>
                <c:pt idx="4560">
                  <c:v>41817</c:v>
                </c:pt>
                <c:pt idx="4561">
                  <c:v>41818</c:v>
                </c:pt>
                <c:pt idx="4562">
                  <c:v>41819</c:v>
                </c:pt>
                <c:pt idx="4563">
                  <c:v>41820</c:v>
                </c:pt>
                <c:pt idx="4564">
                  <c:v>41821</c:v>
                </c:pt>
                <c:pt idx="4565">
                  <c:v>41822</c:v>
                </c:pt>
                <c:pt idx="4566">
                  <c:v>41823</c:v>
                </c:pt>
                <c:pt idx="4567">
                  <c:v>41824</c:v>
                </c:pt>
                <c:pt idx="4568">
                  <c:v>41825</c:v>
                </c:pt>
                <c:pt idx="4569">
                  <c:v>41826</c:v>
                </c:pt>
                <c:pt idx="4570">
                  <c:v>41827</c:v>
                </c:pt>
                <c:pt idx="4571">
                  <c:v>41828</c:v>
                </c:pt>
                <c:pt idx="4572">
                  <c:v>41829</c:v>
                </c:pt>
                <c:pt idx="4573">
                  <c:v>41830</c:v>
                </c:pt>
                <c:pt idx="4574">
                  <c:v>41831</c:v>
                </c:pt>
                <c:pt idx="4575">
                  <c:v>41832</c:v>
                </c:pt>
                <c:pt idx="4576">
                  <c:v>41833</c:v>
                </c:pt>
                <c:pt idx="4577">
                  <c:v>41834</c:v>
                </c:pt>
                <c:pt idx="4578">
                  <c:v>41835</c:v>
                </c:pt>
                <c:pt idx="4579">
                  <c:v>41836</c:v>
                </c:pt>
                <c:pt idx="4580">
                  <c:v>41837</c:v>
                </c:pt>
                <c:pt idx="4581">
                  <c:v>41838</c:v>
                </c:pt>
                <c:pt idx="4582">
                  <c:v>41839</c:v>
                </c:pt>
                <c:pt idx="4583">
                  <c:v>41840</c:v>
                </c:pt>
                <c:pt idx="4584">
                  <c:v>41841</c:v>
                </c:pt>
                <c:pt idx="4585">
                  <c:v>41842</c:v>
                </c:pt>
                <c:pt idx="4586">
                  <c:v>41843</c:v>
                </c:pt>
                <c:pt idx="4587">
                  <c:v>41844</c:v>
                </c:pt>
                <c:pt idx="4588">
                  <c:v>41845</c:v>
                </c:pt>
                <c:pt idx="4589">
                  <c:v>41846</c:v>
                </c:pt>
                <c:pt idx="4590">
                  <c:v>41847</c:v>
                </c:pt>
                <c:pt idx="4591">
                  <c:v>41848</c:v>
                </c:pt>
                <c:pt idx="4592">
                  <c:v>41849</c:v>
                </c:pt>
                <c:pt idx="4593">
                  <c:v>41850</c:v>
                </c:pt>
                <c:pt idx="4594">
                  <c:v>41851</c:v>
                </c:pt>
                <c:pt idx="4595">
                  <c:v>41852</c:v>
                </c:pt>
                <c:pt idx="4596">
                  <c:v>41853</c:v>
                </c:pt>
                <c:pt idx="4597">
                  <c:v>41854</c:v>
                </c:pt>
                <c:pt idx="4598">
                  <c:v>41855</c:v>
                </c:pt>
                <c:pt idx="4599">
                  <c:v>41856</c:v>
                </c:pt>
                <c:pt idx="4600">
                  <c:v>41857</c:v>
                </c:pt>
                <c:pt idx="4601">
                  <c:v>41858</c:v>
                </c:pt>
                <c:pt idx="4602">
                  <c:v>41859</c:v>
                </c:pt>
                <c:pt idx="4603">
                  <c:v>41860</c:v>
                </c:pt>
                <c:pt idx="4604">
                  <c:v>41861</c:v>
                </c:pt>
                <c:pt idx="4605">
                  <c:v>41862</c:v>
                </c:pt>
                <c:pt idx="4606">
                  <c:v>41863</c:v>
                </c:pt>
                <c:pt idx="4607">
                  <c:v>41864</c:v>
                </c:pt>
                <c:pt idx="4608">
                  <c:v>41865</c:v>
                </c:pt>
                <c:pt idx="4609">
                  <c:v>41866</c:v>
                </c:pt>
                <c:pt idx="4610">
                  <c:v>41867</c:v>
                </c:pt>
                <c:pt idx="4611">
                  <c:v>41868</c:v>
                </c:pt>
                <c:pt idx="4612">
                  <c:v>41869</c:v>
                </c:pt>
                <c:pt idx="4613">
                  <c:v>41870</c:v>
                </c:pt>
                <c:pt idx="4614">
                  <c:v>41871</c:v>
                </c:pt>
                <c:pt idx="4615">
                  <c:v>41872</c:v>
                </c:pt>
                <c:pt idx="4616">
                  <c:v>41873</c:v>
                </c:pt>
                <c:pt idx="4617">
                  <c:v>41874</c:v>
                </c:pt>
                <c:pt idx="4618">
                  <c:v>41875</c:v>
                </c:pt>
                <c:pt idx="4619">
                  <c:v>41876</c:v>
                </c:pt>
                <c:pt idx="4620">
                  <c:v>41877</c:v>
                </c:pt>
                <c:pt idx="4621">
                  <c:v>41878</c:v>
                </c:pt>
                <c:pt idx="4622">
                  <c:v>41879</c:v>
                </c:pt>
                <c:pt idx="4623">
                  <c:v>41880</c:v>
                </c:pt>
                <c:pt idx="4624">
                  <c:v>41881</c:v>
                </c:pt>
                <c:pt idx="4625">
                  <c:v>41882</c:v>
                </c:pt>
                <c:pt idx="4626">
                  <c:v>41883</c:v>
                </c:pt>
                <c:pt idx="4627">
                  <c:v>41884</c:v>
                </c:pt>
                <c:pt idx="4628">
                  <c:v>41885</c:v>
                </c:pt>
                <c:pt idx="4629">
                  <c:v>41886</c:v>
                </c:pt>
                <c:pt idx="4630">
                  <c:v>41887</c:v>
                </c:pt>
                <c:pt idx="4631">
                  <c:v>41888</c:v>
                </c:pt>
                <c:pt idx="4632">
                  <c:v>41889</c:v>
                </c:pt>
                <c:pt idx="4633">
                  <c:v>41890</c:v>
                </c:pt>
                <c:pt idx="4634">
                  <c:v>41891</c:v>
                </c:pt>
                <c:pt idx="4635">
                  <c:v>41892</c:v>
                </c:pt>
                <c:pt idx="4636">
                  <c:v>41893</c:v>
                </c:pt>
                <c:pt idx="4637">
                  <c:v>41894</c:v>
                </c:pt>
                <c:pt idx="4638">
                  <c:v>41895</c:v>
                </c:pt>
                <c:pt idx="4639">
                  <c:v>41896</c:v>
                </c:pt>
                <c:pt idx="4640">
                  <c:v>41897</c:v>
                </c:pt>
                <c:pt idx="4641">
                  <c:v>41898</c:v>
                </c:pt>
                <c:pt idx="4642">
                  <c:v>41899</c:v>
                </c:pt>
                <c:pt idx="4643">
                  <c:v>41900</c:v>
                </c:pt>
                <c:pt idx="4644">
                  <c:v>41901</c:v>
                </c:pt>
                <c:pt idx="4645">
                  <c:v>41902</c:v>
                </c:pt>
                <c:pt idx="4646">
                  <c:v>41903</c:v>
                </c:pt>
                <c:pt idx="4647">
                  <c:v>41904</c:v>
                </c:pt>
                <c:pt idx="4648">
                  <c:v>41905</c:v>
                </c:pt>
                <c:pt idx="4649">
                  <c:v>41906</c:v>
                </c:pt>
                <c:pt idx="4650">
                  <c:v>41907</c:v>
                </c:pt>
                <c:pt idx="4651">
                  <c:v>41908</c:v>
                </c:pt>
                <c:pt idx="4652">
                  <c:v>41909</c:v>
                </c:pt>
                <c:pt idx="4653">
                  <c:v>41910</c:v>
                </c:pt>
                <c:pt idx="4654">
                  <c:v>41911</c:v>
                </c:pt>
                <c:pt idx="4655">
                  <c:v>41912</c:v>
                </c:pt>
                <c:pt idx="4656">
                  <c:v>41913</c:v>
                </c:pt>
                <c:pt idx="4657">
                  <c:v>41914</c:v>
                </c:pt>
                <c:pt idx="4658">
                  <c:v>41915</c:v>
                </c:pt>
                <c:pt idx="4659">
                  <c:v>41916</c:v>
                </c:pt>
                <c:pt idx="4660">
                  <c:v>41917</c:v>
                </c:pt>
                <c:pt idx="4661">
                  <c:v>41918</c:v>
                </c:pt>
                <c:pt idx="4662">
                  <c:v>41919</c:v>
                </c:pt>
                <c:pt idx="4663">
                  <c:v>41920</c:v>
                </c:pt>
                <c:pt idx="4664">
                  <c:v>41921</c:v>
                </c:pt>
                <c:pt idx="4665">
                  <c:v>41922</c:v>
                </c:pt>
                <c:pt idx="4666">
                  <c:v>41923</c:v>
                </c:pt>
                <c:pt idx="4667">
                  <c:v>41924</c:v>
                </c:pt>
                <c:pt idx="4668">
                  <c:v>41925</c:v>
                </c:pt>
                <c:pt idx="4669">
                  <c:v>41926</c:v>
                </c:pt>
                <c:pt idx="4670">
                  <c:v>41927</c:v>
                </c:pt>
                <c:pt idx="4671">
                  <c:v>41928</c:v>
                </c:pt>
                <c:pt idx="4672">
                  <c:v>41929</c:v>
                </c:pt>
                <c:pt idx="4673">
                  <c:v>41930</c:v>
                </c:pt>
                <c:pt idx="4674">
                  <c:v>41931</c:v>
                </c:pt>
                <c:pt idx="4675">
                  <c:v>41932</c:v>
                </c:pt>
                <c:pt idx="4676">
                  <c:v>41933</c:v>
                </c:pt>
                <c:pt idx="4677">
                  <c:v>41934</c:v>
                </c:pt>
                <c:pt idx="4678">
                  <c:v>41935</c:v>
                </c:pt>
                <c:pt idx="4679">
                  <c:v>41936</c:v>
                </c:pt>
                <c:pt idx="4680">
                  <c:v>41937</c:v>
                </c:pt>
                <c:pt idx="4681">
                  <c:v>41938</c:v>
                </c:pt>
                <c:pt idx="4682">
                  <c:v>41939</c:v>
                </c:pt>
                <c:pt idx="4683">
                  <c:v>41940</c:v>
                </c:pt>
                <c:pt idx="4684">
                  <c:v>41941</c:v>
                </c:pt>
                <c:pt idx="4685">
                  <c:v>41942</c:v>
                </c:pt>
                <c:pt idx="4686">
                  <c:v>41943</c:v>
                </c:pt>
                <c:pt idx="4687">
                  <c:v>41944</c:v>
                </c:pt>
                <c:pt idx="4688">
                  <c:v>41945</c:v>
                </c:pt>
                <c:pt idx="4689">
                  <c:v>41946</c:v>
                </c:pt>
                <c:pt idx="4690">
                  <c:v>41947</c:v>
                </c:pt>
                <c:pt idx="4691">
                  <c:v>41948</c:v>
                </c:pt>
                <c:pt idx="4692">
                  <c:v>41949</c:v>
                </c:pt>
                <c:pt idx="4693">
                  <c:v>41950</c:v>
                </c:pt>
                <c:pt idx="4694">
                  <c:v>41951</c:v>
                </c:pt>
                <c:pt idx="4695">
                  <c:v>41952</c:v>
                </c:pt>
                <c:pt idx="4696">
                  <c:v>41953</c:v>
                </c:pt>
                <c:pt idx="4697">
                  <c:v>41954</c:v>
                </c:pt>
                <c:pt idx="4698">
                  <c:v>41955</c:v>
                </c:pt>
                <c:pt idx="4699">
                  <c:v>41956</c:v>
                </c:pt>
                <c:pt idx="4700">
                  <c:v>41957</c:v>
                </c:pt>
                <c:pt idx="4701">
                  <c:v>41958</c:v>
                </c:pt>
                <c:pt idx="4702">
                  <c:v>41959</c:v>
                </c:pt>
                <c:pt idx="4703">
                  <c:v>41960</c:v>
                </c:pt>
                <c:pt idx="4704">
                  <c:v>41961</c:v>
                </c:pt>
                <c:pt idx="4705">
                  <c:v>41962</c:v>
                </c:pt>
                <c:pt idx="4706">
                  <c:v>41963</c:v>
                </c:pt>
                <c:pt idx="4707">
                  <c:v>41964</c:v>
                </c:pt>
                <c:pt idx="4708">
                  <c:v>41965</c:v>
                </c:pt>
                <c:pt idx="4709">
                  <c:v>41966</c:v>
                </c:pt>
                <c:pt idx="4710">
                  <c:v>41967</c:v>
                </c:pt>
                <c:pt idx="4711">
                  <c:v>41968</c:v>
                </c:pt>
                <c:pt idx="4712">
                  <c:v>41969</c:v>
                </c:pt>
                <c:pt idx="4713">
                  <c:v>41970</c:v>
                </c:pt>
                <c:pt idx="4714">
                  <c:v>41971</c:v>
                </c:pt>
                <c:pt idx="4715">
                  <c:v>41972</c:v>
                </c:pt>
                <c:pt idx="4716">
                  <c:v>41973</c:v>
                </c:pt>
                <c:pt idx="4717">
                  <c:v>41974</c:v>
                </c:pt>
                <c:pt idx="4718">
                  <c:v>41975</c:v>
                </c:pt>
                <c:pt idx="4719">
                  <c:v>41976</c:v>
                </c:pt>
                <c:pt idx="4720">
                  <c:v>41977</c:v>
                </c:pt>
                <c:pt idx="4721">
                  <c:v>41978</c:v>
                </c:pt>
                <c:pt idx="4722">
                  <c:v>41979</c:v>
                </c:pt>
                <c:pt idx="4723">
                  <c:v>41980</c:v>
                </c:pt>
                <c:pt idx="4724">
                  <c:v>41981</c:v>
                </c:pt>
                <c:pt idx="4725">
                  <c:v>41982</c:v>
                </c:pt>
                <c:pt idx="4726">
                  <c:v>41983</c:v>
                </c:pt>
                <c:pt idx="4727">
                  <c:v>41984</c:v>
                </c:pt>
                <c:pt idx="4728">
                  <c:v>41985</c:v>
                </c:pt>
                <c:pt idx="4729">
                  <c:v>41986</c:v>
                </c:pt>
                <c:pt idx="4730">
                  <c:v>41987</c:v>
                </c:pt>
                <c:pt idx="4731">
                  <c:v>41988</c:v>
                </c:pt>
                <c:pt idx="4732">
                  <c:v>41989</c:v>
                </c:pt>
                <c:pt idx="4733">
                  <c:v>41990</c:v>
                </c:pt>
                <c:pt idx="4734">
                  <c:v>41991</c:v>
                </c:pt>
                <c:pt idx="4735">
                  <c:v>41992</c:v>
                </c:pt>
                <c:pt idx="4736">
                  <c:v>41993</c:v>
                </c:pt>
                <c:pt idx="4737">
                  <c:v>41994</c:v>
                </c:pt>
                <c:pt idx="4738">
                  <c:v>41995</c:v>
                </c:pt>
                <c:pt idx="4739">
                  <c:v>41996</c:v>
                </c:pt>
                <c:pt idx="4740">
                  <c:v>41997</c:v>
                </c:pt>
                <c:pt idx="4741">
                  <c:v>41998</c:v>
                </c:pt>
                <c:pt idx="4742">
                  <c:v>41999</c:v>
                </c:pt>
                <c:pt idx="4743">
                  <c:v>42000</c:v>
                </c:pt>
                <c:pt idx="4744">
                  <c:v>42001</c:v>
                </c:pt>
                <c:pt idx="4745">
                  <c:v>42002</c:v>
                </c:pt>
                <c:pt idx="4746">
                  <c:v>42003</c:v>
                </c:pt>
                <c:pt idx="4747">
                  <c:v>42004</c:v>
                </c:pt>
                <c:pt idx="4748">
                  <c:v>42005</c:v>
                </c:pt>
                <c:pt idx="4749">
                  <c:v>42006</c:v>
                </c:pt>
                <c:pt idx="4750">
                  <c:v>42007</c:v>
                </c:pt>
                <c:pt idx="4751">
                  <c:v>42008</c:v>
                </c:pt>
                <c:pt idx="4752">
                  <c:v>42009</c:v>
                </c:pt>
                <c:pt idx="4753">
                  <c:v>42010</c:v>
                </c:pt>
                <c:pt idx="4754">
                  <c:v>42011</c:v>
                </c:pt>
                <c:pt idx="4755">
                  <c:v>42012</c:v>
                </c:pt>
                <c:pt idx="4756">
                  <c:v>42013</c:v>
                </c:pt>
                <c:pt idx="4757">
                  <c:v>42014</c:v>
                </c:pt>
                <c:pt idx="4758">
                  <c:v>42015</c:v>
                </c:pt>
                <c:pt idx="4759">
                  <c:v>42016</c:v>
                </c:pt>
                <c:pt idx="4760">
                  <c:v>42017</c:v>
                </c:pt>
                <c:pt idx="4761">
                  <c:v>42018</c:v>
                </c:pt>
                <c:pt idx="4762">
                  <c:v>42019</c:v>
                </c:pt>
                <c:pt idx="4763">
                  <c:v>42020</c:v>
                </c:pt>
                <c:pt idx="4764">
                  <c:v>42021</c:v>
                </c:pt>
                <c:pt idx="4765">
                  <c:v>42022</c:v>
                </c:pt>
                <c:pt idx="4766">
                  <c:v>42023</c:v>
                </c:pt>
                <c:pt idx="4767">
                  <c:v>42024</c:v>
                </c:pt>
                <c:pt idx="4768">
                  <c:v>42025</c:v>
                </c:pt>
                <c:pt idx="4769">
                  <c:v>42026</c:v>
                </c:pt>
                <c:pt idx="4770">
                  <c:v>42027</c:v>
                </c:pt>
                <c:pt idx="4771">
                  <c:v>42028</c:v>
                </c:pt>
                <c:pt idx="4772">
                  <c:v>42029</c:v>
                </c:pt>
                <c:pt idx="4773">
                  <c:v>42030</c:v>
                </c:pt>
                <c:pt idx="4774">
                  <c:v>42031</c:v>
                </c:pt>
                <c:pt idx="4775">
                  <c:v>42032</c:v>
                </c:pt>
                <c:pt idx="4776">
                  <c:v>42033</c:v>
                </c:pt>
                <c:pt idx="4777">
                  <c:v>42034</c:v>
                </c:pt>
                <c:pt idx="4778">
                  <c:v>42035</c:v>
                </c:pt>
                <c:pt idx="4779">
                  <c:v>42036</c:v>
                </c:pt>
                <c:pt idx="4780">
                  <c:v>42037</c:v>
                </c:pt>
                <c:pt idx="4781">
                  <c:v>42038</c:v>
                </c:pt>
                <c:pt idx="4782">
                  <c:v>42039</c:v>
                </c:pt>
                <c:pt idx="4783">
                  <c:v>42040</c:v>
                </c:pt>
                <c:pt idx="4784">
                  <c:v>42041</c:v>
                </c:pt>
                <c:pt idx="4785">
                  <c:v>42042</c:v>
                </c:pt>
                <c:pt idx="4786">
                  <c:v>42043</c:v>
                </c:pt>
                <c:pt idx="4787">
                  <c:v>42044</c:v>
                </c:pt>
                <c:pt idx="4788">
                  <c:v>42045</c:v>
                </c:pt>
                <c:pt idx="4789">
                  <c:v>42046</c:v>
                </c:pt>
                <c:pt idx="4790">
                  <c:v>42047</c:v>
                </c:pt>
                <c:pt idx="4791">
                  <c:v>42048</c:v>
                </c:pt>
                <c:pt idx="4792">
                  <c:v>42049</c:v>
                </c:pt>
                <c:pt idx="4793">
                  <c:v>42050</c:v>
                </c:pt>
                <c:pt idx="4794">
                  <c:v>42051</c:v>
                </c:pt>
                <c:pt idx="4795">
                  <c:v>42052</c:v>
                </c:pt>
                <c:pt idx="4796">
                  <c:v>42053</c:v>
                </c:pt>
                <c:pt idx="4797">
                  <c:v>42054</c:v>
                </c:pt>
                <c:pt idx="4798">
                  <c:v>42055</c:v>
                </c:pt>
                <c:pt idx="4799">
                  <c:v>42056</c:v>
                </c:pt>
                <c:pt idx="4800">
                  <c:v>42057</c:v>
                </c:pt>
                <c:pt idx="4801">
                  <c:v>42058</c:v>
                </c:pt>
                <c:pt idx="4802">
                  <c:v>42059</c:v>
                </c:pt>
                <c:pt idx="4803">
                  <c:v>42060</c:v>
                </c:pt>
                <c:pt idx="4804">
                  <c:v>42061</c:v>
                </c:pt>
                <c:pt idx="4805">
                  <c:v>42062</c:v>
                </c:pt>
                <c:pt idx="4806">
                  <c:v>42063</c:v>
                </c:pt>
                <c:pt idx="4807">
                  <c:v>42064</c:v>
                </c:pt>
                <c:pt idx="4808">
                  <c:v>42065</c:v>
                </c:pt>
                <c:pt idx="4809">
                  <c:v>42066</c:v>
                </c:pt>
                <c:pt idx="4810">
                  <c:v>42067</c:v>
                </c:pt>
                <c:pt idx="4811">
                  <c:v>42068</c:v>
                </c:pt>
                <c:pt idx="4812">
                  <c:v>42069</c:v>
                </c:pt>
                <c:pt idx="4813">
                  <c:v>42070</c:v>
                </c:pt>
                <c:pt idx="4814">
                  <c:v>42071</c:v>
                </c:pt>
                <c:pt idx="4815">
                  <c:v>42072</c:v>
                </c:pt>
                <c:pt idx="4816">
                  <c:v>42073</c:v>
                </c:pt>
                <c:pt idx="4817">
                  <c:v>42074</c:v>
                </c:pt>
                <c:pt idx="4818">
                  <c:v>42075</c:v>
                </c:pt>
                <c:pt idx="4819">
                  <c:v>42076</c:v>
                </c:pt>
                <c:pt idx="4820">
                  <c:v>42077</c:v>
                </c:pt>
                <c:pt idx="4821">
                  <c:v>42078</c:v>
                </c:pt>
                <c:pt idx="4822">
                  <c:v>42079</c:v>
                </c:pt>
                <c:pt idx="4823">
                  <c:v>42080</c:v>
                </c:pt>
                <c:pt idx="4824">
                  <c:v>42081</c:v>
                </c:pt>
                <c:pt idx="4825">
                  <c:v>42082</c:v>
                </c:pt>
                <c:pt idx="4826">
                  <c:v>42083</c:v>
                </c:pt>
                <c:pt idx="4827">
                  <c:v>42084</c:v>
                </c:pt>
                <c:pt idx="4828">
                  <c:v>42085</c:v>
                </c:pt>
                <c:pt idx="4829">
                  <c:v>42086</c:v>
                </c:pt>
                <c:pt idx="4830">
                  <c:v>42087</c:v>
                </c:pt>
                <c:pt idx="4831">
                  <c:v>42088</c:v>
                </c:pt>
                <c:pt idx="4832">
                  <c:v>42089</c:v>
                </c:pt>
                <c:pt idx="4833">
                  <c:v>42090</c:v>
                </c:pt>
                <c:pt idx="4834">
                  <c:v>42091</c:v>
                </c:pt>
                <c:pt idx="4835">
                  <c:v>42092</c:v>
                </c:pt>
                <c:pt idx="4836">
                  <c:v>42093</c:v>
                </c:pt>
                <c:pt idx="4837">
                  <c:v>42094</c:v>
                </c:pt>
                <c:pt idx="4838">
                  <c:v>42095</c:v>
                </c:pt>
                <c:pt idx="4839">
                  <c:v>42096</c:v>
                </c:pt>
                <c:pt idx="4840">
                  <c:v>42097</c:v>
                </c:pt>
                <c:pt idx="4841">
                  <c:v>42098</c:v>
                </c:pt>
                <c:pt idx="4842">
                  <c:v>42099</c:v>
                </c:pt>
                <c:pt idx="4843">
                  <c:v>42100</c:v>
                </c:pt>
                <c:pt idx="4844">
                  <c:v>42101</c:v>
                </c:pt>
                <c:pt idx="4845">
                  <c:v>42102</c:v>
                </c:pt>
                <c:pt idx="4846">
                  <c:v>42103</c:v>
                </c:pt>
                <c:pt idx="4847">
                  <c:v>42104</c:v>
                </c:pt>
                <c:pt idx="4848">
                  <c:v>42105</c:v>
                </c:pt>
                <c:pt idx="4849">
                  <c:v>42106</c:v>
                </c:pt>
                <c:pt idx="4850">
                  <c:v>42107</c:v>
                </c:pt>
                <c:pt idx="4851">
                  <c:v>42108</c:v>
                </c:pt>
                <c:pt idx="4852">
                  <c:v>42109</c:v>
                </c:pt>
                <c:pt idx="4853">
                  <c:v>42110</c:v>
                </c:pt>
                <c:pt idx="4854">
                  <c:v>42111</c:v>
                </c:pt>
                <c:pt idx="4855">
                  <c:v>42112</c:v>
                </c:pt>
                <c:pt idx="4856">
                  <c:v>42113</c:v>
                </c:pt>
                <c:pt idx="4857">
                  <c:v>42114</c:v>
                </c:pt>
                <c:pt idx="4858">
                  <c:v>42115</c:v>
                </c:pt>
                <c:pt idx="4859">
                  <c:v>42116</c:v>
                </c:pt>
                <c:pt idx="4860">
                  <c:v>42117</c:v>
                </c:pt>
                <c:pt idx="4861">
                  <c:v>42118</c:v>
                </c:pt>
                <c:pt idx="4862">
                  <c:v>42119</c:v>
                </c:pt>
                <c:pt idx="4863">
                  <c:v>42120</c:v>
                </c:pt>
                <c:pt idx="4864">
                  <c:v>42121</c:v>
                </c:pt>
                <c:pt idx="4865">
                  <c:v>42122</c:v>
                </c:pt>
                <c:pt idx="4866">
                  <c:v>42123</c:v>
                </c:pt>
                <c:pt idx="4867">
                  <c:v>42124</c:v>
                </c:pt>
                <c:pt idx="4868">
                  <c:v>42125</c:v>
                </c:pt>
                <c:pt idx="4869">
                  <c:v>42126</c:v>
                </c:pt>
                <c:pt idx="4870">
                  <c:v>42127</c:v>
                </c:pt>
                <c:pt idx="4871">
                  <c:v>42128</c:v>
                </c:pt>
                <c:pt idx="4872">
                  <c:v>42129</c:v>
                </c:pt>
                <c:pt idx="4873">
                  <c:v>42130</c:v>
                </c:pt>
                <c:pt idx="4874">
                  <c:v>42131</c:v>
                </c:pt>
                <c:pt idx="4875">
                  <c:v>42132</c:v>
                </c:pt>
                <c:pt idx="4876">
                  <c:v>42133</c:v>
                </c:pt>
                <c:pt idx="4877">
                  <c:v>42134</c:v>
                </c:pt>
                <c:pt idx="4878">
                  <c:v>42135</c:v>
                </c:pt>
                <c:pt idx="4879">
                  <c:v>42136</c:v>
                </c:pt>
                <c:pt idx="4880">
                  <c:v>42137</c:v>
                </c:pt>
                <c:pt idx="4881">
                  <c:v>42138</c:v>
                </c:pt>
                <c:pt idx="4882">
                  <c:v>42139</c:v>
                </c:pt>
                <c:pt idx="4883">
                  <c:v>42140</c:v>
                </c:pt>
                <c:pt idx="4884">
                  <c:v>42141</c:v>
                </c:pt>
                <c:pt idx="4885">
                  <c:v>42142</c:v>
                </c:pt>
                <c:pt idx="4886">
                  <c:v>42143</c:v>
                </c:pt>
                <c:pt idx="4887">
                  <c:v>42144</c:v>
                </c:pt>
                <c:pt idx="4888">
                  <c:v>42145</c:v>
                </c:pt>
                <c:pt idx="4889">
                  <c:v>42146</c:v>
                </c:pt>
                <c:pt idx="4890">
                  <c:v>42147</c:v>
                </c:pt>
                <c:pt idx="4891">
                  <c:v>42148</c:v>
                </c:pt>
                <c:pt idx="4892">
                  <c:v>42149</c:v>
                </c:pt>
                <c:pt idx="4893">
                  <c:v>42150</c:v>
                </c:pt>
                <c:pt idx="4894">
                  <c:v>42151</c:v>
                </c:pt>
                <c:pt idx="4895">
                  <c:v>42152</c:v>
                </c:pt>
                <c:pt idx="4896">
                  <c:v>42153</c:v>
                </c:pt>
                <c:pt idx="4897">
                  <c:v>42154</c:v>
                </c:pt>
                <c:pt idx="4898">
                  <c:v>42155</c:v>
                </c:pt>
                <c:pt idx="4899">
                  <c:v>42156</c:v>
                </c:pt>
                <c:pt idx="4900">
                  <c:v>42157</c:v>
                </c:pt>
                <c:pt idx="4901">
                  <c:v>42158</c:v>
                </c:pt>
                <c:pt idx="4902">
                  <c:v>42159</c:v>
                </c:pt>
                <c:pt idx="4903">
                  <c:v>42160</c:v>
                </c:pt>
                <c:pt idx="4904">
                  <c:v>42161</c:v>
                </c:pt>
                <c:pt idx="4905">
                  <c:v>42162</c:v>
                </c:pt>
                <c:pt idx="4906">
                  <c:v>42163</c:v>
                </c:pt>
                <c:pt idx="4907">
                  <c:v>42164</c:v>
                </c:pt>
                <c:pt idx="4908">
                  <c:v>42165</c:v>
                </c:pt>
                <c:pt idx="4909">
                  <c:v>42166</c:v>
                </c:pt>
                <c:pt idx="4910">
                  <c:v>42167</c:v>
                </c:pt>
                <c:pt idx="4911">
                  <c:v>42168</c:v>
                </c:pt>
                <c:pt idx="4912">
                  <c:v>42169</c:v>
                </c:pt>
                <c:pt idx="4913">
                  <c:v>42170</c:v>
                </c:pt>
                <c:pt idx="4914">
                  <c:v>42171</c:v>
                </c:pt>
                <c:pt idx="4915">
                  <c:v>42172</c:v>
                </c:pt>
                <c:pt idx="4916">
                  <c:v>42173</c:v>
                </c:pt>
                <c:pt idx="4917">
                  <c:v>42174</c:v>
                </c:pt>
                <c:pt idx="4918">
                  <c:v>42175</c:v>
                </c:pt>
                <c:pt idx="4919">
                  <c:v>42176</c:v>
                </c:pt>
                <c:pt idx="4920">
                  <c:v>42177</c:v>
                </c:pt>
                <c:pt idx="4921">
                  <c:v>42178</c:v>
                </c:pt>
                <c:pt idx="4922">
                  <c:v>42179</c:v>
                </c:pt>
                <c:pt idx="4923">
                  <c:v>42180</c:v>
                </c:pt>
                <c:pt idx="4924">
                  <c:v>42181</c:v>
                </c:pt>
                <c:pt idx="4925">
                  <c:v>42182</c:v>
                </c:pt>
                <c:pt idx="4926">
                  <c:v>42183</c:v>
                </c:pt>
                <c:pt idx="4927">
                  <c:v>42184</c:v>
                </c:pt>
                <c:pt idx="4928">
                  <c:v>42185</c:v>
                </c:pt>
                <c:pt idx="4929">
                  <c:v>42186</c:v>
                </c:pt>
                <c:pt idx="4930">
                  <c:v>42187</c:v>
                </c:pt>
                <c:pt idx="4931">
                  <c:v>42188</c:v>
                </c:pt>
                <c:pt idx="4932">
                  <c:v>42189</c:v>
                </c:pt>
                <c:pt idx="4933">
                  <c:v>42190</c:v>
                </c:pt>
                <c:pt idx="4934">
                  <c:v>42191</c:v>
                </c:pt>
                <c:pt idx="4935">
                  <c:v>42192</c:v>
                </c:pt>
                <c:pt idx="4936">
                  <c:v>42193</c:v>
                </c:pt>
                <c:pt idx="4937">
                  <c:v>42194</c:v>
                </c:pt>
                <c:pt idx="4938">
                  <c:v>42195</c:v>
                </c:pt>
                <c:pt idx="4939">
                  <c:v>42196</c:v>
                </c:pt>
                <c:pt idx="4940">
                  <c:v>42197</c:v>
                </c:pt>
                <c:pt idx="4941">
                  <c:v>42198</c:v>
                </c:pt>
                <c:pt idx="4942">
                  <c:v>42199</c:v>
                </c:pt>
                <c:pt idx="4943">
                  <c:v>42200</c:v>
                </c:pt>
                <c:pt idx="4944">
                  <c:v>42201</c:v>
                </c:pt>
                <c:pt idx="4945">
                  <c:v>42202</c:v>
                </c:pt>
                <c:pt idx="4946">
                  <c:v>42203</c:v>
                </c:pt>
                <c:pt idx="4947">
                  <c:v>42204</c:v>
                </c:pt>
                <c:pt idx="4948">
                  <c:v>42205</c:v>
                </c:pt>
                <c:pt idx="4949">
                  <c:v>42206</c:v>
                </c:pt>
                <c:pt idx="4950">
                  <c:v>42207</c:v>
                </c:pt>
                <c:pt idx="4951">
                  <c:v>42208</c:v>
                </c:pt>
                <c:pt idx="4952">
                  <c:v>42209</c:v>
                </c:pt>
                <c:pt idx="4953">
                  <c:v>42210</c:v>
                </c:pt>
                <c:pt idx="4954">
                  <c:v>42211</c:v>
                </c:pt>
                <c:pt idx="4955">
                  <c:v>42212</c:v>
                </c:pt>
                <c:pt idx="4956">
                  <c:v>42213</c:v>
                </c:pt>
                <c:pt idx="4957">
                  <c:v>42214</c:v>
                </c:pt>
                <c:pt idx="4958">
                  <c:v>42215</c:v>
                </c:pt>
                <c:pt idx="4959">
                  <c:v>42216</c:v>
                </c:pt>
                <c:pt idx="4960">
                  <c:v>42217</c:v>
                </c:pt>
                <c:pt idx="4961">
                  <c:v>42218</c:v>
                </c:pt>
                <c:pt idx="4962">
                  <c:v>42219</c:v>
                </c:pt>
                <c:pt idx="4963">
                  <c:v>42220</c:v>
                </c:pt>
                <c:pt idx="4964">
                  <c:v>42221</c:v>
                </c:pt>
                <c:pt idx="4965">
                  <c:v>42222</c:v>
                </c:pt>
                <c:pt idx="4966">
                  <c:v>42223</c:v>
                </c:pt>
                <c:pt idx="4967">
                  <c:v>42224</c:v>
                </c:pt>
                <c:pt idx="4968">
                  <c:v>42225</c:v>
                </c:pt>
                <c:pt idx="4969">
                  <c:v>42226</c:v>
                </c:pt>
                <c:pt idx="4970">
                  <c:v>42227</c:v>
                </c:pt>
                <c:pt idx="4971">
                  <c:v>42228</c:v>
                </c:pt>
                <c:pt idx="4972">
                  <c:v>42229</c:v>
                </c:pt>
                <c:pt idx="4973">
                  <c:v>42230</c:v>
                </c:pt>
                <c:pt idx="4974">
                  <c:v>42231</c:v>
                </c:pt>
                <c:pt idx="4975">
                  <c:v>42232</c:v>
                </c:pt>
                <c:pt idx="4976">
                  <c:v>42233</c:v>
                </c:pt>
                <c:pt idx="4977">
                  <c:v>42234</c:v>
                </c:pt>
                <c:pt idx="4978">
                  <c:v>42235</c:v>
                </c:pt>
                <c:pt idx="4979">
                  <c:v>42236</c:v>
                </c:pt>
                <c:pt idx="4980">
                  <c:v>42237</c:v>
                </c:pt>
                <c:pt idx="4981">
                  <c:v>42238</c:v>
                </c:pt>
                <c:pt idx="4982">
                  <c:v>42239</c:v>
                </c:pt>
                <c:pt idx="4983">
                  <c:v>42240</c:v>
                </c:pt>
                <c:pt idx="4984">
                  <c:v>42241</c:v>
                </c:pt>
                <c:pt idx="4985">
                  <c:v>42242</c:v>
                </c:pt>
                <c:pt idx="4986">
                  <c:v>42243</c:v>
                </c:pt>
                <c:pt idx="4987">
                  <c:v>42244</c:v>
                </c:pt>
                <c:pt idx="4988">
                  <c:v>42245</c:v>
                </c:pt>
                <c:pt idx="4989">
                  <c:v>42246</c:v>
                </c:pt>
                <c:pt idx="4990">
                  <c:v>42247</c:v>
                </c:pt>
                <c:pt idx="4991">
                  <c:v>42248</c:v>
                </c:pt>
                <c:pt idx="4992">
                  <c:v>42249</c:v>
                </c:pt>
                <c:pt idx="4993">
                  <c:v>42250</c:v>
                </c:pt>
                <c:pt idx="4994">
                  <c:v>42251</c:v>
                </c:pt>
                <c:pt idx="4995">
                  <c:v>42252</c:v>
                </c:pt>
                <c:pt idx="4996">
                  <c:v>42253</c:v>
                </c:pt>
                <c:pt idx="4997">
                  <c:v>42254</c:v>
                </c:pt>
                <c:pt idx="4998">
                  <c:v>42255</c:v>
                </c:pt>
                <c:pt idx="4999">
                  <c:v>42256</c:v>
                </c:pt>
                <c:pt idx="5000">
                  <c:v>42257</c:v>
                </c:pt>
                <c:pt idx="5001">
                  <c:v>42258</c:v>
                </c:pt>
                <c:pt idx="5002">
                  <c:v>42259</c:v>
                </c:pt>
                <c:pt idx="5003">
                  <c:v>42260</c:v>
                </c:pt>
                <c:pt idx="5004">
                  <c:v>42261</c:v>
                </c:pt>
                <c:pt idx="5005">
                  <c:v>42262</c:v>
                </c:pt>
                <c:pt idx="5006">
                  <c:v>42263</c:v>
                </c:pt>
                <c:pt idx="5007">
                  <c:v>42264</c:v>
                </c:pt>
                <c:pt idx="5008">
                  <c:v>42265</c:v>
                </c:pt>
                <c:pt idx="5009">
                  <c:v>42266</c:v>
                </c:pt>
                <c:pt idx="5010">
                  <c:v>42267</c:v>
                </c:pt>
                <c:pt idx="5011">
                  <c:v>42268</c:v>
                </c:pt>
                <c:pt idx="5012">
                  <c:v>42269</c:v>
                </c:pt>
                <c:pt idx="5013">
                  <c:v>42270</c:v>
                </c:pt>
                <c:pt idx="5014">
                  <c:v>42271</c:v>
                </c:pt>
                <c:pt idx="5015">
                  <c:v>42272</c:v>
                </c:pt>
                <c:pt idx="5016">
                  <c:v>42273</c:v>
                </c:pt>
                <c:pt idx="5017">
                  <c:v>42274</c:v>
                </c:pt>
                <c:pt idx="5018">
                  <c:v>42275</c:v>
                </c:pt>
                <c:pt idx="5019">
                  <c:v>42276</c:v>
                </c:pt>
                <c:pt idx="5020">
                  <c:v>42277</c:v>
                </c:pt>
                <c:pt idx="5021">
                  <c:v>42278</c:v>
                </c:pt>
                <c:pt idx="5022">
                  <c:v>42279</c:v>
                </c:pt>
                <c:pt idx="5023">
                  <c:v>42280</c:v>
                </c:pt>
                <c:pt idx="5024">
                  <c:v>42281</c:v>
                </c:pt>
                <c:pt idx="5025">
                  <c:v>42282</c:v>
                </c:pt>
                <c:pt idx="5026">
                  <c:v>42283</c:v>
                </c:pt>
                <c:pt idx="5027">
                  <c:v>42284</c:v>
                </c:pt>
                <c:pt idx="5028">
                  <c:v>42285</c:v>
                </c:pt>
                <c:pt idx="5029">
                  <c:v>42286</c:v>
                </c:pt>
                <c:pt idx="5030">
                  <c:v>42287</c:v>
                </c:pt>
                <c:pt idx="5031">
                  <c:v>42288</c:v>
                </c:pt>
                <c:pt idx="5032">
                  <c:v>42289</c:v>
                </c:pt>
                <c:pt idx="5033">
                  <c:v>42290</c:v>
                </c:pt>
                <c:pt idx="5034">
                  <c:v>42291</c:v>
                </c:pt>
                <c:pt idx="5035">
                  <c:v>42292</c:v>
                </c:pt>
                <c:pt idx="5036">
                  <c:v>42293</c:v>
                </c:pt>
                <c:pt idx="5037">
                  <c:v>42294</c:v>
                </c:pt>
                <c:pt idx="5038">
                  <c:v>42295</c:v>
                </c:pt>
                <c:pt idx="5039">
                  <c:v>42296</c:v>
                </c:pt>
                <c:pt idx="5040">
                  <c:v>42297</c:v>
                </c:pt>
                <c:pt idx="5041">
                  <c:v>42298</c:v>
                </c:pt>
                <c:pt idx="5042">
                  <c:v>42299</c:v>
                </c:pt>
                <c:pt idx="5043">
                  <c:v>42300</c:v>
                </c:pt>
                <c:pt idx="5044">
                  <c:v>42301</c:v>
                </c:pt>
                <c:pt idx="5045">
                  <c:v>42302</c:v>
                </c:pt>
                <c:pt idx="5046">
                  <c:v>42303</c:v>
                </c:pt>
                <c:pt idx="5047">
                  <c:v>42304</c:v>
                </c:pt>
                <c:pt idx="5048">
                  <c:v>42305</c:v>
                </c:pt>
                <c:pt idx="5049">
                  <c:v>42306</c:v>
                </c:pt>
                <c:pt idx="5050">
                  <c:v>42307</c:v>
                </c:pt>
                <c:pt idx="5051">
                  <c:v>42308</c:v>
                </c:pt>
                <c:pt idx="5052">
                  <c:v>42309</c:v>
                </c:pt>
                <c:pt idx="5053">
                  <c:v>42310</c:v>
                </c:pt>
                <c:pt idx="5054">
                  <c:v>42311</c:v>
                </c:pt>
                <c:pt idx="5055">
                  <c:v>42312</c:v>
                </c:pt>
                <c:pt idx="5056">
                  <c:v>42313</c:v>
                </c:pt>
                <c:pt idx="5057">
                  <c:v>42314</c:v>
                </c:pt>
                <c:pt idx="5058">
                  <c:v>42315</c:v>
                </c:pt>
                <c:pt idx="5059">
                  <c:v>42316</c:v>
                </c:pt>
                <c:pt idx="5060">
                  <c:v>42317</c:v>
                </c:pt>
                <c:pt idx="5061">
                  <c:v>42318</c:v>
                </c:pt>
                <c:pt idx="5062">
                  <c:v>42319</c:v>
                </c:pt>
                <c:pt idx="5063">
                  <c:v>42320</c:v>
                </c:pt>
                <c:pt idx="5064">
                  <c:v>42321</c:v>
                </c:pt>
                <c:pt idx="5065">
                  <c:v>42322</c:v>
                </c:pt>
                <c:pt idx="5066">
                  <c:v>42323</c:v>
                </c:pt>
                <c:pt idx="5067">
                  <c:v>42324</c:v>
                </c:pt>
                <c:pt idx="5068">
                  <c:v>42325</c:v>
                </c:pt>
                <c:pt idx="5069">
                  <c:v>42326</c:v>
                </c:pt>
                <c:pt idx="5070">
                  <c:v>42327</c:v>
                </c:pt>
                <c:pt idx="5071">
                  <c:v>42328</c:v>
                </c:pt>
                <c:pt idx="5072">
                  <c:v>42329</c:v>
                </c:pt>
                <c:pt idx="5073">
                  <c:v>42330</c:v>
                </c:pt>
                <c:pt idx="5074">
                  <c:v>42331</c:v>
                </c:pt>
                <c:pt idx="5075">
                  <c:v>42332</c:v>
                </c:pt>
                <c:pt idx="5076">
                  <c:v>42333</c:v>
                </c:pt>
                <c:pt idx="5077">
                  <c:v>42334</c:v>
                </c:pt>
                <c:pt idx="5078">
                  <c:v>42335</c:v>
                </c:pt>
                <c:pt idx="5079">
                  <c:v>42336</c:v>
                </c:pt>
                <c:pt idx="5080">
                  <c:v>42337</c:v>
                </c:pt>
                <c:pt idx="5081">
                  <c:v>42338</c:v>
                </c:pt>
                <c:pt idx="5082">
                  <c:v>42339</c:v>
                </c:pt>
                <c:pt idx="5083">
                  <c:v>42340</c:v>
                </c:pt>
                <c:pt idx="5084">
                  <c:v>42341</c:v>
                </c:pt>
                <c:pt idx="5085">
                  <c:v>42342</c:v>
                </c:pt>
                <c:pt idx="5086">
                  <c:v>42343</c:v>
                </c:pt>
                <c:pt idx="5087">
                  <c:v>42344</c:v>
                </c:pt>
                <c:pt idx="5088">
                  <c:v>42345</c:v>
                </c:pt>
                <c:pt idx="5089">
                  <c:v>42346</c:v>
                </c:pt>
                <c:pt idx="5090">
                  <c:v>42347</c:v>
                </c:pt>
                <c:pt idx="5091">
                  <c:v>42348</c:v>
                </c:pt>
                <c:pt idx="5092">
                  <c:v>42349</c:v>
                </c:pt>
                <c:pt idx="5093">
                  <c:v>42350</c:v>
                </c:pt>
                <c:pt idx="5094">
                  <c:v>42351</c:v>
                </c:pt>
                <c:pt idx="5095">
                  <c:v>42352</c:v>
                </c:pt>
                <c:pt idx="5096">
                  <c:v>42353</c:v>
                </c:pt>
                <c:pt idx="5097">
                  <c:v>42354</c:v>
                </c:pt>
                <c:pt idx="5098">
                  <c:v>42355</c:v>
                </c:pt>
                <c:pt idx="5099">
                  <c:v>42356</c:v>
                </c:pt>
                <c:pt idx="5100">
                  <c:v>42357</c:v>
                </c:pt>
                <c:pt idx="5101">
                  <c:v>42358</c:v>
                </c:pt>
                <c:pt idx="5102">
                  <c:v>42359</c:v>
                </c:pt>
                <c:pt idx="5103">
                  <c:v>42360</c:v>
                </c:pt>
                <c:pt idx="5104">
                  <c:v>42361</c:v>
                </c:pt>
                <c:pt idx="5105">
                  <c:v>42362</c:v>
                </c:pt>
                <c:pt idx="5106">
                  <c:v>42363</c:v>
                </c:pt>
                <c:pt idx="5107">
                  <c:v>42364</c:v>
                </c:pt>
                <c:pt idx="5108">
                  <c:v>42365</c:v>
                </c:pt>
                <c:pt idx="5109">
                  <c:v>42366</c:v>
                </c:pt>
                <c:pt idx="5110">
                  <c:v>42367</c:v>
                </c:pt>
                <c:pt idx="5111">
                  <c:v>42368</c:v>
                </c:pt>
                <c:pt idx="5112">
                  <c:v>42369</c:v>
                </c:pt>
                <c:pt idx="5113">
                  <c:v>42370</c:v>
                </c:pt>
                <c:pt idx="5114">
                  <c:v>42371</c:v>
                </c:pt>
                <c:pt idx="5115">
                  <c:v>42372</c:v>
                </c:pt>
                <c:pt idx="5116">
                  <c:v>42373</c:v>
                </c:pt>
                <c:pt idx="5117">
                  <c:v>42374</c:v>
                </c:pt>
                <c:pt idx="5118">
                  <c:v>42375</c:v>
                </c:pt>
                <c:pt idx="5119">
                  <c:v>42376</c:v>
                </c:pt>
                <c:pt idx="5120">
                  <c:v>42377</c:v>
                </c:pt>
                <c:pt idx="5121">
                  <c:v>42378</c:v>
                </c:pt>
                <c:pt idx="5122">
                  <c:v>42379</c:v>
                </c:pt>
                <c:pt idx="5123">
                  <c:v>42380</c:v>
                </c:pt>
                <c:pt idx="5124">
                  <c:v>42381</c:v>
                </c:pt>
                <c:pt idx="5125">
                  <c:v>42382</c:v>
                </c:pt>
                <c:pt idx="5126">
                  <c:v>42383</c:v>
                </c:pt>
                <c:pt idx="5127">
                  <c:v>42384</c:v>
                </c:pt>
                <c:pt idx="5128">
                  <c:v>42385</c:v>
                </c:pt>
                <c:pt idx="5129">
                  <c:v>42386</c:v>
                </c:pt>
                <c:pt idx="5130">
                  <c:v>42387</c:v>
                </c:pt>
                <c:pt idx="5131">
                  <c:v>42388</c:v>
                </c:pt>
                <c:pt idx="5132">
                  <c:v>42389</c:v>
                </c:pt>
                <c:pt idx="5133">
                  <c:v>42390</c:v>
                </c:pt>
                <c:pt idx="5134">
                  <c:v>42391</c:v>
                </c:pt>
                <c:pt idx="5135">
                  <c:v>42392</c:v>
                </c:pt>
                <c:pt idx="5136">
                  <c:v>42393</c:v>
                </c:pt>
                <c:pt idx="5137">
                  <c:v>42394</c:v>
                </c:pt>
                <c:pt idx="5138">
                  <c:v>42395</c:v>
                </c:pt>
                <c:pt idx="5139">
                  <c:v>42396</c:v>
                </c:pt>
                <c:pt idx="5140">
                  <c:v>42397</c:v>
                </c:pt>
                <c:pt idx="5141">
                  <c:v>42398</c:v>
                </c:pt>
                <c:pt idx="5142">
                  <c:v>42399</c:v>
                </c:pt>
                <c:pt idx="5143">
                  <c:v>42400</c:v>
                </c:pt>
                <c:pt idx="5144">
                  <c:v>42401</c:v>
                </c:pt>
                <c:pt idx="5145">
                  <c:v>42402</c:v>
                </c:pt>
                <c:pt idx="5146">
                  <c:v>42403</c:v>
                </c:pt>
                <c:pt idx="5147">
                  <c:v>42404</c:v>
                </c:pt>
                <c:pt idx="5148">
                  <c:v>42405</c:v>
                </c:pt>
                <c:pt idx="5149">
                  <c:v>42406</c:v>
                </c:pt>
                <c:pt idx="5150">
                  <c:v>42407</c:v>
                </c:pt>
                <c:pt idx="5151">
                  <c:v>42408</c:v>
                </c:pt>
                <c:pt idx="5152">
                  <c:v>42409</c:v>
                </c:pt>
                <c:pt idx="5153">
                  <c:v>42410</c:v>
                </c:pt>
                <c:pt idx="5154">
                  <c:v>42411</c:v>
                </c:pt>
                <c:pt idx="5155">
                  <c:v>42412</c:v>
                </c:pt>
                <c:pt idx="5156">
                  <c:v>42413</c:v>
                </c:pt>
                <c:pt idx="5157">
                  <c:v>42414</c:v>
                </c:pt>
                <c:pt idx="5158">
                  <c:v>42415</c:v>
                </c:pt>
                <c:pt idx="5159">
                  <c:v>42416</c:v>
                </c:pt>
                <c:pt idx="5160">
                  <c:v>42417</c:v>
                </c:pt>
                <c:pt idx="5161">
                  <c:v>42418</c:v>
                </c:pt>
                <c:pt idx="5162">
                  <c:v>42419</c:v>
                </c:pt>
                <c:pt idx="5163">
                  <c:v>42420</c:v>
                </c:pt>
                <c:pt idx="5164">
                  <c:v>42421</c:v>
                </c:pt>
                <c:pt idx="5165">
                  <c:v>42422</c:v>
                </c:pt>
                <c:pt idx="5166">
                  <c:v>42423</c:v>
                </c:pt>
                <c:pt idx="5167">
                  <c:v>42424</c:v>
                </c:pt>
                <c:pt idx="5168">
                  <c:v>42425</c:v>
                </c:pt>
                <c:pt idx="5169">
                  <c:v>42426</c:v>
                </c:pt>
                <c:pt idx="5170">
                  <c:v>42427</c:v>
                </c:pt>
                <c:pt idx="5171">
                  <c:v>42428</c:v>
                </c:pt>
                <c:pt idx="5172">
                  <c:v>42429</c:v>
                </c:pt>
                <c:pt idx="5173">
                  <c:v>42430</c:v>
                </c:pt>
                <c:pt idx="5174">
                  <c:v>42431</c:v>
                </c:pt>
                <c:pt idx="5175">
                  <c:v>42432</c:v>
                </c:pt>
                <c:pt idx="5176">
                  <c:v>42433</c:v>
                </c:pt>
                <c:pt idx="5177">
                  <c:v>42434</c:v>
                </c:pt>
                <c:pt idx="5178">
                  <c:v>42435</c:v>
                </c:pt>
                <c:pt idx="5179">
                  <c:v>42436</c:v>
                </c:pt>
                <c:pt idx="5180">
                  <c:v>42437</c:v>
                </c:pt>
                <c:pt idx="5181">
                  <c:v>42438</c:v>
                </c:pt>
                <c:pt idx="5182">
                  <c:v>42439</c:v>
                </c:pt>
                <c:pt idx="5183">
                  <c:v>42440</c:v>
                </c:pt>
                <c:pt idx="5184">
                  <c:v>42441</c:v>
                </c:pt>
                <c:pt idx="5185">
                  <c:v>42442</c:v>
                </c:pt>
                <c:pt idx="5186">
                  <c:v>42443</c:v>
                </c:pt>
                <c:pt idx="5187">
                  <c:v>42444</c:v>
                </c:pt>
                <c:pt idx="5188">
                  <c:v>42445</c:v>
                </c:pt>
                <c:pt idx="5189">
                  <c:v>42446</c:v>
                </c:pt>
                <c:pt idx="5190">
                  <c:v>42447</c:v>
                </c:pt>
                <c:pt idx="5191">
                  <c:v>42448</c:v>
                </c:pt>
                <c:pt idx="5192">
                  <c:v>42449</c:v>
                </c:pt>
                <c:pt idx="5193">
                  <c:v>42450</c:v>
                </c:pt>
                <c:pt idx="5194">
                  <c:v>42451</c:v>
                </c:pt>
                <c:pt idx="5195">
                  <c:v>42452</c:v>
                </c:pt>
                <c:pt idx="5196">
                  <c:v>42453</c:v>
                </c:pt>
                <c:pt idx="5197">
                  <c:v>42454</c:v>
                </c:pt>
                <c:pt idx="5198">
                  <c:v>42455</c:v>
                </c:pt>
                <c:pt idx="5199">
                  <c:v>42456</c:v>
                </c:pt>
                <c:pt idx="5200">
                  <c:v>42457</c:v>
                </c:pt>
                <c:pt idx="5201">
                  <c:v>42458</c:v>
                </c:pt>
                <c:pt idx="5202">
                  <c:v>42459</c:v>
                </c:pt>
                <c:pt idx="5203">
                  <c:v>42460</c:v>
                </c:pt>
                <c:pt idx="5204">
                  <c:v>42461</c:v>
                </c:pt>
                <c:pt idx="5205">
                  <c:v>42462</c:v>
                </c:pt>
                <c:pt idx="5206">
                  <c:v>42463</c:v>
                </c:pt>
                <c:pt idx="5207">
                  <c:v>42464</c:v>
                </c:pt>
                <c:pt idx="5208">
                  <c:v>42465</c:v>
                </c:pt>
                <c:pt idx="5209">
                  <c:v>42466</c:v>
                </c:pt>
                <c:pt idx="5210">
                  <c:v>42467</c:v>
                </c:pt>
                <c:pt idx="5211">
                  <c:v>42468</c:v>
                </c:pt>
                <c:pt idx="5212">
                  <c:v>42469</c:v>
                </c:pt>
                <c:pt idx="5213">
                  <c:v>42470</c:v>
                </c:pt>
                <c:pt idx="5214">
                  <c:v>42471</c:v>
                </c:pt>
                <c:pt idx="5215">
                  <c:v>42472</c:v>
                </c:pt>
                <c:pt idx="5216">
                  <c:v>42473</c:v>
                </c:pt>
                <c:pt idx="5217">
                  <c:v>42474</c:v>
                </c:pt>
                <c:pt idx="5218">
                  <c:v>42475</c:v>
                </c:pt>
                <c:pt idx="5219">
                  <c:v>42476</c:v>
                </c:pt>
                <c:pt idx="5220">
                  <c:v>42477</c:v>
                </c:pt>
                <c:pt idx="5221">
                  <c:v>42478</c:v>
                </c:pt>
                <c:pt idx="5222">
                  <c:v>42479</c:v>
                </c:pt>
                <c:pt idx="5223">
                  <c:v>42480</c:v>
                </c:pt>
                <c:pt idx="5224">
                  <c:v>42481</c:v>
                </c:pt>
                <c:pt idx="5225">
                  <c:v>42482</c:v>
                </c:pt>
                <c:pt idx="5226">
                  <c:v>42483</c:v>
                </c:pt>
                <c:pt idx="5227">
                  <c:v>42484</c:v>
                </c:pt>
                <c:pt idx="5228">
                  <c:v>42485</c:v>
                </c:pt>
                <c:pt idx="5229">
                  <c:v>42486</c:v>
                </c:pt>
                <c:pt idx="5230">
                  <c:v>42487</c:v>
                </c:pt>
                <c:pt idx="5231">
                  <c:v>42488</c:v>
                </c:pt>
                <c:pt idx="5232">
                  <c:v>42489</c:v>
                </c:pt>
                <c:pt idx="5233">
                  <c:v>42490</c:v>
                </c:pt>
                <c:pt idx="5234">
                  <c:v>42491</c:v>
                </c:pt>
                <c:pt idx="5235">
                  <c:v>42492</c:v>
                </c:pt>
                <c:pt idx="5236">
                  <c:v>42493</c:v>
                </c:pt>
                <c:pt idx="5237">
                  <c:v>42494</c:v>
                </c:pt>
                <c:pt idx="5238">
                  <c:v>42495</c:v>
                </c:pt>
                <c:pt idx="5239">
                  <c:v>42496</c:v>
                </c:pt>
                <c:pt idx="5240">
                  <c:v>42497</c:v>
                </c:pt>
                <c:pt idx="5241">
                  <c:v>42498</c:v>
                </c:pt>
                <c:pt idx="5242">
                  <c:v>42499</c:v>
                </c:pt>
                <c:pt idx="5243">
                  <c:v>42500</c:v>
                </c:pt>
                <c:pt idx="5244">
                  <c:v>42501</c:v>
                </c:pt>
                <c:pt idx="5245">
                  <c:v>42502</c:v>
                </c:pt>
                <c:pt idx="5246">
                  <c:v>42503</c:v>
                </c:pt>
                <c:pt idx="5247">
                  <c:v>42504</c:v>
                </c:pt>
                <c:pt idx="5248">
                  <c:v>42505</c:v>
                </c:pt>
                <c:pt idx="5249">
                  <c:v>42506</c:v>
                </c:pt>
                <c:pt idx="5250">
                  <c:v>42507</c:v>
                </c:pt>
                <c:pt idx="5251">
                  <c:v>42508</c:v>
                </c:pt>
                <c:pt idx="5252">
                  <c:v>42509</c:v>
                </c:pt>
                <c:pt idx="5253">
                  <c:v>42510</c:v>
                </c:pt>
                <c:pt idx="5254">
                  <c:v>42511</c:v>
                </c:pt>
                <c:pt idx="5255">
                  <c:v>42512</c:v>
                </c:pt>
                <c:pt idx="5256">
                  <c:v>42513</c:v>
                </c:pt>
                <c:pt idx="5257">
                  <c:v>42514</c:v>
                </c:pt>
                <c:pt idx="5258">
                  <c:v>42515</c:v>
                </c:pt>
                <c:pt idx="5259">
                  <c:v>42516</c:v>
                </c:pt>
                <c:pt idx="5260">
                  <c:v>42517</c:v>
                </c:pt>
                <c:pt idx="5261">
                  <c:v>42518</c:v>
                </c:pt>
                <c:pt idx="5262">
                  <c:v>42519</c:v>
                </c:pt>
                <c:pt idx="5263">
                  <c:v>42520</c:v>
                </c:pt>
                <c:pt idx="5264">
                  <c:v>42521</c:v>
                </c:pt>
                <c:pt idx="5265">
                  <c:v>42522</c:v>
                </c:pt>
                <c:pt idx="5266">
                  <c:v>42523</c:v>
                </c:pt>
                <c:pt idx="5267">
                  <c:v>42524</c:v>
                </c:pt>
                <c:pt idx="5268">
                  <c:v>42525</c:v>
                </c:pt>
                <c:pt idx="5269">
                  <c:v>42526</c:v>
                </c:pt>
                <c:pt idx="5270">
                  <c:v>42527</c:v>
                </c:pt>
                <c:pt idx="5271">
                  <c:v>42528</c:v>
                </c:pt>
                <c:pt idx="5272">
                  <c:v>42529</c:v>
                </c:pt>
                <c:pt idx="5273">
                  <c:v>42530</c:v>
                </c:pt>
                <c:pt idx="5274">
                  <c:v>42531</c:v>
                </c:pt>
                <c:pt idx="5275">
                  <c:v>42532</c:v>
                </c:pt>
                <c:pt idx="5276">
                  <c:v>42533</c:v>
                </c:pt>
                <c:pt idx="5277">
                  <c:v>42534</c:v>
                </c:pt>
                <c:pt idx="5278">
                  <c:v>42535</c:v>
                </c:pt>
                <c:pt idx="5279">
                  <c:v>42536</c:v>
                </c:pt>
                <c:pt idx="5280">
                  <c:v>42537</c:v>
                </c:pt>
                <c:pt idx="5281">
                  <c:v>42538</c:v>
                </c:pt>
                <c:pt idx="5282">
                  <c:v>42539</c:v>
                </c:pt>
                <c:pt idx="5283">
                  <c:v>42540</c:v>
                </c:pt>
                <c:pt idx="5284">
                  <c:v>42541</c:v>
                </c:pt>
                <c:pt idx="5285">
                  <c:v>42542</c:v>
                </c:pt>
                <c:pt idx="5286">
                  <c:v>42543</c:v>
                </c:pt>
                <c:pt idx="5287">
                  <c:v>42544</c:v>
                </c:pt>
                <c:pt idx="5288">
                  <c:v>42545</c:v>
                </c:pt>
                <c:pt idx="5289">
                  <c:v>42546</c:v>
                </c:pt>
                <c:pt idx="5290">
                  <c:v>42547</c:v>
                </c:pt>
                <c:pt idx="5291">
                  <c:v>42548</c:v>
                </c:pt>
                <c:pt idx="5292">
                  <c:v>42549</c:v>
                </c:pt>
                <c:pt idx="5293">
                  <c:v>42550</c:v>
                </c:pt>
                <c:pt idx="5294">
                  <c:v>42551</c:v>
                </c:pt>
                <c:pt idx="5295">
                  <c:v>42552</c:v>
                </c:pt>
                <c:pt idx="5296">
                  <c:v>42553</c:v>
                </c:pt>
                <c:pt idx="5297">
                  <c:v>42554</c:v>
                </c:pt>
                <c:pt idx="5298">
                  <c:v>42555</c:v>
                </c:pt>
                <c:pt idx="5299">
                  <c:v>42556</c:v>
                </c:pt>
                <c:pt idx="5300">
                  <c:v>42557</c:v>
                </c:pt>
                <c:pt idx="5301">
                  <c:v>42558</c:v>
                </c:pt>
                <c:pt idx="5302">
                  <c:v>42559</c:v>
                </c:pt>
                <c:pt idx="5303">
                  <c:v>42560</c:v>
                </c:pt>
                <c:pt idx="5304">
                  <c:v>42561</c:v>
                </c:pt>
                <c:pt idx="5305">
                  <c:v>42562</c:v>
                </c:pt>
                <c:pt idx="5306">
                  <c:v>42563</c:v>
                </c:pt>
                <c:pt idx="5307">
                  <c:v>42564</c:v>
                </c:pt>
                <c:pt idx="5308">
                  <c:v>42565</c:v>
                </c:pt>
                <c:pt idx="5309">
                  <c:v>42566</c:v>
                </c:pt>
                <c:pt idx="5310">
                  <c:v>42567</c:v>
                </c:pt>
                <c:pt idx="5311">
                  <c:v>42568</c:v>
                </c:pt>
                <c:pt idx="5312">
                  <c:v>42569</c:v>
                </c:pt>
                <c:pt idx="5313">
                  <c:v>42570</c:v>
                </c:pt>
                <c:pt idx="5314">
                  <c:v>42571</c:v>
                </c:pt>
                <c:pt idx="5315">
                  <c:v>42572</c:v>
                </c:pt>
                <c:pt idx="5316">
                  <c:v>42573</c:v>
                </c:pt>
                <c:pt idx="5317">
                  <c:v>42574</c:v>
                </c:pt>
                <c:pt idx="5318">
                  <c:v>42575</c:v>
                </c:pt>
                <c:pt idx="5319">
                  <c:v>42576</c:v>
                </c:pt>
                <c:pt idx="5320">
                  <c:v>42577</c:v>
                </c:pt>
                <c:pt idx="5321">
                  <c:v>42578</c:v>
                </c:pt>
                <c:pt idx="5322">
                  <c:v>42579</c:v>
                </c:pt>
                <c:pt idx="5323">
                  <c:v>42580</c:v>
                </c:pt>
                <c:pt idx="5324">
                  <c:v>42581</c:v>
                </c:pt>
                <c:pt idx="5325">
                  <c:v>42582</c:v>
                </c:pt>
                <c:pt idx="5326">
                  <c:v>42583</c:v>
                </c:pt>
                <c:pt idx="5327">
                  <c:v>42584</c:v>
                </c:pt>
                <c:pt idx="5328">
                  <c:v>42585</c:v>
                </c:pt>
                <c:pt idx="5329">
                  <c:v>42586</c:v>
                </c:pt>
                <c:pt idx="5330">
                  <c:v>42587</c:v>
                </c:pt>
                <c:pt idx="5331">
                  <c:v>42588</c:v>
                </c:pt>
                <c:pt idx="5332">
                  <c:v>42589</c:v>
                </c:pt>
                <c:pt idx="5333">
                  <c:v>42590</c:v>
                </c:pt>
                <c:pt idx="5334">
                  <c:v>42591</c:v>
                </c:pt>
                <c:pt idx="5335">
                  <c:v>42592</c:v>
                </c:pt>
                <c:pt idx="5336">
                  <c:v>42593</c:v>
                </c:pt>
                <c:pt idx="5337">
                  <c:v>42594</c:v>
                </c:pt>
                <c:pt idx="5338">
                  <c:v>42595</c:v>
                </c:pt>
                <c:pt idx="5339">
                  <c:v>42596</c:v>
                </c:pt>
                <c:pt idx="5340">
                  <c:v>42597</c:v>
                </c:pt>
                <c:pt idx="5341">
                  <c:v>42598</c:v>
                </c:pt>
                <c:pt idx="5342">
                  <c:v>42599</c:v>
                </c:pt>
                <c:pt idx="5343">
                  <c:v>42600</c:v>
                </c:pt>
                <c:pt idx="5344">
                  <c:v>42601</c:v>
                </c:pt>
                <c:pt idx="5345">
                  <c:v>42602</c:v>
                </c:pt>
                <c:pt idx="5346">
                  <c:v>42603</c:v>
                </c:pt>
                <c:pt idx="5347">
                  <c:v>42604</c:v>
                </c:pt>
                <c:pt idx="5348">
                  <c:v>42605</c:v>
                </c:pt>
                <c:pt idx="5349">
                  <c:v>42606</c:v>
                </c:pt>
                <c:pt idx="5350">
                  <c:v>42607</c:v>
                </c:pt>
                <c:pt idx="5351">
                  <c:v>42608</c:v>
                </c:pt>
                <c:pt idx="5352">
                  <c:v>42609</c:v>
                </c:pt>
                <c:pt idx="5353">
                  <c:v>42610</c:v>
                </c:pt>
                <c:pt idx="5354">
                  <c:v>42611</c:v>
                </c:pt>
                <c:pt idx="5355">
                  <c:v>42612</c:v>
                </c:pt>
                <c:pt idx="5356">
                  <c:v>42613</c:v>
                </c:pt>
                <c:pt idx="5357">
                  <c:v>42614</c:v>
                </c:pt>
                <c:pt idx="5358">
                  <c:v>42615</c:v>
                </c:pt>
                <c:pt idx="5359">
                  <c:v>42616</c:v>
                </c:pt>
                <c:pt idx="5360">
                  <c:v>42617</c:v>
                </c:pt>
                <c:pt idx="5361">
                  <c:v>42618</c:v>
                </c:pt>
                <c:pt idx="5362">
                  <c:v>42619</c:v>
                </c:pt>
                <c:pt idx="5363">
                  <c:v>42620</c:v>
                </c:pt>
                <c:pt idx="5364">
                  <c:v>42621</c:v>
                </c:pt>
                <c:pt idx="5365">
                  <c:v>42622</c:v>
                </c:pt>
                <c:pt idx="5366">
                  <c:v>42623</c:v>
                </c:pt>
                <c:pt idx="5367">
                  <c:v>42624</c:v>
                </c:pt>
                <c:pt idx="5368">
                  <c:v>42625</c:v>
                </c:pt>
                <c:pt idx="5369">
                  <c:v>42626</c:v>
                </c:pt>
                <c:pt idx="5370">
                  <c:v>42627</c:v>
                </c:pt>
                <c:pt idx="5371">
                  <c:v>42628</c:v>
                </c:pt>
                <c:pt idx="5372">
                  <c:v>42629</c:v>
                </c:pt>
                <c:pt idx="5373">
                  <c:v>42630</c:v>
                </c:pt>
                <c:pt idx="5374">
                  <c:v>42631</c:v>
                </c:pt>
                <c:pt idx="5375">
                  <c:v>42632</c:v>
                </c:pt>
                <c:pt idx="5376">
                  <c:v>42633</c:v>
                </c:pt>
                <c:pt idx="5377">
                  <c:v>42634</c:v>
                </c:pt>
                <c:pt idx="5378">
                  <c:v>42635</c:v>
                </c:pt>
                <c:pt idx="5379">
                  <c:v>42636</c:v>
                </c:pt>
                <c:pt idx="5380">
                  <c:v>42637</c:v>
                </c:pt>
                <c:pt idx="5381">
                  <c:v>42638</c:v>
                </c:pt>
                <c:pt idx="5382">
                  <c:v>42639</c:v>
                </c:pt>
                <c:pt idx="5383">
                  <c:v>42640</c:v>
                </c:pt>
                <c:pt idx="5384">
                  <c:v>42641</c:v>
                </c:pt>
                <c:pt idx="5385">
                  <c:v>42642</c:v>
                </c:pt>
                <c:pt idx="5386">
                  <c:v>42643</c:v>
                </c:pt>
                <c:pt idx="5387">
                  <c:v>42644</c:v>
                </c:pt>
                <c:pt idx="5388">
                  <c:v>42645</c:v>
                </c:pt>
                <c:pt idx="5389">
                  <c:v>42646</c:v>
                </c:pt>
                <c:pt idx="5390">
                  <c:v>42647</c:v>
                </c:pt>
                <c:pt idx="5391">
                  <c:v>42648</c:v>
                </c:pt>
                <c:pt idx="5392">
                  <c:v>42649</c:v>
                </c:pt>
                <c:pt idx="5393">
                  <c:v>42650</c:v>
                </c:pt>
                <c:pt idx="5394">
                  <c:v>42651</c:v>
                </c:pt>
                <c:pt idx="5395">
                  <c:v>42652</c:v>
                </c:pt>
                <c:pt idx="5396">
                  <c:v>42653</c:v>
                </c:pt>
                <c:pt idx="5397">
                  <c:v>42654</c:v>
                </c:pt>
                <c:pt idx="5398">
                  <c:v>42655</c:v>
                </c:pt>
                <c:pt idx="5399">
                  <c:v>42656</c:v>
                </c:pt>
                <c:pt idx="5400">
                  <c:v>42657</c:v>
                </c:pt>
                <c:pt idx="5401">
                  <c:v>42658</c:v>
                </c:pt>
                <c:pt idx="5402">
                  <c:v>42659</c:v>
                </c:pt>
                <c:pt idx="5403">
                  <c:v>42660</c:v>
                </c:pt>
                <c:pt idx="5404">
                  <c:v>42661</c:v>
                </c:pt>
                <c:pt idx="5405">
                  <c:v>42662</c:v>
                </c:pt>
                <c:pt idx="5406">
                  <c:v>42663</c:v>
                </c:pt>
                <c:pt idx="5407">
                  <c:v>42664</c:v>
                </c:pt>
                <c:pt idx="5408">
                  <c:v>42665</c:v>
                </c:pt>
                <c:pt idx="5409">
                  <c:v>42666</c:v>
                </c:pt>
                <c:pt idx="5410">
                  <c:v>42667</c:v>
                </c:pt>
                <c:pt idx="5411">
                  <c:v>42668</c:v>
                </c:pt>
                <c:pt idx="5412">
                  <c:v>42669</c:v>
                </c:pt>
                <c:pt idx="5413">
                  <c:v>42670</c:v>
                </c:pt>
                <c:pt idx="5414">
                  <c:v>42671</c:v>
                </c:pt>
                <c:pt idx="5415">
                  <c:v>42672</c:v>
                </c:pt>
                <c:pt idx="5416">
                  <c:v>42673</c:v>
                </c:pt>
                <c:pt idx="5417">
                  <c:v>42674</c:v>
                </c:pt>
                <c:pt idx="5418">
                  <c:v>42675</c:v>
                </c:pt>
                <c:pt idx="5419">
                  <c:v>42676</c:v>
                </c:pt>
                <c:pt idx="5420">
                  <c:v>42677</c:v>
                </c:pt>
                <c:pt idx="5421">
                  <c:v>42678</c:v>
                </c:pt>
                <c:pt idx="5422">
                  <c:v>42679</c:v>
                </c:pt>
                <c:pt idx="5423">
                  <c:v>42680</c:v>
                </c:pt>
                <c:pt idx="5424">
                  <c:v>42681</c:v>
                </c:pt>
                <c:pt idx="5425">
                  <c:v>42682</c:v>
                </c:pt>
                <c:pt idx="5426">
                  <c:v>42683</c:v>
                </c:pt>
                <c:pt idx="5427">
                  <c:v>42684</c:v>
                </c:pt>
                <c:pt idx="5428">
                  <c:v>42685</c:v>
                </c:pt>
                <c:pt idx="5429">
                  <c:v>42686</c:v>
                </c:pt>
                <c:pt idx="5430">
                  <c:v>42687</c:v>
                </c:pt>
                <c:pt idx="5431">
                  <c:v>42688</c:v>
                </c:pt>
                <c:pt idx="5432">
                  <c:v>42689</c:v>
                </c:pt>
                <c:pt idx="5433">
                  <c:v>42690</c:v>
                </c:pt>
                <c:pt idx="5434">
                  <c:v>42691</c:v>
                </c:pt>
                <c:pt idx="5435">
                  <c:v>42692</c:v>
                </c:pt>
                <c:pt idx="5436">
                  <c:v>42693</c:v>
                </c:pt>
                <c:pt idx="5437">
                  <c:v>42694</c:v>
                </c:pt>
                <c:pt idx="5438">
                  <c:v>42695</c:v>
                </c:pt>
                <c:pt idx="5439">
                  <c:v>42696</c:v>
                </c:pt>
                <c:pt idx="5440">
                  <c:v>42697</c:v>
                </c:pt>
                <c:pt idx="5441">
                  <c:v>42698</c:v>
                </c:pt>
                <c:pt idx="5442">
                  <c:v>42699</c:v>
                </c:pt>
                <c:pt idx="5443">
                  <c:v>42700</c:v>
                </c:pt>
                <c:pt idx="5444">
                  <c:v>42701</c:v>
                </c:pt>
                <c:pt idx="5445">
                  <c:v>42702</c:v>
                </c:pt>
                <c:pt idx="5446">
                  <c:v>42703</c:v>
                </c:pt>
                <c:pt idx="5447">
                  <c:v>42704</c:v>
                </c:pt>
                <c:pt idx="5448">
                  <c:v>42705</c:v>
                </c:pt>
                <c:pt idx="5449">
                  <c:v>42706</c:v>
                </c:pt>
                <c:pt idx="5450">
                  <c:v>42707</c:v>
                </c:pt>
                <c:pt idx="5451">
                  <c:v>42708</c:v>
                </c:pt>
                <c:pt idx="5452">
                  <c:v>42709</c:v>
                </c:pt>
                <c:pt idx="5453">
                  <c:v>42710</c:v>
                </c:pt>
                <c:pt idx="5454">
                  <c:v>42711</c:v>
                </c:pt>
                <c:pt idx="5455">
                  <c:v>42712</c:v>
                </c:pt>
                <c:pt idx="5456">
                  <c:v>42713</c:v>
                </c:pt>
                <c:pt idx="5457">
                  <c:v>42714</c:v>
                </c:pt>
                <c:pt idx="5458">
                  <c:v>42715</c:v>
                </c:pt>
                <c:pt idx="5459">
                  <c:v>42716</c:v>
                </c:pt>
                <c:pt idx="5460">
                  <c:v>42717</c:v>
                </c:pt>
                <c:pt idx="5461">
                  <c:v>42718</c:v>
                </c:pt>
                <c:pt idx="5462">
                  <c:v>42719</c:v>
                </c:pt>
                <c:pt idx="5463">
                  <c:v>42720</c:v>
                </c:pt>
                <c:pt idx="5464">
                  <c:v>42721</c:v>
                </c:pt>
                <c:pt idx="5465">
                  <c:v>42722</c:v>
                </c:pt>
                <c:pt idx="5466">
                  <c:v>42723</c:v>
                </c:pt>
                <c:pt idx="5467">
                  <c:v>42724</c:v>
                </c:pt>
                <c:pt idx="5468">
                  <c:v>42725</c:v>
                </c:pt>
                <c:pt idx="5469">
                  <c:v>42726</c:v>
                </c:pt>
                <c:pt idx="5470">
                  <c:v>42727</c:v>
                </c:pt>
                <c:pt idx="5471">
                  <c:v>42728</c:v>
                </c:pt>
                <c:pt idx="5472">
                  <c:v>42729</c:v>
                </c:pt>
                <c:pt idx="5473">
                  <c:v>42730</c:v>
                </c:pt>
                <c:pt idx="5474">
                  <c:v>42731</c:v>
                </c:pt>
                <c:pt idx="5475">
                  <c:v>42732</c:v>
                </c:pt>
                <c:pt idx="5476">
                  <c:v>42733</c:v>
                </c:pt>
                <c:pt idx="5477">
                  <c:v>42734</c:v>
                </c:pt>
                <c:pt idx="5478">
                  <c:v>42735</c:v>
                </c:pt>
                <c:pt idx="5479">
                  <c:v>42736</c:v>
                </c:pt>
                <c:pt idx="5480">
                  <c:v>42737</c:v>
                </c:pt>
                <c:pt idx="5481">
                  <c:v>42738</c:v>
                </c:pt>
                <c:pt idx="5482">
                  <c:v>42739</c:v>
                </c:pt>
                <c:pt idx="5483">
                  <c:v>42740</c:v>
                </c:pt>
                <c:pt idx="5484">
                  <c:v>42741</c:v>
                </c:pt>
                <c:pt idx="5485">
                  <c:v>42742</c:v>
                </c:pt>
                <c:pt idx="5486">
                  <c:v>42743</c:v>
                </c:pt>
                <c:pt idx="5487">
                  <c:v>42744</c:v>
                </c:pt>
                <c:pt idx="5488">
                  <c:v>42745</c:v>
                </c:pt>
                <c:pt idx="5489">
                  <c:v>42746</c:v>
                </c:pt>
                <c:pt idx="5490">
                  <c:v>42747</c:v>
                </c:pt>
                <c:pt idx="5491">
                  <c:v>42748</c:v>
                </c:pt>
                <c:pt idx="5492">
                  <c:v>42749</c:v>
                </c:pt>
                <c:pt idx="5493">
                  <c:v>42750</c:v>
                </c:pt>
                <c:pt idx="5494">
                  <c:v>42751</c:v>
                </c:pt>
                <c:pt idx="5495">
                  <c:v>42752</c:v>
                </c:pt>
                <c:pt idx="5496">
                  <c:v>42753</c:v>
                </c:pt>
                <c:pt idx="5497">
                  <c:v>42754</c:v>
                </c:pt>
                <c:pt idx="5498">
                  <c:v>42755</c:v>
                </c:pt>
                <c:pt idx="5499">
                  <c:v>42756</c:v>
                </c:pt>
                <c:pt idx="5500">
                  <c:v>42757</c:v>
                </c:pt>
                <c:pt idx="5501">
                  <c:v>42758</c:v>
                </c:pt>
                <c:pt idx="5502">
                  <c:v>42759</c:v>
                </c:pt>
                <c:pt idx="5503">
                  <c:v>42760</c:v>
                </c:pt>
                <c:pt idx="5504">
                  <c:v>42761</c:v>
                </c:pt>
                <c:pt idx="5505">
                  <c:v>42762</c:v>
                </c:pt>
                <c:pt idx="5506">
                  <c:v>42763</c:v>
                </c:pt>
                <c:pt idx="5507">
                  <c:v>42764</c:v>
                </c:pt>
                <c:pt idx="5508">
                  <c:v>42765</c:v>
                </c:pt>
                <c:pt idx="5509">
                  <c:v>42766</c:v>
                </c:pt>
                <c:pt idx="5510">
                  <c:v>42767</c:v>
                </c:pt>
                <c:pt idx="5511">
                  <c:v>42768</c:v>
                </c:pt>
                <c:pt idx="5512">
                  <c:v>42769</c:v>
                </c:pt>
                <c:pt idx="5513">
                  <c:v>42770</c:v>
                </c:pt>
                <c:pt idx="5514">
                  <c:v>42771</c:v>
                </c:pt>
                <c:pt idx="5515">
                  <c:v>42772</c:v>
                </c:pt>
                <c:pt idx="5516">
                  <c:v>42773</c:v>
                </c:pt>
                <c:pt idx="5517">
                  <c:v>42774</c:v>
                </c:pt>
                <c:pt idx="5518">
                  <c:v>42775</c:v>
                </c:pt>
                <c:pt idx="5519">
                  <c:v>42776</c:v>
                </c:pt>
                <c:pt idx="5520">
                  <c:v>42777</c:v>
                </c:pt>
                <c:pt idx="5521">
                  <c:v>42778</c:v>
                </c:pt>
                <c:pt idx="5522">
                  <c:v>42779</c:v>
                </c:pt>
                <c:pt idx="5523">
                  <c:v>42780</c:v>
                </c:pt>
                <c:pt idx="5524">
                  <c:v>42781</c:v>
                </c:pt>
                <c:pt idx="5525">
                  <c:v>42782</c:v>
                </c:pt>
                <c:pt idx="5526">
                  <c:v>42783</c:v>
                </c:pt>
                <c:pt idx="5527">
                  <c:v>42784</c:v>
                </c:pt>
                <c:pt idx="5528">
                  <c:v>42785</c:v>
                </c:pt>
                <c:pt idx="5529">
                  <c:v>42786</c:v>
                </c:pt>
                <c:pt idx="5530">
                  <c:v>42787</c:v>
                </c:pt>
                <c:pt idx="5531">
                  <c:v>42788</c:v>
                </c:pt>
                <c:pt idx="5532">
                  <c:v>42789</c:v>
                </c:pt>
                <c:pt idx="5533">
                  <c:v>42790</c:v>
                </c:pt>
                <c:pt idx="5534">
                  <c:v>42791</c:v>
                </c:pt>
                <c:pt idx="5535">
                  <c:v>42792</c:v>
                </c:pt>
                <c:pt idx="5536">
                  <c:v>42793</c:v>
                </c:pt>
                <c:pt idx="5537">
                  <c:v>42794</c:v>
                </c:pt>
                <c:pt idx="5538">
                  <c:v>42795</c:v>
                </c:pt>
                <c:pt idx="5539">
                  <c:v>42796</c:v>
                </c:pt>
                <c:pt idx="5540">
                  <c:v>42797</c:v>
                </c:pt>
                <c:pt idx="5541">
                  <c:v>42798</c:v>
                </c:pt>
                <c:pt idx="5542">
                  <c:v>42799</c:v>
                </c:pt>
                <c:pt idx="5543">
                  <c:v>42800</c:v>
                </c:pt>
                <c:pt idx="5544">
                  <c:v>42801</c:v>
                </c:pt>
                <c:pt idx="5545">
                  <c:v>42802</c:v>
                </c:pt>
                <c:pt idx="5546">
                  <c:v>42803</c:v>
                </c:pt>
                <c:pt idx="5547">
                  <c:v>42804</c:v>
                </c:pt>
                <c:pt idx="5548">
                  <c:v>42805</c:v>
                </c:pt>
                <c:pt idx="5549">
                  <c:v>42806</c:v>
                </c:pt>
                <c:pt idx="5550">
                  <c:v>42807</c:v>
                </c:pt>
                <c:pt idx="5551">
                  <c:v>42808</c:v>
                </c:pt>
                <c:pt idx="5552">
                  <c:v>42809</c:v>
                </c:pt>
                <c:pt idx="5553">
                  <c:v>42810</c:v>
                </c:pt>
                <c:pt idx="5554">
                  <c:v>42811</c:v>
                </c:pt>
                <c:pt idx="5555">
                  <c:v>42812</c:v>
                </c:pt>
                <c:pt idx="5556">
                  <c:v>42813</c:v>
                </c:pt>
                <c:pt idx="5557">
                  <c:v>42814</c:v>
                </c:pt>
                <c:pt idx="5558">
                  <c:v>42815</c:v>
                </c:pt>
                <c:pt idx="5559">
                  <c:v>42816</c:v>
                </c:pt>
                <c:pt idx="5560">
                  <c:v>42817</c:v>
                </c:pt>
                <c:pt idx="5561">
                  <c:v>42818</c:v>
                </c:pt>
                <c:pt idx="5562">
                  <c:v>42819</c:v>
                </c:pt>
                <c:pt idx="5563">
                  <c:v>42820</c:v>
                </c:pt>
                <c:pt idx="5564">
                  <c:v>42821</c:v>
                </c:pt>
                <c:pt idx="5565">
                  <c:v>42822</c:v>
                </c:pt>
                <c:pt idx="5566">
                  <c:v>42823</c:v>
                </c:pt>
                <c:pt idx="5567">
                  <c:v>42824</c:v>
                </c:pt>
                <c:pt idx="5568">
                  <c:v>42825</c:v>
                </c:pt>
                <c:pt idx="5569">
                  <c:v>42826</c:v>
                </c:pt>
                <c:pt idx="5570">
                  <c:v>42827</c:v>
                </c:pt>
                <c:pt idx="5571">
                  <c:v>42828</c:v>
                </c:pt>
                <c:pt idx="5572">
                  <c:v>42829</c:v>
                </c:pt>
                <c:pt idx="5573">
                  <c:v>42830</c:v>
                </c:pt>
                <c:pt idx="5574">
                  <c:v>42831</c:v>
                </c:pt>
                <c:pt idx="5575">
                  <c:v>42832</c:v>
                </c:pt>
                <c:pt idx="5576">
                  <c:v>42833</c:v>
                </c:pt>
                <c:pt idx="5577">
                  <c:v>42834</c:v>
                </c:pt>
                <c:pt idx="5578">
                  <c:v>42835</c:v>
                </c:pt>
                <c:pt idx="5579">
                  <c:v>42836</c:v>
                </c:pt>
                <c:pt idx="5580">
                  <c:v>42837</c:v>
                </c:pt>
                <c:pt idx="5581">
                  <c:v>42838</c:v>
                </c:pt>
                <c:pt idx="5582">
                  <c:v>42839</c:v>
                </c:pt>
                <c:pt idx="5583">
                  <c:v>42840</c:v>
                </c:pt>
                <c:pt idx="5584">
                  <c:v>42841</c:v>
                </c:pt>
                <c:pt idx="5585">
                  <c:v>42842</c:v>
                </c:pt>
                <c:pt idx="5586">
                  <c:v>42843</c:v>
                </c:pt>
                <c:pt idx="5587">
                  <c:v>42844</c:v>
                </c:pt>
                <c:pt idx="5588">
                  <c:v>42845</c:v>
                </c:pt>
                <c:pt idx="5589">
                  <c:v>42846</c:v>
                </c:pt>
                <c:pt idx="5590">
                  <c:v>42847</c:v>
                </c:pt>
                <c:pt idx="5591">
                  <c:v>42848</c:v>
                </c:pt>
                <c:pt idx="5592">
                  <c:v>42849</c:v>
                </c:pt>
                <c:pt idx="5593">
                  <c:v>42850</c:v>
                </c:pt>
                <c:pt idx="5594">
                  <c:v>42851</c:v>
                </c:pt>
                <c:pt idx="5595">
                  <c:v>42852</c:v>
                </c:pt>
                <c:pt idx="5596">
                  <c:v>42853</c:v>
                </c:pt>
                <c:pt idx="5597">
                  <c:v>42854</c:v>
                </c:pt>
                <c:pt idx="5598">
                  <c:v>42855</c:v>
                </c:pt>
                <c:pt idx="5599">
                  <c:v>42856</c:v>
                </c:pt>
                <c:pt idx="5600">
                  <c:v>42857</c:v>
                </c:pt>
                <c:pt idx="5601">
                  <c:v>42858</c:v>
                </c:pt>
                <c:pt idx="5602">
                  <c:v>42859</c:v>
                </c:pt>
                <c:pt idx="5603">
                  <c:v>42860</c:v>
                </c:pt>
                <c:pt idx="5604">
                  <c:v>42861</c:v>
                </c:pt>
                <c:pt idx="5605">
                  <c:v>42862</c:v>
                </c:pt>
                <c:pt idx="5606">
                  <c:v>42863</c:v>
                </c:pt>
                <c:pt idx="5607">
                  <c:v>42864</c:v>
                </c:pt>
                <c:pt idx="5608">
                  <c:v>42865</c:v>
                </c:pt>
                <c:pt idx="5609">
                  <c:v>42866</c:v>
                </c:pt>
                <c:pt idx="5610">
                  <c:v>42867</c:v>
                </c:pt>
                <c:pt idx="5611">
                  <c:v>42868</c:v>
                </c:pt>
                <c:pt idx="5612">
                  <c:v>42869</c:v>
                </c:pt>
                <c:pt idx="5613">
                  <c:v>42870</c:v>
                </c:pt>
                <c:pt idx="5614">
                  <c:v>42871</c:v>
                </c:pt>
                <c:pt idx="5615">
                  <c:v>42872</c:v>
                </c:pt>
                <c:pt idx="5616">
                  <c:v>42873</c:v>
                </c:pt>
                <c:pt idx="5617">
                  <c:v>42874</c:v>
                </c:pt>
                <c:pt idx="5618">
                  <c:v>42875</c:v>
                </c:pt>
                <c:pt idx="5619">
                  <c:v>42876</c:v>
                </c:pt>
                <c:pt idx="5620">
                  <c:v>42877</c:v>
                </c:pt>
                <c:pt idx="5621">
                  <c:v>42878</c:v>
                </c:pt>
                <c:pt idx="5622">
                  <c:v>42879</c:v>
                </c:pt>
                <c:pt idx="5623">
                  <c:v>42880</c:v>
                </c:pt>
                <c:pt idx="5624">
                  <c:v>42881</c:v>
                </c:pt>
                <c:pt idx="5625">
                  <c:v>42882</c:v>
                </c:pt>
                <c:pt idx="5626">
                  <c:v>42883</c:v>
                </c:pt>
                <c:pt idx="5627">
                  <c:v>42884</c:v>
                </c:pt>
                <c:pt idx="5628">
                  <c:v>42885</c:v>
                </c:pt>
                <c:pt idx="5629">
                  <c:v>42886</c:v>
                </c:pt>
                <c:pt idx="5630">
                  <c:v>42887</c:v>
                </c:pt>
                <c:pt idx="5631">
                  <c:v>42888</c:v>
                </c:pt>
                <c:pt idx="5632">
                  <c:v>42889</c:v>
                </c:pt>
                <c:pt idx="5633">
                  <c:v>42890</c:v>
                </c:pt>
                <c:pt idx="5634">
                  <c:v>42891</c:v>
                </c:pt>
                <c:pt idx="5635">
                  <c:v>42892</c:v>
                </c:pt>
                <c:pt idx="5636">
                  <c:v>42893</c:v>
                </c:pt>
                <c:pt idx="5637">
                  <c:v>42894</c:v>
                </c:pt>
                <c:pt idx="5638">
                  <c:v>42895</c:v>
                </c:pt>
                <c:pt idx="5639">
                  <c:v>42896</c:v>
                </c:pt>
                <c:pt idx="5640">
                  <c:v>42897</c:v>
                </c:pt>
                <c:pt idx="5641">
                  <c:v>42898</c:v>
                </c:pt>
                <c:pt idx="5642">
                  <c:v>42899</c:v>
                </c:pt>
                <c:pt idx="5643">
                  <c:v>42900</c:v>
                </c:pt>
                <c:pt idx="5644">
                  <c:v>42901</c:v>
                </c:pt>
                <c:pt idx="5645">
                  <c:v>42902</c:v>
                </c:pt>
                <c:pt idx="5646">
                  <c:v>42903</c:v>
                </c:pt>
                <c:pt idx="5647">
                  <c:v>42904</c:v>
                </c:pt>
                <c:pt idx="5648">
                  <c:v>42905</c:v>
                </c:pt>
                <c:pt idx="5649">
                  <c:v>42906</c:v>
                </c:pt>
                <c:pt idx="5650">
                  <c:v>42907</c:v>
                </c:pt>
                <c:pt idx="5651">
                  <c:v>42908</c:v>
                </c:pt>
                <c:pt idx="5652">
                  <c:v>42909</c:v>
                </c:pt>
                <c:pt idx="5653">
                  <c:v>42910</c:v>
                </c:pt>
                <c:pt idx="5654">
                  <c:v>42911</c:v>
                </c:pt>
                <c:pt idx="5655">
                  <c:v>42912</c:v>
                </c:pt>
                <c:pt idx="5656">
                  <c:v>42913</c:v>
                </c:pt>
                <c:pt idx="5657">
                  <c:v>42914</c:v>
                </c:pt>
                <c:pt idx="5658">
                  <c:v>42915</c:v>
                </c:pt>
                <c:pt idx="5659">
                  <c:v>42916</c:v>
                </c:pt>
                <c:pt idx="5660">
                  <c:v>42917</c:v>
                </c:pt>
                <c:pt idx="5661">
                  <c:v>42918</c:v>
                </c:pt>
                <c:pt idx="5662">
                  <c:v>42919</c:v>
                </c:pt>
                <c:pt idx="5663">
                  <c:v>42920</c:v>
                </c:pt>
                <c:pt idx="5664">
                  <c:v>42921</c:v>
                </c:pt>
                <c:pt idx="5665">
                  <c:v>42922</c:v>
                </c:pt>
                <c:pt idx="5666">
                  <c:v>42923</c:v>
                </c:pt>
                <c:pt idx="5667">
                  <c:v>42924</c:v>
                </c:pt>
                <c:pt idx="5668">
                  <c:v>42925</c:v>
                </c:pt>
                <c:pt idx="5669">
                  <c:v>42926</c:v>
                </c:pt>
                <c:pt idx="5670">
                  <c:v>42927</c:v>
                </c:pt>
                <c:pt idx="5671">
                  <c:v>42928</c:v>
                </c:pt>
                <c:pt idx="5672">
                  <c:v>42929</c:v>
                </c:pt>
                <c:pt idx="5673">
                  <c:v>42930</c:v>
                </c:pt>
                <c:pt idx="5674">
                  <c:v>42931</c:v>
                </c:pt>
                <c:pt idx="5675">
                  <c:v>42932</c:v>
                </c:pt>
                <c:pt idx="5676">
                  <c:v>42933</c:v>
                </c:pt>
                <c:pt idx="5677">
                  <c:v>42934</c:v>
                </c:pt>
                <c:pt idx="5678">
                  <c:v>42935</c:v>
                </c:pt>
                <c:pt idx="5679">
                  <c:v>42936</c:v>
                </c:pt>
                <c:pt idx="5680">
                  <c:v>42937</c:v>
                </c:pt>
                <c:pt idx="5681">
                  <c:v>42938</c:v>
                </c:pt>
                <c:pt idx="5682">
                  <c:v>42939</c:v>
                </c:pt>
                <c:pt idx="5683">
                  <c:v>42940</c:v>
                </c:pt>
                <c:pt idx="5684">
                  <c:v>42941</c:v>
                </c:pt>
                <c:pt idx="5685">
                  <c:v>42942</c:v>
                </c:pt>
                <c:pt idx="5686">
                  <c:v>42943</c:v>
                </c:pt>
                <c:pt idx="5687">
                  <c:v>42944</c:v>
                </c:pt>
                <c:pt idx="5688">
                  <c:v>42945</c:v>
                </c:pt>
                <c:pt idx="5689">
                  <c:v>42946</c:v>
                </c:pt>
                <c:pt idx="5690">
                  <c:v>42947</c:v>
                </c:pt>
                <c:pt idx="5691">
                  <c:v>42948</c:v>
                </c:pt>
                <c:pt idx="5692">
                  <c:v>42949</c:v>
                </c:pt>
                <c:pt idx="5693">
                  <c:v>42950</c:v>
                </c:pt>
                <c:pt idx="5694">
                  <c:v>42951</c:v>
                </c:pt>
                <c:pt idx="5695">
                  <c:v>42952</c:v>
                </c:pt>
                <c:pt idx="5696">
                  <c:v>42953</c:v>
                </c:pt>
                <c:pt idx="5697">
                  <c:v>42954</c:v>
                </c:pt>
                <c:pt idx="5698">
                  <c:v>42955</c:v>
                </c:pt>
                <c:pt idx="5699">
                  <c:v>42956</c:v>
                </c:pt>
                <c:pt idx="5700">
                  <c:v>42957</c:v>
                </c:pt>
                <c:pt idx="5701">
                  <c:v>42958</c:v>
                </c:pt>
                <c:pt idx="5702">
                  <c:v>42959</c:v>
                </c:pt>
                <c:pt idx="5703">
                  <c:v>42960</c:v>
                </c:pt>
                <c:pt idx="5704">
                  <c:v>42961</c:v>
                </c:pt>
                <c:pt idx="5705">
                  <c:v>42962</c:v>
                </c:pt>
                <c:pt idx="5706">
                  <c:v>42963</c:v>
                </c:pt>
                <c:pt idx="5707">
                  <c:v>42964</c:v>
                </c:pt>
                <c:pt idx="5708">
                  <c:v>42965</c:v>
                </c:pt>
                <c:pt idx="5709">
                  <c:v>42966</c:v>
                </c:pt>
                <c:pt idx="5710">
                  <c:v>42967</c:v>
                </c:pt>
                <c:pt idx="5711">
                  <c:v>42968</c:v>
                </c:pt>
                <c:pt idx="5712">
                  <c:v>42969</c:v>
                </c:pt>
                <c:pt idx="5713">
                  <c:v>42970</c:v>
                </c:pt>
                <c:pt idx="5714">
                  <c:v>42971</c:v>
                </c:pt>
                <c:pt idx="5715">
                  <c:v>42972</c:v>
                </c:pt>
                <c:pt idx="5716">
                  <c:v>42973</c:v>
                </c:pt>
                <c:pt idx="5717">
                  <c:v>42974</c:v>
                </c:pt>
                <c:pt idx="5718">
                  <c:v>42975</c:v>
                </c:pt>
                <c:pt idx="5719">
                  <c:v>42976</c:v>
                </c:pt>
                <c:pt idx="5720">
                  <c:v>42977</c:v>
                </c:pt>
                <c:pt idx="5721">
                  <c:v>42978</c:v>
                </c:pt>
                <c:pt idx="5722">
                  <c:v>42979</c:v>
                </c:pt>
                <c:pt idx="5723">
                  <c:v>42980</c:v>
                </c:pt>
                <c:pt idx="5724">
                  <c:v>42981</c:v>
                </c:pt>
                <c:pt idx="5725">
                  <c:v>42982</c:v>
                </c:pt>
                <c:pt idx="5726">
                  <c:v>42983</c:v>
                </c:pt>
                <c:pt idx="5727">
                  <c:v>42984</c:v>
                </c:pt>
                <c:pt idx="5728">
                  <c:v>42985</c:v>
                </c:pt>
                <c:pt idx="5729">
                  <c:v>42986</c:v>
                </c:pt>
                <c:pt idx="5730">
                  <c:v>42987</c:v>
                </c:pt>
                <c:pt idx="5731">
                  <c:v>42988</c:v>
                </c:pt>
                <c:pt idx="5732">
                  <c:v>42989</c:v>
                </c:pt>
                <c:pt idx="5733">
                  <c:v>42990</c:v>
                </c:pt>
                <c:pt idx="5734">
                  <c:v>42991</c:v>
                </c:pt>
                <c:pt idx="5735">
                  <c:v>42992</c:v>
                </c:pt>
                <c:pt idx="5736">
                  <c:v>42993</c:v>
                </c:pt>
                <c:pt idx="5737">
                  <c:v>42994</c:v>
                </c:pt>
                <c:pt idx="5738">
                  <c:v>42995</c:v>
                </c:pt>
                <c:pt idx="5739">
                  <c:v>42996</c:v>
                </c:pt>
                <c:pt idx="5740">
                  <c:v>42997</c:v>
                </c:pt>
                <c:pt idx="5741">
                  <c:v>42998</c:v>
                </c:pt>
                <c:pt idx="5742">
                  <c:v>42999</c:v>
                </c:pt>
                <c:pt idx="5743">
                  <c:v>43000</c:v>
                </c:pt>
                <c:pt idx="5744">
                  <c:v>43001</c:v>
                </c:pt>
                <c:pt idx="5745">
                  <c:v>43002</c:v>
                </c:pt>
                <c:pt idx="5746">
                  <c:v>43003</c:v>
                </c:pt>
                <c:pt idx="5747">
                  <c:v>43004</c:v>
                </c:pt>
                <c:pt idx="5748">
                  <c:v>43005</c:v>
                </c:pt>
                <c:pt idx="5749">
                  <c:v>43006</c:v>
                </c:pt>
                <c:pt idx="5750">
                  <c:v>43007</c:v>
                </c:pt>
                <c:pt idx="5751">
                  <c:v>43008</c:v>
                </c:pt>
                <c:pt idx="5752">
                  <c:v>43009</c:v>
                </c:pt>
                <c:pt idx="5753">
                  <c:v>43010</c:v>
                </c:pt>
                <c:pt idx="5754">
                  <c:v>43011</c:v>
                </c:pt>
                <c:pt idx="5755">
                  <c:v>43012</c:v>
                </c:pt>
                <c:pt idx="5756">
                  <c:v>43013</c:v>
                </c:pt>
                <c:pt idx="5757">
                  <c:v>43014</c:v>
                </c:pt>
                <c:pt idx="5758">
                  <c:v>43015</c:v>
                </c:pt>
                <c:pt idx="5759">
                  <c:v>43016</c:v>
                </c:pt>
                <c:pt idx="5760">
                  <c:v>43017</c:v>
                </c:pt>
                <c:pt idx="5761">
                  <c:v>43018</c:v>
                </c:pt>
                <c:pt idx="5762">
                  <c:v>43019</c:v>
                </c:pt>
                <c:pt idx="5763">
                  <c:v>43020</c:v>
                </c:pt>
                <c:pt idx="5764">
                  <c:v>43021</c:v>
                </c:pt>
                <c:pt idx="5765">
                  <c:v>43022</c:v>
                </c:pt>
                <c:pt idx="5766">
                  <c:v>43023</c:v>
                </c:pt>
                <c:pt idx="5767">
                  <c:v>43024</c:v>
                </c:pt>
                <c:pt idx="5768">
                  <c:v>43025</c:v>
                </c:pt>
                <c:pt idx="5769">
                  <c:v>43026</c:v>
                </c:pt>
                <c:pt idx="5770">
                  <c:v>43027</c:v>
                </c:pt>
                <c:pt idx="5771">
                  <c:v>43028</c:v>
                </c:pt>
                <c:pt idx="5772">
                  <c:v>43029</c:v>
                </c:pt>
                <c:pt idx="5773">
                  <c:v>43030</c:v>
                </c:pt>
                <c:pt idx="5774">
                  <c:v>43031</c:v>
                </c:pt>
                <c:pt idx="5775">
                  <c:v>43032</c:v>
                </c:pt>
                <c:pt idx="5776">
                  <c:v>43033</c:v>
                </c:pt>
                <c:pt idx="5777">
                  <c:v>43034</c:v>
                </c:pt>
                <c:pt idx="5778">
                  <c:v>43035</c:v>
                </c:pt>
                <c:pt idx="5779">
                  <c:v>43036</c:v>
                </c:pt>
                <c:pt idx="5780">
                  <c:v>43037</c:v>
                </c:pt>
                <c:pt idx="5781">
                  <c:v>43038</c:v>
                </c:pt>
                <c:pt idx="5782">
                  <c:v>43039</c:v>
                </c:pt>
                <c:pt idx="5783">
                  <c:v>43040</c:v>
                </c:pt>
                <c:pt idx="5784">
                  <c:v>43041</c:v>
                </c:pt>
                <c:pt idx="5785">
                  <c:v>43042</c:v>
                </c:pt>
                <c:pt idx="5786">
                  <c:v>43043</c:v>
                </c:pt>
                <c:pt idx="5787">
                  <c:v>43044</c:v>
                </c:pt>
                <c:pt idx="5788">
                  <c:v>43045</c:v>
                </c:pt>
                <c:pt idx="5789">
                  <c:v>43046</c:v>
                </c:pt>
                <c:pt idx="5790">
                  <c:v>43047</c:v>
                </c:pt>
                <c:pt idx="5791">
                  <c:v>43048</c:v>
                </c:pt>
                <c:pt idx="5792">
                  <c:v>43049</c:v>
                </c:pt>
                <c:pt idx="5793">
                  <c:v>43050</c:v>
                </c:pt>
                <c:pt idx="5794">
                  <c:v>43051</c:v>
                </c:pt>
                <c:pt idx="5795">
                  <c:v>43052</c:v>
                </c:pt>
                <c:pt idx="5796">
                  <c:v>43053</c:v>
                </c:pt>
                <c:pt idx="5797">
                  <c:v>43054</c:v>
                </c:pt>
                <c:pt idx="5798">
                  <c:v>43055</c:v>
                </c:pt>
                <c:pt idx="5799">
                  <c:v>43056</c:v>
                </c:pt>
                <c:pt idx="5800">
                  <c:v>43057</c:v>
                </c:pt>
                <c:pt idx="5801">
                  <c:v>43058</c:v>
                </c:pt>
                <c:pt idx="5802">
                  <c:v>43059</c:v>
                </c:pt>
                <c:pt idx="5803">
                  <c:v>43060</c:v>
                </c:pt>
                <c:pt idx="5804">
                  <c:v>43061</c:v>
                </c:pt>
                <c:pt idx="5805">
                  <c:v>43062</c:v>
                </c:pt>
                <c:pt idx="5806">
                  <c:v>43063</c:v>
                </c:pt>
                <c:pt idx="5807">
                  <c:v>43064</c:v>
                </c:pt>
                <c:pt idx="5808">
                  <c:v>43065</c:v>
                </c:pt>
                <c:pt idx="5809">
                  <c:v>43066</c:v>
                </c:pt>
                <c:pt idx="5810">
                  <c:v>43067</c:v>
                </c:pt>
                <c:pt idx="5811">
                  <c:v>43068</c:v>
                </c:pt>
                <c:pt idx="5812">
                  <c:v>43069</c:v>
                </c:pt>
                <c:pt idx="5813">
                  <c:v>43070</c:v>
                </c:pt>
                <c:pt idx="5814">
                  <c:v>43071</c:v>
                </c:pt>
                <c:pt idx="5815">
                  <c:v>43072</c:v>
                </c:pt>
                <c:pt idx="5816">
                  <c:v>43073</c:v>
                </c:pt>
                <c:pt idx="5817">
                  <c:v>43074</c:v>
                </c:pt>
                <c:pt idx="5818">
                  <c:v>43075</c:v>
                </c:pt>
                <c:pt idx="5819">
                  <c:v>43076</c:v>
                </c:pt>
                <c:pt idx="5820">
                  <c:v>43077</c:v>
                </c:pt>
                <c:pt idx="5821">
                  <c:v>43078</c:v>
                </c:pt>
                <c:pt idx="5822">
                  <c:v>43079</c:v>
                </c:pt>
                <c:pt idx="5823">
                  <c:v>43080</c:v>
                </c:pt>
                <c:pt idx="5824">
                  <c:v>43081</c:v>
                </c:pt>
                <c:pt idx="5825">
                  <c:v>43082</c:v>
                </c:pt>
                <c:pt idx="5826">
                  <c:v>43083</c:v>
                </c:pt>
                <c:pt idx="5827">
                  <c:v>43084</c:v>
                </c:pt>
                <c:pt idx="5828">
                  <c:v>43085</c:v>
                </c:pt>
                <c:pt idx="5829">
                  <c:v>43086</c:v>
                </c:pt>
                <c:pt idx="5830">
                  <c:v>43087</c:v>
                </c:pt>
                <c:pt idx="5831">
                  <c:v>43088</c:v>
                </c:pt>
                <c:pt idx="5832">
                  <c:v>43089</c:v>
                </c:pt>
                <c:pt idx="5833">
                  <c:v>43090</c:v>
                </c:pt>
                <c:pt idx="5834">
                  <c:v>43091</c:v>
                </c:pt>
                <c:pt idx="5835">
                  <c:v>43092</c:v>
                </c:pt>
                <c:pt idx="5836">
                  <c:v>43093</c:v>
                </c:pt>
                <c:pt idx="5837">
                  <c:v>43094</c:v>
                </c:pt>
                <c:pt idx="5838">
                  <c:v>43095</c:v>
                </c:pt>
                <c:pt idx="5839">
                  <c:v>43096</c:v>
                </c:pt>
                <c:pt idx="5840">
                  <c:v>43097</c:v>
                </c:pt>
                <c:pt idx="5841">
                  <c:v>43098</c:v>
                </c:pt>
                <c:pt idx="5842">
                  <c:v>43099</c:v>
                </c:pt>
                <c:pt idx="5843">
                  <c:v>43100</c:v>
                </c:pt>
                <c:pt idx="5844">
                  <c:v>43101</c:v>
                </c:pt>
                <c:pt idx="5845">
                  <c:v>43102</c:v>
                </c:pt>
                <c:pt idx="5846">
                  <c:v>43103</c:v>
                </c:pt>
                <c:pt idx="5847">
                  <c:v>43104</c:v>
                </c:pt>
                <c:pt idx="5848">
                  <c:v>43105</c:v>
                </c:pt>
                <c:pt idx="5849">
                  <c:v>43106</c:v>
                </c:pt>
                <c:pt idx="5850">
                  <c:v>43107</c:v>
                </c:pt>
                <c:pt idx="5851">
                  <c:v>43108</c:v>
                </c:pt>
                <c:pt idx="5852">
                  <c:v>43109</c:v>
                </c:pt>
                <c:pt idx="5853">
                  <c:v>43110</c:v>
                </c:pt>
                <c:pt idx="5854">
                  <c:v>43111</c:v>
                </c:pt>
                <c:pt idx="5855">
                  <c:v>43112</c:v>
                </c:pt>
                <c:pt idx="5856">
                  <c:v>43113</c:v>
                </c:pt>
                <c:pt idx="5857">
                  <c:v>43114</c:v>
                </c:pt>
                <c:pt idx="5858">
                  <c:v>43115</c:v>
                </c:pt>
                <c:pt idx="5859">
                  <c:v>43116</c:v>
                </c:pt>
                <c:pt idx="5860">
                  <c:v>43117</c:v>
                </c:pt>
                <c:pt idx="5861">
                  <c:v>43118</c:v>
                </c:pt>
                <c:pt idx="5862">
                  <c:v>43119</c:v>
                </c:pt>
                <c:pt idx="5863">
                  <c:v>43120</c:v>
                </c:pt>
                <c:pt idx="5864">
                  <c:v>43121</c:v>
                </c:pt>
                <c:pt idx="5865">
                  <c:v>43122</c:v>
                </c:pt>
                <c:pt idx="5866">
                  <c:v>43123</c:v>
                </c:pt>
                <c:pt idx="5867">
                  <c:v>43124</c:v>
                </c:pt>
                <c:pt idx="5868">
                  <c:v>43125</c:v>
                </c:pt>
                <c:pt idx="5869">
                  <c:v>43126</c:v>
                </c:pt>
                <c:pt idx="5870">
                  <c:v>43127</c:v>
                </c:pt>
                <c:pt idx="5871">
                  <c:v>43128</c:v>
                </c:pt>
                <c:pt idx="5872">
                  <c:v>43129</c:v>
                </c:pt>
                <c:pt idx="5873">
                  <c:v>43130</c:v>
                </c:pt>
                <c:pt idx="5874">
                  <c:v>43131</c:v>
                </c:pt>
                <c:pt idx="5875">
                  <c:v>43132</c:v>
                </c:pt>
                <c:pt idx="5876">
                  <c:v>43133</c:v>
                </c:pt>
                <c:pt idx="5877">
                  <c:v>43134</c:v>
                </c:pt>
                <c:pt idx="5878">
                  <c:v>43135</c:v>
                </c:pt>
                <c:pt idx="5879">
                  <c:v>43136</c:v>
                </c:pt>
                <c:pt idx="5880">
                  <c:v>43137</c:v>
                </c:pt>
                <c:pt idx="5881">
                  <c:v>43138</c:v>
                </c:pt>
                <c:pt idx="5882">
                  <c:v>43139</c:v>
                </c:pt>
                <c:pt idx="5883">
                  <c:v>43140</c:v>
                </c:pt>
                <c:pt idx="5884">
                  <c:v>43141</c:v>
                </c:pt>
                <c:pt idx="5885">
                  <c:v>43142</c:v>
                </c:pt>
                <c:pt idx="5886">
                  <c:v>43143</c:v>
                </c:pt>
                <c:pt idx="5887">
                  <c:v>43144</c:v>
                </c:pt>
                <c:pt idx="5888">
                  <c:v>43145</c:v>
                </c:pt>
                <c:pt idx="5889">
                  <c:v>43146</c:v>
                </c:pt>
                <c:pt idx="5890">
                  <c:v>43147</c:v>
                </c:pt>
                <c:pt idx="5891">
                  <c:v>43148</c:v>
                </c:pt>
                <c:pt idx="5892">
                  <c:v>43149</c:v>
                </c:pt>
                <c:pt idx="5893">
                  <c:v>43150</c:v>
                </c:pt>
                <c:pt idx="5894">
                  <c:v>43151</c:v>
                </c:pt>
                <c:pt idx="5895">
                  <c:v>43152</c:v>
                </c:pt>
                <c:pt idx="5896">
                  <c:v>43153</c:v>
                </c:pt>
                <c:pt idx="5897">
                  <c:v>43154</c:v>
                </c:pt>
                <c:pt idx="5898">
                  <c:v>43155</c:v>
                </c:pt>
                <c:pt idx="5899">
                  <c:v>43156</c:v>
                </c:pt>
                <c:pt idx="5900">
                  <c:v>43157</c:v>
                </c:pt>
                <c:pt idx="5901">
                  <c:v>43158</c:v>
                </c:pt>
                <c:pt idx="5902">
                  <c:v>43159</c:v>
                </c:pt>
                <c:pt idx="5903">
                  <c:v>43160</c:v>
                </c:pt>
                <c:pt idx="5904">
                  <c:v>43161</c:v>
                </c:pt>
                <c:pt idx="5905">
                  <c:v>43162</c:v>
                </c:pt>
                <c:pt idx="5906">
                  <c:v>43163</c:v>
                </c:pt>
                <c:pt idx="5907">
                  <c:v>43164</c:v>
                </c:pt>
                <c:pt idx="5908">
                  <c:v>43165</c:v>
                </c:pt>
                <c:pt idx="5909">
                  <c:v>43166</c:v>
                </c:pt>
                <c:pt idx="5910">
                  <c:v>43167</c:v>
                </c:pt>
                <c:pt idx="5911">
                  <c:v>43168</c:v>
                </c:pt>
                <c:pt idx="5912">
                  <c:v>43169</c:v>
                </c:pt>
                <c:pt idx="5913">
                  <c:v>43170</c:v>
                </c:pt>
                <c:pt idx="5914">
                  <c:v>43171</c:v>
                </c:pt>
                <c:pt idx="5915">
                  <c:v>43172</c:v>
                </c:pt>
                <c:pt idx="5916">
                  <c:v>43173</c:v>
                </c:pt>
                <c:pt idx="5917">
                  <c:v>43174</c:v>
                </c:pt>
                <c:pt idx="5918">
                  <c:v>43175</c:v>
                </c:pt>
                <c:pt idx="5919">
                  <c:v>43176</c:v>
                </c:pt>
                <c:pt idx="5920">
                  <c:v>43177</c:v>
                </c:pt>
                <c:pt idx="5921">
                  <c:v>43178</c:v>
                </c:pt>
                <c:pt idx="5922">
                  <c:v>43179</c:v>
                </c:pt>
                <c:pt idx="5923">
                  <c:v>43180</c:v>
                </c:pt>
                <c:pt idx="5924">
                  <c:v>43181</c:v>
                </c:pt>
                <c:pt idx="5925">
                  <c:v>43182</c:v>
                </c:pt>
                <c:pt idx="5926">
                  <c:v>43183</c:v>
                </c:pt>
                <c:pt idx="5927">
                  <c:v>43184</c:v>
                </c:pt>
                <c:pt idx="5928">
                  <c:v>43185</c:v>
                </c:pt>
                <c:pt idx="5929">
                  <c:v>43186</c:v>
                </c:pt>
                <c:pt idx="5930">
                  <c:v>43187</c:v>
                </c:pt>
                <c:pt idx="5931">
                  <c:v>43188</c:v>
                </c:pt>
                <c:pt idx="5932">
                  <c:v>43189</c:v>
                </c:pt>
                <c:pt idx="5933">
                  <c:v>43190</c:v>
                </c:pt>
                <c:pt idx="5934">
                  <c:v>43191</c:v>
                </c:pt>
                <c:pt idx="5935">
                  <c:v>43192</c:v>
                </c:pt>
                <c:pt idx="5936">
                  <c:v>43193</c:v>
                </c:pt>
                <c:pt idx="5937">
                  <c:v>43194</c:v>
                </c:pt>
                <c:pt idx="5938">
                  <c:v>43195</c:v>
                </c:pt>
                <c:pt idx="5939">
                  <c:v>43196</c:v>
                </c:pt>
                <c:pt idx="5940">
                  <c:v>43197</c:v>
                </c:pt>
                <c:pt idx="5941">
                  <c:v>43198</c:v>
                </c:pt>
                <c:pt idx="5942">
                  <c:v>43199</c:v>
                </c:pt>
                <c:pt idx="5943">
                  <c:v>43200</c:v>
                </c:pt>
                <c:pt idx="5944">
                  <c:v>43201</c:v>
                </c:pt>
                <c:pt idx="5945">
                  <c:v>43202</c:v>
                </c:pt>
                <c:pt idx="5946">
                  <c:v>43203</c:v>
                </c:pt>
                <c:pt idx="5947">
                  <c:v>43204</c:v>
                </c:pt>
                <c:pt idx="5948">
                  <c:v>43205</c:v>
                </c:pt>
                <c:pt idx="5949">
                  <c:v>43206</c:v>
                </c:pt>
                <c:pt idx="5950">
                  <c:v>43207</c:v>
                </c:pt>
                <c:pt idx="5951">
                  <c:v>43208</c:v>
                </c:pt>
                <c:pt idx="5952">
                  <c:v>43209</c:v>
                </c:pt>
                <c:pt idx="5953">
                  <c:v>43210</c:v>
                </c:pt>
                <c:pt idx="5954">
                  <c:v>43211</c:v>
                </c:pt>
                <c:pt idx="5955">
                  <c:v>43212</c:v>
                </c:pt>
                <c:pt idx="5956">
                  <c:v>43213</c:v>
                </c:pt>
                <c:pt idx="5957">
                  <c:v>43214</c:v>
                </c:pt>
                <c:pt idx="5958">
                  <c:v>43215</c:v>
                </c:pt>
                <c:pt idx="5959">
                  <c:v>43216</c:v>
                </c:pt>
                <c:pt idx="5960">
                  <c:v>43217</c:v>
                </c:pt>
                <c:pt idx="5961">
                  <c:v>43218</c:v>
                </c:pt>
                <c:pt idx="5962">
                  <c:v>43219</c:v>
                </c:pt>
                <c:pt idx="5963">
                  <c:v>43220</c:v>
                </c:pt>
                <c:pt idx="5964">
                  <c:v>43221</c:v>
                </c:pt>
                <c:pt idx="5965">
                  <c:v>43222</c:v>
                </c:pt>
                <c:pt idx="5966">
                  <c:v>43223</c:v>
                </c:pt>
                <c:pt idx="5967">
                  <c:v>43224</c:v>
                </c:pt>
                <c:pt idx="5968">
                  <c:v>43225</c:v>
                </c:pt>
                <c:pt idx="5969">
                  <c:v>43226</c:v>
                </c:pt>
                <c:pt idx="5970">
                  <c:v>43227</c:v>
                </c:pt>
                <c:pt idx="5971">
                  <c:v>43228</c:v>
                </c:pt>
                <c:pt idx="5972">
                  <c:v>43229</c:v>
                </c:pt>
                <c:pt idx="5973">
                  <c:v>43230</c:v>
                </c:pt>
                <c:pt idx="5974">
                  <c:v>43231</c:v>
                </c:pt>
                <c:pt idx="5975">
                  <c:v>43232</c:v>
                </c:pt>
                <c:pt idx="5976">
                  <c:v>43233</c:v>
                </c:pt>
                <c:pt idx="5977">
                  <c:v>43234</c:v>
                </c:pt>
                <c:pt idx="5978">
                  <c:v>43235</c:v>
                </c:pt>
                <c:pt idx="5979">
                  <c:v>43236</c:v>
                </c:pt>
                <c:pt idx="5980">
                  <c:v>43237</c:v>
                </c:pt>
                <c:pt idx="5981">
                  <c:v>43238</c:v>
                </c:pt>
                <c:pt idx="5982">
                  <c:v>43239</c:v>
                </c:pt>
                <c:pt idx="5983">
                  <c:v>43240</c:v>
                </c:pt>
                <c:pt idx="5984">
                  <c:v>43241</c:v>
                </c:pt>
                <c:pt idx="5985">
                  <c:v>43242</c:v>
                </c:pt>
                <c:pt idx="5986">
                  <c:v>43243</c:v>
                </c:pt>
                <c:pt idx="5987">
                  <c:v>43244</c:v>
                </c:pt>
                <c:pt idx="5988">
                  <c:v>43245</c:v>
                </c:pt>
                <c:pt idx="5989">
                  <c:v>43246</c:v>
                </c:pt>
                <c:pt idx="5990">
                  <c:v>43247</c:v>
                </c:pt>
                <c:pt idx="5991">
                  <c:v>43248</c:v>
                </c:pt>
                <c:pt idx="5992">
                  <c:v>43249</c:v>
                </c:pt>
                <c:pt idx="5993">
                  <c:v>43250</c:v>
                </c:pt>
                <c:pt idx="5994">
                  <c:v>43251</c:v>
                </c:pt>
                <c:pt idx="5995">
                  <c:v>43252</c:v>
                </c:pt>
                <c:pt idx="5996">
                  <c:v>43253</c:v>
                </c:pt>
                <c:pt idx="5997">
                  <c:v>43254</c:v>
                </c:pt>
                <c:pt idx="5998">
                  <c:v>43255</c:v>
                </c:pt>
                <c:pt idx="5999">
                  <c:v>43256</c:v>
                </c:pt>
                <c:pt idx="6000">
                  <c:v>43257</c:v>
                </c:pt>
                <c:pt idx="6001">
                  <c:v>43258</c:v>
                </c:pt>
                <c:pt idx="6002">
                  <c:v>43259</c:v>
                </c:pt>
                <c:pt idx="6003">
                  <c:v>43260</c:v>
                </c:pt>
                <c:pt idx="6004">
                  <c:v>43261</c:v>
                </c:pt>
                <c:pt idx="6005">
                  <c:v>43262</c:v>
                </c:pt>
                <c:pt idx="6006">
                  <c:v>43263</c:v>
                </c:pt>
                <c:pt idx="6007">
                  <c:v>43264</c:v>
                </c:pt>
                <c:pt idx="6008">
                  <c:v>43265</c:v>
                </c:pt>
                <c:pt idx="6009">
                  <c:v>43266</c:v>
                </c:pt>
                <c:pt idx="6010">
                  <c:v>43267</c:v>
                </c:pt>
                <c:pt idx="6011">
                  <c:v>43268</c:v>
                </c:pt>
                <c:pt idx="6012">
                  <c:v>43269</c:v>
                </c:pt>
                <c:pt idx="6013">
                  <c:v>43270</c:v>
                </c:pt>
                <c:pt idx="6014">
                  <c:v>43271</c:v>
                </c:pt>
                <c:pt idx="6015">
                  <c:v>43272</c:v>
                </c:pt>
                <c:pt idx="6016">
                  <c:v>43273</c:v>
                </c:pt>
                <c:pt idx="6017">
                  <c:v>43274</c:v>
                </c:pt>
                <c:pt idx="6018">
                  <c:v>43275</c:v>
                </c:pt>
                <c:pt idx="6019">
                  <c:v>43276</c:v>
                </c:pt>
                <c:pt idx="6020">
                  <c:v>43277</c:v>
                </c:pt>
                <c:pt idx="6021">
                  <c:v>43278</c:v>
                </c:pt>
                <c:pt idx="6022">
                  <c:v>43279</c:v>
                </c:pt>
                <c:pt idx="6023">
                  <c:v>43280</c:v>
                </c:pt>
                <c:pt idx="6024">
                  <c:v>43281</c:v>
                </c:pt>
                <c:pt idx="6025">
                  <c:v>43282</c:v>
                </c:pt>
                <c:pt idx="6026">
                  <c:v>43283</c:v>
                </c:pt>
                <c:pt idx="6027">
                  <c:v>43284</c:v>
                </c:pt>
                <c:pt idx="6028">
                  <c:v>43285</c:v>
                </c:pt>
                <c:pt idx="6029">
                  <c:v>43286</c:v>
                </c:pt>
                <c:pt idx="6030">
                  <c:v>43287</c:v>
                </c:pt>
                <c:pt idx="6031">
                  <c:v>43288</c:v>
                </c:pt>
                <c:pt idx="6032">
                  <c:v>43289</c:v>
                </c:pt>
                <c:pt idx="6033">
                  <c:v>43290</c:v>
                </c:pt>
                <c:pt idx="6034">
                  <c:v>43291</c:v>
                </c:pt>
                <c:pt idx="6035">
                  <c:v>43292</c:v>
                </c:pt>
                <c:pt idx="6036">
                  <c:v>43293</c:v>
                </c:pt>
                <c:pt idx="6037">
                  <c:v>43294</c:v>
                </c:pt>
                <c:pt idx="6038">
                  <c:v>43295</c:v>
                </c:pt>
                <c:pt idx="6039">
                  <c:v>43296</c:v>
                </c:pt>
                <c:pt idx="6040">
                  <c:v>43297</c:v>
                </c:pt>
                <c:pt idx="6041">
                  <c:v>43298</c:v>
                </c:pt>
                <c:pt idx="6042">
                  <c:v>43299</c:v>
                </c:pt>
                <c:pt idx="6043">
                  <c:v>43300</c:v>
                </c:pt>
                <c:pt idx="6044">
                  <c:v>43301</c:v>
                </c:pt>
                <c:pt idx="6045">
                  <c:v>43302</c:v>
                </c:pt>
                <c:pt idx="6046">
                  <c:v>43303</c:v>
                </c:pt>
                <c:pt idx="6047">
                  <c:v>43304</c:v>
                </c:pt>
                <c:pt idx="6048">
                  <c:v>43305</c:v>
                </c:pt>
                <c:pt idx="6049">
                  <c:v>43306</c:v>
                </c:pt>
                <c:pt idx="6050">
                  <c:v>43307</c:v>
                </c:pt>
                <c:pt idx="6051">
                  <c:v>43308</c:v>
                </c:pt>
                <c:pt idx="6052">
                  <c:v>43309</c:v>
                </c:pt>
                <c:pt idx="6053">
                  <c:v>43310</c:v>
                </c:pt>
                <c:pt idx="6054">
                  <c:v>43311</c:v>
                </c:pt>
                <c:pt idx="6055">
                  <c:v>43312</c:v>
                </c:pt>
                <c:pt idx="6056">
                  <c:v>43313</c:v>
                </c:pt>
                <c:pt idx="6057">
                  <c:v>43314</c:v>
                </c:pt>
                <c:pt idx="6058">
                  <c:v>43315</c:v>
                </c:pt>
                <c:pt idx="6059">
                  <c:v>43316</c:v>
                </c:pt>
                <c:pt idx="6060">
                  <c:v>43317</c:v>
                </c:pt>
                <c:pt idx="6061">
                  <c:v>43318</c:v>
                </c:pt>
                <c:pt idx="6062">
                  <c:v>43319</c:v>
                </c:pt>
                <c:pt idx="6063">
                  <c:v>43320</c:v>
                </c:pt>
                <c:pt idx="6064">
                  <c:v>43321</c:v>
                </c:pt>
                <c:pt idx="6065">
                  <c:v>43322</c:v>
                </c:pt>
                <c:pt idx="6066">
                  <c:v>43323</c:v>
                </c:pt>
                <c:pt idx="6067">
                  <c:v>43324</c:v>
                </c:pt>
                <c:pt idx="6068">
                  <c:v>43325</c:v>
                </c:pt>
                <c:pt idx="6069">
                  <c:v>43326</c:v>
                </c:pt>
                <c:pt idx="6070">
                  <c:v>43327</c:v>
                </c:pt>
                <c:pt idx="6071">
                  <c:v>43328</c:v>
                </c:pt>
                <c:pt idx="6072">
                  <c:v>43329</c:v>
                </c:pt>
                <c:pt idx="6073">
                  <c:v>43330</c:v>
                </c:pt>
                <c:pt idx="6074">
                  <c:v>43331</c:v>
                </c:pt>
                <c:pt idx="6075">
                  <c:v>43332</c:v>
                </c:pt>
                <c:pt idx="6076">
                  <c:v>43333</c:v>
                </c:pt>
                <c:pt idx="6077">
                  <c:v>43334</c:v>
                </c:pt>
                <c:pt idx="6078">
                  <c:v>43335</c:v>
                </c:pt>
                <c:pt idx="6079">
                  <c:v>43336</c:v>
                </c:pt>
                <c:pt idx="6080">
                  <c:v>43337</c:v>
                </c:pt>
                <c:pt idx="6081">
                  <c:v>43338</c:v>
                </c:pt>
                <c:pt idx="6082">
                  <c:v>43339</c:v>
                </c:pt>
                <c:pt idx="6083">
                  <c:v>43340</c:v>
                </c:pt>
                <c:pt idx="6084">
                  <c:v>43341</c:v>
                </c:pt>
                <c:pt idx="6085">
                  <c:v>43342</c:v>
                </c:pt>
                <c:pt idx="6086">
                  <c:v>43343</c:v>
                </c:pt>
                <c:pt idx="6087">
                  <c:v>43344</c:v>
                </c:pt>
                <c:pt idx="6088">
                  <c:v>43345</c:v>
                </c:pt>
                <c:pt idx="6089">
                  <c:v>43346</c:v>
                </c:pt>
                <c:pt idx="6090">
                  <c:v>43347</c:v>
                </c:pt>
                <c:pt idx="6091">
                  <c:v>43348</c:v>
                </c:pt>
                <c:pt idx="6092">
                  <c:v>43349</c:v>
                </c:pt>
                <c:pt idx="6093">
                  <c:v>43350</c:v>
                </c:pt>
                <c:pt idx="6094">
                  <c:v>43351</c:v>
                </c:pt>
                <c:pt idx="6095">
                  <c:v>43352</c:v>
                </c:pt>
                <c:pt idx="6096">
                  <c:v>43353</c:v>
                </c:pt>
                <c:pt idx="6097">
                  <c:v>43354</c:v>
                </c:pt>
                <c:pt idx="6098">
                  <c:v>43355</c:v>
                </c:pt>
                <c:pt idx="6099">
                  <c:v>43356</c:v>
                </c:pt>
                <c:pt idx="6100">
                  <c:v>43357</c:v>
                </c:pt>
                <c:pt idx="6101">
                  <c:v>43358</c:v>
                </c:pt>
                <c:pt idx="6102">
                  <c:v>43359</c:v>
                </c:pt>
                <c:pt idx="6103">
                  <c:v>43360</c:v>
                </c:pt>
                <c:pt idx="6104">
                  <c:v>43361</c:v>
                </c:pt>
                <c:pt idx="6105">
                  <c:v>43362</c:v>
                </c:pt>
                <c:pt idx="6106">
                  <c:v>43363</c:v>
                </c:pt>
                <c:pt idx="6107">
                  <c:v>43364</c:v>
                </c:pt>
                <c:pt idx="6108">
                  <c:v>43365</c:v>
                </c:pt>
                <c:pt idx="6109">
                  <c:v>43366</c:v>
                </c:pt>
                <c:pt idx="6110">
                  <c:v>43367</c:v>
                </c:pt>
                <c:pt idx="6111">
                  <c:v>43368</c:v>
                </c:pt>
                <c:pt idx="6112">
                  <c:v>43369</c:v>
                </c:pt>
                <c:pt idx="6113">
                  <c:v>43370</c:v>
                </c:pt>
                <c:pt idx="6114">
                  <c:v>43371</c:v>
                </c:pt>
                <c:pt idx="6115">
                  <c:v>43372</c:v>
                </c:pt>
                <c:pt idx="6116">
                  <c:v>43373</c:v>
                </c:pt>
                <c:pt idx="6117">
                  <c:v>43374</c:v>
                </c:pt>
                <c:pt idx="6118">
                  <c:v>43375</c:v>
                </c:pt>
                <c:pt idx="6119">
                  <c:v>43376</c:v>
                </c:pt>
                <c:pt idx="6120">
                  <c:v>43377</c:v>
                </c:pt>
                <c:pt idx="6121">
                  <c:v>43378</c:v>
                </c:pt>
                <c:pt idx="6122">
                  <c:v>43379</c:v>
                </c:pt>
                <c:pt idx="6123">
                  <c:v>43380</c:v>
                </c:pt>
                <c:pt idx="6124">
                  <c:v>43381</c:v>
                </c:pt>
                <c:pt idx="6125">
                  <c:v>43382</c:v>
                </c:pt>
                <c:pt idx="6126">
                  <c:v>43383</c:v>
                </c:pt>
                <c:pt idx="6127">
                  <c:v>43384</c:v>
                </c:pt>
                <c:pt idx="6128">
                  <c:v>43385</c:v>
                </c:pt>
                <c:pt idx="6129">
                  <c:v>43386</c:v>
                </c:pt>
                <c:pt idx="6130">
                  <c:v>43387</c:v>
                </c:pt>
                <c:pt idx="6131">
                  <c:v>43388</c:v>
                </c:pt>
                <c:pt idx="6132">
                  <c:v>43389</c:v>
                </c:pt>
                <c:pt idx="6133">
                  <c:v>43390</c:v>
                </c:pt>
                <c:pt idx="6134">
                  <c:v>43391</c:v>
                </c:pt>
                <c:pt idx="6135">
                  <c:v>43392</c:v>
                </c:pt>
                <c:pt idx="6136">
                  <c:v>43393</c:v>
                </c:pt>
                <c:pt idx="6137">
                  <c:v>43394</c:v>
                </c:pt>
                <c:pt idx="6138">
                  <c:v>43395</c:v>
                </c:pt>
                <c:pt idx="6139">
                  <c:v>43396</c:v>
                </c:pt>
                <c:pt idx="6140">
                  <c:v>43397</c:v>
                </c:pt>
                <c:pt idx="6141">
                  <c:v>43398</c:v>
                </c:pt>
                <c:pt idx="6142">
                  <c:v>43399</c:v>
                </c:pt>
                <c:pt idx="6143">
                  <c:v>43400</c:v>
                </c:pt>
                <c:pt idx="6144">
                  <c:v>43401</c:v>
                </c:pt>
                <c:pt idx="6145">
                  <c:v>43402</c:v>
                </c:pt>
                <c:pt idx="6146">
                  <c:v>43403</c:v>
                </c:pt>
                <c:pt idx="6147">
                  <c:v>43404</c:v>
                </c:pt>
                <c:pt idx="6148">
                  <c:v>43405</c:v>
                </c:pt>
                <c:pt idx="6149">
                  <c:v>43406</c:v>
                </c:pt>
                <c:pt idx="6150">
                  <c:v>43407</c:v>
                </c:pt>
                <c:pt idx="6151">
                  <c:v>43408</c:v>
                </c:pt>
                <c:pt idx="6152">
                  <c:v>43409</c:v>
                </c:pt>
                <c:pt idx="6153">
                  <c:v>43410</c:v>
                </c:pt>
                <c:pt idx="6154">
                  <c:v>43411</c:v>
                </c:pt>
                <c:pt idx="6155">
                  <c:v>43412</c:v>
                </c:pt>
                <c:pt idx="6156">
                  <c:v>43413</c:v>
                </c:pt>
                <c:pt idx="6157">
                  <c:v>43414</c:v>
                </c:pt>
                <c:pt idx="6158">
                  <c:v>43415</c:v>
                </c:pt>
                <c:pt idx="6159">
                  <c:v>43416</c:v>
                </c:pt>
                <c:pt idx="6160">
                  <c:v>43417</c:v>
                </c:pt>
                <c:pt idx="6161">
                  <c:v>43418</c:v>
                </c:pt>
                <c:pt idx="6162">
                  <c:v>43419</c:v>
                </c:pt>
                <c:pt idx="6163">
                  <c:v>43420</c:v>
                </c:pt>
                <c:pt idx="6164">
                  <c:v>43421</c:v>
                </c:pt>
                <c:pt idx="6165">
                  <c:v>43422</c:v>
                </c:pt>
                <c:pt idx="6166">
                  <c:v>43423</c:v>
                </c:pt>
                <c:pt idx="6167">
                  <c:v>43424</c:v>
                </c:pt>
                <c:pt idx="6168">
                  <c:v>43425</c:v>
                </c:pt>
                <c:pt idx="6169">
                  <c:v>43426</c:v>
                </c:pt>
                <c:pt idx="6170">
                  <c:v>43427</c:v>
                </c:pt>
                <c:pt idx="6171">
                  <c:v>43428</c:v>
                </c:pt>
                <c:pt idx="6172">
                  <c:v>43429</c:v>
                </c:pt>
                <c:pt idx="6173">
                  <c:v>43430</c:v>
                </c:pt>
                <c:pt idx="6174">
                  <c:v>43431</c:v>
                </c:pt>
                <c:pt idx="6175">
                  <c:v>43432</c:v>
                </c:pt>
                <c:pt idx="6176">
                  <c:v>43433</c:v>
                </c:pt>
                <c:pt idx="6177">
                  <c:v>43434</c:v>
                </c:pt>
                <c:pt idx="6178">
                  <c:v>43435</c:v>
                </c:pt>
                <c:pt idx="6179">
                  <c:v>43436</c:v>
                </c:pt>
                <c:pt idx="6180">
                  <c:v>43437</c:v>
                </c:pt>
                <c:pt idx="6181">
                  <c:v>43438</c:v>
                </c:pt>
                <c:pt idx="6182">
                  <c:v>43439</c:v>
                </c:pt>
                <c:pt idx="6183">
                  <c:v>43440</c:v>
                </c:pt>
                <c:pt idx="6184">
                  <c:v>43441</c:v>
                </c:pt>
                <c:pt idx="6185">
                  <c:v>43442</c:v>
                </c:pt>
                <c:pt idx="6186">
                  <c:v>43443</c:v>
                </c:pt>
                <c:pt idx="6187">
                  <c:v>43444</c:v>
                </c:pt>
                <c:pt idx="6188">
                  <c:v>43445</c:v>
                </c:pt>
                <c:pt idx="6189">
                  <c:v>43446</c:v>
                </c:pt>
                <c:pt idx="6190">
                  <c:v>43447</c:v>
                </c:pt>
                <c:pt idx="6191">
                  <c:v>43448</c:v>
                </c:pt>
                <c:pt idx="6192">
                  <c:v>43449</c:v>
                </c:pt>
                <c:pt idx="6193">
                  <c:v>43450</c:v>
                </c:pt>
                <c:pt idx="6194">
                  <c:v>43451</c:v>
                </c:pt>
                <c:pt idx="6195">
                  <c:v>43452</c:v>
                </c:pt>
                <c:pt idx="6196">
                  <c:v>43453</c:v>
                </c:pt>
                <c:pt idx="6197">
                  <c:v>43454</c:v>
                </c:pt>
                <c:pt idx="6198">
                  <c:v>43455</c:v>
                </c:pt>
                <c:pt idx="6199">
                  <c:v>43456</c:v>
                </c:pt>
                <c:pt idx="6200">
                  <c:v>43457</c:v>
                </c:pt>
                <c:pt idx="6201">
                  <c:v>43458</c:v>
                </c:pt>
                <c:pt idx="6202">
                  <c:v>43459</c:v>
                </c:pt>
                <c:pt idx="6203">
                  <c:v>43460</c:v>
                </c:pt>
                <c:pt idx="6204">
                  <c:v>43461</c:v>
                </c:pt>
                <c:pt idx="6205">
                  <c:v>43462</c:v>
                </c:pt>
                <c:pt idx="6206">
                  <c:v>43463</c:v>
                </c:pt>
                <c:pt idx="6207">
                  <c:v>43464</c:v>
                </c:pt>
                <c:pt idx="6208">
                  <c:v>43465</c:v>
                </c:pt>
                <c:pt idx="6209">
                  <c:v>43466</c:v>
                </c:pt>
                <c:pt idx="6210">
                  <c:v>43467</c:v>
                </c:pt>
                <c:pt idx="6211">
                  <c:v>43468</c:v>
                </c:pt>
                <c:pt idx="6212">
                  <c:v>43469</c:v>
                </c:pt>
                <c:pt idx="6213">
                  <c:v>43470</c:v>
                </c:pt>
                <c:pt idx="6214">
                  <c:v>43471</c:v>
                </c:pt>
                <c:pt idx="6215">
                  <c:v>43472</c:v>
                </c:pt>
                <c:pt idx="6216">
                  <c:v>43473</c:v>
                </c:pt>
                <c:pt idx="6217">
                  <c:v>43474</c:v>
                </c:pt>
                <c:pt idx="6218">
                  <c:v>43475</c:v>
                </c:pt>
                <c:pt idx="6219">
                  <c:v>43476</c:v>
                </c:pt>
                <c:pt idx="6220">
                  <c:v>43477</c:v>
                </c:pt>
                <c:pt idx="6221">
                  <c:v>43478</c:v>
                </c:pt>
                <c:pt idx="6222">
                  <c:v>43479</c:v>
                </c:pt>
                <c:pt idx="6223">
                  <c:v>43480</c:v>
                </c:pt>
                <c:pt idx="6224">
                  <c:v>43481</c:v>
                </c:pt>
                <c:pt idx="6225">
                  <c:v>43482</c:v>
                </c:pt>
                <c:pt idx="6226">
                  <c:v>43483</c:v>
                </c:pt>
                <c:pt idx="6227">
                  <c:v>43484</c:v>
                </c:pt>
                <c:pt idx="6228">
                  <c:v>43485</c:v>
                </c:pt>
                <c:pt idx="6229">
                  <c:v>43486</c:v>
                </c:pt>
                <c:pt idx="6230">
                  <c:v>43487</c:v>
                </c:pt>
                <c:pt idx="6231">
                  <c:v>43488</c:v>
                </c:pt>
                <c:pt idx="6232">
                  <c:v>43489</c:v>
                </c:pt>
                <c:pt idx="6233">
                  <c:v>43490</c:v>
                </c:pt>
                <c:pt idx="6234">
                  <c:v>43491</c:v>
                </c:pt>
                <c:pt idx="6235">
                  <c:v>43492</c:v>
                </c:pt>
                <c:pt idx="6236">
                  <c:v>43493</c:v>
                </c:pt>
                <c:pt idx="6237">
                  <c:v>43494</c:v>
                </c:pt>
                <c:pt idx="6238">
                  <c:v>43495</c:v>
                </c:pt>
                <c:pt idx="6239">
                  <c:v>43496</c:v>
                </c:pt>
                <c:pt idx="6240">
                  <c:v>43497</c:v>
                </c:pt>
                <c:pt idx="6241">
                  <c:v>43498</c:v>
                </c:pt>
                <c:pt idx="6242">
                  <c:v>43499</c:v>
                </c:pt>
                <c:pt idx="6243">
                  <c:v>43500</c:v>
                </c:pt>
                <c:pt idx="6244">
                  <c:v>43501</c:v>
                </c:pt>
                <c:pt idx="6245">
                  <c:v>43502</c:v>
                </c:pt>
                <c:pt idx="6246">
                  <c:v>43503</c:v>
                </c:pt>
                <c:pt idx="6247">
                  <c:v>43504</c:v>
                </c:pt>
                <c:pt idx="6248">
                  <c:v>43505</c:v>
                </c:pt>
                <c:pt idx="6249">
                  <c:v>43506</c:v>
                </c:pt>
                <c:pt idx="6250">
                  <c:v>43507</c:v>
                </c:pt>
                <c:pt idx="6251">
                  <c:v>43508</c:v>
                </c:pt>
                <c:pt idx="6252">
                  <c:v>43509</c:v>
                </c:pt>
                <c:pt idx="6253">
                  <c:v>43510</c:v>
                </c:pt>
                <c:pt idx="6254">
                  <c:v>43511</c:v>
                </c:pt>
                <c:pt idx="6255">
                  <c:v>43512</c:v>
                </c:pt>
                <c:pt idx="6256">
                  <c:v>43513</c:v>
                </c:pt>
                <c:pt idx="6257">
                  <c:v>43514</c:v>
                </c:pt>
                <c:pt idx="6258">
                  <c:v>43515</c:v>
                </c:pt>
                <c:pt idx="6259">
                  <c:v>43516</c:v>
                </c:pt>
                <c:pt idx="6260">
                  <c:v>43517</c:v>
                </c:pt>
                <c:pt idx="6261">
                  <c:v>43518</c:v>
                </c:pt>
                <c:pt idx="6262">
                  <c:v>43519</c:v>
                </c:pt>
                <c:pt idx="6263">
                  <c:v>43520</c:v>
                </c:pt>
                <c:pt idx="6264">
                  <c:v>43521</c:v>
                </c:pt>
                <c:pt idx="6265">
                  <c:v>43522</c:v>
                </c:pt>
                <c:pt idx="6266">
                  <c:v>43523</c:v>
                </c:pt>
                <c:pt idx="6267">
                  <c:v>43524</c:v>
                </c:pt>
                <c:pt idx="6268">
                  <c:v>43525</c:v>
                </c:pt>
                <c:pt idx="6269">
                  <c:v>43526</c:v>
                </c:pt>
                <c:pt idx="6270">
                  <c:v>43527</c:v>
                </c:pt>
                <c:pt idx="6271">
                  <c:v>43528</c:v>
                </c:pt>
                <c:pt idx="6272">
                  <c:v>43529</c:v>
                </c:pt>
                <c:pt idx="6273">
                  <c:v>43530</c:v>
                </c:pt>
                <c:pt idx="6274">
                  <c:v>43531</c:v>
                </c:pt>
                <c:pt idx="6275">
                  <c:v>43532</c:v>
                </c:pt>
                <c:pt idx="6276">
                  <c:v>43533</c:v>
                </c:pt>
                <c:pt idx="6277">
                  <c:v>43534</c:v>
                </c:pt>
                <c:pt idx="6278">
                  <c:v>43535</c:v>
                </c:pt>
                <c:pt idx="6279">
                  <c:v>43536</c:v>
                </c:pt>
                <c:pt idx="6280">
                  <c:v>43537</c:v>
                </c:pt>
                <c:pt idx="6281">
                  <c:v>43538</c:v>
                </c:pt>
                <c:pt idx="6282">
                  <c:v>43539</c:v>
                </c:pt>
                <c:pt idx="6283">
                  <c:v>43540</c:v>
                </c:pt>
                <c:pt idx="6284">
                  <c:v>43541</c:v>
                </c:pt>
                <c:pt idx="6285">
                  <c:v>43542</c:v>
                </c:pt>
                <c:pt idx="6286">
                  <c:v>43543</c:v>
                </c:pt>
                <c:pt idx="6287">
                  <c:v>43544</c:v>
                </c:pt>
                <c:pt idx="6288">
                  <c:v>43545</c:v>
                </c:pt>
                <c:pt idx="6289">
                  <c:v>43546</c:v>
                </c:pt>
                <c:pt idx="6290">
                  <c:v>43547</c:v>
                </c:pt>
                <c:pt idx="6291">
                  <c:v>43548</c:v>
                </c:pt>
                <c:pt idx="6292">
                  <c:v>43549</c:v>
                </c:pt>
                <c:pt idx="6293">
                  <c:v>43550</c:v>
                </c:pt>
                <c:pt idx="6294">
                  <c:v>43551</c:v>
                </c:pt>
                <c:pt idx="6295">
                  <c:v>43552</c:v>
                </c:pt>
                <c:pt idx="6296">
                  <c:v>43553</c:v>
                </c:pt>
                <c:pt idx="6297">
                  <c:v>43554</c:v>
                </c:pt>
                <c:pt idx="6298">
                  <c:v>43555</c:v>
                </c:pt>
                <c:pt idx="6299">
                  <c:v>43556</c:v>
                </c:pt>
                <c:pt idx="6300">
                  <c:v>43557</c:v>
                </c:pt>
                <c:pt idx="6301">
                  <c:v>43558</c:v>
                </c:pt>
                <c:pt idx="6302">
                  <c:v>43559</c:v>
                </c:pt>
                <c:pt idx="6303">
                  <c:v>43560</c:v>
                </c:pt>
                <c:pt idx="6304">
                  <c:v>43561</c:v>
                </c:pt>
                <c:pt idx="6305">
                  <c:v>43562</c:v>
                </c:pt>
                <c:pt idx="6306">
                  <c:v>43563</c:v>
                </c:pt>
                <c:pt idx="6307">
                  <c:v>43564</c:v>
                </c:pt>
                <c:pt idx="6308">
                  <c:v>43565</c:v>
                </c:pt>
                <c:pt idx="6309">
                  <c:v>43566</c:v>
                </c:pt>
                <c:pt idx="6310">
                  <c:v>43567</c:v>
                </c:pt>
                <c:pt idx="6311">
                  <c:v>43568</c:v>
                </c:pt>
                <c:pt idx="6312">
                  <c:v>43569</c:v>
                </c:pt>
                <c:pt idx="6313">
                  <c:v>43570</c:v>
                </c:pt>
                <c:pt idx="6314">
                  <c:v>43571</c:v>
                </c:pt>
                <c:pt idx="6315">
                  <c:v>43572</c:v>
                </c:pt>
                <c:pt idx="6316">
                  <c:v>43573</c:v>
                </c:pt>
                <c:pt idx="6317">
                  <c:v>43574</c:v>
                </c:pt>
                <c:pt idx="6318">
                  <c:v>43575</c:v>
                </c:pt>
                <c:pt idx="6319">
                  <c:v>43576</c:v>
                </c:pt>
                <c:pt idx="6320">
                  <c:v>43577</c:v>
                </c:pt>
                <c:pt idx="6321">
                  <c:v>43578</c:v>
                </c:pt>
                <c:pt idx="6322">
                  <c:v>43579</c:v>
                </c:pt>
                <c:pt idx="6323">
                  <c:v>43580</c:v>
                </c:pt>
                <c:pt idx="6324">
                  <c:v>43581</c:v>
                </c:pt>
                <c:pt idx="6325">
                  <c:v>43582</c:v>
                </c:pt>
                <c:pt idx="6326">
                  <c:v>43583</c:v>
                </c:pt>
                <c:pt idx="6327">
                  <c:v>43584</c:v>
                </c:pt>
                <c:pt idx="6328">
                  <c:v>43585</c:v>
                </c:pt>
                <c:pt idx="6329">
                  <c:v>43586</c:v>
                </c:pt>
                <c:pt idx="6330">
                  <c:v>43587</c:v>
                </c:pt>
                <c:pt idx="6331">
                  <c:v>43588</c:v>
                </c:pt>
                <c:pt idx="6332">
                  <c:v>43589</c:v>
                </c:pt>
                <c:pt idx="6333">
                  <c:v>43590</c:v>
                </c:pt>
                <c:pt idx="6334">
                  <c:v>43591</c:v>
                </c:pt>
                <c:pt idx="6335">
                  <c:v>43592</c:v>
                </c:pt>
                <c:pt idx="6336">
                  <c:v>43593</c:v>
                </c:pt>
                <c:pt idx="6337">
                  <c:v>43594</c:v>
                </c:pt>
                <c:pt idx="6338">
                  <c:v>43595</c:v>
                </c:pt>
                <c:pt idx="6339">
                  <c:v>43596</c:v>
                </c:pt>
                <c:pt idx="6340">
                  <c:v>43597</c:v>
                </c:pt>
                <c:pt idx="6341">
                  <c:v>43598</c:v>
                </c:pt>
                <c:pt idx="6342">
                  <c:v>43599</c:v>
                </c:pt>
                <c:pt idx="6343">
                  <c:v>43600</c:v>
                </c:pt>
                <c:pt idx="6344">
                  <c:v>43601</c:v>
                </c:pt>
                <c:pt idx="6345">
                  <c:v>43602</c:v>
                </c:pt>
                <c:pt idx="6346">
                  <c:v>43603</c:v>
                </c:pt>
                <c:pt idx="6347">
                  <c:v>43604</c:v>
                </c:pt>
                <c:pt idx="6348">
                  <c:v>43605</c:v>
                </c:pt>
                <c:pt idx="6349">
                  <c:v>43606</c:v>
                </c:pt>
                <c:pt idx="6350">
                  <c:v>43607</c:v>
                </c:pt>
                <c:pt idx="6351">
                  <c:v>43608</c:v>
                </c:pt>
                <c:pt idx="6352">
                  <c:v>43609</c:v>
                </c:pt>
                <c:pt idx="6353">
                  <c:v>43610</c:v>
                </c:pt>
                <c:pt idx="6354">
                  <c:v>43611</c:v>
                </c:pt>
                <c:pt idx="6355">
                  <c:v>43612</c:v>
                </c:pt>
                <c:pt idx="6356">
                  <c:v>43613</c:v>
                </c:pt>
                <c:pt idx="6357">
                  <c:v>43614</c:v>
                </c:pt>
                <c:pt idx="6358">
                  <c:v>43615</c:v>
                </c:pt>
                <c:pt idx="6359">
                  <c:v>43616</c:v>
                </c:pt>
                <c:pt idx="6360">
                  <c:v>43617</c:v>
                </c:pt>
                <c:pt idx="6361">
                  <c:v>43618</c:v>
                </c:pt>
                <c:pt idx="6362">
                  <c:v>43619</c:v>
                </c:pt>
                <c:pt idx="6363">
                  <c:v>43620</c:v>
                </c:pt>
                <c:pt idx="6364">
                  <c:v>43621</c:v>
                </c:pt>
                <c:pt idx="6365">
                  <c:v>43622</c:v>
                </c:pt>
                <c:pt idx="6366">
                  <c:v>43623</c:v>
                </c:pt>
                <c:pt idx="6367">
                  <c:v>43624</c:v>
                </c:pt>
                <c:pt idx="6368">
                  <c:v>43625</c:v>
                </c:pt>
                <c:pt idx="6369">
                  <c:v>43626</c:v>
                </c:pt>
                <c:pt idx="6370">
                  <c:v>43627</c:v>
                </c:pt>
                <c:pt idx="6371">
                  <c:v>43628</c:v>
                </c:pt>
                <c:pt idx="6372">
                  <c:v>43629</c:v>
                </c:pt>
                <c:pt idx="6373">
                  <c:v>43630</c:v>
                </c:pt>
                <c:pt idx="6374">
                  <c:v>43631</c:v>
                </c:pt>
                <c:pt idx="6375">
                  <c:v>43632</c:v>
                </c:pt>
                <c:pt idx="6376">
                  <c:v>43633</c:v>
                </c:pt>
                <c:pt idx="6377">
                  <c:v>43634</c:v>
                </c:pt>
                <c:pt idx="6378">
                  <c:v>43635</c:v>
                </c:pt>
                <c:pt idx="6379">
                  <c:v>43636</c:v>
                </c:pt>
                <c:pt idx="6380">
                  <c:v>43637</c:v>
                </c:pt>
                <c:pt idx="6381">
                  <c:v>43638</c:v>
                </c:pt>
                <c:pt idx="6382">
                  <c:v>43639</c:v>
                </c:pt>
                <c:pt idx="6383">
                  <c:v>43640</c:v>
                </c:pt>
                <c:pt idx="6384">
                  <c:v>43641</c:v>
                </c:pt>
                <c:pt idx="6385">
                  <c:v>43642</c:v>
                </c:pt>
                <c:pt idx="6386">
                  <c:v>43643</c:v>
                </c:pt>
                <c:pt idx="6387">
                  <c:v>43644</c:v>
                </c:pt>
                <c:pt idx="6388">
                  <c:v>43645</c:v>
                </c:pt>
                <c:pt idx="6389">
                  <c:v>43646</c:v>
                </c:pt>
                <c:pt idx="6390">
                  <c:v>43647</c:v>
                </c:pt>
                <c:pt idx="6391">
                  <c:v>43648</c:v>
                </c:pt>
                <c:pt idx="6392">
                  <c:v>43649</c:v>
                </c:pt>
                <c:pt idx="6393">
                  <c:v>43650</c:v>
                </c:pt>
                <c:pt idx="6394">
                  <c:v>43651</c:v>
                </c:pt>
                <c:pt idx="6395">
                  <c:v>43652</c:v>
                </c:pt>
                <c:pt idx="6396">
                  <c:v>43653</c:v>
                </c:pt>
                <c:pt idx="6397">
                  <c:v>43654</c:v>
                </c:pt>
                <c:pt idx="6398">
                  <c:v>43655</c:v>
                </c:pt>
                <c:pt idx="6399">
                  <c:v>43656</c:v>
                </c:pt>
                <c:pt idx="6400">
                  <c:v>43657</c:v>
                </c:pt>
                <c:pt idx="6401">
                  <c:v>43658</c:v>
                </c:pt>
                <c:pt idx="6402">
                  <c:v>43659</c:v>
                </c:pt>
                <c:pt idx="6403">
                  <c:v>43660</c:v>
                </c:pt>
                <c:pt idx="6404">
                  <c:v>43661</c:v>
                </c:pt>
                <c:pt idx="6405">
                  <c:v>43662</c:v>
                </c:pt>
                <c:pt idx="6406">
                  <c:v>43663</c:v>
                </c:pt>
                <c:pt idx="6407">
                  <c:v>43664</c:v>
                </c:pt>
                <c:pt idx="6408">
                  <c:v>43665</c:v>
                </c:pt>
                <c:pt idx="6409">
                  <c:v>43666</c:v>
                </c:pt>
                <c:pt idx="6410">
                  <c:v>43667</c:v>
                </c:pt>
                <c:pt idx="6411">
                  <c:v>43668</c:v>
                </c:pt>
                <c:pt idx="6412">
                  <c:v>43669</c:v>
                </c:pt>
                <c:pt idx="6413">
                  <c:v>43670</c:v>
                </c:pt>
                <c:pt idx="6414">
                  <c:v>43671</c:v>
                </c:pt>
                <c:pt idx="6415">
                  <c:v>43672</c:v>
                </c:pt>
                <c:pt idx="6416">
                  <c:v>43673</c:v>
                </c:pt>
                <c:pt idx="6417">
                  <c:v>43674</c:v>
                </c:pt>
                <c:pt idx="6418">
                  <c:v>43675</c:v>
                </c:pt>
                <c:pt idx="6419">
                  <c:v>43676</c:v>
                </c:pt>
                <c:pt idx="6420">
                  <c:v>43677</c:v>
                </c:pt>
                <c:pt idx="6421">
                  <c:v>43678</c:v>
                </c:pt>
                <c:pt idx="6422">
                  <c:v>43679</c:v>
                </c:pt>
                <c:pt idx="6423">
                  <c:v>43680</c:v>
                </c:pt>
                <c:pt idx="6424">
                  <c:v>43681</c:v>
                </c:pt>
                <c:pt idx="6425">
                  <c:v>43682</c:v>
                </c:pt>
                <c:pt idx="6426">
                  <c:v>43683</c:v>
                </c:pt>
                <c:pt idx="6427">
                  <c:v>43684</c:v>
                </c:pt>
                <c:pt idx="6428">
                  <c:v>43685</c:v>
                </c:pt>
                <c:pt idx="6429">
                  <c:v>43686</c:v>
                </c:pt>
                <c:pt idx="6430">
                  <c:v>43687</c:v>
                </c:pt>
                <c:pt idx="6431">
                  <c:v>43688</c:v>
                </c:pt>
                <c:pt idx="6432">
                  <c:v>43689</c:v>
                </c:pt>
                <c:pt idx="6433">
                  <c:v>43690</c:v>
                </c:pt>
                <c:pt idx="6434">
                  <c:v>43691</c:v>
                </c:pt>
                <c:pt idx="6435">
                  <c:v>43692</c:v>
                </c:pt>
                <c:pt idx="6436">
                  <c:v>43693</c:v>
                </c:pt>
                <c:pt idx="6437">
                  <c:v>43694</c:v>
                </c:pt>
                <c:pt idx="6438">
                  <c:v>43695</c:v>
                </c:pt>
                <c:pt idx="6439">
                  <c:v>43696</c:v>
                </c:pt>
                <c:pt idx="6440">
                  <c:v>43697</c:v>
                </c:pt>
                <c:pt idx="6441">
                  <c:v>43698</c:v>
                </c:pt>
                <c:pt idx="6442">
                  <c:v>43699</c:v>
                </c:pt>
                <c:pt idx="6443">
                  <c:v>43700</c:v>
                </c:pt>
                <c:pt idx="6444">
                  <c:v>43701</c:v>
                </c:pt>
                <c:pt idx="6445">
                  <c:v>43702</c:v>
                </c:pt>
                <c:pt idx="6446">
                  <c:v>43703</c:v>
                </c:pt>
                <c:pt idx="6447">
                  <c:v>43704</c:v>
                </c:pt>
                <c:pt idx="6448">
                  <c:v>43705</c:v>
                </c:pt>
                <c:pt idx="6449">
                  <c:v>43706</c:v>
                </c:pt>
                <c:pt idx="6450">
                  <c:v>43707</c:v>
                </c:pt>
                <c:pt idx="6451">
                  <c:v>43708</c:v>
                </c:pt>
                <c:pt idx="6452">
                  <c:v>43709</c:v>
                </c:pt>
                <c:pt idx="6453">
                  <c:v>43710</c:v>
                </c:pt>
                <c:pt idx="6454">
                  <c:v>43711</c:v>
                </c:pt>
                <c:pt idx="6455">
                  <c:v>43712</c:v>
                </c:pt>
                <c:pt idx="6456">
                  <c:v>43713</c:v>
                </c:pt>
                <c:pt idx="6457">
                  <c:v>43714</c:v>
                </c:pt>
                <c:pt idx="6458">
                  <c:v>43715</c:v>
                </c:pt>
                <c:pt idx="6459">
                  <c:v>43716</c:v>
                </c:pt>
                <c:pt idx="6460">
                  <c:v>43717</c:v>
                </c:pt>
                <c:pt idx="6461">
                  <c:v>43718</c:v>
                </c:pt>
                <c:pt idx="6462">
                  <c:v>43719</c:v>
                </c:pt>
                <c:pt idx="6463">
                  <c:v>43720</c:v>
                </c:pt>
                <c:pt idx="6464">
                  <c:v>43721</c:v>
                </c:pt>
                <c:pt idx="6465">
                  <c:v>43722</c:v>
                </c:pt>
                <c:pt idx="6466">
                  <c:v>43723</c:v>
                </c:pt>
                <c:pt idx="6467">
                  <c:v>43724</c:v>
                </c:pt>
                <c:pt idx="6468">
                  <c:v>43725</c:v>
                </c:pt>
                <c:pt idx="6469">
                  <c:v>43726</c:v>
                </c:pt>
                <c:pt idx="6470">
                  <c:v>43727</c:v>
                </c:pt>
                <c:pt idx="6471">
                  <c:v>43728</c:v>
                </c:pt>
                <c:pt idx="6472">
                  <c:v>43729</c:v>
                </c:pt>
                <c:pt idx="6473">
                  <c:v>43730</c:v>
                </c:pt>
                <c:pt idx="6474">
                  <c:v>43731</c:v>
                </c:pt>
                <c:pt idx="6475">
                  <c:v>43732</c:v>
                </c:pt>
                <c:pt idx="6476">
                  <c:v>43733</c:v>
                </c:pt>
                <c:pt idx="6477">
                  <c:v>43734</c:v>
                </c:pt>
                <c:pt idx="6478">
                  <c:v>43735</c:v>
                </c:pt>
                <c:pt idx="6479">
                  <c:v>43736</c:v>
                </c:pt>
                <c:pt idx="6480">
                  <c:v>43737</c:v>
                </c:pt>
                <c:pt idx="6481">
                  <c:v>43738</c:v>
                </c:pt>
                <c:pt idx="6482">
                  <c:v>43739</c:v>
                </c:pt>
                <c:pt idx="6483">
                  <c:v>43740</c:v>
                </c:pt>
                <c:pt idx="6484">
                  <c:v>43741</c:v>
                </c:pt>
                <c:pt idx="6485">
                  <c:v>43742</c:v>
                </c:pt>
                <c:pt idx="6486">
                  <c:v>43743</c:v>
                </c:pt>
                <c:pt idx="6487">
                  <c:v>43744</c:v>
                </c:pt>
                <c:pt idx="6488">
                  <c:v>43745</c:v>
                </c:pt>
                <c:pt idx="6489">
                  <c:v>43746</c:v>
                </c:pt>
                <c:pt idx="6490">
                  <c:v>43747</c:v>
                </c:pt>
                <c:pt idx="6491">
                  <c:v>43748</c:v>
                </c:pt>
                <c:pt idx="6492">
                  <c:v>43749</c:v>
                </c:pt>
                <c:pt idx="6493">
                  <c:v>43750</c:v>
                </c:pt>
                <c:pt idx="6494">
                  <c:v>43751</c:v>
                </c:pt>
                <c:pt idx="6495">
                  <c:v>43752</c:v>
                </c:pt>
                <c:pt idx="6496">
                  <c:v>43753</c:v>
                </c:pt>
                <c:pt idx="6497">
                  <c:v>43754</c:v>
                </c:pt>
                <c:pt idx="6498">
                  <c:v>43755</c:v>
                </c:pt>
                <c:pt idx="6499">
                  <c:v>43756</c:v>
                </c:pt>
                <c:pt idx="6500">
                  <c:v>43757</c:v>
                </c:pt>
                <c:pt idx="6501">
                  <c:v>43758</c:v>
                </c:pt>
                <c:pt idx="6502">
                  <c:v>43759</c:v>
                </c:pt>
                <c:pt idx="6503">
                  <c:v>43760</c:v>
                </c:pt>
                <c:pt idx="6504">
                  <c:v>43761</c:v>
                </c:pt>
                <c:pt idx="6505">
                  <c:v>43762</c:v>
                </c:pt>
                <c:pt idx="6506">
                  <c:v>43763</c:v>
                </c:pt>
                <c:pt idx="6507">
                  <c:v>43764</c:v>
                </c:pt>
                <c:pt idx="6508">
                  <c:v>43765</c:v>
                </c:pt>
                <c:pt idx="6509">
                  <c:v>43766</c:v>
                </c:pt>
                <c:pt idx="6510">
                  <c:v>43767</c:v>
                </c:pt>
                <c:pt idx="6511">
                  <c:v>43768</c:v>
                </c:pt>
                <c:pt idx="6512">
                  <c:v>43769</c:v>
                </c:pt>
                <c:pt idx="6513">
                  <c:v>43770</c:v>
                </c:pt>
                <c:pt idx="6514">
                  <c:v>43771</c:v>
                </c:pt>
                <c:pt idx="6515">
                  <c:v>43772</c:v>
                </c:pt>
                <c:pt idx="6516">
                  <c:v>43773</c:v>
                </c:pt>
                <c:pt idx="6517">
                  <c:v>43774</c:v>
                </c:pt>
                <c:pt idx="6518">
                  <c:v>43775</c:v>
                </c:pt>
                <c:pt idx="6519">
                  <c:v>43776</c:v>
                </c:pt>
                <c:pt idx="6520">
                  <c:v>43777</c:v>
                </c:pt>
                <c:pt idx="6521">
                  <c:v>43778</c:v>
                </c:pt>
                <c:pt idx="6522">
                  <c:v>43779</c:v>
                </c:pt>
                <c:pt idx="6523">
                  <c:v>43780</c:v>
                </c:pt>
                <c:pt idx="6524">
                  <c:v>43781</c:v>
                </c:pt>
                <c:pt idx="6525">
                  <c:v>43782</c:v>
                </c:pt>
                <c:pt idx="6526">
                  <c:v>43783</c:v>
                </c:pt>
                <c:pt idx="6527">
                  <c:v>43784</c:v>
                </c:pt>
                <c:pt idx="6528">
                  <c:v>43785</c:v>
                </c:pt>
                <c:pt idx="6529">
                  <c:v>43786</c:v>
                </c:pt>
                <c:pt idx="6530">
                  <c:v>43787</c:v>
                </c:pt>
                <c:pt idx="6531">
                  <c:v>43788</c:v>
                </c:pt>
                <c:pt idx="6532">
                  <c:v>43789</c:v>
                </c:pt>
                <c:pt idx="6533">
                  <c:v>43790</c:v>
                </c:pt>
                <c:pt idx="6534">
                  <c:v>43791</c:v>
                </c:pt>
                <c:pt idx="6535">
                  <c:v>43792</c:v>
                </c:pt>
                <c:pt idx="6536">
                  <c:v>43793</c:v>
                </c:pt>
                <c:pt idx="6537">
                  <c:v>43794</c:v>
                </c:pt>
                <c:pt idx="6538">
                  <c:v>43795</c:v>
                </c:pt>
                <c:pt idx="6539">
                  <c:v>43796</c:v>
                </c:pt>
                <c:pt idx="6540">
                  <c:v>43797</c:v>
                </c:pt>
                <c:pt idx="6541">
                  <c:v>43798</c:v>
                </c:pt>
                <c:pt idx="6542">
                  <c:v>43799</c:v>
                </c:pt>
                <c:pt idx="6543">
                  <c:v>43800</c:v>
                </c:pt>
                <c:pt idx="6544">
                  <c:v>43801</c:v>
                </c:pt>
                <c:pt idx="6545">
                  <c:v>43802</c:v>
                </c:pt>
                <c:pt idx="6546">
                  <c:v>43803</c:v>
                </c:pt>
                <c:pt idx="6547">
                  <c:v>43804</c:v>
                </c:pt>
                <c:pt idx="6548">
                  <c:v>43805</c:v>
                </c:pt>
                <c:pt idx="6549">
                  <c:v>43806</c:v>
                </c:pt>
                <c:pt idx="6550">
                  <c:v>43807</c:v>
                </c:pt>
                <c:pt idx="6551">
                  <c:v>43808</c:v>
                </c:pt>
                <c:pt idx="6552">
                  <c:v>43809</c:v>
                </c:pt>
                <c:pt idx="6553">
                  <c:v>43810</c:v>
                </c:pt>
                <c:pt idx="6554">
                  <c:v>43811</c:v>
                </c:pt>
                <c:pt idx="6555">
                  <c:v>43812</c:v>
                </c:pt>
                <c:pt idx="6556">
                  <c:v>43813</c:v>
                </c:pt>
                <c:pt idx="6557">
                  <c:v>43814</c:v>
                </c:pt>
                <c:pt idx="6558">
                  <c:v>43815</c:v>
                </c:pt>
                <c:pt idx="6559">
                  <c:v>43816</c:v>
                </c:pt>
                <c:pt idx="6560">
                  <c:v>43817</c:v>
                </c:pt>
                <c:pt idx="6561">
                  <c:v>43818</c:v>
                </c:pt>
                <c:pt idx="6562">
                  <c:v>43819</c:v>
                </c:pt>
                <c:pt idx="6563">
                  <c:v>43820</c:v>
                </c:pt>
                <c:pt idx="6564">
                  <c:v>43821</c:v>
                </c:pt>
                <c:pt idx="6565">
                  <c:v>43822</c:v>
                </c:pt>
                <c:pt idx="6566">
                  <c:v>43823</c:v>
                </c:pt>
                <c:pt idx="6567">
                  <c:v>43824</c:v>
                </c:pt>
                <c:pt idx="6568">
                  <c:v>43825</c:v>
                </c:pt>
                <c:pt idx="6569">
                  <c:v>43826</c:v>
                </c:pt>
                <c:pt idx="6570">
                  <c:v>43827</c:v>
                </c:pt>
                <c:pt idx="6571">
                  <c:v>43828</c:v>
                </c:pt>
                <c:pt idx="6572">
                  <c:v>43829</c:v>
                </c:pt>
                <c:pt idx="6573">
                  <c:v>43830</c:v>
                </c:pt>
                <c:pt idx="6574">
                  <c:v>43831</c:v>
                </c:pt>
                <c:pt idx="6575">
                  <c:v>43832</c:v>
                </c:pt>
                <c:pt idx="6576">
                  <c:v>43833</c:v>
                </c:pt>
                <c:pt idx="6577">
                  <c:v>43834</c:v>
                </c:pt>
                <c:pt idx="6578">
                  <c:v>43835</c:v>
                </c:pt>
                <c:pt idx="6579">
                  <c:v>43836</c:v>
                </c:pt>
                <c:pt idx="6580">
                  <c:v>43837</c:v>
                </c:pt>
                <c:pt idx="6581">
                  <c:v>43838</c:v>
                </c:pt>
                <c:pt idx="6582">
                  <c:v>43839</c:v>
                </c:pt>
                <c:pt idx="6583">
                  <c:v>43840</c:v>
                </c:pt>
                <c:pt idx="6584">
                  <c:v>43841</c:v>
                </c:pt>
                <c:pt idx="6585">
                  <c:v>43842</c:v>
                </c:pt>
                <c:pt idx="6586">
                  <c:v>43843</c:v>
                </c:pt>
                <c:pt idx="6587">
                  <c:v>43844</c:v>
                </c:pt>
                <c:pt idx="6588">
                  <c:v>43845</c:v>
                </c:pt>
                <c:pt idx="6589">
                  <c:v>43846</c:v>
                </c:pt>
                <c:pt idx="6590">
                  <c:v>43847</c:v>
                </c:pt>
                <c:pt idx="6591">
                  <c:v>43848</c:v>
                </c:pt>
                <c:pt idx="6592">
                  <c:v>43849</c:v>
                </c:pt>
                <c:pt idx="6593">
                  <c:v>43850</c:v>
                </c:pt>
                <c:pt idx="6594">
                  <c:v>43851</c:v>
                </c:pt>
                <c:pt idx="6595">
                  <c:v>43852</c:v>
                </c:pt>
                <c:pt idx="6596">
                  <c:v>43853</c:v>
                </c:pt>
                <c:pt idx="6597">
                  <c:v>43854</c:v>
                </c:pt>
                <c:pt idx="6598">
                  <c:v>43855</c:v>
                </c:pt>
                <c:pt idx="6599">
                  <c:v>43856</c:v>
                </c:pt>
                <c:pt idx="6600">
                  <c:v>43857</c:v>
                </c:pt>
                <c:pt idx="6601">
                  <c:v>43858</c:v>
                </c:pt>
                <c:pt idx="6602">
                  <c:v>43859</c:v>
                </c:pt>
                <c:pt idx="6603">
                  <c:v>43860</c:v>
                </c:pt>
                <c:pt idx="6604">
                  <c:v>43861</c:v>
                </c:pt>
                <c:pt idx="6605">
                  <c:v>43862</c:v>
                </c:pt>
                <c:pt idx="6606">
                  <c:v>43863</c:v>
                </c:pt>
                <c:pt idx="6607">
                  <c:v>43864</c:v>
                </c:pt>
                <c:pt idx="6608">
                  <c:v>43865</c:v>
                </c:pt>
                <c:pt idx="6609">
                  <c:v>43866</c:v>
                </c:pt>
                <c:pt idx="6610">
                  <c:v>43867</c:v>
                </c:pt>
                <c:pt idx="6611">
                  <c:v>43868</c:v>
                </c:pt>
                <c:pt idx="6612">
                  <c:v>43869</c:v>
                </c:pt>
                <c:pt idx="6613">
                  <c:v>43870</c:v>
                </c:pt>
                <c:pt idx="6614">
                  <c:v>43871</c:v>
                </c:pt>
                <c:pt idx="6615">
                  <c:v>43872</c:v>
                </c:pt>
                <c:pt idx="6616">
                  <c:v>43873</c:v>
                </c:pt>
                <c:pt idx="6617">
                  <c:v>43874</c:v>
                </c:pt>
                <c:pt idx="6618">
                  <c:v>43875</c:v>
                </c:pt>
                <c:pt idx="6619">
                  <c:v>43876</c:v>
                </c:pt>
                <c:pt idx="6620">
                  <c:v>43877</c:v>
                </c:pt>
                <c:pt idx="6621">
                  <c:v>43878</c:v>
                </c:pt>
                <c:pt idx="6622">
                  <c:v>43879</c:v>
                </c:pt>
                <c:pt idx="6623">
                  <c:v>43880</c:v>
                </c:pt>
                <c:pt idx="6624">
                  <c:v>43881</c:v>
                </c:pt>
                <c:pt idx="6625">
                  <c:v>43882</c:v>
                </c:pt>
                <c:pt idx="6626">
                  <c:v>43883</c:v>
                </c:pt>
                <c:pt idx="6627">
                  <c:v>43884</c:v>
                </c:pt>
                <c:pt idx="6628">
                  <c:v>43885</c:v>
                </c:pt>
                <c:pt idx="6629">
                  <c:v>43886</c:v>
                </c:pt>
                <c:pt idx="6630">
                  <c:v>43887</c:v>
                </c:pt>
                <c:pt idx="6631">
                  <c:v>43888</c:v>
                </c:pt>
                <c:pt idx="6632">
                  <c:v>43889</c:v>
                </c:pt>
                <c:pt idx="6633">
                  <c:v>43890</c:v>
                </c:pt>
                <c:pt idx="6634">
                  <c:v>43891</c:v>
                </c:pt>
                <c:pt idx="6635">
                  <c:v>43892</c:v>
                </c:pt>
                <c:pt idx="6636">
                  <c:v>43893</c:v>
                </c:pt>
                <c:pt idx="6637">
                  <c:v>43894</c:v>
                </c:pt>
                <c:pt idx="6638">
                  <c:v>43895</c:v>
                </c:pt>
                <c:pt idx="6639">
                  <c:v>43896</c:v>
                </c:pt>
                <c:pt idx="6640">
                  <c:v>43897</c:v>
                </c:pt>
                <c:pt idx="6641">
                  <c:v>43898</c:v>
                </c:pt>
                <c:pt idx="6642">
                  <c:v>43899</c:v>
                </c:pt>
                <c:pt idx="6643">
                  <c:v>43900</c:v>
                </c:pt>
                <c:pt idx="6644">
                  <c:v>43901</c:v>
                </c:pt>
                <c:pt idx="6645">
                  <c:v>43902</c:v>
                </c:pt>
                <c:pt idx="6646">
                  <c:v>43903</c:v>
                </c:pt>
                <c:pt idx="6647">
                  <c:v>43904</c:v>
                </c:pt>
                <c:pt idx="6648">
                  <c:v>43905</c:v>
                </c:pt>
                <c:pt idx="6649">
                  <c:v>43906</c:v>
                </c:pt>
                <c:pt idx="6650">
                  <c:v>43907</c:v>
                </c:pt>
                <c:pt idx="6651">
                  <c:v>43908</c:v>
                </c:pt>
                <c:pt idx="6652">
                  <c:v>43909</c:v>
                </c:pt>
                <c:pt idx="6653">
                  <c:v>43910</c:v>
                </c:pt>
                <c:pt idx="6654">
                  <c:v>43911</c:v>
                </c:pt>
                <c:pt idx="6655">
                  <c:v>43912</c:v>
                </c:pt>
                <c:pt idx="6656">
                  <c:v>43913</c:v>
                </c:pt>
                <c:pt idx="6657">
                  <c:v>43914</c:v>
                </c:pt>
                <c:pt idx="6658">
                  <c:v>43915</c:v>
                </c:pt>
                <c:pt idx="6659">
                  <c:v>43916</c:v>
                </c:pt>
                <c:pt idx="6660">
                  <c:v>43917</c:v>
                </c:pt>
                <c:pt idx="6661">
                  <c:v>43918</c:v>
                </c:pt>
                <c:pt idx="6662">
                  <c:v>43919</c:v>
                </c:pt>
                <c:pt idx="6663">
                  <c:v>43920</c:v>
                </c:pt>
                <c:pt idx="6664">
                  <c:v>43921</c:v>
                </c:pt>
                <c:pt idx="6665">
                  <c:v>43922</c:v>
                </c:pt>
                <c:pt idx="6666">
                  <c:v>43923</c:v>
                </c:pt>
                <c:pt idx="6667">
                  <c:v>43924</c:v>
                </c:pt>
                <c:pt idx="6668">
                  <c:v>43925</c:v>
                </c:pt>
                <c:pt idx="6669">
                  <c:v>43926</c:v>
                </c:pt>
                <c:pt idx="6670">
                  <c:v>43927</c:v>
                </c:pt>
                <c:pt idx="6671">
                  <c:v>43928</c:v>
                </c:pt>
                <c:pt idx="6672">
                  <c:v>43929</c:v>
                </c:pt>
                <c:pt idx="6673">
                  <c:v>43930</c:v>
                </c:pt>
                <c:pt idx="6674">
                  <c:v>43931</c:v>
                </c:pt>
                <c:pt idx="6675">
                  <c:v>43932</c:v>
                </c:pt>
                <c:pt idx="6676">
                  <c:v>43933</c:v>
                </c:pt>
                <c:pt idx="6677">
                  <c:v>43934</c:v>
                </c:pt>
                <c:pt idx="6678">
                  <c:v>43935</c:v>
                </c:pt>
                <c:pt idx="6679">
                  <c:v>43936</c:v>
                </c:pt>
                <c:pt idx="6680">
                  <c:v>43937</c:v>
                </c:pt>
                <c:pt idx="6681">
                  <c:v>43938</c:v>
                </c:pt>
                <c:pt idx="6682">
                  <c:v>43939</c:v>
                </c:pt>
                <c:pt idx="6683">
                  <c:v>43940</c:v>
                </c:pt>
                <c:pt idx="6684">
                  <c:v>43941</c:v>
                </c:pt>
                <c:pt idx="6685">
                  <c:v>43942</c:v>
                </c:pt>
                <c:pt idx="6686">
                  <c:v>43943</c:v>
                </c:pt>
                <c:pt idx="6687">
                  <c:v>43944</c:v>
                </c:pt>
                <c:pt idx="6688">
                  <c:v>43945</c:v>
                </c:pt>
                <c:pt idx="6689">
                  <c:v>43946</c:v>
                </c:pt>
                <c:pt idx="6690">
                  <c:v>43947</c:v>
                </c:pt>
                <c:pt idx="6691">
                  <c:v>43948</c:v>
                </c:pt>
                <c:pt idx="6692">
                  <c:v>43949</c:v>
                </c:pt>
                <c:pt idx="6693">
                  <c:v>43950</c:v>
                </c:pt>
                <c:pt idx="6694">
                  <c:v>43951</c:v>
                </c:pt>
                <c:pt idx="6695">
                  <c:v>43952</c:v>
                </c:pt>
                <c:pt idx="6696">
                  <c:v>43953</c:v>
                </c:pt>
                <c:pt idx="6697">
                  <c:v>43954</c:v>
                </c:pt>
                <c:pt idx="6698">
                  <c:v>43955</c:v>
                </c:pt>
                <c:pt idx="6699">
                  <c:v>43956</c:v>
                </c:pt>
                <c:pt idx="6700">
                  <c:v>43957</c:v>
                </c:pt>
                <c:pt idx="6701">
                  <c:v>43958</c:v>
                </c:pt>
                <c:pt idx="6702">
                  <c:v>43959</c:v>
                </c:pt>
                <c:pt idx="6703">
                  <c:v>43960</c:v>
                </c:pt>
                <c:pt idx="6704">
                  <c:v>43961</c:v>
                </c:pt>
                <c:pt idx="6705">
                  <c:v>43962</c:v>
                </c:pt>
                <c:pt idx="6706">
                  <c:v>43963</c:v>
                </c:pt>
                <c:pt idx="6707">
                  <c:v>43964</c:v>
                </c:pt>
                <c:pt idx="6708">
                  <c:v>43965</c:v>
                </c:pt>
                <c:pt idx="6709">
                  <c:v>43966</c:v>
                </c:pt>
                <c:pt idx="6710">
                  <c:v>43967</c:v>
                </c:pt>
                <c:pt idx="6711">
                  <c:v>43968</c:v>
                </c:pt>
                <c:pt idx="6712">
                  <c:v>43969</c:v>
                </c:pt>
                <c:pt idx="6713">
                  <c:v>43970</c:v>
                </c:pt>
                <c:pt idx="6714">
                  <c:v>43971</c:v>
                </c:pt>
                <c:pt idx="6715">
                  <c:v>43972</c:v>
                </c:pt>
                <c:pt idx="6716">
                  <c:v>43973</c:v>
                </c:pt>
                <c:pt idx="6717">
                  <c:v>43974</c:v>
                </c:pt>
                <c:pt idx="6718">
                  <c:v>43975</c:v>
                </c:pt>
                <c:pt idx="6719">
                  <c:v>43976</c:v>
                </c:pt>
                <c:pt idx="6720">
                  <c:v>43977</c:v>
                </c:pt>
                <c:pt idx="6721">
                  <c:v>43978</c:v>
                </c:pt>
                <c:pt idx="6722">
                  <c:v>43979</c:v>
                </c:pt>
                <c:pt idx="6723">
                  <c:v>43980</c:v>
                </c:pt>
                <c:pt idx="6724">
                  <c:v>43981</c:v>
                </c:pt>
                <c:pt idx="6725">
                  <c:v>43982</c:v>
                </c:pt>
                <c:pt idx="6726">
                  <c:v>43983</c:v>
                </c:pt>
                <c:pt idx="6727">
                  <c:v>43984</c:v>
                </c:pt>
                <c:pt idx="6728">
                  <c:v>43985</c:v>
                </c:pt>
                <c:pt idx="6729">
                  <c:v>43986</c:v>
                </c:pt>
                <c:pt idx="6730">
                  <c:v>43987</c:v>
                </c:pt>
                <c:pt idx="6731">
                  <c:v>43988</c:v>
                </c:pt>
                <c:pt idx="6732">
                  <c:v>43989</c:v>
                </c:pt>
                <c:pt idx="6733">
                  <c:v>43990</c:v>
                </c:pt>
                <c:pt idx="6734">
                  <c:v>43991</c:v>
                </c:pt>
                <c:pt idx="6735">
                  <c:v>43992</c:v>
                </c:pt>
                <c:pt idx="6736">
                  <c:v>43993</c:v>
                </c:pt>
                <c:pt idx="6737">
                  <c:v>43994</c:v>
                </c:pt>
                <c:pt idx="6738">
                  <c:v>43995</c:v>
                </c:pt>
                <c:pt idx="6739">
                  <c:v>43996</c:v>
                </c:pt>
                <c:pt idx="6740">
                  <c:v>43997</c:v>
                </c:pt>
                <c:pt idx="6741">
                  <c:v>43998</c:v>
                </c:pt>
                <c:pt idx="6742">
                  <c:v>43999</c:v>
                </c:pt>
                <c:pt idx="6743">
                  <c:v>44000</c:v>
                </c:pt>
                <c:pt idx="6744">
                  <c:v>44001</c:v>
                </c:pt>
                <c:pt idx="6745">
                  <c:v>44002</c:v>
                </c:pt>
                <c:pt idx="6746">
                  <c:v>44003</c:v>
                </c:pt>
                <c:pt idx="6747">
                  <c:v>44004</c:v>
                </c:pt>
                <c:pt idx="6748">
                  <c:v>44005</c:v>
                </c:pt>
                <c:pt idx="6749">
                  <c:v>44006</c:v>
                </c:pt>
                <c:pt idx="6750">
                  <c:v>44007</c:v>
                </c:pt>
                <c:pt idx="6751">
                  <c:v>44008</c:v>
                </c:pt>
                <c:pt idx="6752">
                  <c:v>44009</c:v>
                </c:pt>
                <c:pt idx="6753">
                  <c:v>44010</c:v>
                </c:pt>
                <c:pt idx="6754">
                  <c:v>44011</c:v>
                </c:pt>
                <c:pt idx="6755">
                  <c:v>44012</c:v>
                </c:pt>
                <c:pt idx="6756">
                  <c:v>44013</c:v>
                </c:pt>
                <c:pt idx="6757">
                  <c:v>44014</c:v>
                </c:pt>
                <c:pt idx="6758">
                  <c:v>44015</c:v>
                </c:pt>
                <c:pt idx="6759">
                  <c:v>44016</c:v>
                </c:pt>
                <c:pt idx="6760">
                  <c:v>44017</c:v>
                </c:pt>
                <c:pt idx="6761">
                  <c:v>44018</c:v>
                </c:pt>
                <c:pt idx="6762">
                  <c:v>44019</c:v>
                </c:pt>
                <c:pt idx="6763">
                  <c:v>44020</c:v>
                </c:pt>
                <c:pt idx="6764">
                  <c:v>44021</c:v>
                </c:pt>
                <c:pt idx="6765">
                  <c:v>44022</c:v>
                </c:pt>
                <c:pt idx="6766">
                  <c:v>44023</c:v>
                </c:pt>
                <c:pt idx="6767">
                  <c:v>44024</c:v>
                </c:pt>
                <c:pt idx="6768">
                  <c:v>44025</c:v>
                </c:pt>
                <c:pt idx="6769">
                  <c:v>44026</c:v>
                </c:pt>
                <c:pt idx="6770">
                  <c:v>44027</c:v>
                </c:pt>
                <c:pt idx="6771">
                  <c:v>44028</c:v>
                </c:pt>
                <c:pt idx="6772">
                  <c:v>44029</c:v>
                </c:pt>
                <c:pt idx="6773">
                  <c:v>44030</c:v>
                </c:pt>
                <c:pt idx="6774">
                  <c:v>44031</c:v>
                </c:pt>
                <c:pt idx="6775">
                  <c:v>44032</c:v>
                </c:pt>
                <c:pt idx="6776">
                  <c:v>44033</c:v>
                </c:pt>
                <c:pt idx="6777">
                  <c:v>44034</c:v>
                </c:pt>
                <c:pt idx="6778">
                  <c:v>44035</c:v>
                </c:pt>
                <c:pt idx="6779">
                  <c:v>44036</c:v>
                </c:pt>
                <c:pt idx="6780">
                  <c:v>44037</c:v>
                </c:pt>
                <c:pt idx="6781">
                  <c:v>44038</c:v>
                </c:pt>
                <c:pt idx="6782">
                  <c:v>44039</c:v>
                </c:pt>
                <c:pt idx="6783">
                  <c:v>44040</c:v>
                </c:pt>
                <c:pt idx="6784">
                  <c:v>44041</c:v>
                </c:pt>
                <c:pt idx="6785">
                  <c:v>44042</c:v>
                </c:pt>
                <c:pt idx="6786">
                  <c:v>44043</c:v>
                </c:pt>
                <c:pt idx="6787">
                  <c:v>44044</c:v>
                </c:pt>
                <c:pt idx="6788">
                  <c:v>44045</c:v>
                </c:pt>
                <c:pt idx="6789">
                  <c:v>44046</c:v>
                </c:pt>
                <c:pt idx="6790">
                  <c:v>44047</c:v>
                </c:pt>
                <c:pt idx="6791">
                  <c:v>44048</c:v>
                </c:pt>
                <c:pt idx="6792">
                  <c:v>44049</c:v>
                </c:pt>
                <c:pt idx="6793">
                  <c:v>44050</c:v>
                </c:pt>
                <c:pt idx="6794">
                  <c:v>44051</c:v>
                </c:pt>
                <c:pt idx="6795">
                  <c:v>44052</c:v>
                </c:pt>
                <c:pt idx="6796">
                  <c:v>44053</c:v>
                </c:pt>
                <c:pt idx="6797">
                  <c:v>44054</c:v>
                </c:pt>
                <c:pt idx="6798">
                  <c:v>44055</c:v>
                </c:pt>
                <c:pt idx="6799">
                  <c:v>44056</c:v>
                </c:pt>
                <c:pt idx="6800">
                  <c:v>44057</c:v>
                </c:pt>
                <c:pt idx="6801">
                  <c:v>44058</c:v>
                </c:pt>
                <c:pt idx="6802">
                  <c:v>44059</c:v>
                </c:pt>
                <c:pt idx="6803">
                  <c:v>44060</c:v>
                </c:pt>
                <c:pt idx="6804">
                  <c:v>44061</c:v>
                </c:pt>
                <c:pt idx="6805">
                  <c:v>44062</c:v>
                </c:pt>
                <c:pt idx="6806">
                  <c:v>44063</c:v>
                </c:pt>
                <c:pt idx="6807">
                  <c:v>44064</c:v>
                </c:pt>
                <c:pt idx="6808">
                  <c:v>44065</c:v>
                </c:pt>
                <c:pt idx="6809">
                  <c:v>44066</c:v>
                </c:pt>
                <c:pt idx="6810">
                  <c:v>44067</c:v>
                </c:pt>
                <c:pt idx="6811">
                  <c:v>44068</c:v>
                </c:pt>
                <c:pt idx="6812">
                  <c:v>44069</c:v>
                </c:pt>
                <c:pt idx="6813">
                  <c:v>44070</c:v>
                </c:pt>
                <c:pt idx="6814">
                  <c:v>44071</c:v>
                </c:pt>
                <c:pt idx="6815">
                  <c:v>44072</c:v>
                </c:pt>
                <c:pt idx="6816">
                  <c:v>44073</c:v>
                </c:pt>
                <c:pt idx="6817">
                  <c:v>44074</c:v>
                </c:pt>
                <c:pt idx="6818">
                  <c:v>44075</c:v>
                </c:pt>
                <c:pt idx="6819">
                  <c:v>44076</c:v>
                </c:pt>
                <c:pt idx="6820">
                  <c:v>44077</c:v>
                </c:pt>
                <c:pt idx="6821">
                  <c:v>44078</c:v>
                </c:pt>
                <c:pt idx="6822">
                  <c:v>44079</c:v>
                </c:pt>
                <c:pt idx="6823">
                  <c:v>44080</c:v>
                </c:pt>
                <c:pt idx="6824">
                  <c:v>44081</c:v>
                </c:pt>
                <c:pt idx="6825">
                  <c:v>44082</c:v>
                </c:pt>
                <c:pt idx="6826">
                  <c:v>44083</c:v>
                </c:pt>
                <c:pt idx="6827">
                  <c:v>44084</c:v>
                </c:pt>
                <c:pt idx="6828">
                  <c:v>44085</c:v>
                </c:pt>
                <c:pt idx="6829">
                  <c:v>44086</c:v>
                </c:pt>
                <c:pt idx="6830">
                  <c:v>44087</c:v>
                </c:pt>
                <c:pt idx="6831">
                  <c:v>44088</c:v>
                </c:pt>
                <c:pt idx="6832">
                  <c:v>44089</c:v>
                </c:pt>
                <c:pt idx="6833">
                  <c:v>44090</c:v>
                </c:pt>
                <c:pt idx="6834">
                  <c:v>44091</c:v>
                </c:pt>
                <c:pt idx="6835">
                  <c:v>44092</c:v>
                </c:pt>
                <c:pt idx="6836">
                  <c:v>44093</c:v>
                </c:pt>
                <c:pt idx="6837">
                  <c:v>44094</c:v>
                </c:pt>
                <c:pt idx="6838">
                  <c:v>44095</c:v>
                </c:pt>
                <c:pt idx="6839">
                  <c:v>44096</c:v>
                </c:pt>
                <c:pt idx="6840">
                  <c:v>44097</c:v>
                </c:pt>
                <c:pt idx="6841">
                  <c:v>44098</c:v>
                </c:pt>
                <c:pt idx="6842">
                  <c:v>44099</c:v>
                </c:pt>
                <c:pt idx="6843">
                  <c:v>44100</c:v>
                </c:pt>
                <c:pt idx="6844">
                  <c:v>44101</c:v>
                </c:pt>
                <c:pt idx="6845">
                  <c:v>44102</c:v>
                </c:pt>
                <c:pt idx="6846">
                  <c:v>44103</c:v>
                </c:pt>
                <c:pt idx="6847">
                  <c:v>44104</c:v>
                </c:pt>
                <c:pt idx="6848">
                  <c:v>44105</c:v>
                </c:pt>
                <c:pt idx="6849">
                  <c:v>44106</c:v>
                </c:pt>
                <c:pt idx="6850">
                  <c:v>44107</c:v>
                </c:pt>
                <c:pt idx="6851">
                  <c:v>44108</c:v>
                </c:pt>
                <c:pt idx="6852">
                  <c:v>44109</c:v>
                </c:pt>
                <c:pt idx="6853">
                  <c:v>44110</c:v>
                </c:pt>
                <c:pt idx="6854">
                  <c:v>44111</c:v>
                </c:pt>
                <c:pt idx="6855">
                  <c:v>44112</c:v>
                </c:pt>
                <c:pt idx="6856">
                  <c:v>44113</c:v>
                </c:pt>
                <c:pt idx="6857">
                  <c:v>44114</c:v>
                </c:pt>
                <c:pt idx="6858">
                  <c:v>44115</c:v>
                </c:pt>
                <c:pt idx="6859">
                  <c:v>44116</c:v>
                </c:pt>
                <c:pt idx="6860">
                  <c:v>44117</c:v>
                </c:pt>
                <c:pt idx="6861">
                  <c:v>44118</c:v>
                </c:pt>
                <c:pt idx="6862">
                  <c:v>44119</c:v>
                </c:pt>
                <c:pt idx="6863">
                  <c:v>44120</c:v>
                </c:pt>
                <c:pt idx="6864">
                  <c:v>44121</c:v>
                </c:pt>
                <c:pt idx="6865">
                  <c:v>44122</c:v>
                </c:pt>
                <c:pt idx="6866">
                  <c:v>44123</c:v>
                </c:pt>
                <c:pt idx="6867">
                  <c:v>44124</c:v>
                </c:pt>
                <c:pt idx="6868">
                  <c:v>44125</c:v>
                </c:pt>
                <c:pt idx="6869">
                  <c:v>44126</c:v>
                </c:pt>
                <c:pt idx="6870">
                  <c:v>44127</c:v>
                </c:pt>
                <c:pt idx="6871">
                  <c:v>44128</c:v>
                </c:pt>
                <c:pt idx="6872">
                  <c:v>44129</c:v>
                </c:pt>
                <c:pt idx="6873">
                  <c:v>44130</c:v>
                </c:pt>
                <c:pt idx="6874">
                  <c:v>44131</c:v>
                </c:pt>
                <c:pt idx="6875">
                  <c:v>44132</c:v>
                </c:pt>
                <c:pt idx="6876">
                  <c:v>44133</c:v>
                </c:pt>
                <c:pt idx="6877">
                  <c:v>44134</c:v>
                </c:pt>
                <c:pt idx="6878">
                  <c:v>44135</c:v>
                </c:pt>
                <c:pt idx="6879">
                  <c:v>44136</c:v>
                </c:pt>
                <c:pt idx="6880">
                  <c:v>44137</c:v>
                </c:pt>
                <c:pt idx="6881">
                  <c:v>44138</c:v>
                </c:pt>
                <c:pt idx="6882">
                  <c:v>44139</c:v>
                </c:pt>
                <c:pt idx="6883">
                  <c:v>44140</c:v>
                </c:pt>
                <c:pt idx="6884">
                  <c:v>44141</c:v>
                </c:pt>
                <c:pt idx="6885">
                  <c:v>44142</c:v>
                </c:pt>
                <c:pt idx="6886">
                  <c:v>44143</c:v>
                </c:pt>
                <c:pt idx="6887">
                  <c:v>44144</c:v>
                </c:pt>
                <c:pt idx="6888">
                  <c:v>44145</c:v>
                </c:pt>
                <c:pt idx="6889">
                  <c:v>44146</c:v>
                </c:pt>
                <c:pt idx="6890">
                  <c:v>44147</c:v>
                </c:pt>
                <c:pt idx="6891">
                  <c:v>44148</c:v>
                </c:pt>
                <c:pt idx="6892">
                  <c:v>44149</c:v>
                </c:pt>
                <c:pt idx="6893">
                  <c:v>44150</c:v>
                </c:pt>
                <c:pt idx="6894">
                  <c:v>44151</c:v>
                </c:pt>
                <c:pt idx="6895">
                  <c:v>44152</c:v>
                </c:pt>
                <c:pt idx="6896">
                  <c:v>44153</c:v>
                </c:pt>
                <c:pt idx="6897">
                  <c:v>44154</c:v>
                </c:pt>
                <c:pt idx="6898">
                  <c:v>44155</c:v>
                </c:pt>
                <c:pt idx="6899">
                  <c:v>44156</c:v>
                </c:pt>
                <c:pt idx="6900">
                  <c:v>44157</c:v>
                </c:pt>
                <c:pt idx="6901">
                  <c:v>44158</c:v>
                </c:pt>
                <c:pt idx="6902">
                  <c:v>44159</c:v>
                </c:pt>
                <c:pt idx="6903">
                  <c:v>44160</c:v>
                </c:pt>
                <c:pt idx="6904">
                  <c:v>44161</c:v>
                </c:pt>
                <c:pt idx="6905">
                  <c:v>44162</c:v>
                </c:pt>
                <c:pt idx="6906">
                  <c:v>44163</c:v>
                </c:pt>
                <c:pt idx="6907">
                  <c:v>44164</c:v>
                </c:pt>
                <c:pt idx="6908">
                  <c:v>44165</c:v>
                </c:pt>
                <c:pt idx="6909">
                  <c:v>44166</c:v>
                </c:pt>
                <c:pt idx="6910">
                  <c:v>44167</c:v>
                </c:pt>
                <c:pt idx="6911">
                  <c:v>44168</c:v>
                </c:pt>
                <c:pt idx="6912">
                  <c:v>44169</c:v>
                </c:pt>
                <c:pt idx="6913">
                  <c:v>44170</c:v>
                </c:pt>
                <c:pt idx="6914">
                  <c:v>44171</c:v>
                </c:pt>
                <c:pt idx="6915">
                  <c:v>44172</c:v>
                </c:pt>
                <c:pt idx="6916">
                  <c:v>44173</c:v>
                </c:pt>
                <c:pt idx="6917">
                  <c:v>44174</c:v>
                </c:pt>
                <c:pt idx="6918">
                  <c:v>44175</c:v>
                </c:pt>
                <c:pt idx="6919">
                  <c:v>44176</c:v>
                </c:pt>
                <c:pt idx="6920">
                  <c:v>44177</c:v>
                </c:pt>
                <c:pt idx="6921">
                  <c:v>44178</c:v>
                </c:pt>
                <c:pt idx="6922">
                  <c:v>44179</c:v>
                </c:pt>
                <c:pt idx="6923">
                  <c:v>44180</c:v>
                </c:pt>
                <c:pt idx="6924">
                  <c:v>44181</c:v>
                </c:pt>
                <c:pt idx="6925">
                  <c:v>44182</c:v>
                </c:pt>
                <c:pt idx="6926">
                  <c:v>44183</c:v>
                </c:pt>
                <c:pt idx="6927">
                  <c:v>44184</c:v>
                </c:pt>
                <c:pt idx="6928">
                  <c:v>44185</c:v>
                </c:pt>
                <c:pt idx="6929">
                  <c:v>44186</c:v>
                </c:pt>
                <c:pt idx="6930">
                  <c:v>44187</c:v>
                </c:pt>
                <c:pt idx="6931">
                  <c:v>44188</c:v>
                </c:pt>
                <c:pt idx="6932">
                  <c:v>44189</c:v>
                </c:pt>
                <c:pt idx="6933">
                  <c:v>44190</c:v>
                </c:pt>
                <c:pt idx="6934">
                  <c:v>44191</c:v>
                </c:pt>
                <c:pt idx="6935">
                  <c:v>44192</c:v>
                </c:pt>
                <c:pt idx="6936">
                  <c:v>44193</c:v>
                </c:pt>
                <c:pt idx="6937">
                  <c:v>44194</c:v>
                </c:pt>
                <c:pt idx="6938">
                  <c:v>44195</c:v>
                </c:pt>
                <c:pt idx="6939">
                  <c:v>44196</c:v>
                </c:pt>
                <c:pt idx="6940">
                  <c:v>44197</c:v>
                </c:pt>
                <c:pt idx="6941">
                  <c:v>44198</c:v>
                </c:pt>
                <c:pt idx="6942">
                  <c:v>44199</c:v>
                </c:pt>
                <c:pt idx="6943">
                  <c:v>44200</c:v>
                </c:pt>
                <c:pt idx="6944">
                  <c:v>44201</c:v>
                </c:pt>
                <c:pt idx="6945">
                  <c:v>44202</c:v>
                </c:pt>
                <c:pt idx="6946">
                  <c:v>44203</c:v>
                </c:pt>
                <c:pt idx="6947">
                  <c:v>44204</c:v>
                </c:pt>
                <c:pt idx="6948">
                  <c:v>44205</c:v>
                </c:pt>
                <c:pt idx="6949">
                  <c:v>44206</c:v>
                </c:pt>
                <c:pt idx="6950">
                  <c:v>44207</c:v>
                </c:pt>
                <c:pt idx="6951">
                  <c:v>44208</c:v>
                </c:pt>
                <c:pt idx="6952">
                  <c:v>44209</c:v>
                </c:pt>
                <c:pt idx="6953">
                  <c:v>44210</c:v>
                </c:pt>
                <c:pt idx="6954">
                  <c:v>44211</c:v>
                </c:pt>
                <c:pt idx="6955">
                  <c:v>44212</c:v>
                </c:pt>
                <c:pt idx="6956">
                  <c:v>44213</c:v>
                </c:pt>
                <c:pt idx="6957">
                  <c:v>44214</c:v>
                </c:pt>
                <c:pt idx="6958">
                  <c:v>44215</c:v>
                </c:pt>
                <c:pt idx="6959">
                  <c:v>44216</c:v>
                </c:pt>
                <c:pt idx="6960">
                  <c:v>44217</c:v>
                </c:pt>
                <c:pt idx="6961">
                  <c:v>44218</c:v>
                </c:pt>
                <c:pt idx="6962">
                  <c:v>44219</c:v>
                </c:pt>
                <c:pt idx="6963">
                  <c:v>44220</c:v>
                </c:pt>
                <c:pt idx="6964">
                  <c:v>44221</c:v>
                </c:pt>
                <c:pt idx="6965">
                  <c:v>44222</c:v>
                </c:pt>
                <c:pt idx="6966">
                  <c:v>44223</c:v>
                </c:pt>
                <c:pt idx="6967">
                  <c:v>44224</c:v>
                </c:pt>
                <c:pt idx="6968">
                  <c:v>44225</c:v>
                </c:pt>
                <c:pt idx="6969">
                  <c:v>44226</c:v>
                </c:pt>
                <c:pt idx="6970">
                  <c:v>44227</c:v>
                </c:pt>
                <c:pt idx="6971">
                  <c:v>44228</c:v>
                </c:pt>
                <c:pt idx="6972">
                  <c:v>44229</c:v>
                </c:pt>
                <c:pt idx="6973">
                  <c:v>44230</c:v>
                </c:pt>
                <c:pt idx="6974">
                  <c:v>44231</c:v>
                </c:pt>
                <c:pt idx="6975">
                  <c:v>44232</c:v>
                </c:pt>
                <c:pt idx="6976">
                  <c:v>44233</c:v>
                </c:pt>
                <c:pt idx="6977">
                  <c:v>44234</c:v>
                </c:pt>
                <c:pt idx="6978">
                  <c:v>44235</c:v>
                </c:pt>
                <c:pt idx="6979">
                  <c:v>44236</c:v>
                </c:pt>
                <c:pt idx="6980">
                  <c:v>44237</c:v>
                </c:pt>
                <c:pt idx="6981">
                  <c:v>44238</c:v>
                </c:pt>
                <c:pt idx="6982">
                  <c:v>44239</c:v>
                </c:pt>
                <c:pt idx="6983">
                  <c:v>44240</c:v>
                </c:pt>
                <c:pt idx="6984">
                  <c:v>44241</c:v>
                </c:pt>
                <c:pt idx="6985">
                  <c:v>44242</c:v>
                </c:pt>
                <c:pt idx="6986">
                  <c:v>44243</c:v>
                </c:pt>
                <c:pt idx="6987">
                  <c:v>44244</c:v>
                </c:pt>
                <c:pt idx="6988">
                  <c:v>44245</c:v>
                </c:pt>
                <c:pt idx="6989">
                  <c:v>44246</c:v>
                </c:pt>
                <c:pt idx="6990">
                  <c:v>44247</c:v>
                </c:pt>
                <c:pt idx="6991">
                  <c:v>44248</c:v>
                </c:pt>
                <c:pt idx="6992">
                  <c:v>44249</c:v>
                </c:pt>
                <c:pt idx="6993">
                  <c:v>44250</c:v>
                </c:pt>
                <c:pt idx="6994">
                  <c:v>44251</c:v>
                </c:pt>
                <c:pt idx="6995">
                  <c:v>44252</c:v>
                </c:pt>
                <c:pt idx="6996">
                  <c:v>44253</c:v>
                </c:pt>
                <c:pt idx="6997">
                  <c:v>44254</c:v>
                </c:pt>
                <c:pt idx="6998">
                  <c:v>44255</c:v>
                </c:pt>
                <c:pt idx="6999">
                  <c:v>44256</c:v>
                </c:pt>
                <c:pt idx="7000">
                  <c:v>44257</c:v>
                </c:pt>
                <c:pt idx="7001">
                  <c:v>44258</c:v>
                </c:pt>
                <c:pt idx="7002">
                  <c:v>44259</c:v>
                </c:pt>
                <c:pt idx="7003">
                  <c:v>44260</c:v>
                </c:pt>
                <c:pt idx="7004">
                  <c:v>44261</c:v>
                </c:pt>
                <c:pt idx="7005">
                  <c:v>44262</c:v>
                </c:pt>
                <c:pt idx="7006">
                  <c:v>44263</c:v>
                </c:pt>
                <c:pt idx="7007">
                  <c:v>44264</c:v>
                </c:pt>
                <c:pt idx="7008">
                  <c:v>44265</c:v>
                </c:pt>
                <c:pt idx="7009">
                  <c:v>44266</c:v>
                </c:pt>
                <c:pt idx="7010">
                  <c:v>44267</c:v>
                </c:pt>
                <c:pt idx="7011">
                  <c:v>44268</c:v>
                </c:pt>
                <c:pt idx="7012">
                  <c:v>44269</c:v>
                </c:pt>
                <c:pt idx="7013">
                  <c:v>44270</c:v>
                </c:pt>
                <c:pt idx="7014">
                  <c:v>44271</c:v>
                </c:pt>
                <c:pt idx="7015">
                  <c:v>44272</c:v>
                </c:pt>
                <c:pt idx="7016">
                  <c:v>44273</c:v>
                </c:pt>
                <c:pt idx="7017">
                  <c:v>44274</c:v>
                </c:pt>
                <c:pt idx="7018">
                  <c:v>44275</c:v>
                </c:pt>
                <c:pt idx="7019">
                  <c:v>44276</c:v>
                </c:pt>
                <c:pt idx="7020">
                  <c:v>44277</c:v>
                </c:pt>
                <c:pt idx="7021">
                  <c:v>44278</c:v>
                </c:pt>
                <c:pt idx="7022">
                  <c:v>44279</c:v>
                </c:pt>
                <c:pt idx="7023">
                  <c:v>44280</c:v>
                </c:pt>
                <c:pt idx="7024">
                  <c:v>44281</c:v>
                </c:pt>
                <c:pt idx="7025">
                  <c:v>44282</c:v>
                </c:pt>
                <c:pt idx="7026">
                  <c:v>44283</c:v>
                </c:pt>
                <c:pt idx="7027">
                  <c:v>44284</c:v>
                </c:pt>
                <c:pt idx="7028">
                  <c:v>44285</c:v>
                </c:pt>
                <c:pt idx="7029">
                  <c:v>44286</c:v>
                </c:pt>
                <c:pt idx="7030">
                  <c:v>44287</c:v>
                </c:pt>
                <c:pt idx="7031">
                  <c:v>44288</c:v>
                </c:pt>
                <c:pt idx="7032">
                  <c:v>44289</c:v>
                </c:pt>
                <c:pt idx="7033">
                  <c:v>44290</c:v>
                </c:pt>
                <c:pt idx="7034">
                  <c:v>44291</c:v>
                </c:pt>
                <c:pt idx="7035">
                  <c:v>44292</c:v>
                </c:pt>
                <c:pt idx="7036">
                  <c:v>44293</c:v>
                </c:pt>
                <c:pt idx="7037">
                  <c:v>44294</c:v>
                </c:pt>
                <c:pt idx="7038">
                  <c:v>44295</c:v>
                </c:pt>
                <c:pt idx="7039">
                  <c:v>44296</c:v>
                </c:pt>
                <c:pt idx="7040">
                  <c:v>44297</c:v>
                </c:pt>
                <c:pt idx="7041">
                  <c:v>44298</c:v>
                </c:pt>
                <c:pt idx="7042">
                  <c:v>44299</c:v>
                </c:pt>
                <c:pt idx="7043">
                  <c:v>44300</c:v>
                </c:pt>
                <c:pt idx="7044">
                  <c:v>44301</c:v>
                </c:pt>
                <c:pt idx="7045">
                  <c:v>44302</c:v>
                </c:pt>
                <c:pt idx="7046">
                  <c:v>44303</c:v>
                </c:pt>
                <c:pt idx="7047">
                  <c:v>44304</c:v>
                </c:pt>
                <c:pt idx="7048">
                  <c:v>44305</c:v>
                </c:pt>
                <c:pt idx="7049">
                  <c:v>44306</c:v>
                </c:pt>
                <c:pt idx="7050">
                  <c:v>44307</c:v>
                </c:pt>
                <c:pt idx="7051">
                  <c:v>44308</c:v>
                </c:pt>
                <c:pt idx="7052">
                  <c:v>44309</c:v>
                </c:pt>
                <c:pt idx="7053">
                  <c:v>44310</c:v>
                </c:pt>
                <c:pt idx="7054">
                  <c:v>44311</c:v>
                </c:pt>
                <c:pt idx="7055">
                  <c:v>44312</c:v>
                </c:pt>
                <c:pt idx="7056">
                  <c:v>44313</c:v>
                </c:pt>
                <c:pt idx="7057">
                  <c:v>44314</c:v>
                </c:pt>
                <c:pt idx="7058">
                  <c:v>44315</c:v>
                </c:pt>
                <c:pt idx="7059">
                  <c:v>44316</c:v>
                </c:pt>
                <c:pt idx="7060">
                  <c:v>44317</c:v>
                </c:pt>
                <c:pt idx="7061">
                  <c:v>44318</c:v>
                </c:pt>
                <c:pt idx="7062">
                  <c:v>44319</c:v>
                </c:pt>
                <c:pt idx="7063">
                  <c:v>44320</c:v>
                </c:pt>
                <c:pt idx="7064">
                  <c:v>44321</c:v>
                </c:pt>
                <c:pt idx="7065">
                  <c:v>44322</c:v>
                </c:pt>
                <c:pt idx="7066">
                  <c:v>44323</c:v>
                </c:pt>
                <c:pt idx="7067">
                  <c:v>44324</c:v>
                </c:pt>
                <c:pt idx="7068">
                  <c:v>44325</c:v>
                </c:pt>
                <c:pt idx="7069">
                  <c:v>44326</c:v>
                </c:pt>
                <c:pt idx="7070">
                  <c:v>44327</c:v>
                </c:pt>
                <c:pt idx="7071">
                  <c:v>44328</c:v>
                </c:pt>
                <c:pt idx="7072">
                  <c:v>44329</c:v>
                </c:pt>
                <c:pt idx="7073">
                  <c:v>44330</c:v>
                </c:pt>
                <c:pt idx="7074">
                  <c:v>44331</c:v>
                </c:pt>
                <c:pt idx="7075">
                  <c:v>44332</c:v>
                </c:pt>
                <c:pt idx="7076">
                  <c:v>44333</c:v>
                </c:pt>
                <c:pt idx="7077">
                  <c:v>44334</c:v>
                </c:pt>
                <c:pt idx="7078">
                  <c:v>44335</c:v>
                </c:pt>
                <c:pt idx="7079">
                  <c:v>44336</c:v>
                </c:pt>
                <c:pt idx="7080">
                  <c:v>44337</c:v>
                </c:pt>
                <c:pt idx="7081">
                  <c:v>44338</c:v>
                </c:pt>
                <c:pt idx="7082">
                  <c:v>44339</c:v>
                </c:pt>
                <c:pt idx="7083">
                  <c:v>44340</c:v>
                </c:pt>
                <c:pt idx="7084">
                  <c:v>44341</c:v>
                </c:pt>
                <c:pt idx="7085">
                  <c:v>44342</c:v>
                </c:pt>
                <c:pt idx="7086">
                  <c:v>44343</c:v>
                </c:pt>
                <c:pt idx="7087">
                  <c:v>44344</c:v>
                </c:pt>
                <c:pt idx="7088">
                  <c:v>44345</c:v>
                </c:pt>
                <c:pt idx="7089">
                  <c:v>44346</c:v>
                </c:pt>
                <c:pt idx="7090">
                  <c:v>44347</c:v>
                </c:pt>
                <c:pt idx="7091">
                  <c:v>44348</c:v>
                </c:pt>
                <c:pt idx="7092">
                  <c:v>44349</c:v>
                </c:pt>
                <c:pt idx="7093">
                  <c:v>44350</c:v>
                </c:pt>
                <c:pt idx="7094">
                  <c:v>44351</c:v>
                </c:pt>
                <c:pt idx="7095">
                  <c:v>44352</c:v>
                </c:pt>
                <c:pt idx="7096">
                  <c:v>44353</c:v>
                </c:pt>
                <c:pt idx="7097">
                  <c:v>44354</c:v>
                </c:pt>
                <c:pt idx="7098">
                  <c:v>44355</c:v>
                </c:pt>
                <c:pt idx="7099">
                  <c:v>44356</c:v>
                </c:pt>
                <c:pt idx="7100">
                  <c:v>44357</c:v>
                </c:pt>
                <c:pt idx="7101">
                  <c:v>44358</c:v>
                </c:pt>
                <c:pt idx="7102">
                  <c:v>44359</c:v>
                </c:pt>
                <c:pt idx="7103">
                  <c:v>44360</c:v>
                </c:pt>
                <c:pt idx="7104">
                  <c:v>44361</c:v>
                </c:pt>
                <c:pt idx="7105">
                  <c:v>44362</c:v>
                </c:pt>
                <c:pt idx="7106">
                  <c:v>44363</c:v>
                </c:pt>
                <c:pt idx="7107">
                  <c:v>44364</c:v>
                </c:pt>
                <c:pt idx="7108">
                  <c:v>44365</c:v>
                </c:pt>
                <c:pt idx="7109">
                  <c:v>44366</c:v>
                </c:pt>
                <c:pt idx="7110">
                  <c:v>44367</c:v>
                </c:pt>
                <c:pt idx="7111">
                  <c:v>44368</c:v>
                </c:pt>
                <c:pt idx="7112">
                  <c:v>44369</c:v>
                </c:pt>
                <c:pt idx="7113">
                  <c:v>44370</c:v>
                </c:pt>
                <c:pt idx="7114">
                  <c:v>44371</c:v>
                </c:pt>
                <c:pt idx="7115">
                  <c:v>44372</c:v>
                </c:pt>
                <c:pt idx="7116">
                  <c:v>44373</c:v>
                </c:pt>
                <c:pt idx="7117">
                  <c:v>44374</c:v>
                </c:pt>
                <c:pt idx="7118">
                  <c:v>44375</c:v>
                </c:pt>
                <c:pt idx="7119">
                  <c:v>44376</c:v>
                </c:pt>
                <c:pt idx="7120">
                  <c:v>44377</c:v>
                </c:pt>
                <c:pt idx="7121">
                  <c:v>44378</c:v>
                </c:pt>
                <c:pt idx="7122">
                  <c:v>44379</c:v>
                </c:pt>
                <c:pt idx="7123">
                  <c:v>44380</c:v>
                </c:pt>
                <c:pt idx="7124">
                  <c:v>44381</c:v>
                </c:pt>
                <c:pt idx="7125">
                  <c:v>44382</c:v>
                </c:pt>
                <c:pt idx="7126">
                  <c:v>44383</c:v>
                </c:pt>
                <c:pt idx="7127">
                  <c:v>44384</c:v>
                </c:pt>
                <c:pt idx="7128">
                  <c:v>44385</c:v>
                </c:pt>
                <c:pt idx="7129">
                  <c:v>44386</c:v>
                </c:pt>
                <c:pt idx="7130">
                  <c:v>44387</c:v>
                </c:pt>
                <c:pt idx="7131">
                  <c:v>44388</c:v>
                </c:pt>
                <c:pt idx="7132">
                  <c:v>44389</c:v>
                </c:pt>
                <c:pt idx="7133">
                  <c:v>44390</c:v>
                </c:pt>
                <c:pt idx="7134">
                  <c:v>44391</c:v>
                </c:pt>
                <c:pt idx="7135">
                  <c:v>44392</c:v>
                </c:pt>
                <c:pt idx="7136">
                  <c:v>44393</c:v>
                </c:pt>
                <c:pt idx="7137">
                  <c:v>44394</c:v>
                </c:pt>
                <c:pt idx="7138">
                  <c:v>44395</c:v>
                </c:pt>
                <c:pt idx="7139">
                  <c:v>44396</c:v>
                </c:pt>
                <c:pt idx="7140">
                  <c:v>44397</c:v>
                </c:pt>
                <c:pt idx="7141">
                  <c:v>44398</c:v>
                </c:pt>
                <c:pt idx="7142">
                  <c:v>44399</c:v>
                </c:pt>
                <c:pt idx="7143">
                  <c:v>44400</c:v>
                </c:pt>
                <c:pt idx="7144">
                  <c:v>44401</c:v>
                </c:pt>
                <c:pt idx="7145">
                  <c:v>44402</c:v>
                </c:pt>
                <c:pt idx="7146">
                  <c:v>44403</c:v>
                </c:pt>
                <c:pt idx="7147">
                  <c:v>44404</c:v>
                </c:pt>
                <c:pt idx="7148">
                  <c:v>44405</c:v>
                </c:pt>
                <c:pt idx="7149">
                  <c:v>44406</c:v>
                </c:pt>
                <c:pt idx="7150">
                  <c:v>44407</c:v>
                </c:pt>
                <c:pt idx="7151">
                  <c:v>44408</c:v>
                </c:pt>
                <c:pt idx="7152">
                  <c:v>44409</c:v>
                </c:pt>
                <c:pt idx="7153">
                  <c:v>44410</c:v>
                </c:pt>
                <c:pt idx="7154">
                  <c:v>44411</c:v>
                </c:pt>
                <c:pt idx="7155">
                  <c:v>44412</c:v>
                </c:pt>
                <c:pt idx="7156">
                  <c:v>44413</c:v>
                </c:pt>
                <c:pt idx="7157">
                  <c:v>44414</c:v>
                </c:pt>
                <c:pt idx="7158">
                  <c:v>44415</c:v>
                </c:pt>
                <c:pt idx="7159">
                  <c:v>44416</c:v>
                </c:pt>
                <c:pt idx="7160">
                  <c:v>44417</c:v>
                </c:pt>
                <c:pt idx="7161">
                  <c:v>44418</c:v>
                </c:pt>
                <c:pt idx="7162">
                  <c:v>44419</c:v>
                </c:pt>
                <c:pt idx="7163">
                  <c:v>44420</c:v>
                </c:pt>
                <c:pt idx="7164">
                  <c:v>44421</c:v>
                </c:pt>
                <c:pt idx="7165">
                  <c:v>44422</c:v>
                </c:pt>
                <c:pt idx="7166">
                  <c:v>44423</c:v>
                </c:pt>
                <c:pt idx="7167">
                  <c:v>44424</c:v>
                </c:pt>
                <c:pt idx="7168">
                  <c:v>44425</c:v>
                </c:pt>
                <c:pt idx="7169">
                  <c:v>44426</c:v>
                </c:pt>
                <c:pt idx="7170">
                  <c:v>44427</c:v>
                </c:pt>
                <c:pt idx="7171">
                  <c:v>44428</c:v>
                </c:pt>
                <c:pt idx="7172">
                  <c:v>44429</c:v>
                </c:pt>
                <c:pt idx="7173">
                  <c:v>44430</c:v>
                </c:pt>
                <c:pt idx="7174">
                  <c:v>44431</c:v>
                </c:pt>
                <c:pt idx="7175">
                  <c:v>44432</c:v>
                </c:pt>
                <c:pt idx="7176">
                  <c:v>44433</c:v>
                </c:pt>
                <c:pt idx="7177">
                  <c:v>44434</c:v>
                </c:pt>
                <c:pt idx="7178">
                  <c:v>44435</c:v>
                </c:pt>
                <c:pt idx="7179">
                  <c:v>44436</c:v>
                </c:pt>
                <c:pt idx="7180">
                  <c:v>44437</c:v>
                </c:pt>
                <c:pt idx="7181">
                  <c:v>44438</c:v>
                </c:pt>
                <c:pt idx="7182">
                  <c:v>44439</c:v>
                </c:pt>
                <c:pt idx="7183">
                  <c:v>44440</c:v>
                </c:pt>
                <c:pt idx="7184">
                  <c:v>44441</c:v>
                </c:pt>
                <c:pt idx="7185">
                  <c:v>44442</c:v>
                </c:pt>
                <c:pt idx="7186">
                  <c:v>44443</c:v>
                </c:pt>
                <c:pt idx="7187">
                  <c:v>44444</c:v>
                </c:pt>
                <c:pt idx="7188">
                  <c:v>44445</c:v>
                </c:pt>
                <c:pt idx="7189">
                  <c:v>44446</c:v>
                </c:pt>
                <c:pt idx="7190">
                  <c:v>44447</c:v>
                </c:pt>
                <c:pt idx="7191">
                  <c:v>44448</c:v>
                </c:pt>
                <c:pt idx="7192">
                  <c:v>44449</c:v>
                </c:pt>
                <c:pt idx="7193">
                  <c:v>44450</c:v>
                </c:pt>
                <c:pt idx="7194">
                  <c:v>44451</c:v>
                </c:pt>
                <c:pt idx="7195">
                  <c:v>44452</c:v>
                </c:pt>
                <c:pt idx="7196">
                  <c:v>44453</c:v>
                </c:pt>
                <c:pt idx="7197">
                  <c:v>44454</c:v>
                </c:pt>
                <c:pt idx="7198">
                  <c:v>44455</c:v>
                </c:pt>
                <c:pt idx="7199">
                  <c:v>44456</c:v>
                </c:pt>
                <c:pt idx="7200">
                  <c:v>44457</c:v>
                </c:pt>
                <c:pt idx="7201">
                  <c:v>44458</c:v>
                </c:pt>
                <c:pt idx="7202">
                  <c:v>44459</c:v>
                </c:pt>
                <c:pt idx="7203">
                  <c:v>44460</c:v>
                </c:pt>
                <c:pt idx="7204">
                  <c:v>44461</c:v>
                </c:pt>
                <c:pt idx="7205">
                  <c:v>44462</c:v>
                </c:pt>
                <c:pt idx="7206">
                  <c:v>44463</c:v>
                </c:pt>
                <c:pt idx="7207">
                  <c:v>44464</c:v>
                </c:pt>
                <c:pt idx="7208">
                  <c:v>44465</c:v>
                </c:pt>
                <c:pt idx="7209">
                  <c:v>44466</c:v>
                </c:pt>
                <c:pt idx="7210">
                  <c:v>44467</c:v>
                </c:pt>
                <c:pt idx="7211">
                  <c:v>44468</c:v>
                </c:pt>
                <c:pt idx="7212">
                  <c:v>44469</c:v>
                </c:pt>
                <c:pt idx="7213">
                  <c:v>44470</c:v>
                </c:pt>
                <c:pt idx="7214">
                  <c:v>44471</c:v>
                </c:pt>
                <c:pt idx="7215">
                  <c:v>44472</c:v>
                </c:pt>
                <c:pt idx="7216">
                  <c:v>44473</c:v>
                </c:pt>
                <c:pt idx="7217">
                  <c:v>44474</c:v>
                </c:pt>
                <c:pt idx="7218">
                  <c:v>44475</c:v>
                </c:pt>
                <c:pt idx="7219">
                  <c:v>44476</c:v>
                </c:pt>
                <c:pt idx="7220">
                  <c:v>44477</c:v>
                </c:pt>
                <c:pt idx="7221">
                  <c:v>44478</c:v>
                </c:pt>
                <c:pt idx="7222">
                  <c:v>44479</c:v>
                </c:pt>
                <c:pt idx="7223">
                  <c:v>44480</c:v>
                </c:pt>
                <c:pt idx="7224">
                  <c:v>44481</c:v>
                </c:pt>
                <c:pt idx="7225">
                  <c:v>44482</c:v>
                </c:pt>
                <c:pt idx="7226">
                  <c:v>44483</c:v>
                </c:pt>
                <c:pt idx="7227">
                  <c:v>44484</c:v>
                </c:pt>
                <c:pt idx="7228">
                  <c:v>44485</c:v>
                </c:pt>
                <c:pt idx="7229">
                  <c:v>44486</c:v>
                </c:pt>
                <c:pt idx="7230">
                  <c:v>44487</c:v>
                </c:pt>
                <c:pt idx="7231">
                  <c:v>44488</c:v>
                </c:pt>
                <c:pt idx="7232">
                  <c:v>44489</c:v>
                </c:pt>
                <c:pt idx="7233">
                  <c:v>44490</c:v>
                </c:pt>
                <c:pt idx="7234">
                  <c:v>44491</c:v>
                </c:pt>
                <c:pt idx="7235">
                  <c:v>44492</c:v>
                </c:pt>
                <c:pt idx="7236">
                  <c:v>44493</c:v>
                </c:pt>
                <c:pt idx="7237">
                  <c:v>44494</c:v>
                </c:pt>
                <c:pt idx="7238">
                  <c:v>44495</c:v>
                </c:pt>
                <c:pt idx="7239">
                  <c:v>44496</c:v>
                </c:pt>
                <c:pt idx="7240">
                  <c:v>44497</c:v>
                </c:pt>
                <c:pt idx="7241">
                  <c:v>44498</c:v>
                </c:pt>
                <c:pt idx="7242">
                  <c:v>44499</c:v>
                </c:pt>
                <c:pt idx="7243">
                  <c:v>44500</c:v>
                </c:pt>
                <c:pt idx="7244">
                  <c:v>44501</c:v>
                </c:pt>
                <c:pt idx="7245">
                  <c:v>44502</c:v>
                </c:pt>
                <c:pt idx="7246">
                  <c:v>44503</c:v>
                </c:pt>
                <c:pt idx="7247">
                  <c:v>44504</c:v>
                </c:pt>
                <c:pt idx="7248">
                  <c:v>44505</c:v>
                </c:pt>
                <c:pt idx="7249">
                  <c:v>44506</c:v>
                </c:pt>
                <c:pt idx="7250">
                  <c:v>44507</c:v>
                </c:pt>
                <c:pt idx="7251">
                  <c:v>44508</c:v>
                </c:pt>
                <c:pt idx="7252">
                  <c:v>44509</c:v>
                </c:pt>
                <c:pt idx="7253">
                  <c:v>44510</c:v>
                </c:pt>
                <c:pt idx="7254">
                  <c:v>44511</c:v>
                </c:pt>
                <c:pt idx="7255">
                  <c:v>44512</c:v>
                </c:pt>
                <c:pt idx="7256">
                  <c:v>44513</c:v>
                </c:pt>
                <c:pt idx="7257">
                  <c:v>44514</c:v>
                </c:pt>
                <c:pt idx="7258">
                  <c:v>44515</c:v>
                </c:pt>
                <c:pt idx="7259">
                  <c:v>44516</c:v>
                </c:pt>
                <c:pt idx="7260">
                  <c:v>44517</c:v>
                </c:pt>
                <c:pt idx="7261">
                  <c:v>44518</c:v>
                </c:pt>
                <c:pt idx="7262">
                  <c:v>44519</c:v>
                </c:pt>
                <c:pt idx="7263">
                  <c:v>44520</c:v>
                </c:pt>
                <c:pt idx="7264">
                  <c:v>44521</c:v>
                </c:pt>
                <c:pt idx="7265">
                  <c:v>44522</c:v>
                </c:pt>
                <c:pt idx="7266">
                  <c:v>44523</c:v>
                </c:pt>
                <c:pt idx="7267">
                  <c:v>44524</c:v>
                </c:pt>
                <c:pt idx="7268">
                  <c:v>44525</c:v>
                </c:pt>
                <c:pt idx="7269">
                  <c:v>44526</c:v>
                </c:pt>
                <c:pt idx="7270">
                  <c:v>44527</c:v>
                </c:pt>
                <c:pt idx="7271">
                  <c:v>44528</c:v>
                </c:pt>
                <c:pt idx="7272">
                  <c:v>44529</c:v>
                </c:pt>
                <c:pt idx="7273">
                  <c:v>44530</c:v>
                </c:pt>
                <c:pt idx="7274">
                  <c:v>44531</c:v>
                </c:pt>
                <c:pt idx="7275">
                  <c:v>44532</c:v>
                </c:pt>
                <c:pt idx="7276">
                  <c:v>44533</c:v>
                </c:pt>
                <c:pt idx="7277">
                  <c:v>44534</c:v>
                </c:pt>
                <c:pt idx="7278">
                  <c:v>44535</c:v>
                </c:pt>
                <c:pt idx="7279">
                  <c:v>44536</c:v>
                </c:pt>
                <c:pt idx="7280">
                  <c:v>44537</c:v>
                </c:pt>
                <c:pt idx="7281">
                  <c:v>44538</c:v>
                </c:pt>
                <c:pt idx="7282">
                  <c:v>44539</c:v>
                </c:pt>
                <c:pt idx="7283">
                  <c:v>44540</c:v>
                </c:pt>
                <c:pt idx="7284">
                  <c:v>44541</c:v>
                </c:pt>
                <c:pt idx="7285">
                  <c:v>44542</c:v>
                </c:pt>
                <c:pt idx="7286">
                  <c:v>44543</c:v>
                </c:pt>
                <c:pt idx="7287">
                  <c:v>44544</c:v>
                </c:pt>
                <c:pt idx="7288">
                  <c:v>44545</c:v>
                </c:pt>
                <c:pt idx="7289">
                  <c:v>44546</c:v>
                </c:pt>
                <c:pt idx="7290">
                  <c:v>44547</c:v>
                </c:pt>
                <c:pt idx="7291">
                  <c:v>44548</c:v>
                </c:pt>
                <c:pt idx="7292">
                  <c:v>44549</c:v>
                </c:pt>
                <c:pt idx="7293">
                  <c:v>44550</c:v>
                </c:pt>
                <c:pt idx="7294">
                  <c:v>44551</c:v>
                </c:pt>
                <c:pt idx="7295">
                  <c:v>44552</c:v>
                </c:pt>
                <c:pt idx="7296">
                  <c:v>44553</c:v>
                </c:pt>
                <c:pt idx="7297">
                  <c:v>44554</c:v>
                </c:pt>
                <c:pt idx="7298">
                  <c:v>44555</c:v>
                </c:pt>
                <c:pt idx="7299">
                  <c:v>44556</c:v>
                </c:pt>
                <c:pt idx="7300">
                  <c:v>44557</c:v>
                </c:pt>
                <c:pt idx="7301">
                  <c:v>44558</c:v>
                </c:pt>
                <c:pt idx="7302">
                  <c:v>44559</c:v>
                </c:pt>
                <c:pt idx="7303">
                  <c:v>44560</c:v>
                </c:pt>
                <c:pt idx="7304">
                  <c:v>44561</c:v>
                </c:pt>
                <c:pt idx="7305">
                  <c:v>44562</c:v>
                </c:pt>
                <c:pt idx="7306">
                  <c:v>44563</c:v>
                </c:pt>
                <c:pt idx="7307">
                  <c:v>44564</c:v>
                </c:pt>
                <c:pt idx="7308">
                  <c:v>44565</c:v>
                </c:pt>
                <c:pt idx="7309">
                  <c:v>44566</c:v>
                </c:pt>
                <c:pt idx="7310">
                  <c:v>44567</c:v>
                </c:pt>
                <c:pt idx="7311">
                  <c:v>44568</c:v>
                </c:pt>
                <c:pt idx="7312">
                  <c:v>44569</c:v>
                </c:pt>
                <c:pt idx="7313">
                  <c:v>44570</c:v>
                </c:pt>
                <c:pt idx="7314">
                  <c:v>44571</c:v>
                </c:pt>
                <c:pt idx="7315">
                  <c:v>44572</c:v>
                </c:pt>
                <c:pt idx="7316">
                  <c:v>44573</c:v>
                </c:pt>
                <c:pt idx="7317">
                  <c:v>44574</c:v>
                </c:pt>
                <c:pt idx="7318">
                  <c:v>44575</c:v>
                </c:pt>
                <c:pt idx="7319">
                  <c:v>44576</c:v>
                </c:pt>
                <c:pt idx="7320">
                  <c:v>44577</c:v>
                </c:pt>
                <c:pt idx="7321">
                  <c:v>44578</c:v>
                </c:pt>
                <c:pt idx="7322">
                  <c:v>44579</c:v>
                </c:pt>
                <c:pt idx="7323">
                  <c:v>44580</c:v>
                </c:pt>
                <c:pt idx="7324">
                  <c:v>44581</c:v>
                </c:pt>
                <c:pt idx="7325">
                  <c:v>44582</c:v>
                </c:pt>
                <c:pt idx="7326">
                  <c:v>44583</c:v>
                </c:pt>
                <c:pt idx="7327">
                  <c:v>44584</c:v>
                </c:pt>
                <c:pt idx="7328">
                  <c:v>44585</c:v>
                </c:pt>
                <c:pt idx="7329">
                  <c:v>44586</c:v>
                </c:pt>
                <c:pt idx="7330">
                  <c:v>44587</c:v>
                </c:pt>
                <c:pt idx="7331">
                  <c:v>44588</c:v>
                </c:pt>
                <c:pt idx="7332">
                  <c:v>44589</c:v>
                </c:pt>
                <c:pt idx="7333">
                  <c:v>44590</c:v>
                </c:pt>
                <c:pt idx="7334">
                  <c:v>44591</c:v>
                </c:pt>
                <c:pt idx="7335">
                  <c:v>44592</c:v>
                </c:pt>
                <c:pt idx="7336">
                  <c:v>44593</c:v>
                </c:pt>
                <c:pt idx="7337">
                  <c:v>44594</c:v>
                </c:pt>
                <c:pt idx="7338">
                  <c:v>44595</c:v>
                </c:pt>
                <c:pt idx="7339">
                  <c:v>44596</c:v>
                </c:pt>
                <c:pt idx="7340">
                  <c:v>44597</c:v>
                </c:pt>
                <c:pt idx="7341">
                  <c:v>44598</c:v>
                </c:pt>
                <c:pt idx="7342">
                  <c:v>44599</c:v>
                </c:pt>
                <c:pt idx="7343">
                  <c:v>44600</c:v>
                </c:pt>
                <c:pt idx="7344">
                  <c:v>44601</c:v>
                </c:pt>
                <c:pt idx="7345">
                  <c:v>44602</c:v>
                </c:pt>
                <c:pt idx="7346">
                  <c:v>44603</c:v>
                </c:pt>
                <c:pt idx="7347">
                  <c:v>44604</c:v>
                </c:pt>
                <c:pt idx="7348">
                  <c:v>44605</c:v>
                </c:pt>
                <c:pt idx="7349">
                  <c:v>44606</c:v>
                </c:pt>
                <c:pt idx="7350">
                  <c:v>44607</c:v>
                </c:pt>
                <c:pt idx="7351">
                  <c:v>44608</c:v>
                </c:pt>
                <c:pt idx="7352">
                  <c:v>44609</c:v>
                </c:pt>
                <c:pt idx="7353">
                  <c:v>44610</c:v>
                </c:pt>
                <c:pt idx="7354">
                  <c:v>44611</c:v>
                </c:pt>
                <c:pt idx="7355">
                  <c:v>44612</c:v>
                </c:pt>
                <c:pt idx="7356">
                  <c:v>44613</c:v>
                </c:pt>
                <c:pt idx="7357">
                  <c:v>44614</c:v>
                </c:pt>
                <c:pt idx="7358">
                  <c:v>44615</c:v>
                </c:pt>
                <c:pt idx="7359">
                  <c:v>44616</c:v>
                </c:pt>
                <c:pt idx="7360">
                  <c:v>44617</c:v>
                </c:pt>
                <c:pt idx="7361">
                  <c:v>44618</c:v>
                </c:pt>
                <c:pt idx="7362">
                  <c:v>44619</c:v>
                </c:pt>
                <c:pt idx="7363">
                  <c:v>44620</c:v>
                </c:pt>
                <c:pt idx="7364">
                  <c:v>44621</c:v>
                </c:pt>
                <c:pt idx="7365">
                  <c:v>44622</c:v>
                </c:pt>
                <c:pt idx="7366">
                  <c:v>44623</c:v>
                </c:pt>
                <c:pt idx="7367">
                  <c:v>44624</c:v>
                </c:pt>
                <c:pt idx="7368">
                  <c:v>44625</c:v>
                </c:pt>
                <c:pt idx="7369">
                  <c:v>44626</c:v>
                </c:pt>
                <c:pt idx="7370">
                  <c:v>44627</c:v>
                </c:pt>
                <c:pt idx="7371">
                  <c:v>44628</c:v>
                </c:pt>
                <c:pt idx="7372">
                  <c:v>44629</c:v>
                </c:pt>
                <c:pt idx="7373">
                  <c:v>44630</c:v>
                </c:pt>
                <c:pt idx="7374">
                  <c:v>44631</c:v>
                </c:pt>
                <c:pt idx="7375">
                  <c:v>44632</c:v>
                </c:pt>
                <c:pt idx="7376">
                  <c:v>44633</c:v>
                </c:pt>
                <c:pt idx="7377">
                  <c:v>44634</c:v>
                </c:pt>
                <c:pt idx="7378">
                  <c:v>44635</c:v>
                </c:pt>
                <c:pt idx="7379">
                  <c:v>44636</c:v>
                </c:pt>
                <c:pt idx="7380">
                  <c:v>44637</c:v>
                </c:pt>
                <c:pt idx="7381">
                  <c:v>44638</c:v>
                </c:pt>
                <c:pt idx="7382">
                  <c:v>44639</c:v>
                </c:pt>
                <c:pt idx="7383">
                  <c:v>44640</c:v>
                </c:pt>
                <c:pt idx="7384">
                  <c:v>44641</c:v>
                </c:pt>
                <c:pt idx="7385">
                  <c:v>44642</c:v>
                </c:pt>
                <c:pt idx="7386">
                  <c:v>44643</c:v>
                </c:pt>
                <c:pt idx="7387">
                  <c:v>44644</c:v>
                </c:pt>
                <c:pt idx="7388">
                  <c:v>44645</c:v>
                </c:pt>
                <c:pt idx="7389">
                  <c:v>44646</c:v>
                </c:pt>
                <c:pt idx="7390">
                  <c:v>44647</c:v>
                </c:pt>
                <c:pt idx="7391">
                  <c:v>44648</c:v>
                </c:pt>
                <c:pt idx="7392">
                  <c:v>44649</c:v>
                </c:pt>
                <c:pt idx="7393">
                  <c:v>44650</c:v>
                </c:pt>
                <c:pt idx="7394">
                  <c:v>44651</c:v>
                </c:pt>
                <c:pt idx="7395">
                  <c:v>44652</c:v>
                </c:pt>
                <c:pt idx="7396">
                  <c:v>44653</c:v>
                </c:pt>
                <c:pt idx="7397">
                  <c:v>44654</c:v>
                </c:pt>
                <c:pt idx="7398">
                  <c:v>44655</c:v>
                </c:pt>
                <c:pt idx="7399">
                  <c:v>44656</c:v>
                </c:pt>
                <c:pt idx="7400">
                  <c:v>44657</c:v>
                </c:pt>
                <c:pt idx="7401">
                  <c:v>44658</c:v>
                </c:pt>
                <c:pt idx="7402">
                  <c:v>44659</c:v>
                </c:pt>
                <c:pt idx="7403">
                  <c:v>44660</c:v>
                </c:pt>
                <c:pt idx="7404">
                  <c:v>44661</c:v>
                </c:pt>
                <c:pt idx="7405">
                  <c:v>44662</c:v>
                </c:pt>
                <c:pt idx="7406">
                  <c:v>44663</c:v>
                </c:pt>
                <c:pt idx="7407">
                  <c:v>44664</c:v>
                </c:pt>
                <c:pt idx="7408">
                  <c:v>44665</c:v>
                </c:pt>
                <c:pt idx="7409">
                  <c:v>44666</c:v>
                </c:pt>
                <c:pt idx="7410">
                  <c:v>44667</c:v>
                </c:pt>
                <c:pt idx="7411">
                  <c:v>44668</c:v>
                </c:pt>
                <c:pt idx="7412">
                  <c:v>44669</c:v>
                </c:pt>
                <c:pt idx="7413">
                  <c:v>44670</c:v>
                </c:pt>
                <c:pt idx="7414">
                  <c:v>44671</c:v>
                </c:pt>
                <c:pt idx="7415">
                  <c:v>44672</c:v>
                </c:pt>
                <c:pt idx="7416">
                  <c:v>44673</c:v>
                </c:pt>
                <c:pt idx="7417">
                  <c:v>44674</c:v>
                </c:pt>
                <c:pt idx="7418">
                  <c:v>44675</c:v>
                </c:pt>
                <c:pt idx="7419">
                  <c:v>44676</c:v>
                </c:pt>
                <c:pt idx="7420">
                  <c:v>44677</c:v>
                </c:pt>
                <c:pt idx="7421">
                  <c:v>44678</c:v>
                </c:pt>
                <c:pt idx="7422">
                  <c:v>44679</c:v>
                </c:pt>
                <c:pt idx="7423">
                  <c:v>44680</c:v>
                </c:pt>
                <c:pt idx="7424">
                  <c:v>44681</c:v>
                </c:pt>
                <c:pt idx="7425">
                  <c:v>44682</c:v>
                </c:pt>
                <c:pt idx="7426">
                  <c:v>44683</c:v>
                </c:pt>
                <c:pt idx="7427">
                  <c:v>44684</c:v>
                </c:pt>
                <c:pt idx="7428">
                  <c:v>44685</c:v>
                </c:pt>
                <c:pt idx="7429">
                  <c:v>44686</c:v>
                </c:pt>
                <c:pt idx="7430">
                  <c:v>44687</c:v>
                </c:pt>
                <c:pt idx="7431">
                  <c:v>44688</c:v>
                </c:pt>
                <c:pt idx="7432">
                  <c:v>44689</c:v>
                </c:pt>
                <c:pt idx="7433">
                  <c:v>44690</c:v>
                </c:pt>
                <c:pt idx="7434">
                  <c:v>44691</c:v>
                </c:pt>
                <c:pt idx="7435">
                  <c:v>44692</c:v>
                </c:pt>
                <c:pt idx="7436">
                  <c:v>44693</c:v>
                </c:pt>
                <c:pt idx="7437">
                  <c:v>44694</c:v>
                </c:pt>
                <c:pt idx="7438">
                  <c:v>44695</c:v>
                </c:pt>
                <c:pt idx="7439">
                  <c:v>44696</c:v>
                </c:pt>
                <c:pt idx="7440">
                  <c:v>44697</c:v>
                </c:pt>
                <c:pt idx="7441">
                  <c:v>44698</c:v>
                </c:pt>
                <c:pt idx="7442">
                  <c:v>44699</c:v>
                </c:pt>
                <c:pt idx="7443">
                  <c:v>44700</c:v>
                </c:pt>
                <c:pt idx="7444">
                  <c:v>44701</c:v>
                </c:pt>
                <c:pt idx="7445">
                  <c:v>44702</c:v>
                </c:pt>
                <c:pt idx="7446">
                  <c:v>44703</c:v>
                </c:pt>
                <c:pt idx="7447">
                  <c:v>44704</c:v>
                </c:pt>
                <c:pt idx="7448">
                  <c:v>44705</c:v>
                </c:pt>
                <c:pt idx="7449">
                  <c:v>44706</c:v>
                </c:pt>
                <c:pt idx="7450">
                  <c:v>44707</c:v>
                </c:pt>
                <c:pt idx="7451">
                  <c:v>44708</c:v>
                </c:pt>
                <c:pt idx="7452">
                  <c:v>44709</c:v>
                </c:pt>
                <c:pt idx="7453">
                  <c:v>44710</c:v>
                </c:pt>
                <c:pt idx="7454">
                  <c:v>44711</c:v>
                </c:pt>
                <c:pt idx="7455">
                  <c:v>44712</c:v>
                </c:pt>
                <c:pt idx="7456">
                  <c:v>44713</c:v>
                </c:pt>
                <c:pt idx="7457">
                  <c:v>44714</c:v>
                </c:pt>
                <c:pt idx="7458">
                  <c:v>44715</c:v>
                </c:pt>
              </c:numCache>
            </c:numRef>
          </c:cat>
          <c:val>
            <c:numRef>
              <c:f>Sheet1!$K$2:$K$7460</c:f>
              <c:numCache>
                <c:formatCode>0.0</c:formatCode>
                <c:ptCount val="7459"/>
                <c:pt idx="0">
                  <c:v>8.5</c:v>
                </c:pt>
                <c:pt idx="1">
                  <c:v>8.5</c:v>
                </c:pt>
                <c:pt idx="2">
                  <c:v>8.5</c:v>
                </c:pt>
                <c:pt idx="3">
                  <c:v>8.5</c:v>
                </c:pt>
                <c:pt idx="4">
                  <c:v>8.5</c:v>
                </c:pt>
                <c:pt idx="5">
                  <c:v>8.5</c:v>
                </c:pt>
                <c:pt idx="6">
                  <c:v>8.5</c:v>
                </c:pt>
                <c:pt idx="7">
                  <c:v>8.5</c:v>
                </c:pt>
                <c:pt idx="8">
                  <c:v>8.5</c:v>
                </c:pt>
                <c:pt idx="9">
                  <c:v>8.5</c:v>
                </c:pt>
                <c:pt idx="10">
                  <c:v>8.5</c:v>
                </c:pt>
                <c:pt idx="11">
                  <c:v>8.5</c:v>
                </c:pt>
                <c:pt idx="12">
                  <c:v>8.5</c:v>
                </c:pt>
                <c:pt idx="13">
                  <c:v>8.5</c:v>
                </c:pt>
                <c:pt idx="14">
                  <c:v>8.5</c:v>
                </c:pt>
                <c:pt idx="15">
                  <c:v>8.5</c:v>
                </c:pt>
                <c:pt idx="16">
                  <c:v>8.5</c:v>
                </c:pt>
                <c:pt idx="17">
                  <c:v>8.5</c:v>
                </c:pt>
                <c:pt idx="18">
                  <c:v>8.5</c:v>
                </c:pt>
                <c:pt idx="19">
                  <c:v>8.5</c:v>
                </c:pt>
                <c:pt idx="20">
                  <c:v>8.5</c:v>
                </c:pt>
                <c:pt idx="21">
                  <c:v>8.5</c:v>
                </c:pt>
                <c:pt idx="22">
                  <c:v>8.5</c:v>
                </c:pt>
                <c:pt idx="23">
                  <c:v>8.5</c:v>
                </c:pt>
                <c:pt idx="24">
                  <c:v>8.5</c:v>
                </c:pt>
                <c:pt idx="25">
                  <c:v>8.5</c:v>
                </c:pt>
                <c:pt idx="26">
                  <c:v>8.5</c:v>
                </c:pt>
                <c:pt idx="27">
                  <c:v>8.5</c:v>
                </c:pt>
                <c:pt idx="28">
                  <c:v>8.5</c:v>
                </c:pt>
                <c:pt idx="29">
                  <c:v>8.5</c:v>
                </c:pt>
                <c:pt idx="30">
                  <c:v>8.5</c:v>
                </c:pt>
                <c:pt idx="31">
                  <c:v>8.5</c:v>
                </c:pt>
                <c:pt idx="32">
                  <c:v>8.5</c:v>
                </c:pt>
                <c:pt idx="33">
                  <c:v>8.5</c:v>
                </c:pt>
                <c:pt idx="34">
                  <c:v>8.5</c:v>
                </c:pt>
                <c:pt idx="35">
                  <c:v>8.5</c:v>
                </c:pt>
                <c:pt idx="36">
                  <c:v>8.5</c:v>
                </c:pt>
                <c:pt idx="37">
                  <c:v>8.5</c:v>
                </c:pt>
                <c:pt idx="38">
                  <c:v>8.5</c:v>
                </c:pt>
                <c:pt idx="39">
                  <c:v>8.5</c:v>
                </c:pt>
                <c:pt idx="40">
                  <c:v>8.5</c:v>
                </c:pt>
                <c:pt idx="41">
                  <c:v>8.5</c:v>
                </c:pt>
                <c:pt idx="42">
                  <c:v>8.5</c:v>
                </c:pt>
                <c:pt idx="43">
                  <c:v>8.5</c:v>
                </c:pt>
                <c:pt idx="44">
                  <c:v>8.5</c:v>
                </c:pt>
                <c:pt idx="45">
                  <c:v>8.5</c:v>
                </c:pt>
                <c:pt idx="46">
                  <c:v>8.5</c:v>
                </c:pt>
                <c:pt idx="47">
                  <c:v>8.5</c:v>
                </c:pt>
                <c:pt idx="48">
                  <c:v>8.5</c:v>
                </c:pt>
                <c:pt idx="49">
                  <c:v>8.5</c:v>
                </c:pt>
                <c:pt idx="50">
                  <c:v>8.5</c:v>
                </c:pt>
                <c:pt idx="51">
                  <c:v>8.5</c:v>
                </c:pt>
                <c:pt idx="52">
                  <c:v>8.5</c:v>
                </c:pt>
                <c:pt idx="53">
                  <c:v>8.5</c:v>
                </c:pt>
                <c:pt idx="54">
                  <c:v>8.5</c:v>
                </c:pt>
                <c:pt idx="55">
                  <c:v>8.5</c:v>
                </c:pt>
                <c:pt idx="56">
                  <c:v>8.5</c:v>
                </c:pt>
                <c:pt idx="57">
                  <c:v>8.5</c:v>
                </c:pt>
                <c:pt idx="58">
                  <c:v>8.5</c:v>
                </c:pt>
                <c:pt idx="59">
                  <c:v>8.5</c:v>
                </c:pt>
                <c:pt idx="60">
                  <c:v>8.5</c:v>
                </c:pt>
                <c:pt idx="61">
                  <c:v>8.5</c:v>
                </c:pt>
                <c:pt idx="62">
                  <c:v>8.5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6</c:v>
                </c:pt>
                <c:pt idx="138">
                  <c:v>6</c:v>
                </c:pt>
                <c:pt idx="139">
                  <c:v>6</c:v>
                </c:pt>
                <c:pt idx="140">
                  <c:v>6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5.75</c:v>
                </c:pt>
                <c:pt idx="178">
                  <c:v>5.75</c:v>
                </c:pt>
                <c:pt idx="179">
                  <c:v>5.75</c:v>
                </c:pt>
                <c:pt idx="180">
                  <c:v>5.75</c:v>
                </c:pt>
                <c:pt idx="181">
                  <c:v>5.75</c:v>
                </c:pt>
                <c:pt idx="182">
                  <c:v>5.75</c:v>
                </c:pt>
                <c:pt idx="183">
                  <c:v>5.75</c:v>
                </c:pt>
                <c:pt idx="184">
                  <c:v>5.75</c:v>
                </c:pt>
                <c:pt idx="185">
                  <c:v>5.75</c:v>
                </c:pt>
                <c:pt idx="186">
                  <c:v>5.75</c:v>
                </c:pt>
                <c:pt idx="187">
                  <c:v>5.75</c:v>
                </c:pt>
                <c:pt idx="188">
                  <c:v>5.75</c:v>
                </c:pt>
                <c:pt idx="189">
                  <c:v>5.75</c:v>
                </c:pt>
                <c:pt idx="190">
                  <c:v>5.75</c:v>
                </c:pt>
                <c:pt idx="191">
                  <c:v>5.75</c:v>
                </c:pt>
                <c:pt idx="192">
                  <c:v>5.75</c:v>
                </c:pt>
                <c:pt idx="193">
                  <c:v>5.75</c:v>
                </c:pt>
                <c:pt idx="194">
                  <c:v>5.75</c:v>
                </c:pt>
                <c:pt idx="195">
                  <c:v>5.75</c:v>
                </c:pt>
                <c:pt idx="196">
                  <c:v>5.75</c:v>
                </c:pt>
                <c:pt idx="197">
                  <c:v>5.75</c:v>
                </c:pt>
                <c:pt idx="198">
                  <c:v>5.75</c:v>
                </c:pt>
                <c:pt idx="199">
                  <c:v>5.75</c:v>
                </c:pt>
                <c:pt idx="200">
                  <c:v>5.75</c:v>
                </c:pt>
                <c:pt idx="201">
                  <c:v>5.75</c:v>
                </c:pt>
                <c:pt idx="202">
                  <c:v>5.75</c:v>
                </c:pt>
                <c:pt idx="203">
                  <c:v>5.75</c:v>
                </c:pt>
                <c:pt idx="204">
                  <c:v>5.75</c:v>
                </c:pt>
                <c:pt idx="205">
                  <c:v>5.75</c:v>
                </c:pt>
                <c:pt idx="206">
                  <c:v>5.75</c:v>
                </c:pt>
                <c:pt idx="207">
                  <c:v>5.75</c:v>
                </c:pt>
                <c:pt idx="208">
                  <c:v>5.75</c:v>
                </c:pt>
                <c:pt idx="209">
                  <c:v>5.75</c:v>
                </c:pt>
                <c:pt idx="210">
                  <c:v>5.75</c:v>
                </c:pt>
                <c:pt idx="211">
                  <c:v>5.75</c:v>
                </c:pt>
                <c:pt idx="212">
                  <c:v>5.75</c:v>
                </c:pt>
                <c:pt idx="213">
                  <c:v>5.75</c:v>
                </c:pt>
                <c:pt idx="214">
                  <c:v>5.75</c:v>
                </c:pt>
                <c:pt idx="215">
                  <c:v>5.75</c:v>
                </c:pt>
                <c:pt idx="216">
                  <c:v>5.75</c:v>
                </c:pt>
                <c:pt idx="217">
                  <c:v>5.75</c:v>
                </c:pt>
                <c:pt idx="218">
                  <c:v>5.75</c:v>
                </c:pt>
                <c:pt idx="219">
                  <c:v>5.75</c:v>
                </c:pt>
                <c:pt idx="220">
                  <c:v>5.75</c:v>
                </c:pt>
                <c:pt idx="221">
                  <c:v>5.75</c:v>
                </c:pt>
                <c:pt idx="222">
                  <c:v>5.75</c:v>
                </c:pt>
                <c:pt idx="223">
                  <c:v>5.75</c:v>
                </c:pt>
                <c:pt idx="224">
                  <c:v>5.75</c:v>
                </c:pt>
                <c:pt idx="225">
                  <c:v>5.75</c:v>
                </c:pt>
                <c:pt idx="226">
                  <c:v>5.75</c:v>
                </c:pt>
                <c:pt idx="227">
                  <c:v>5.75</c:v>
                </c:pt>
                <c:pt idx="228">
                  <c:v>5.75</c:v>
                </c:pt>
                <c:pt idx="229">
                  <c:v>5.75</c:v>
                </c:pt>
                <c:pt idx="230">
                  <c:v>5.75</c:v>
                </c:pt>
                <c:pt idx="231">
                  <c:v>5.75</c:v>
                </c:pt>
                <c:pt idx="232">
                  <c:v>5.75</c:v>
                </c:pt>
                <c:pt idx="233">
                  <c:v>5.75</c:v>
                </c:pt>
                <c:pt idx="234">
                  <c:v>5.75</c:v>
                </c:pt>
                <c:pt idx="235">
                  <c:v>5.75</c:v>
                </c:pt>
                <c:pt idx="236">
                  <c:v>5.75</c:v>
                </c:pt>
                <c:pt idx="237">
                  <c:v>5.75</c:v>
                </c:pt>
                <c:pt idx="238">
                  <c:v>5.75</c:v>
                </c:pt>
                <c:pt idx="239">
                  <c:v>5.75</c:v>
                </c:pt>
                <c:pt idx="240">
                  <c:v>5.75</c:v>
                </c:pt>
                <c:pt idx="241">
                  <c:v>5.75</c:v>
                </c:pt>
                <c:pt idx="242">
                  <c:v>5.75</c:v>
                </c:pt>
                <c:pt idx="243">
                  <c:v>5.75</c:v>
                </c:pt>
                <c:pt idx="244">
                  <c:v>5.75</c:v>
                </c:pt>
                <c:pt idx="245">
                  <c:v>5.75</c:v>
                </c:pt>
                <c:pt idx="246">
                  <c:v>5.75</c:v>
                </c:pt>
                <c:pt idx="247">
                  <c:v>5.75</c:v>
                </c:pt>
                <c:pt idx="248">
                  <c:v>5.75</c:v>
                </c:pt>
                <c:pt idx="249">
                  <c:v>5.75</c:v>
                </c:pt>
                <c:pt idx="250">
                  <c:v>5.75</c:v>
                </c:pt>
                <c:pt idx="251">
                  <c:v>5.75</c:v>
                </c:pt>
                <c:pt idx="252">
                  <c:v>5.75</c:v>
                </c:pt>
                <c:pt idx="253">
                  <c:v>5.75</c:v>
                </c:pt>
                <c:pt idx="254">
                  <c:v>5.75</c:v>
                </c:pt>
                <c:pt idx="255">
                  <c:v>5.75</c:v>
                </c:pt>
                <c:pt idx="256">
                  <c:v>5.75</c:v>
                </c:pt>
                <c:pt idx="257">
                  <c:v>5.75</c:v>
                </c:pt>
                <c:pt idx="258">
                  <c:v>5.75</c:v>
                </c:pt>
                <c:pt idx="259">
                  <c:v>5.75</c:v>
                </c:pt>
                <c:pt idx="260">
                  <c:v>5.75</c:v>
                </c:pt>
                <c:pt idx="261">
                  <c:v>5.75</c:v>
                </c:pt>
                <c:pt idx="262">
                  <c:v>5.75</c:v>
                </c:pt>
                <c:pt idx="263">
                  <c:v>5.75</c:v>
                </c:pt>
                <c:pt idx="264">
                  <c:v>5.75</c:v>
                </c:pt>
                <c:pt idx="265">
                  <c:v>5.75</c:v>
                </c:pt>
                <c:pt idx="266">
                  <c:v>5.75</c:v>
                </c:pt>
                <c:pt idx="267">
                  <c:v>5.75</c:v>
                </c:pt>
                <c:pt idx="268">
                  <c:v>5.75</c:v>
                </c:pt>
                <c:pt idx="269">
                  <c:v>5.75</c:v>
                </c:pt>
                <c:pt idx="270">
                  <c:v>5.75</c:v>
                </c:pt>
                <c:pt idx="271">
                  <c:v>5.75</c:v>
                </c:pt>
                <c:pt idx="272">
                  <c:v>5.75</c:v>
                </c:pt>
                <c:pt idx="273">
                  <c:v>5.75</c:v>
                </c:pt>
                <c:pt idx="274">
                  <c:v>5.75</c:v>
                </c:pt>
                <c:pt idx="275">
                  <c:v>5.75</c:v>
                </c:pt>
                <c:pt idx="276">
                  <c:v>5.75</c:v>
                </c:pt>
                <c:pt idx="277">
                  <c:v>5.75</c:v>
                </c:pt>
                <c:pt idx="278">
                  <c:v>5.75</c:v>
                </c:pt>
                <c:pt idx="279">
                  <c:v>5.75</c:v>
                </c:pt>
                <c:pt idx="280">
                  <c:v>5.75</c:v>
                </c:pt>
                <c:pt idx="281">
                  <c:v>5.75</c:v>
                </c:pt>
                <c:pt idx="282">
                  <c:v>5.75</c:v>
                </c:pt>
                <c:pt idx="283">
                  <c:v>5.75</c:v>
                </c:pt>
                <c:pt idx="284">
                  <c:v>5.75</c:v>
                </c:pt>
                <c:pt idx="285">
                  <c:v>5.75</c:v>
                </c:pt>
                <c:pt idx="286">
                  <c:v>5.75</c:v>
                </c:pt>
                <c:pt idx="287">
                  <c:v>5.75</c:v>
                </c:pt>
                <c:pt idx="288">
                  <c:v>5.75</c:v>
                </c:pt>
                <c:pt idx="289">
                  <c:v>5.75</c:v>
                </c:pt>
                <c:pt idx="290">
                  <c:v>5.75</c:v>
                </c:pt>
                <c:pt idx="291">
                  <c:v>5.75</c:v>
                </c:pt>
                <c:pt idx="292">
                  <c:v>5.75</c:v>
                </c:pt>
                <c:pt idx="293">
                  <c:v>5.75</c:v>
                </c:pt>
                <c:pt idx="294">
                  <c:v>5.75</c:v>
                </c:pt>
                <c:pt idx="295">
                  <c:v>5.75</c:v>
                </c:pt>
                <c:pt idx="296">
                  <c:v>5.75</c:v>
                </c:pt>
                <c:pt idx="297">
                  <c:v>5.75</c:v>
                </c:pt>
                <c:pt idx="298">
                  <c:v>5.75</c:v>
                </c:pt>
                <c:pt idx="299">
                  <c:v>5.75</c:v>
                </c:pt>
                <c:pt idx="300">
                  <c:v>5.75</c:v>
                </c:pt>
                <c:pt idx="301">
                  <c:v>5.75</c:v>
                </c:pt>
                <c:pt idx="302">
                  <c:v>5.5</c:v>
                </c:pt>
                <c:pt idx="303">
                  <c:v>5.5</c:v>
                </c:pt>
                <c:pt idx="304">
                  <c:v>5.5</c:v>
                </c:pt>
                <c:pt idx="305">
                  <c:v>5.5</c:v>
                </c:pt>
                <c:pt idx="306">
                  <c:v>5.5</c:v>
                </c:pt>
                <c:pt idx="307">
                  <c:v>5.5</c:v>
                </c:pt>
                <c:pt idx="308">
                  <c:v>5.5</c:v>
                </c:pt>
                <c:pt idx="309">
                  <c:v>5.5</c:v>
                </c:pt>
                <c:pt idx="310">
                  <c:v>5.5</c:v>
                </c:pt>
                <c:pt idx="311">
                  <c:v>5.5</c:v>
                </c:pt>
                <c:pt idx="312">
                  <c:v>5.5</c:v>
                </c:pt>
                <c:pt idx="313">
                  <c:v>5.5</c:v>
                </c:pt>
                <c:pt idx="314">
                  <c:v>5.5</c:v>
                </c:pt>
                <c:pt idx="315">
                  <c:v>5.5</c:v>
                </c:pt>
                <c:pt idx="316">
                  <c:v>5.5</c:v>
                </c:pt>
                <c:pt idx="317">
                  <c:v>5.5</c:v>
                </c:pt>
                <c:pt idx="318">
                  <c:v>5.5</c:v>
                </c:pt>
                <c:pt idx="319">
                  <c:v>5.5</c:v>
                </c:pt>
                <c:pt idx="320">
                  <c:v>5.5</c:v>
                </c:pt>
                <c:pt idx="321">
                  <c:v>5.5</c:v>
                </c:pt>
                <c:pt idx="322">
                  <c:v>5.5</c:v>
                </c:pt>
                <c:pt idx="323">
                  <c:v>5.5</c:v>
                </c:pt>
                <c:pt idx="324">
                  <c:v>5.5</c:v>
                </c:pt>
                <c:pt idx="325">
                  <c:v>5.5</c:v>
                </c:pt>
                <c:pt idx="326">
                  <c:v>5.5</c:v>
                </c:pt>
                <c:pt idx="327">
                  <c:v>5.5</c:v>
                </c:pt>
                <c:pt idx="328">
                  <c:v>5.5</c:v>
                </c:pt>
                <c:pt idx="329">
                  <c:v>5.5</c:v>
                </c:pt>
                <c:pt idx="330">
                  <c:v>5.5</c:v>
                </c:pt>
                <c:pt idx="331">
                  <c:v>5.5</c:v>
                </c:pt>
                <c:pt idx="332">
                  <c:v>5.5</c:v>
                </c:pt>
                <c:pt idx="333">
                  <c:v>5.5</c:v>
                </c:pt>
                <c:pt idx="334">
                  <c:v>5.5</c:v>
                </c:pt>
                <c:pt idx="335">
                  <c:v>5.5</c:v>
                </c:pt>
                <c:pt idx="336">
                  <c:v>5.5</c:v>
                </c:pt>
                <c:pt idx="337">
                  <c:v>5.5</c:v>
                </c:pt>
                <c:pt idx="338">
                  <c:v>5.5</c:v>
                </c:pt>
                <c:pt idx="339">
                  <c:v>5.5</c:v>
                </c:pt>
                <c:pt idx="340">
                  <c:v>5.5</c:v>
                </c:pt>
                <c:pt idx="341">
                  <c:v>5.5</c:v>
                </c:pt>
                <c:pt idx="342">
                  <c:v>5.5</c:v>
                </c:pt>
                <c:pt idx="343">
                  <c:v>5.5</c:v>
                </c:pt>
                <c:pt idx="344">
                  <c:v>5.5</c:v>
                </c:pt>
                <c:pt idx="345">
                  <c:v>5.5</c:v>
                </c:pt>
                <c:pt idx="346">
                  <c:v>5.5</c:v>
                </c:pt>
                <c:pt idx="347">
                  <c:v>5.5</c:v>
                </c:pt>
                <c:pt idx="348">
                  <c:v>5.5</c:v>
                </c:pt>
                <c:pt idx="349">
                  <c:v>5.5</c:v>
                </c:pt>
                <c:pt idx="350">
                  <c:v>5.5</c:v>
                </c:pt>
                <c:pt idx="351">
                  <c:v>5.5</c:v>
                </c:pt>
                <c:pt idx="352">
                  <c:v>5.5</c:v>
                </c:pt>
                <c:pt idx="353">
                  <c:v>5.5</c:v>
                </c:pt>
                <c:pt idx="354">
                  <c:v>5.5</c:v>
                </c:pt>
                <c:pt idx="355">
                  <c:v>5.5</c:v>
                </c:pt>
                <c:pt idx="356">
                  <c:v>5.5</c:v>
                </c:pt>
                <c:pt idx="357">
                  <c:v>5.5</c:v>
                </c:pt>
                <c:pt idx="358">
                  <c:v>5.5</c:v>
                </c:pt>
                <c:pt idx="359">
                  <c:v>5.5</c:v>
                </c:pt>
                <c:pt idx="360">
                  <c:v>5.5</c:v>
                </c:pt>
                <c:pt idx="361">
                  <c:v>5.5</c:v>
                </c:pt>
                <c:pt idx="362">
                  <c:v>5.5</c:v>
                </c:pt>
                <c:pt idx="363">
                  <c:v>5.5</c:v>
                </c:pt>
                <c:pt idx="364">
                  <c:v>5.5</c:v>
                </c:pt>
                <c:pt idx="365">
                  <c:v>5.5</c:v>
                </c:pt>
                <c:pt idx="366">
                  <c:v>5.5</c:v>
                </c:pt>
                <c:pt idx="367">
                  <c:v>5.5</c:v>
                </c:pt>
                <c:pt idx="368">
                  <c:v>5.5</c:v>
                </c:pt>
                <c:pt idx="369">
                  <c:v>5.5</c:v>
                </c:pt>
                <c:pt idx="370">
                  <c:v>5.5</c:v>
                </c:pt>
                <c:pt idx="371">
                  <c:v>5.5</c:v>
                </c:pt>
                <c:pt idx="372">
                  <c:v>5.5</c:v>
                </c:pt>
                <c:pt idx="373">
                  <c:v>5.5</c:v>
                </c:pt>
                <c:pt idx="374">
                  <c:v>5.5</c:v>
                </c:pt>
                <c:pt idx="375">
                  <c:v>5.5</c:v>
                </c:pt>
                <c:pt idx="376">
                  <c:v>5.5</c:v>
                </c:pt>
                <c:pt idx="377">
                  <c:v>5.5</c:v>
                </c:pt>
                <c:pt idx="378">
                  <c:v>5.5</c:v>
                </c:pt>
                <c:pt idx="379">
                  <c:v>5.5</c:v>
                </c:pt>
                <c:pt idx="380">
                  <c:v>5.5</c:v>
                </c:pt>
                <c:pt idx="381">
                  <c:v>5.5</c:v>
                </c:pt>
                <c:pt idx="382">
                  <c:v>5.5</c:v>
                </c:pt>
                <c:pt idx="383">
                  <c:v>5.5</c:v>
                </c:pt>
                <c:pt idx="384">
                  <c:v>5.5</c:v>
                </c:pt>
                <c:pt idx="385">
                  <c:v>5.5</c:v>
                </c:pt>
                <c:pt idx="386">
                  <c:v>5.5</c:v>
                </c:pt>
                <c:pt idx="387">
                  <c:v>5.5</c:v>
                </c:pt>
                <c:pt idx="388">
                  <c:v>5.5</c:v>
                </c:pt>
                <c:pt idx="389">
                  <c:v>5.5</c:v>
                </c:pt>
                <c:pt idx="390">
                  <c:v>5.5</c:v>
                </c:pt>
                <c:pt idx="391">
                  <c:v>5.5</c:v>
                </c:pt>
                <c:pt idx="392">
                  <c:v>5.5</c:v>
                </c:pt>
                <c:pt idx="393">
                  <c:v>5.5</c:v>
                </c:pt>
                <c:pt idx="394">
                  <c:v>5.5</c:v>
                </c:pt>
                <c:pt idx="395">
                  <c:v>5.5</c:v>
                </c:pt>
                <c:pt idx="396">
                  <c:v>5.5</c:v>
                </c:pt>
                <c:pt idx="397">
                  <c:v>5.5</c:v>
                </c:pt>
                <c:pt idx="398">
                  <c:v>5.5</c:v>
                </c:pt>
                <c:pt idx="399">
                  <c:v>5.5</c:v>
                </c:pt>
                <c:pt idx="400">
                  <c:v>5.5</c:v>
                </c:pt>
                <c:pt idx="401">
                  <c:v>5.5</c:v>
                </c:pt>
                <c:pt idx="402">
                  <c:v>5.5</c:v>
                </c:pt>
                <c:pt idx="403">
                  <c:v>5.5</c:v>
                </c:pt>
                <c:pt idx="404">
                  <c:v>5.5</c:v>
                </c:pt>
                <c:pt idx="405">
                  <c:v>5.5</c:v>
                </c:pt>
                <c:pt idx="406">
                  <c:v>5.5</c:v>
                </c:pt>
                <c:pt idx="407">
                  <c:v>5.5</c:v>
                </c:pt>
                <c:pt idx="408">
                  <c:v>5.5</c:v>
                </c:pt>
                <c:pt idx="409">
                  <c:v>5.5</c:v>
                </c:pt>
                <c:pt idx="410">
                  <c:v>5.5</c:v>
                </c:pt>
                <c:pt idx="411">
                  <c:v>5.5</c:v>
                </c:pt>
                <c:pt idx="412">
                  <c:v>5.5</c:v>
                </c:pt>
                <c:pt idx="413">
                  <c:v>5.5</c:v>
                </c:pt>
                <c:pt idx="414">
                  <c:v>5.5</c:v>
                </c:pt>
                <c:pt idx="415">
                  <c:v>5.5</c:v>
                </c:pt>
                <c:pt idx="416">
                  <c:v>5.5</c:v>
                </c:pt>
                <c:pt idx="417">
                  <c:v>5.5</c:v>
                </c:pt>
                <c:pt idx="418">
                  <c:v>5.5</c:v>
                </c:pt>
                <c:pt idx="419">
                  <c:v>5.5</c:v>
                </c:pt>
                <c:pt idx="420">
                  <c:v>5.5</c:v>
                </c:pt>
                <c:pt idx="421">
                  <c:v>5.5</c:v>
                </c:pt>
                <c:pt idx="422">
                  <c:v>5.5</c:v>
                </c:pt>
                <c:pt idx="423">
                  <c:v>5.5</c:v>
                </c:pt>
                <c:pt idx="424">
                  <c:v>5.5</c:v>
                </c:pt>
                <c:pt idx="425">
                  <c:v>5.5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5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5</c:v>
                </c:pt>
                <c:pt idx="437">
                  <c:v>5</c:v>
                </c:pt>
                <c:pt idx="438">
                  <c:v>5</c:v>
                </c:pt>
                <c:pt idx="439">
                  <c:v>5</c:v>
                </c:pt>
                <c:pt idx="440">
                  <c:v>5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5</c:v>
                </c:pt>
                <c:pt idx="446">
                  <c:v>5</c:v>
                </c:pt>
                <c:pt idx="447">
                  <c:v>5</c:v>
                </c:pt>
                <c:pt idx="448">
                  <c:v>5</c:v>
                </c:pt>
                <c:pt idx="449">
                  <c:v>5</c:v>
                </c:pt>
                <c:pt idx="450">
                  <c:v>5</c:v>
                </c:pt>
                <c:pt idx="451">
                  <c:v>5</c:v>
                </c:pt>
                <c:pt idx="452">
                  <c:v>5</c:v>
                </c:pt>
                <c:pt idx="453">
                  <c:v>5</c:v>
                </c:pt>
                <c:pt idx="454">
                  <c:v>5</c:v>
                </c:pt>
                <c:pt idx="455">
                  <c:v>5</c:v>
                </c:pt>
                <c:pt idx="456">
                  <c:v>5</c:v>
                </c:pt>
                <c:pt idx="457">
                  <c:v>5</c:v>
                </c:pt>
                <c:pt idx="458">
                  <c:v>5</c:v>
                </c:pt>
                <c:pt idx="459">
                  <c:v>5</c:v>
                </c:pt>
                <c:pt idx="460">
                  <c:v>5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5</c:v>
                </c:pt>
                <c:pt idx="465">
                  <c:v>5</c:v>
                </c:pt>
                <c:pt idx="466">
                  <c:v>5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5</c:v>
                </c:pt>
                <c:pt idx="472">
                  <c:v>5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5</c:v>
                </c:pt>
                <c:pt idx="483">
                  <c:v>5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  <c:pt idx="500">
                  <c:v>5</c:v>
                </c:pt>
                <c:pt idx="501">
                  <c:v>5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5</c:v>
                </c:pt>
                <c:pt idx="506">
                  <c:v>5</c:v>
                </c:pt>
                <c:pt idx="507">
                  <c:v>5</c:v>
                </c:pt>
                <c:pt idx="508">
                  <c:v>5</c:v>
                </c:pt>
                <c:pt idx="509">
                  <c:v>5</c:v>
                </c:pt>
                <c:pt idx="510">
                  <c:v>5</c:v>
                </c:pt>
                <c:pt idx="511">
                  <c:v>5</c:v>
                </c:pt>
                <c:pt idx="512">
                  <c:v>5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  <c:pt idx="517">
                  <c:v>5</c:v>
                </c:pt>
                <c:pt idx="518">
                  <c:v>5</c:v>
                </c:pt>
                <c:pt idx="519">
                  <c:v>5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5</c:v>
                </c:pt>
                <c:pt idx="529">
                  <c:v>5</c:v>
                </c:pt>
                <c:pt idx="530">
                  <c:v>5</c:v>
                </c:pt>
                <c:pt idx="531">
                  <c:v>5</c:v>
                </c:pt>
                <c:pt idx="532">
                  <c:v>5</c:v>
                </c:pt>
                <c:pt idx="533">
                  <c:v>5</c:v>
                </c:pt>
                <c:pt idx="534">
                  <c:v>5</c:v>
                </c:pt>
                <c:pt idx="535">
                  <c:v>5</c:v>
                </c:pt>
                <c:pt idx="536">
                  <c:v>5</c:v>
                </c:pt>
                <c:pt idx="537">
                  <c:v>5</c:v>
                </c:pt>
                <c:pt idx="538">
                  <c:v>5</c:v>
                </c:pt>
                <c:pt idx="539">
                  <c:v>5</c:v>
                </c:pt>
                <c:pt idx="540">
                  <c:v>5</c:v>
                </c:pt>
                <c:pt idx="541">
                  <c:v>5</c:v>
                </c:pt>
                <c:pt idx="542">
                  <c:v>5</c:v>
                </c:pt>
                <c:pt idx="543">
                  <c:v>5</c:v>
                </c:pt>
                <c:pt idx="544">
                  <c:v>5</c:v>
                </c:pt>
                <c:pt idx="545">
                  <c:v>5</c:v>
                </c:pt>
                <c:pt idx="546">
                  <c:v>5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5</c:v>
                </c:pt>
                <c:pt idx="551">
                  <c:v>5</c:v>
                </c:pt>
                <c:pt idx="552">
                  <c:v>5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5</c:v>
                </c:pt>
                <c:pt idx="566">
                  <c:v>5</c:v>
                </c:pt>
                <c:pt idx="567">
                  <c:v>5</c:v>
                </c:pt>
                <c:pt idx="568">
                  <c:v>5</c:v>
                </c:pt>
                <c:pt idx="569">
                  <c:v>5</c:v>
                </c:pt>
                <c:pt idx="570">
                  <c:v>5</c:v>
                </c:pt>
                <c:pt idx="571">
                  <c:v>5</c:v>
                </c:pt>
                <c:pt idx="572">
                  <c:v>5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5</c:v>
                </c:pt>
                <c:pt idx="577">
                  <c:v>5</c:v>
                </c:pt>
                <c:pt idx="578">
                  <c:v>5</c:v>
                </c:pt>
                <c:pt idx="579">
                  <c:v>5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5</c:v>
                </c:pt>
                <c:pt idx="584">
                  <c:v>5</c:v>
                </c:pt>
                <c:pt idx="585">
                  <c:v>5</c:v>
                </c:pt>
                <c:pt idx="586">
                  <c:v>5</c:v>
                </c:pt>
                <c:pt idx="587">
                  <c:v>5</c:v>
                </c:pt>
                <c:pt idx="588">
                  <c:v>5</c:v>
                </c:pt>
                <c:pt idx="589">
                  <c:v>5</c:v>
                </c:pt>
                <c:pt idx="590">
                  <c:v>5</c:v>
                </c:pt>
                <c:pt idx="591">
                  <c:v>5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5</c:v>
                </c:pt>
                <c:pt idx="597">
                  <c:v>5</c:v>
                </c:pt>
                <c:pt idx="598">
                  <c:v>5</c:v>
                </c:pt>
                <c:pt idx="599">
                  <c:v>5</c:v>
                </c:pt>
                <c:pt idx="600">
                  <c:v>5</c:v>
                </c:pt>
                <c:pt idx="601">
                  <c:v>4.5</c:v>
                </c:pt>
                <c:pt idx="602">
                  <c:v>4.5</c:v>
                </c:pt>
                <c:pt idx="603">
                  <c:v>4.5</c:v>
                </c:pt>
                <c:pt idx="604">
                  <c:v>4.5</c:v>
                </c:pt>
                <c:pt idx="605">
                  <c:v>4.5</c:v>
                </c:pt>
                <c:pt idx="606">
                  <c:v>4.5</c:v>
                </c:pt>
                <c:pt idx="607">
                  <c:v>4.5</c:v>
                </c:pt>
                <c:pt idx="608">
                  <c:v>4.5</c:v>
                </c:pt>
                <c:pt idx="609">
                  <c:v>4.5</c:v>
                </c:pt>
                <c:pt idx="610">
                  <c:v>4.5</c:v>
                </c:pt>
                <c:pt idx="611">
                  <c:v>4.5</c:v>
                </c:pt>
                <c:pt idx="612">
                  <c:v>4.5</c:v>
                </c:pt>
                <c:pt idx="613">
                  <c:v>4.5</c:v>
                </c:pt>
                <c:pt idx="614">
                  <c:v>4.5</c:v>
                </c:pt>
                <c:pt idx="615">
                  <c:v>4.5</c:v>
                </c:pt>
                <c:pt idx="616">
                  <c:v>4.5</c:v>
                </c:pt>
                <c:pt idx="617">
                  <c:v>4.5</c:v>
                </c:pt>
                <c:pt idx="618">
                  <c:v>4.5</c:v>
                </c:pt>
                <c:pt idx="619">
                  <c:v>4.5</c:v>
                </c:pt>
                <c:pt idx="620">
                  <c:v>4.5</c:v>
                </c:pt>
                <c:pt idx="621">
                  <c:v>4.5</c:v>
                </c:pt>
                <c:pt idx="622">
                  <c:v>4.5</c:v>
                </c:pt>
                <c:pt idx="623">
                  <c:v>4.5</c:v>
                </c:pt>
                <c:pt idx="624">
                  <c:v>4.5</c:v>
                </c:pt>
                <c:pt idx="625">
                  <c:v>4.5</c:v>
                </c:pt>
                <c:pt idx="626">
                  <c:v>4.5</c:v>
                </c:pt>
                <c:pt idx="627">
                  <c:v>4.5</c:v>
                </c:pt>
                <c:pt idx="628">
                  <c:v>4.5</c:v>
                </c:pt>
                <c:pt idx="629">
                  <c:v>4.5</c:v>
                </c:pt>
                <c:pt idx="630">
                  <c:v>4.5</c:v>
                </c:pt>
                <c:pt idx="631">
                  <c:v>4.5</c:v>
                </c:pt>
                <c:pt idx="632">
                  <c:v>4.5</c:v>
                </c:pt>
                <c:pt idx="633">
                  <c:v>4.5</c:v>
                </c:pt>
                <c:pt idx="634">
                  <c:v>4.5</c:v>
                </c:pt>
                <c:pt idx="635">
                  <c:v>4.5</c:v>
                </c:pt>
                <c:pt idx="636">
                  <c:v>4.5</c:v>
                </c:pt>
                <c:pt idx="637">
                  <c:v>4.5</c:v>
                </c:pt>
                <c:pt idx="638">
                  <c:v>4.5</c:v>
                </c:pt>
                <c:pt idx="639">
                  <c:v>4.5</c:v>
                </c:pt>
                <c:pt idx="640">
                  <c:v>4.5</c:v>
                </c:pt>
                <c:pt idx="641">
                  <c:v>4.5</c:v>
                </c:pt>
                <c:pt idx="642">
                  <c:v>4.5</c:v>
                </c:pt>
                <c:pt idx="643">
                  <c:v>4.5</c:v>
                </c:pt>
                <c:pt idx="644">
                  <c:v>4.5</c:v>
                </c:pt>
                <c:pt idx="645">
                  <c:v>4.5</c:v>
                </c:pt>
                <c:pt idx="646">
                  <c:v>4.5</c:v>
                </c:pt>
                <c:pt idx="647">
                  <c:v>4.5</c:v>
                </c:pt>
                <c:pt idx="648">
                  <c:v>4.5</c:v>
                </c:pt>
                <c:pt idx="649">
                  <c:v>4.5</c:v>
                </c:pt>
                <c:pt idx="650">
                  <c:v>4.5</c:v>
                </c:pt>
                <c:pt idx="651">
                  <c:v>4.5</c:v>
                </c:pt>
                <c:pt idx="652">
                  <c:v>4.5</c:v>
                </c:pt>
                <c:pt idx="653">
                  <c:v>4.5</c:v>
                </c:pt>
                <c:pt idx="654">
                  <c:v>4.5</c:v>
                </c:pt>
                <c:pt idx="655">
                  <c:v>4.5</c:v>
                </c:pt>
                <c:pt idx="656">
                  <c:v>4.5</c:v>
                </c:pt>
                <c:pt idx="657">
                  <c:v>4.5</c:v>
                </c:pt>
                <c:pt idx="658">
                  <c:v>4.5</c:v>
                </c:pt>
                <c:pt idx="659">
                  <c:v>4.5</c:v>
                </c:pt>
                <c:pt idx="660">
                  <c:v>4.5</c:v>
                </c:pt>
                <c:pt idx="661">
                  <c:v>4.5</c:v>
                </c:pt>
                <c:pt idx="662">
                  <c:v>4.5</c:v>
                </c:pt>
                <c:pt idx="663">
                  <c:v>4.5</c:v>
                </c:pt>
                <c:pt idx="664">
                  <c:v>4.5</c:v>
                </c:pt>
                <c:pt idx="665">
                  <c:v>4.5</c:v>
                </c:pt>
                <c:pt idx="666">
                  <c:v>4.5</c:v>
                </c:pt>
                <c:pt idx="667">
                  <c:v>4.5</c:v>
                </c:pt>
                <c:pt idx="668">
                  <c:v>4.5</c:v>
                </c:pt>
                <c:pt idx="669">
                  <c:v>4.5</c:v>
                </c:pt>
                <c:pt idx="670">
                  <c:v>4.5</c:v>
                </c:pt>
                <c:pt idx="671">
                  <c:v>4.5</c:v>
                </c:pt>
                <c:pt idx="672">
                  <c:v>4.5</c:v>
                </c:pt>
                <c:pt idx="673">
                  <c:v>4.5</c:v>
                </c:pt>
                <c:pt idx="674">
                  <c:v>4.5</c:v>
                </c:pt>
                <c:pt idx="675">
                  <c:v>4.5</c:v>
                </c:pt>
                <c:pt idx="676">
                  <c:v>4.5</c:v>
                </c:pt>
                <c:pt idx="677">
                  <c:v>4.5</c:v>
                </c:pt>
                <c:pt idx="678">
                  <c:v>4.5</c:v>
                </c:pt>
                <c:pt idx="679">
                  <c:v>4.5</c:v>
                </c:pt>
                <c:pt idx="680">
                  <c:v>4.5</c:v>
                </c:pt>
                <c:pt idx="681">
                  <c:v>4.5</c:v>
                </c:pt>
                <c:pt idx="682">
                  <c:v>4.5</c:v>
                </c:pt>
                <c:pt idx="683">
                  <c:v>4.5</c:v>
                </c:pt>
                <c:pt idx="684">
                  <c:v>4.5</c:v>
                </c:pt>
                <c:pt idx="685">
                  <c:v>4.5</c:v>
                </c:pt>
                <c:pt idx="686">
                  <c:v>4.5</c:v>
                </c:pt>
                <c:pt idx="687">
                  <c:v>4.5</c:v>
                </c:pt>
                <c:pt idx="688">
                  <c:v>4.5</c:v>
                </c:pt>
                <c:pt idx="689">
                  <c:v>4.5</c:v>
                </c:pt>
                <c:pt idx="690">
                  <c:v>4.5</c:v>
                </c:pt>
                <c:pt idx="691">
                  <c:v>4.5</c:v>
                </c:pt>
                <c:pt idx="692">
                  <c:v>4.5</c:v>
                </c:pt>
                <c:pt idx="693">
                  <c:v>4.5</c:v>
                </c:pt>
                <c:pt idx="694">
                  <c:v>4.5</c:v>
                </c:pt>
                <c:pt idx="695">
                  <c:v>4.5</c:v>
                </c:pt>
                <c:pt idx="696">
                  <c:v>4.5</c:v>
                </c:pt>
                <c:pt idx="697">
                  <c:v>4.5</c:v>
                </c:pt>
                <c:pt idx="698">
                  <c:v>4.5</c:v>
                </c:pt>
                <c:pt idx="699">
                  <c:v>4.5</c:v>
                </c:pt>
                <c:pt idx="700">
                  <c:v>4.5</c:v>
                </c:pt>
                <c:pt idx="701">
                  <c:v>4.5</c:v>
                </c:pt>
                <c:pt idx="702">
                  <c:v>4.5</c:v>
                </c:pt>
                <c:pt idx="703">
                  <c:v>4.5</c:v>
                </c:pt>
                <c:pt idx="704">
                  <c:v>4.5</c:v>
                </c:pt>
                <c:pt idx="705">
                  <c:v>4.5</c:v>
                </c:pt>
                <c:pt idx="706">
                  <c:v>4.5</c:v>
                </c:pt>
                <c:pt idx="707">
                  <c:v>4.5</c:v>
                </c:pt>
                <c:pt idx="708">
                  <c:v>4.5</c:v>
                </c:pt>
                <c:pt idx="709">
                  <c:v>4.5</c:v>
                </c:pt>
                <c:pt idx="710">
                  <c:v>4.5</c:v>
                </c:pt>
                <c:pt idx="711">
                  <c:v>4.5</c:v>
                </c:pt>
                <c:pt idx="712">
                  <c:v>4.5</c:v>
                </c:pt>
                <c:pt idx="713">
                  <c:v>4.5</c:v>
                </c:pt>
                <c:pt idx="714">
                  <c:v>4.5</c:v>
                </c:pt>
                <c:pt idx="715">
                  <c:v>4.5</c:v>
                </c:pt>
                <c:pt idx="716">
                  <c:v>4.5</c:v>
                </c:pt>
                <c:pt idx="717">
                  <c:v>4.5</c:v>
                </c:pt>
                <c:pt idx="718">
                  <c:v>4.5</c:v>
                </c:pt>
                <c:pt idx="719">
                  <c:v>4.5</c:v>
                </c:pt>
                <c:pt idx="720">
                  <c:v>4.5</c:v>
                </c:pt>
                <c:pt idx="721">
                  <c:v>4.5</c:v>
                </c:pt>
                <c:pt idx="722">
                  <c:v>4.5</c:v>
                </c:pt>
                <c:pt idx="723">
                  <c:v>4.5</c:v>
                </c:pt>
                <c:pt idx="724">
                  <c:v>4.5</c:v>
                </c:pt>
                <c:pt idx="725">
                  <c:v>4.5</c:v>
                </c:pt>
                <c:pt idx="726">
                  <c:v>4.5</c:v>
                </c:pt>
                <c:pt idx="727">
                  <c:v>4.5</c:v>
                </c:pt>
                <c:pt idx="728">
                  <c:v>4.5</c:v>
                </c:pt>
                <c:pt idx="729">
                  <c:v>4.5</c:v>
                </c:pt>
                <c:pt idx="730">
                  <c:v>4.5</c:v>
                </c:pt>
                <c:pt idx="731">
                  <c:v>4.5</c:v>
                </c:pt>
                <c:pt idx="732">
                  <c:v>4.5</c:v>
                </c:pt>
                <c:pt idx="733">
                  <c:v>4.5</c:v>
                </c:pt>
                <c:pt idx="734">
                  <c:v>4.5</c:v>
                </c:pt>
                <c:pt idx="735">
                  <c:v>4.5</c:v>
                </c:pt>
                <c:pt idx="736">
                  <c:v>4.5</c:v>
                </c:pt>
                <c:pt idx="737">
                  <c:v>4.5</c:v>
                </c:pt>
                <c:pt idx="738">
                  <c:v>4.5</c:v>
                </c:pt>
                <c:pt idx="739">
                  <c:v>4.5</c:v>
                </c:pt>
                <c:pt idx="740">
                  <c:v>4.5</c:v>
                </c:pt>
                <c:pt idx="741">
                  <c:v>4.5</c:v>
                </c:pt>
                <c:pt idx="742">
                  <c:v>4.5</c:v>
                </c:pt>
                <c:pt idx="743">
                  <c:v>4.5</c:v>
                </c:pt>
                <c:pt idx="744">
                  <c:v>4.5</c:v>
                </c:pt>
                <c:pt idx="745">
                  <c:v>4.5</c:v>
                </c:pt>
                <c:pt idx="746">
                  <c:v>4.5</c:v>
                </c:pt>
                <c:pt idx="747">
                  <c:v>4.5</c:v>
                </c:pt>
                <c:pt idx="748">
                  <c:v>4.5</c:v>
                </c:pt>
                <c:pt idx="749">
                  <c:v>4.5</c:v>
                </c:pt>
                <c:pt idx="750">
                  <c:v>4.5</c:v>
                </c:pt>
                <c:pt idx="751">
                  <c:v>4.5</c:v>
                </c:pt>
                <c:pt idx="752">
                  <c:v>4.5</c:v>
                </c:pt>
                <c:pt idx="753">
                  <c:v>4.5</c:v>
                </c:pt>
                <c:pt idx="754">
                  <c:v>4.5</c:v>
                </c:pt>
                <c:pt idx="755">
                  <c:v>4.5</c:v>
                </c:pt>
                <c:pt idx="756">
                  <c:v>4.5</c:v>
                </c:pt>
                <c:pt idx="757">
                  <c:v>4.5</c:v>
                </c:pt>
                <c:pt idx="758">
                  <c:v>4.5</c:v>
                </c:pt>
                <c:pt idx="759">
                  <c:v>4.5</c:v>
                </c:pt>
                <c:pt idx="760">
                  <c:v>4.5</c:v>
                </c:pt>
                <c:pt idx="761">
                  <c:v>4.5</c:v>
                </c:pt>
                <c:pt idx="762">
                  <c:v>4.5</c:v>
                </c:pt>
                <c:pt idx="763">
                  <c:v>4.5</c:v>
                </c:pt>
                <c:pt idx="764">
                  <c:v>4.5</c:v>
                </c:pt>
                <c:pt idx="765">
                  <c:v>4.5</c:v>
                </c:pt>
                <c:pt idx="766">
                  <c:v>4.5</c:v>
                </c:pt>
                <c:pt idx="767">
                  <c:v>4.5</c:v>
                </c:pt>
                <c:pt idx="768">
                  <c:v>4.5</c:v>
                </c:pt>
                <c:pt idx="769">
                  <c:v>4.5</c:v>
                </c:pt>
                <c:pt idx="770">
                  <c:v>4.5</c:v>
                </c:pt>
                <c:pt idx="771">
                  <c:v>4.5</c:v>
                </c:pt>
                <c:pt idx="772">
                  <c:v>4.5</c:v>
                </c:pt>
                <c:pt idx="773">
                  <c:v>4.5</c:v>
                </c:pt>
                <c:pt idx="774">
                  <c:v>4.5</c:v>
                </c:pt>
                <c:pt idx="775">
                  <c:v>4.5</c:v>
                </c:pt>
                <c:pt idx="776">
                  <c:v>4.5</c:v>
                </c:pt>
                <c:pt idx="777">
                  <c:v>4.5</c:v>
                </c:pt>
                <c:pt idx="778">
                  <c:v>4.5</c:v>
                </c:pt>
                <c:pt idx="779">
                  <c:v>4.5</c:v>
                </c:pt>
                <c:pt idx="780">
                  <c:v>4.5</c:v>
                </c:pt>
                <c:pt idx="781">
                  <c:v>4.5</c:v>
                </c:pt>
                <c:pt idx="782">
                  <c:v>4.5</c:v>
                </c:pt>
                <c:pt idx="783">
                  <c:v>4.5</c:v>
                </c:pt>
                <c:pt idx="784">
                  <c:v>4.5</c:v>
                </c:pt>
                <c:pt idx="785">
                  <c:v>4.5</c:v>
                </c:pt>
                <c:pt idx="786">
                  <c:v>4.5</c:v>
                </c:pt>
                <c:pt idx="787">
                  <c:v>4.5</c:v>
                </c:pt>
                <c:pt idx="788">
                  <c:v>4.5</c:v>
                </c:pt>
                <c:pt idx="789">
                  <c:v>4.5</c:v>
                </c:pt>
                <c:pt idx="790">
                  <c:v>4.5</c:v>
                </c:pt>
                <c:pt idx="791">
                  <c:v>4.5</c:v>
                </c:pt>
                <c:pt idx="792">
                  <c:v>4.5</c:v>
                </c:pt>
                <c:pt idx="793">
                  <c:v>4.5</c:v>
                </c:pt>
                <c:pt idx="794">
                  <c:v>4.5</c:v>
                </c:pt>
                <c:pt idx="795">
                  <c:v>4.5</c:v>
                </c:pt>
                <c:pt idx="796">
                  <c:v>4.5</c:v>
                </c:pt>
                <c:pt idx="797">
                  <c:v>4.5</c:v>
                </c:pt>
                <c:pt idx="798">
                  <c:v>4.5</c:v>
                </c:pt>
                <c:pt idx="799">
                  <c:v>4.5</c:v>
                </c:pt>
                <c:pt idx="800">
                  <c:v>4.5</c:v>
                </c:pt>
                <c:pt idx="801">
                  <c:v>4.5</c:v>
                </c:pt>
                <c:pt idx="802">
                  <c:v>4.5</c:v>
                </c:pt>
                <c:pt idx="803">
                  <c:v>4.5</c:v>
                </c:pt>
                <c:pt idx="804">
                  <c:v>4.5</c:v>
                </c:pt>
                <c:pt idx="805">
                  <c:v>4.5</c:v>
                </c:pt>
                <c:pt idx="806">
                  <c:v>4.5</c:v>
                </c:pt>
                <c:pt idx="807">
                  <c:v>4.5</c:v>
                </c:pt>
                <c:pt idx="808">
                  <c:v>4.5</c:v>
                </c:pt>
                <c:pt idx="809">
                  <c:v>4.5</c:v>
                </c:pt>
                <c:pt idx="810">
                  <c:v>4.5</c:v>
                </c:pt>
                <c:pt idx="811">
                  <c:v>4.5</c:v>
                </c:pt>
                <c:pt idx="812">
                  <c:v>4.5</c:v>
                </c:pt>
                <c:pt idx="813">
                  <c:v>4.5</c:v>
                </c:pt>
                <c:pt idx="814">
                  <c:v>4.5</c:v>
                </c:pt>
                <c:pt idx="815">
                  <c:v>4.5</c:v>
                </c:pt>
                <c:pt idx="816">
                  <c:v>4.5</c:v>
                </c:pt>
                <c:pt idx="817">
                  <c:v>4.5</c:v>
                </c:pt>
                <c:pt idx="818">
                  <c:v>4.5</c:v>
                </c:pt>
                <c:pt idx="819">
                  <c:v>4.5</c:v>
                </c:pt>
                <c:pt idx="820">
                  <c:v>4.5</c:v>
                </c:pt>
                <c:pt idx="821">
                  <c:v>4.5</c:v>
                </c:pt>
                <c:pt idx="822">
                  <c:v>4.5</c:v>
                </c:pt>
                <c:pt idx="823">
                  <c:v>4.5</c:v>
                </c:pt>
                <c:pt idx="824">
                  <c:v>4.5</c:v>
                </c:pt>
                <c:pt idx="825">
                  <c:v>4.5</c:v>
                </c:pt>
                <c:pt idx="826">
                  <c:v>4.5</c:v>
                </c:pt>
                <c:pt idx="827">
                  <c:v>4.5</c:v>
                </c:pt>
                <c:pt idx="828">
                  <c:v>4.5</c:v>
                </c:pt>
                <c:pt idx="829">
                  <c:v>4.5</c:v>
                </c:pt>
                <c:pt idx="830">
                  <c:v>4.5</c:v>
                </c:pt>
                <c:pt idx="831">
                  <c:v>4.5</c:v>
                </c:pt>
                <c:pt idx="832">
                  <c:v>4.5</c:v>
                </c:pt>
                <c:pt idx="833">
                  <c:v>4.5</c:v>
                </c:pt>
                <c:pt idx="834">
                  <c:v>4.5</c:v>
                </c:pt>
                <c:pt idx="835">
                  <c:v>4.5</c:v>
                </c:pt>
                <c:pt idx="836">
                  <c:v>4.5</c:v>
                </c:pt>
                <c:pt idx="837">
                  <c:v>4.5</c:v>
                </c:pt>
                <c:pt idx="838">
                  <c:v>4.5</c:v>
                </c:pt>
                <c:pt idx="839">
                  <c:v>4.5</c:v>
                </c:pt>
                <c:pt idx="840">
                  <c:v>4.5</c:v>
                </c:pt>
                <c:pt idx="841">
                  <c:v>4.5</c:v>
                </c:pt>
                <c:pt idx="842">
                  <c:v>4.5</c:v>
                </c:pt>
                <c:pt idx="843">
                  <c:v>4.5</c:v>
                </c:pt>
                <c:pt idx="844">
                  <c:v>4.5</c:v>
                </c:pt>
                <c:pt idx="845">
                  <c:v>4.5</c:v>
                </c:pt>
                <c:pt idx="846">
                  <c:v>4.5</c:v>
                </c:pt>
                <c:pt idx="847">
                  <c:v>4.5</c:v>
                </c:pt>
                <c:pt idx="848">
                  <c:v>4.5</c:v>
                </c:pt>
                <c:pt idx="849">
                  <c:v>4.5</c:v>
                </c:pt>
                <c:pt idx="850">
                  <c:v>4.5</c:v>
                </c:pt>
                <c:pt idx="851">
                  <c:v>4.5</c:v>
                </c:pt>
                <c:pt idx="852">
                  <c:v>4.5</c:v>
                </c:pt>
                <c:pt idx="853">
                  <c:v>4.5</c:v>
                </c:pt>
                <c:pt idx="854">
                  <c:v>4.5</c:v>
                </c:pt>
                <c:pt idx="855">
                  <c:v>4.5</c:v>
                </c:pt>
                <c:pt idx="856">
                  <c:v>4.5</c:v>
                </c:pt>
                <c:pt idx="857">
                  <c:v>4.5</c:v>
                </c:pt>
                <c:pt idx="858">
                  <c:v>4.5</c:v>
                </c:pt>
                <c:pt idx="859">
                  <c:v>4.5</c:v>
                </c:pt>
                <c:pt idx="860">
                  <c:v>4.5</c:v>
                </c:pt>
                <c:pt idx="861">
                  <c:v>4.5</c:v>
                </c:pt>
                <c:pt idx="862">
                  <c:v>4.5</c:v>
                </c:pt>
                <c:pt idx="863">
                  <c:v>4.5</c:v>
                </c:pt>
                <c:pt idx="864">
                  <c:v>4.5</c:v>
                </c:pt>
                <c:pt idx="865">
                  <c:v>4.5</c:v>
                </c:pt>
                <c:pt idx="866">
                  <c:v>4.5</c:v>
                </c:pt>
                <c:pt idx="867">
                  <c:v>4.5</c:v>
                </c:pt>
                <c:pt idx="868">
                  <c:v>4.5</c:v>
                </c:pt>
                <c:pt idx="869">
                  <c:v>4.5</c:v>
                </c:pt>
                <c:pt idx="870">
                  <c:v>4.5</c:v>
                </c:pt>
                <c:pt idx="871">
                  <c:v>4.5</c:v>
                </c:pt>
                <c:pt idx="872">
                  <c:v>4.5</c:v>
                </c:pt>
                <c:pt idx="873">
                  <c:v>4.5</c:v>
                </c:pt>
                <c:pt idx="874">
                  <c:v>4.5</c:v>
                </c:pt>
                <c:pt idx="875">
                  <c:v>4.5</c:v>
                </c:pt>
                <c:pt idx="876">
                  <c:v>4.5</c:v>
                </c:pt>
                <c:pt idx="877">
                  <c:v>4.5</c:v>
                </c:pt>
                <c:pt idx="878">
                  <c:v>4.5</c:v>
                </c:pt>
                <c:pt idx="879">
                  <c:v>4.5</c:v>
                </c:pt>
                <c:pt idx="880">
                  <c:v>4.5</c:v>
                </c:pt>
                <c:pt idx="881">
                  <c:v>4.5</c:v>
                </c:pt>
                <c:pt idx="882">
                  <c:v>4.5</c:v>
                </c:pt>
                <c:pt idx="883">
                  <c:v>4.5</c:v>
                </c:pt>
                <c:pt idx="884">
                  <c:v>4.5</c:v>
                </c:pt>
                <c:pt idx="885">
                  <c:v>4.5</c:v>
                </c:pt>
                <c:pt idx="886">
                  <c:v>4.5</c:v>
                </c:pt>
                <c:pt idx="887">
                  <c:v>4.5</c:v>
                </c:pt>
                <c:pt idx="888">
                  <c:v>4.5</c:v>
                </c:pt>
                <c:pt idx="889">
                  <c:v>4.5</c:v>
                </c:pt>
                <c:pt idx="890">
                  <c:v>4.5</c:v>
                </c:pt>
                <c:pt idx="891">
                  <c:v>4.5</c:v>
                </c:pt>
                <c:pt idx="892">
                  <c:v>4.5</c:v>
                </c:pt>
                <c:pt idx="893">
                  <c:v>4.5</c:v>
                </c:pt>
                <c:pt idx="894">
                  <c:v>4.5</c:v>
                </c:pt>
                <c:pt idx="895">
                  <c:v>4.5</c:v>
                </c:pt>
                <c:pt idx="896">
                  <c:v>4.5</c:v>
                </c:pt>
                <c:pt idx="897">
                  <c:v>4.5</c:v>
                </c:pt>
                <c:pt idx="898">
                  <c:v>4.5</c:v>
                </c:pt>
                <c:pt idx="899">
                  <c:v>4.5</c:v>
                </c:pt>
                <c:pt idx="900">
                  <c:v>4.5</c:v>
                </c:pt>
                <c:pt idx="901">
                  <c:v>4.5</c:v>
                </c:pt>
                <c:pt idx="902">
                  <c:v>4.5</c:v>
                </c:pt>
                <c:pt idx="903">
                  <c:v>4.5</c:v>
                </c:pt>
                <c:pt idx="904">
                  <c:v>4.5</c:v>
                </c:pt>
                <c:pt idx="905">
                  <c:v>4.5</c:v>
                </c:pt>
                <c:pt idx="906">
                  <c:v>4.5</c:v>
                </c:pt>
                <c:pt idx="907">
                  <c:v>4.5</c:v>
                </c:pt>
                <c:pt idx="908">
                  <c:v>4.5</c:v>
                </c:pt>
                <c:pt idx="909">
                  <c:v>4.5</c:v>
                </c:pt>
                <c:pt idx="910">
                  <c:v>4.5</c:v>
                </c:pt>
                <c:pt idx="911">
                  <c:v>4.5</c:v>
                </c:pt>
                <c:pt idx="912">
                  <c:v>4.5</c:v>
                </c:pt>
                <c:pt idx="913">
                  <c:v>4.5</c:v>
                </c:pt>
                <c:pt idx="914">
                  <c:v>4.5</c:v>
                </c:pt>
                <c:pt idx="915">
                  <c:v>4.5</c:v>
                </c:pt>
                <c:pt idx="916">
                  <c:v>4.5</c:v>
                </c:pt>
                <c:pt idx="917">
                  <c:v>4.5</c:v>
                </c:pt>
                <c:pt idx="918">
                  <c:v>4.5</c:v>
                </c:pt>
                <c:pt idx="919">
                  <c:v>4.5</c:v>
                </c:pt>
                <c:pt idx="920">
                  <c:v>4.5</c:v>
                </c:pt>
                <c:pt idx="921">
                  <c:v>4.5</c:v>
                </c:pt>
                <c:pt idx="922">
                  <c:v>4.5</c:v>
                </c:pt>
                <c:pt idx="923">
                  <c:v>4.5</c:v>
                </c:pt>
                <c:pt idx="924">
                  <c:v>4.5</c:v>
                </c:pt>
                <c:pt idx="925">
                  <c:v>4.5</c:v>
                </c:pt>
                <c:pt idx="926">
                  <c:v>4.5</c:v>
                </c:pt>
                <c:pt idx="927">
                  <c:v>4.5</c:v>
                </c:pt>
                <c:pt idx="928">
                  <c:v>4.5</c:v>
                </c:pt>
                <c:pt idx="929">
                  <c:v>4.5</c:v>
                </c:pt>
                <c:pt idx="930">
                  <c:v>4.5</c:v>
                </c:pt>
                <c:pt idx="931">
                  <c:v>4.5</c:v>
                </c:pt>
                <c:pt idx="932">
                  <c:v>4.5</c:v>
                </c:pt>
                <c:pt idx="933">
                  <c:v>4.5</c:v>
                </c:pt>
                <c:pt idx="934">
                  <c:v>4.5</c:v>
                </c:pt>
                <c:pt idx="935">
                  <c:v>4.5</c:v>
                </c:pt>
                <c:pt idx="936">
                  <c:v>4.5</c:v>
                </c:pt>
                <c:pt idx="937">
                  <c:v>4.5</c:v>
                </c:pt>
                <c:pt idx="938">
                  <c:v>4.5</c:v>
                </c:pt>
                <c:pt idx="939">
                  <c:v>4.5</c:v>
                </c:pt>
                <c:pt idx="940">
                  <c:v>4.5</c:v>
                </c:pt>
                <c:pt idx="941">
                  <c:v>4.5</c:v>
                </c:pt>
                <c:pt idx="942">
                  <c:v>4.5</c:v>
                </c:pt>
                <c:pt idx="943">
                  <c:v>4.5</c:v>
                </c:pt>
                <c:pt idx="944">
                  <c:v>4.5</c:v>
                </c:pt>
                <c:pt idx="945">
                  <c:v>4.5</c:v>
                </c:pt>
                <c:pt idx="946">
                  <c:v>4.5</c:v>
                </c:pt>
                <c:pt idx="947">
                  <c:v>4.5</c:v>
                </c:pt>
                <c:pt idx="948">
                  <c:v>4.5</c:v>
                </c:pt>
                <c:pt idx="949">
                  <c:v>4.5</c:v>
                </c:pt>
                <c:pt idx="950">
                  <c:v>4.5</c:v>
                </c:pt>
                <c:pt idx="951">
                  <c:v>4.5</c:v>
                </c:pt>
                <c:pt idx="952">
                  <c:v>4.5</c:v>
                </c:pt>
                <c:pt idx="953">
                  <c:v>4.5</c:v>
                </c:pt>
                <c:pt idx="954">
                  <c:v>4.5</c:v>
                </c:pt>
                <c:pt idx="955">
                  <c:v>4.5</c:v>
                </c:pt>
                <c:pt idx="956">
                  <c:v>4.5</c:v>
                </c:pt>
                <c:pt idx="957">
                  <c:v>4.5</c:v>
                </c:pt>
                <c:pt idx="958">
                  <c:v>4.5</c:v>
                </c:pt>
                <c:pt idx="959">
                  <c:v>4.5</c:v>
                </c:pt>
                <c:pt idx="960">
                  <c:v>4.5</c:v>
                </c:pt>
                <c:pt idx="961">
                  <c:v>4.5</c:v>
                </c:pt>
                <c:pt idx="962">
                  <c:v>4.5</c:v>
                </c:pt>
                <c:pt idx="963">
                  <c:v>4.5</c:v>
                </c:pt>
                <c:pt idx="964">
                  <c:v>4.5</c:v>
                </c:pt>
                <c:pt idx="965">
                  <c:v>4.5</c:v>
                </c:pt>
                <c:pt idx="966">
                  <c:v>4.5</c:v>
                </c:pt>
                <c:pt idx="967">
                  <c:v>4.5</c:v>
                </c:pt>
                <c:pt idx="968">
                  <c:v>4.5</c:v>
                </c:pt>
                <c:pt idx="969">
                  <c:v>4.5</c:v>
                </c:pt>
                <c:pt idx="970">
                  <c:v>4.5</c:v>
                </c:pt>
                <c:pt idx="971">
                  <c:v>4.5</c:v>
                </c:pt>
                <c:pt idx="972">
                  <c:v>4.5</c:v>
                </c:pt>
                <c:pt idx="973">
                  <c:v>4.5</c:v>
                </c:pt>
                <c:pt idx="974">
                  <c:v>4.5</c:v>
                </c:pt>
                <c:pt idx="975">
                  <c:v>4.5</c:v>
                </c:pt>
                <c:pt idx="976">
                  <c:v>4.5</c:v>
                </c:pt>
                <c:pt idx="977">
                  <c:v>4.5</c:v>
                </c:pt>
                <c:pt idx="978">
                  <c:v>4.5</c:v>
                </c:pt>
                <c:pt idx="979">
                  <c:v>4.5</c:v>
                </c:pt>
                <c:pt idx="980">
                  <c:v>4.5</c:v>
                </c:pt>
                <c:pt idx="981">
                  <c:v>4.5</c:v>
                </c:pt>
                <c:pt idx="982">
                  <c:v>4.5</c:v>
                </c:pt>
                <c:pt idx="983">
                  <c:v>4.5</c:v>
                </c:pt>
                <c:pt idx="984">
                  <c:v>4.5</c:v>
                </c:pt>
                <c:pt idx="985">
                  <c:v>4.5</c:v>
                </c:pt>
                <c:pt idx="986">
                  <c:v>4.5</c:v>
                </c:pt>
                <c:pt idx="987">
                  <c:v>4.5</c:v>
                </c:pt>
                <c:pt idx="988">
                  <c:v>4.5</c:v>
                </c:pt>
                <c:pt idx="989">
                  <c:v>4.5</c:v>
                </c:pt>
                <c:pt idx="990">
                  <c:v>4.5</c:v>
                </c:pt>
                <c:pt idx="991">
                  <c:v>4.5</c:v>
                </c:pt>
                <c:pt idx="992">
                  <c:v>4.5</c:v>
                </c:pt>
                <c:pt idx="993">
                  <c:v>4.5</c:v>
                </c:pt>
                <c:pt idx="994">
                  <c:v>4.5</c:v>
                </c:pt>
                <c:pt idx="995">
                  <c:v>4.5</c:v>
                </c:pt>
                <c:pt idx="996">
                  <c:v>4.5</c:v>
                </c:pt>
                <c:pt idx="997">
                  <c:v>4.5</c:v>
                </c:pt>
                <c:pt idx="998">
                  <c:v>4.5</c:v>
                </c:pt>
                <c:pt idx="999">
                  <c:v>4.5</c:v>
                </c:pt>
                <c:pt idx="1000">
                  <c:v>4.5</c:v>
                </c:pt>
                <c:pt idx="1001">
                  <c:v>4.5</c:v>
                </c:pt>
                <c:pt idx="1002">
                  <c:v>4.5</c:v>
                </c:pt>
                <c:pt idx="1003">
                  <c:v>4.5</c:v>
                </c:pt>
                <c:pt idx="1004">
                  <c:v>4.5</c:v>
                </c:pt>
                <c:pt idx="1005">
                  <c:v>4.5</c:v>
                </c:pt>
                <c:pt idx="1006">
                  <c:v>4.5</c:v>
                </c:pt>
                <c:pt idx="1007">
                  <c:v>4.5</c:v>
                </c:pt>
                <c:pt idx="1008">
                  <c:v>4.5</c:v>
                </c:pt>
                <c:pt idx="1009">
                  <c:v>4.5</c:v>
                </c:pt>
                <c:pt idx="1010">
                  <c:v>4.5</c:v>
                </c:pt>
                <c:pt idx="1011">
                  <c:v>4.5</c:v>
                </c:pt>
                <c:pt idx="1012">
                  <c:v>4.5</c:v>
                </c:pt>
                <c:pt idx="1013">
                  <c:v>4.5</c:v>
                </c:pt>
                <c:pt idx="1014">
                  <c:v>4.5</c:v>
                </c:pt>
                <c:pt idx="1015">
                  <c:v>4.5</c:v>
                </c:pt>
                <c:pt idx="1016">
                  <c:v>4.5</c:v>
                </c:pt>
                <c:pt idx="1017">
                  <c:v>4.5</c:v>
                </c:pt>
                <c:pt idx="1018">
                  <c:v>4.5</c:v>
                </c:pt>
                <c:pt idx="1019">
                  <c:v>4.5</c:v>
                </c:pt>
                <c:pt idx="1020">
                  <c:v>4.5</c:v>
                </c:pt>
                <c:pt idx="1021">
                  <c:v>4.5</c:v>
                </c:pt>
                <c:pt idx="1022">
                  <c:v>4.5</c:v>
                </c:pt>
                <c:pt idx="1023">
                  <c:v>4.5</c:v>
                </c:pt>
                <c:pt idx="1024">
                  <c:v>4.5</c:v>
                </c:pt>
                <c:pt idx="1025">
                  <c:v>4.5</c:v>
                </c:pt>
                <c:pt idx="1026">
                  <c:v>4.5</c:v>
                </c:pt>
                <c:pt idx="1027">
                  <c:v>4.5</c:v>
                </c:pt>
                <c:pt idx="1028">
                  <c:v>4.5</c:v>
                </c:pt>
                <c:pt idx="1029">
                  <c:v>4.5</c:v>
                </c:pt>
                <c:pt idx="1030">
                  <c:v>6</c:v>
                </c:pt>
                <c:pt idx="1031">
                  <c:v>6</c:v>
                </c:pt>
                <c:pt idx="1032">
                  <c:v>6</c:v>
                </c:pt>
                <c:pt idx="1033">
                  <c:v>6</c:v>
                </c:pt>
                <c:pt idx="1034">
                  <c:v>6</c:v>
                </c:pt>
                <c:pt idx="1035">
                  <c:v>6</c:v>
                </c:pt>
                <c:pt idx="1036">
                  <c:v>6</c:v>
                </c:pt>
                <c:pt idx="1037">
                  <c:v>6</c:v>
                </c:pt>
                <c:pt idx="1038">
                  <c:v>6</c:v>
                </c:pt>
                <c:pt idx="1039">
                  <c:v>6</c:v>
                </c:pt>
                <c:pt idx="1040">
                  <c:v>6</c:v>
                </c:pt>
                <c:pt idx="1041">
                  <c:v>6</c:v>
                </c:pt>
                <c:pt idx="1042">
                  <c:v>6</c:v>
                </c:pt>
                <c:pt idx="1043">
                  <c:v>6</c:v>
                </c:pt>
                <c:pt idx="1044">
                  <c:v>6</c:v>
                </c:pt>
                <c:pt idx="1045">
                  <c:v>6</c:v>
                </c:pt>
                <c:pt idx="1046">
                  <c:v>6</c:v>
                </c:pt>
                <c:pt idx="1047">
                  <c:v>6</c:v>
                </c:pt>
                <c:pt idx="1048">
                  <c:v>6</c:v>
                </c:pt>
                <c:pt idx="1049">
                  <c:v>6</c:v>
                </c:pt>
                <c:pt idx="1050">
                  <c:v>6</c:v>
                </c:pt>
                <c:pt idx="1051">
                  <c:v>6</c:v>
                </c:pt>
                <c:pt idx="1052">
                  <c:v>6</c:v>
                </c:pt>
                <c:pt idx="1053">
                  <c:v>6</c:v>
                </c:pt>
                <c:pt idx="1054">
                  <c:v>6</c:v>
                </c:pt>
                <c:pt idx="1055">
                  <c:v>6</c:v>
                </c:pt>
                <c:pt idx="1056">
                  <c:v>6</c:v>
                </c:pt>
                <c:pt idx="1057">
                  <c:v>6</c:v>
                </c:pt>
                <c:pt idx="1058">
                  <c:v>6</c:v>
                </c:pt>
                <c:pt idx="1059">
                  <c:v>6</c:v>
                </c:pt>
                <c:pt idx="1060">
                  <c:v>6</c:v>
                </c:pt>
                <c:pt idx="1061">
                  <c:v>6</c:v>
                </c:pt>
                <c:pt idx="1062">
                  <c:v>6</c:v>
                </c:pt>
                <c:pt idx="1063">
                  <c:v>6</c:v>
                </c:pt>
                <c:pt idx="1064">
                  <c:v>6</c:v>
                </c:pt>
                <c:pt idx="1065">
                  <c:v>6</c:v>
                </c:pt>
                <c:pt idx="1066">
                  <c:v>6</c:v>
                </c:pt>
                <c:pt idx="1067">
                  <c:v>6</c:v>
                </c:pt>
                <c:pt idx="1068">
                  <c:v>6</c:v>
                </c:pt>
                <c:pt idx="1069">
                  <c:v>6</c:v>
                </c:pt>
                <c:pt idx="1070">
                  <c:v>6</c:v>
                </c:pt>
                <c:pt idx="1071">
                  <c:v>6</c:v>
                </c:pt>
                <c:pt idx="1072">
                  <c:v>6</c:v>
                </c:pt>
                <c:pt idx="1073">
                  <c:v>6</c:v>
                </c:pt>
                <c:pt idx="1074">
                  <c:v>6</c:v>
                </c:pt>
                <c:pt idx="1075">
                  <c:v>6</c:v>
                </c:pt>
                <c:pt idx="1076">
                  <c:v>6</c:v>
                </c:pt>
                <c:pt idx="1077">
                  <c:v>6</c:v>
                </c:pt>
                <c:pt idx="1078">
                  <c:v>6</c:v>
                </c:pt>
                <c:pt idx="1079">
                  <c:v>6</c:v>
                </c:pt>
                <c:pt idx="1080">
                  <c:v>6</c:v>
                </c:pt>
                <c:pt idx="1081">
                  <c:v>6</c:v>
                </c:pt>
                <c:pt idx="1082">
                  <c:v>6</c:v>
                </c:pt>
                <c:pt idx="1083">
                  <c:v>6</c:v>
                </c:pt>
                <c:pt idx="1084">
                  <c:v>6</c:v>
                </c:pt>
                <c:pt idx="1085">
                  <c:v>6</c:v>
                </c:pt>
                <c:pt idx="1086">
                  <c:v>6</c:v>
                </c:pt>
                <c:pt idx="1087">
                  <c:v>6</c:v>
                </c:pt>
                <c:pt idx="1088">
                  <c:v>6</c:v>
                </c:pt>
                <c:pt idx="1089">
                  <c:v>6</c:v>
                </c:pt>
                <c:pt idx="1090">
                  <c:v>6</c:v>
                </c:pt>
                <c:pt idx="1091">
                  <c:v>6</c:v>
                </c:pt>
                <c:pt idx="1092">
                  <c:v>6</c:v>
                </c:pt>
                <c:pt idx="1093">
                  <c:v>6</c:v>
                </c:pt>
                <c:pt idx="1094">
                  <c:v>6</c:v>
                </c:pt>
                <c:pt idx="1095">
                  <c:v>6</c:v>
                </c:pt>
                <c:pt idx="1096">
                  <c:v>6</c:v>
                </c:pt>
                <c:pt idx="1097">
                  <c:v>6</c:v>
                </c:pt>
                <c:pt idx="1098">
                  <c:v>6</c:v>
                </c:pt>
                <c:pt idx="1099">
                  <c:v>6</c:v>
                </c:pt>
                <c:pt idx="1100">
                  <c:v>6</c:v>
                </c:pt>
                <c:pt idx="1101">
                  <c:v>6</c:v>
                </c:pt>
                <c:pt idx="1102">
                  <c:v>6</c:v>
                </c:pt>
                <c:pt idx="1103">
                  <c:v>6</c:v>
                </c:pt>
                <c:pt idx="1104">
                  <c:v>6</c:v>
                </c:pt>
                <c:pt idx="1105">
                  <c:v>6</c:v>
                </c:pt>
                <c:pt idx="1106">
                  <c:v>6</c:v>
                </c:pt>
                <c:pt idx="1107">
                  <c:v>6</c:v>
                </c:pt>
                <c:pt idx="1108">
                  <c:v>6</c:v>
                </c:pt>
                <c:pt idx="1109">
                  <c:v>6</c:v>
                </c:pt>
                <c:pt idx="1110">
                  <c:v>6</c:v>
                </c:pt>
                <c:pt idx="1111">
                  <c:v>6</c:v>
                </c:pt>
                <c:pt idx="1112">
                  <c:v>6</c:v>
                </c:pt>
                <c:pt idx="1113">
                  <c:v>6</c:v>
                </c:pt>
                <c:pt idx="1114">
                  <c:v>6</c:v>
                </c:pt>
                <c:pt idx="1115">
                  <c:v>6</c:v>
                </c:pt>
                <c:pt idx="1116">
                  <c:v>6</c:v>
                </c:pt>
                <c:pt idx="1117">
                  <c:v>6</c:v>
                </c:pt>
                <c:pt idx="1118">
                  <c:v>6</c:v>
                </c:pt>
                <c:pt idx="1119">
                  <c:v>6</c:v>
                </c:pt>
                <c:pt idx="1120">
                  <c:v>6</c:v>
                </c:pt>
                <c:pt idx="1121">
                  <c:v>6</c:v>
                </c:pt>
                <c:pt idx="1122">
                  <c:v>6</c:v>
                </c:pt>
                <c:pt idx="1123">
                  <c:v>6</c:v>
                </c:pt>
                <c:pt idx="1124">
                  <c:v>6</c:v>
                </c:pt>
                <c:pt idx="1125">
                  <c:v>6</c:v>
                </c:pt>
                <c:pt idx="1126">
                  <c:v>6</c:v>
                </c:pt>
                <c:pt idx="1127">
                  <c:v>6</c:v>
                </c:pt>
                <c:pt idx="1128">
                  <c:v>6</c:v>
                </c:pt>
                <c:pt idx="1129">
                  <c:v>6</c:v>
                </c:pt>
                <c:pt idx="1130">
                  <c:v>6</c:v>
                </c:pt>
                <c:pt idx="1131">
                  <c:v>6</c:v>
                </c:pt>
                <c:pt idx="1132">
                  <c:v>6</c:v>
                </c:pt>
                <c:pt idx="1133">
                  <c:v>6</c:v>
                </c:pt>
                <c:pt idx="1134">
                  <c:v>6</c:v>
                </c:pt>
                <c:pt idx="1135">
                  <c:v>6</c:v>
                </c:pt>
                <c:pt idx="1136">
                  <c:v>6</c:v>
                </c:pt>
                <c:pt idx="1137">
                  <c:v>6</c:v>
                </c:pt>
                <c:pt idx="1138">
                  <c:v>6</c:v>
                </c:pt>
                <c:pt idx="1139">
                  <c:v>6</c:v>
                </c:pt>
                <c:pt idx="1140">
                  <c:v>6</c:v>
                </c:pt>
                <c:pt idx="1141">
                  <c:v>6</c:v>
                </c:pt>
                <c:pt idx="1142">
                  <c:v>6</c:v>
                </c:pt>
                <c:pt idx="1143">
                  <c:v>6</c:v>
                </c:pt>
                <c:pt idx="1144">
                  <c:v>6</c:v>
                </c:pt>
                <c:pt idx="1145">
                  <c:v>6</c:v>
                </c:pt>
                <c:pt idx="1146">
                  <c:v>6</c:v>
                </c:pt>
                <c:pt idx="1147">
                  <c:v>6</c:v>
                </c:pt>
                <c:pt idx="1148">
                  <c:v>6</c:v>
                </c:pt>
                <c:pt idx="1149">
                  <c:v>6</c:v>
                </c:pt>
                <c:pt idx="1150">
                  <c:v>6</c:v>
                </c:pt>
                <c:pt idx="1151">
                  <c:v>6</c:v>
                </c:pt>
                <c:pt idx="1152">
                  <c:v>6</c:v>
                </c:pt>
                <c:pt idx="1153">
                  <c:v>6</c:v>
                </c:pt>
                <c:pt idx="1154">
                  <c:v>6</c:v>
                </c:pt>
                <c:pt idx="1155">
                  <c:v>6</c:v>
                </c:pt>
                <c:pt idx="1156">
                  <c:v>6</c:v>
                </c:pt>
                <c:pt idx="1157">
                  <c:v>6</c:v>
                </c:pt>
                <c:pt idx="1158">
                  <c:v>6</c:v>
                </c:pt>
                <c:pt idx="1159">
                  <c:v>6</c:v>
                </c:pt>
                <c:pt idx="1160">
                  <c:v>6</c:v>
                </c:pt>
                <c:pt idx="1161">
                  <c:v>6</c:v>
                </c:pt>
                <c:pt idx="1162">
                  <c:v>6</c:v>
                </c:pt>
                <c:pt idx="1163">
                  <c:v>6</c:v>
                </c:pt>
                <c:pt idx="1164">
                  <c:v>6</c:v>
                </c:pt>
                <c:pt idx="1165">
                  <c:v>6</c:v>
                </c:pt>
                <c:pt idx="1166">
                  <c:v>6</c:v>
                </c:pt>
                <c:pt idx="1167">
                  <c:v>6</c:v>
                </c:pt>
                <c:pt idx="1168">
                  <c:v>6</c:v>
                </c:pt>
                <c:pt idx="1169">
                  <c:v>6</c:v>
                </c:pt>
                <c:pt idx="1170">
                  <c:v>6</c:v>
                </c:pt>
                <c:pt idx="1171">
                  <c:v>6</c:v>
                </c:pt>
                <c:pt idx="1172">
                  <c:v>6</c:v>
                </c:pt>
                <c:pt idx="1173">
                  <c:v>6</c:v>
                </c:pt>
                <c:pt idx="1174">
                  <c:v>6</c:v>
                </c:pt>
                <c:pt idx="1175">
                  <c:v>6</c:v>
                </c:pt>
                <c:pt idx="1176">
                  <c:v>6</c:v>
                </c:pt>
                <c:pt idx="1177">
                  <c:v>6</c:v>
                </c:pt>
                <c:pt idx="1178">
                  <c:v>6</c:v>
                </c:pt>
                <c:pt idx="1179">
                  <c:v>6</c:v>
                </c:pt>
                <c:pt idx="1180">
                  <c:v>6</c:v>
                </c:pt>
                <c:pt idx="1181">
                  <c:v>6</c:v>
                </c:pt>
                <c:pt idx="1182">
                  <c:v>6</c:v>
                </c:pt>
                <c:pt idx="1183">
                  <c:v>6</c:v>
                </c:pt>
                <c:pt idx="1184">
                  <c:v>6</c:v>
                </c:pt>
                <c:pt idx="1185">
                  <c:v>6</c:v>
                </c:pt>
                <c:pt idx="1186">
                  <c:v>6</c:v>
                </c:pt>
                <c:pt idx="1187">
                  <c:v>6</c:v>
                </c:pt>
                <c:pt idx="1188">
                  <c:v>6</c:v>
                </c:pt>
                <c:pt idx="1189">
                  <c:v>6</c:v>
                </c:pt>
                <c:pt idx="1190">
                  <c:v>6</c:v>
                </c:pt>
                <c:pt idx="1191">
                  <c:v>6</c:v>
                </c:pt>
                <c:pt idx="1192">
                  <c:v>6</c:v>
                </c:pt>
                <c:pt idx="1193">
                  <c:v>6</c:v>
                </c:pt>
                <c:pt idx="1194">
                  <c:v>6</c:v>
                </c:pt>
                <c:pt idx="1195">
                  <c:v>6</c:v>
                </c:pt>
                <c:pt idx="1196">
                  <c:v>6</c:v>
                </c:pt>
                <c:pt idx="1197">
                  <c:v>6</c:v>
                </c:pt>
                <c:pt idx="1198">
                  <c:v>6</c:v>
                </c:pt>
                <c:pt idx="1199">
                  <c:v>6</c:v>
                </c:pt>
                <c:pt idx="1200">
                  <c:v>6</c:v>
                </c:pt>
                <c:pt idx="1201">
                  <c:v>6</c:v>
                </c:pt>
                <c:pt idx="1202">
                  <c:v>6</c:v>
                </c:pt>
                <c:pt idx="1203">
                  <c:v>6</c:v>
                </c:pt>
                <c:pt idx="1204">
                  <c:v>6</c:v>
                </c:pt>
                <c:pt idx="1205">
                  <c:v>6</c:v>
                </c:pt>
                <c:pt idx="1206">
                  <c:v>6</c:v>
                </c:pt>
                <c:pt idx="1207">
                  <c:v>6</c:v>
                </c:pt>
                <c:pt idx="1208">
                  <c:v>6</c:v>
                </c:pt>
                <c:pt idx="1209">
                  <c:v>6</c:v>
                </c:pt>
                <c:pt idx="1210">
                  <c:v>6</c:v>
                </c:pt>
                <c:pt idx="1211">
                  <c:v>6</c:v>
                </c:pt>
                <c:pt idx="1212">
                  <c:v>6</c:v>
                </c:pt>
                <c:pt idx="1213">
                  <c:v>6</c:v>
                </c:pt>
                <c:pt idx="1214">
                  <c:v>6</c:v>
                </c:pt>
                <c:pt idx="1215">
                  <c:v>6</c:v>
                </c:pt>
                <c:pt idx="1216">
                  <c:v>6</c:v>
                </c:pt>
                <c:pt idx="1217">
                  <c:v>6</c:v>
                </c:pt>
                <c:pt idx="1218">
                  <c:v>6</c:v>
                </c:pt>
                <c:pt idx="1219">
                  <c:v>6</c:v>
                </c:pt>
                <c:pt idx="1220">
                  <c:v>6</c:v>
                </c:pt>
                <c:pt idx="1221">
                  <c:v>6</c:v>
                </c:pt>
                <c:pt idx="1222">
                  <c:v>6</c:v>
                </c:pt>
                <c:pt idx="1223">
                  <c:v>6</c:v>
                </c:pt>
                <c:pt idx="1224">
                  <c:v>6</c:v>
                </c:pt>
                <c:pt idx="1225">
                  <c:v>6</c:v>
                </c:pt>
                <c:pt idx="1226">
                  <c:v>6</c:v>
                </c:pt>
                <c:pt idx="1227">
                  <c:v>6</c:v>
                </c:pt>
                <c:pt idx="1228">
                  <c:v>6</c:v>
                </c:pt>
                <c:pt idx="1229">
                  <c:v>6</c:v>
                </c:pt>
                <c:pt idx="1230">
                  <c:v>6</c:v>
                </c:pt>
                <c:pt idx="1231">
                  <c:v>6</c:v>
                </c:pt>
                <c:pt idx="1232">
                  <c:v>6</c:v>
                </c:pt>
                <c:pt idx="1233">
                  <c:v>6</c:v>
                </c:pt>
                <c:pt idx="1234">
                  <c:v>6</c:v>
                </c:pt>
                <c:pt idx="1235">
                  <c:v>6</c:v>
                </c:pt>
                <c:pt idx="1236">
                  <c:v>6</c:v>
                </c:pt>
                <c:pt idx="1237">
                  <c:v>6</c:v>
                </c:pt>
                <c:pt idx="1238">
                  <c:v>6</c:v>
                </c:pt>
                <c:pt idx="1239">
                  <c:v>6</c:v>
                </c:pt>
                <c:pt idx="1240">
                  <c:v>6</c:v>
                </c:pt>
                <c:pt idx="1241">
                  <c:v>6</c:v>
                </c:pt>
                <c:pt idx="1242">
                  <c:v>6</c:v>
                </c:pt>
                <c:pt idx="1243">
                  <c:v>6</c:v>
                </c:pt>
                <c:pt idx="1244">
                  <c:v>6</c:v>
                </c:pt>
                <c:pt idx="1245">
                  <c:v>6</c:v>
                </c:pt>
                <c:pt idx="1246">
                  <c:v>6</c:v>
                </c:pt>
                <c:pt idx="1247">
                  <c:v>6</c:v>
                </c:pt>
                <c:pt idx="1248">
                  <c:v>6</c:v>
                </c:pt>
                <c:pt idx="1249">
                  <c:v>6</c:v>
                </c:pt>
                <c:pt idx="1250">
                  <c:v>6</c:v>
                </c:pt>
                <c:pt idx="1251">
                  <c:v>6</c:v>
                </c:pt>
                <c:pt idx="1252">
                  <c:v>6</c:v>
                </c:pt>
                <c:pt idx="1253">
                  <c:v>6</c:v>
                </c:pt>
                <c:pt idx="1254">
                  <c:v>6</c:v>
                </c:pt>
                <c:pt idx="1255">
                  <c:v>6</c:v>
                </c:pt>
                <c:pt idx="1256">
                  <c:v>6</c:v>
                </c:pt>
                <c:pt idx="1257">
                  <c:v>6</c:v>
                </c:pt>
                <c:pt idx="1258">
                  <c:v>6</c:v>
                </c:pt>
                <c:pt idx="1259">
                  <c:v>6</c:v>
                </c:pt>
                <c:pt idx="1260">
                  <c:v>6</c:v>
                </c:pt>
                <c:pt idx="1261">
                  <c:v>6</c:v>
                </c:pt>
                <c:pt idx="1262">
                  <c:v>6</c:v>
                </c:pt>
                <c:pt idx="1263">
                  <c:v>6</c:v>
                </c:pt>
                <c:pt idx="1264">
                  <c:v>6</c:v>
                </c:pt>
                <c:pt idx="1265">
                  <c:v>6</c:v>
                </c:pt>
                <c:pt idx="1266">
                  <c:v>6</c:v>
                </c:pt>
                <c:pt idx="1267">
                  <c:v>6</c:v>
                </c:pt>
                <c:pt idx="1268">
                  <c:v>6</c:v>
                </c:pt>
                <c:pt idx="1269">
                  <c:v>6</c:v>
                </c:pt>
                <c:pt idx="1270">
                  <c:v>6</c:v>
                </c:pt>
                <c:pt idx="1271">
                  <c:v>6</c:v>
                </c:pt>
                <c:pt idx="1272">
                  <c:v>6</c:v>
                </c:pt>
                <c:pt idx="1273">
                  <c:v>6</c:v>
                </c:pt>
                <c:pt idx="1274">
                  <c:v>6</c:v>
                </c:pt>
                <c:pt idx="1275">
                  <c:v>6</c:v>
                </c:pt>
                <c:pt idx="1276">
                  <c:v>6</c:v>
                </c:pt>
                <c:pt idx="1277">
                  <c:v>6</c:v>
                </c:pt>
                <c:pt idx="1278">
                  <c:v>6</c:v>
                </c:pt>
                <c:pt idx="1279">
                  <c:v>6</c:v>
                </c:pt>
                <c:pt idx="1280">
                  <c:v>6</c:v>
                </c:pt>
                <c:pt idx="1281">
                  <c:v>6</c:v>
                </c:pt>
                <c:pt idx="1282">
                  <c:v>6</c:v>
                </c:pt>
                <c:pt idx="1283">
                  <c:v>6</c:v>
                </c:pt>
                <c:pt idx="1284">
                  <c:v>6</c:v>
                </c:pt>
                <c:pt idx="1285">
                  <c:v>6</c:v>
                </c:pt>
                <c:pt idx="1286">
                  <c:v>6</c:v>
                </c:pt>
                <c:pt idx="1287">
                  <c:v>6</c:v>
                </c:pt>
                <c:pt idx="1288">
                  <c:v>6</c:v>
                </c:pt>
                <c:pt idx="1289">
                  <c:v>6</c:v>
                </c:pt>
                <c:pt idx="1290">
                  <c:v>6</c:v>
                </c:pt>
                <c:pt idx="1291">
                  <c:v>6</c:v>
                </c:pt>
                <c:pt idx="1292">
                  <c:v>6</c:v>
                </c:pt>
                <c:pt idx="1293">
                  <c:v>6</c:v>
                </c:pt>
                <c:pt idx="1294">
                  <c:v>6</c:v>
                </c:pt>
                <c:pt idx="1295">
                  <c:v>6</c:v>
                </c:pt>
                <c:pt idx="1296">
                  <c:v>6</c:v>
                </c:pt>
                <c:pt idx="1297">
                  <c:v>6</c:v>
                </c:pt>
                <c:pt idx="1298">
                  <c:v>6</c:v>
                </c:pt>
                <c:pt idx="1299">
                  <c:v>6</c:v>
                </c:pt>
                <c:pt idx="1300">
                  <c:v>6</c:v>
                </c:pt>
                <c:pt idx="1301">
                  <c:v>6</c:v>
                </c:pt>
                <c:pt idx="1302">
                  <c:v>6</c:v>
                </c:pt>
                <c:pt idx="1303">
                  <c:v>6</c:v>
                </c:pt>
                <c:pt idx="1304">
                  <c:v>6</c:v>
                </c:pt>
                <c:pt idx="1305">
                  <c:v>6</c:v>
                </c:pt>
                <c:pt idx="1306">
                  <c:v>6</c:v>
                </c:pt>
                <c:pt idx="1307">
                  <c:v>6</c:v>
                </c:pt>
                <c:pt idx="1308">
                  <c:v>6</c:v>
                </c:pt>
                <c:pt idx="1309">
                  <c:v>6</c:v>
                </c:pt>
                <c:pt idx="1310">
                  <c:v>6</c:v>
                </c:pt>
                <c:pt idx="1311">
                  <c:v>6</c:v>
                </c:pt>
                <c:pt idx="1312">
                  <c:v>6</c:v>
                </c:pt>
                <c:pt idx="1313">
                  <c:v>6</c:v>
                </c:pt>
                <c:pt idx="1314">
                  <c:v>6</c:v>
                </c:pt>
                <c:pt idx="1315">
                  <c:v>6</c:v>
                </c:pt>
                <c:pt idx="1316">
                  <c:v>6</c:v>
                </c:pt>
                <c:pt idx="1317">
                  <c:v>6</c:v>
                </c:pt>
                <c:pt idx="1318">
                  <c:v>6</c:v>
                </c:pt>
                <c:pt idx="1319">
                  <c:v>6</c:v>
                </c:pt>
                <c:pt idx="1320">
                  <c:v>6</c:v>
                </c:pt>
                <c:pt idx="1321">
                  <c:v>6</c:v>
                </c:pt>
                <c:pt idx="1322">
                  <c:v>6</c:v>
                </c:pt>
                <c:pt idx="1323">
                  <c:v>6</c:v>
                </c:pt>
                <c:pt idx="1324">
                  <c:v>6</c:v>
                </c:pt>
                <c:pt idx="1325">
                  <c:v>6</c:v>
                </c:pt>
                <c:pt idx="1326">
                  <c:v>6</c:v>
                </c:pt>
                <c:pt idx="1327">
                  <c:v>6</c:v>
                </c:pt>
                <c:pt idx="1328">
                  <c:v>6</c:v>
                </c:pt>
                <c:pt idx="1329">
                  <c:v>6</c:v>
                </c:pt>
                <c:pt idx="1330">
                  <c:v>6</c:v>
                </c:pt>
                <c:pt idx="1331">
                  <c:v>6</c:v>
                </c:pt>
                <c:pt idx="1332">
                  <c:v>6</c:v>
                </c:pt>
                <c:pt idx="1333">
                  <c:v>6</c:v>
                </c:pt>
                <c:pt idx="1334">
                  <c:v>6</c:v>
                </c:pt>
                <c:pt idx="1335">
                  <c:v>6</c:v>
                </c:pt>
                <c:pt idx="1336">
                  <c:v>6</c:v>
                </c:pt>
                <c:pt idx="1337">
                  <c:v>6</c:v>
                </c:pt>
                <c:pt idx="1338">
                  <c:v>6</c:v>
                </c:pt>
                <c:pt idx="1339">
                  <c:v>6</c:v>
                </c:pt>
                <c:pt idx="1340">
                  <c:v>6</c:v>
                </c:pt>
                <c:pt idx="1341">
                  <c:v>6</c:v>
                </c:pt>
                <c:pt idx="1342">
                  <c:v>6</c:v>
                </c:pt>
                <c:pt idx="1343">
                  <c:v>6</c:v>
                </c:pt>
                <c:pt idx="1344">
                  <c:v>6</c:v>
                </c:pt>
                <c:pt idx="1345">
                  <c:v>6</c:v>
                </c:pt>
                <c:pt idx="1346">
                  <c:v>6</c:v>
                </c:pt>
                <c:pt idx="1347">
                  <c:v>6</c:v>
                </c:pt>
                <c:pt idx="1348">
                  <c:v>6</c:v>
                </c:pt>
                <c:pt idx="1349">
                  <c:v>6</c:v>
                </c:pt>
                <c:pt idx="1350">
                  <c:v>6</c:v>
                </c:pt>
                <c:pt idx="1351">
                  <c:v>6</c:v>
                </c:pt>
                <c:pt idx="1352">
                  <c:v>6</c:v>
                </c:pt>
                <c:pt idx="1353">
                  <c:v>6</c:v>
                </c:pt>
                <c:pt idx="1354">
                  <c:v>6</c:v>
                </c:pt>
                <c:pt idx="1355">
                  <c:v>6</c:v>
                </c:pt>
                <c:pt idx="1356">
                  <c:v>6</c:v>
                </c:pt>
                <c:pt idx="1357">
                  <c:v>6</c:v>
                </c:pt>
                <c:pt idx="1358">
                  <c:v>6</c:v>
                </c:pt>
                <c:pt idx="1359">
                  <c:v>6</c:v>
                </c:pt>
                <c:pt idx="1360">
                  <c:v>6</c:v>
                </c:pt>
                <c:pt idx="1361">
                  <c:v>6</c:v>
                </c:pt>
                <c:pt idx="1362">
                  <c:v>6</c:v>
                </c:pt>
                <c:pt idx="1363">
                  <c:v>6</c:v>
                </c:pt>
                <c:pt idx="1364">
                  <c:v>6</c:v>
                </c:pt>
                <c:pt idx="1365">
                  <c:v>6</c:v>
                </c:pt>
                <c:pt idx="1366">
                  <c:v>6</c:v>
                </c:pt>
                <c:pt idx="1367">
                  <c:v>6</c:v>
                </c:pt>
                <c:pt idx="1368">
                  <c:v>6</c:v>
                </c:pt>
                <c:pt idx="1369">
                  <c:v>6</c:v>
                </c:pt>
                <c:pt idx="1370">
                  <c:v>6</c:v>
                </c:pt>
                <c:pt idx="1371">
                  <c:v>6</c:v>
                </c:pt>
                <c:pt idx="1372">
                  <c:v>6</c:v>
                </c:pt>
                <c:pt idx="1373">
                  <c:v>6</c:v>
                </c:pt>
                <c:pt idx="1374">
                  <c:v>6</c:v>
                </c:pt>
                <c:pt idx="1375">
                  <c:v>6</c:v>
                </c:pt>
                <c:pt idx="1376">
                  <c:v>6</c:v>
                </c:pt>
                <c:pt idx="1377">
                  <c:v>6</c:v>
                </c:pt>
                <c:pt idx="1378">
                  <c:v>6</c:v>
                </c:pt>
                <c:pt idx="1379">
                  <c:v>6</c:v>
                </c:pt>
                <c:pt idx="1380">
                  <c:v>6</c:v>
                </c:pt>
                <c:pt idx="1381">
                  <c:v>6</c:v>
                </c:pt>
                <c:pt idx="1382">
                  <c:v>6</c:v>
                </c:pt>
                <c:pt idx="1383">
                  <c:v>6</c:v>
                </c:pt>
                <c:pt idx="1384">
                  <c:v>6</c:v>
                </c:pt>
                <c:pt idx="1385">
                  <c:v>6</c:v>
                </c:pt>
                <c:pt idx="1386">
                  <c:v>6</c:v>
                </c:pt>
                <c:pt idx="1387">
                  <c:v>6</c:v>
                </c:pt>
                <c:pt idx="1388">
                  <c:v>6</c:v>
                </c:pt>
                <c:pt idx="1389">
                  <c:v>6</c:v>
                </c:pt>
                <c:pt idx="1390">
                  <c:v>6</c:v>
                </c:pt>
                <c:pt idx="1391">
                  <c:v>6</c:v>
                </c:pt>
                <c:pt idx="1392">
                  <c:v>6</c:v>
                </c:pt>
                <c:pt idx="1393">
                  <c:v>6</c:v>
                </c:pt>
                <c:pt idx="1394">
                  <c:v>6.25</c:v>
                </c:pt>
                <c:pt idx="1395">
                  <c:v>6.25</c:v>
                </c:pt>
                <c:pt idx="1396">
                  <c:v>6.25</c:v>
                </c:pt>
                <c:pt idx="1397">
                  <c:v>6.25</c:v>
                </c:pt>
                <c:pt idx="1398">
                  <c:v>6.25</c:v>
                </c:pt>
                <c:pt idx="1399">
                  <c:v>6.25</c:v>
                </c:pt>
                <c:pt idx="1400">
                  <c:v>6.25</c:v>
                </c:pt>
                <c:pt idx="1401">
                  <c:v>6.25</c:v>
                </c:pt>
                <c:pt idx="1402">
                  <c:v>6.25</c:v>
                </c:pt>
                <c:pt idx="1403">
                  <c:v>6.25</c:v>
                </c:pt>
                <c:pt idx="1404">
                  <c:v>6.25</c:v>
                </c:pt>
                <c:pt idx="1405">
                  <c:v>6.25</c:v>
                </c:pt>
                <c:pt idx="1406">
                  <c:v>6.25</c:v>
                </c:pt>
                <c:pt idx="1407">
                  <c:v>6.25</c:v>
                </c:pt>
                <c:pt idx="1408">
                  <c:v>6.25</c:v>
                </c:pt>
                <c:pt idx="1409">
                  <c:v>6.25</c:v>
                </c:pt>
                <c:pt idx="1410">
                  <c:v>6.25</c:v>
                </c:pt>
                <c:pt idx="1411">
                  <c:v>6.25</c:v>
                </c:pt>
                <c:pt idx="1412">
                  <c:v>6.25</c:v>
                </c:pt>
                <c:pt idx="1413">
                  <c:v>6.25</c:v>
                </c:pt>
                <c:pt idx="1414">
                  <c:v>6.25</c:v>
                </c:pt>
                <c:pt idx="1415">
                  <c:v>6.25</c:v>
                </c:pt>
                <c:pt idx="1416">
                  <c:v>6.25</c:v>
                </c:pt>
                <c:pt idx="1417">
                  <c:v>6.25</c:v>
                </c:pt>
                <c:pt idx="1418">
                  <c:v>6.25</c:v>
                </c:pt>
                <c:pt idx="1419">
                  <c:v>6.25</c:v>
                </c:pt>
                <c:pt idx="1420">
                  <c:v>6.25</c:v>
                </c:pt>
                <c:pt idx="1421">
                  <c:v>6.25</c:v>
                </c:pt>
                <c:pt idx="1422">
                  <c:v>6.25</c:v>
                </c:pt>
                <c:pt idx="1423">
                  <c:v>6.25</c:v>
                </c:pt>
                <c:pt idx="1424">
                  <c:v>6.25</c:v>
                </c:pt>
                <c:pt idx="1425">
                  <c:v>6.25</c:v>
                </c:pt>
                <c:pt idx="1426">
                  <c:v>6.25</c:v>
                </c:pt>
                <c:pt idx="1427">
                  <c:v>6.25</c:v>
                </c:pt>
                <c:pt idx="1428">
                  <c:v>6.25</c:v>
                </c:pt>
                <c:pt idx="1429">
                  <c:v>6.25</c:v>
                </c:pt>
                <c:pt idx="1430">
                  <c:v>6.25</c:v>
                </c:pt>
                <c:pt idx="1431">
                  <c:v>6.25</c:v>
                </c:pt>
                <c:pt idx="1432">
                  <c:v>6.25</c:v>
                </c:pt>
                <c:pt idx="1433">
                  <c:v>6.25</c:v>
                </c:pt>
                <c:pt idx="1434">
                  <c:v>6.25</c:v>
                </c:pt>
                <c:pt idx="1435">
                  <c:v>6.25</c:v>
                </c:pt>
                <c:pt idx="1436">
                  <c:v>6.25</c:v>
                </c:pt>
                <c:pt idx="1437">
                  <c:v>6.25</c:v>
                </c:pt>
                <c:pt idx="1438">
                  <c:v>6.25</c:v>
                </c:pt>
                <c:pt idx="1439">
                  <c:v>6.25</c:v>
                </c:pt>
                <c:pt idx="1440">
                  <c:v>6.25</c:v>
                </c:pt>
                <c:pt idx="1441">
                  <c:v>6.25</c:v>
                </c:pt>
                <c:pt idx="1442">
                  <c:v>6.25</c:v>
                </c:pt>
                <c:pt idx="1443">
                  <c:v>6.25</c:v>
                </c:pt>
                <c:pt idx="1444">
                  <c:v>6.25</c:v>
                </c:pt>
                <c:pt idx="1445">
                  <c:v>6.25</c:v>
                </c:pt>
                <c:pt idx="1446">
                  <c:v>6.25</c:v>
                </c:pt>
                <c:pt idx="1447">
                  <c:v>6.25</c:v>
                </c:pt>
                <c:pt idx="1448">
                  <c:v>6.25</c:v>
                </c:pt>
                <c:pt idx="1449">
                  <c:v>6.25</c:v>
                </c:pt>
                <c:pt idx="1450">
                  <c:v>6.25</c:v>
                </c:pt>
                <c:pt idx="1451">
                  <c:v>6.25</c:v>
                </c:pt>
                <c:pt idx="1452">
                  <c:v>6.25</c:v>
                </c:pt>
                <c:pt idx="1453">
                  <c:v>6.25</c:v>
                </c:pt>
                <c:pt idx="1454">
                  <c:v>6.25</c:v>
                </c:pt>
                <c:pt idx="1455">
                  <c:v>6.25</c:v>
                </c:pt>
                <c:pt idx="1456">
                  <c:v>6.25</c:v>
                </c:pt>
                <c:pt idx="1457">
                  <c:v>6.25</c:v>
                </c:pt>
                <c:pt idx="1458">
                  <c:v>6.25</c:v>
                </c:pt>
                <c:pt idx="1459">
                  <c:v>6.25</c:v>
                </c:pt>
                <c:pt idx="1460">
                  <c:v>6.25</c:v>
                </c:pt>
                <c:pt idx="1461">
                  <c:v>6.25</c:v>
                </c:pt>
                <c:pt idx="1462">
                  <c:v>6.25</c:v>
                </c:pt>
                <c:pt idx="1463">
                  <c:v>6.25</c:v>
                </c:pt>
                <c:pt idx="1464">
                  <c:v>6.25</c:v>
                </c:pt>
                <c:pt idx="1465">
                  <c:v>6.25</c:v>
                </c:pt>
                <c:pt idx="1466">
                  <c:v>6.25</c:v>
                </c:pt>
                <c:pt idx="1467">
                  <c:v>6.25</c:v>
                </c:pt>
                <c:pt idx="1468">
                  <c:v>6.25</c:v>
                </c:pt>
                <c:pt idx="1469">
                  <c:v>6.25</c:v>
                </c:pt>
                <c:pt idx="1470">
                  <c:v>6.25</c:v>
                </c:pt>
                <c:pt idx="1471">
                  <c:v>6.25</c:v>
                </c:pt>
                <c:pt idx="1472">
                  <c:v>6.25</c:v>
                </c:pt>
                <c:pt idx="1473">
                  <c:v>6.25</c:v>
                </c:pt>
                <c:pt idx="1474">
                  <c:v>6.25</c:v>
                </c:pt>
                <c:pt idx="1475">
                  <c:v>6.25</c:v>
                </c:pt>
                <c:pt idx="1476">
                  <c:v>6.25</c:v>
                </c:pt>
                <c:pt idx="1477">
                  <c:v>6.25</c:v>
                </c:pt>
                <c:pt idx="1478">
                  <c:v>6.25</c:v>
                </c:pt>
                <c:pt idx="1479">
                  <c:v>6.25</c:v>
                </c:pt>
                <c:pt idx="1480">
                  <c:v>6.25</c:v>
                </c:pt>
                <c:pt idx="1481">
                  <c:v>6.25</c:v>
                </c:pt>
                <c:pt idx="1482">
                  <c:v>6.25</c:v>
                </c:pt>
                <c:pt idx="1483">
                  <c:v>6.25</c:v>
                </c:pt>
                <c:pt idx="1484">
                  <c:v>6.5</c:v>
                </c:pt>
                <c:pt idx="1485">
                  <c:v>6.5</c:v>
                </c:pt>
                <c:pt idx="1486">
                  <c:v>6.5</c:v>
                </c:pt>
                <c:pt idx="1487">
                  <c:v>6.5</c:v>
                </c:pt>
                <c:pt idx="1488">
                  <c:v>6.5</c:v>
                </c:pt>
                <c:pt idx="1489">
                  <c:v>6.5</c:v>
                </c:pt>
                <c:pt idx="1490">
                  <c:v>6.5</c:v>
                </c:pt>
                <c:pt idx="1491">
                  <c:v>6.5</c:v>
                </c:pt>
                <c:pt idx="1492">
                  <c:v>6.5</c:v>
                </c:pt>
                <c:pt idx="1493">
                  <c:v>6.5</c:v>
                </c:pt>
                <c:pt idx="1494">
                  <c:v>6.5</c:v>
                </c:pt>
                <c:pt idx="1495">
                  <c:v>6.5</c:v>
                </c:pt>
                <c:pt idx="1496">
                  <c:v>6.5</c:v>
                </c:pt>
                <c:pt idx="1497">
                  <c:v>6.5</c:v>
                </c:pt>
                <c:pt idx="1498">
                  <c:v>6.5</c:v>
                </c:pt>
                <c:pt idx="1499">
                  <c:v>6.5</c:v>
                </c:pt>
                <c:pt idx="1500">
                  <c:v>6.5</c:v>
                </c:pt>
                <c:pt idx="1501">
                  <c:v>6.5</c:v>
                </c:pt>
                <c:pt idx="1502">
                  <c:v>6.5</c:v>
                </c:pt>
                <c:pt idx="1503">
                  <c:v>6.5</c:v>
                </c:pt>
                <c:pt idx="1504">
                  <c:v>6.5</c:v>
                </c:pt>
                <c:pt idx="1505">
                  <c:v>6.5</c:v>
                </c:pt>
                <c:pt idx="1506">
                  <c:v>6.5</c:v>
                </c:pt>
                <c:pt idx="1507">
                  <c:v>6.5</c:v>
                </c:pt>
                <c:pt idx="1508">
                  <c:v>6.5</c:v>
                </c:pt>
                <c:pt idx="1509">
                  <c:v>6.5</c:v>
                </c:pt>
                <c:pt idx="1510">
                  <c:v>6.5</c:v>
                </c:pt>
                <c:pt idx="1511">
                  <c:v>6.5</c:v>
                </c:pt>
                <c:pt idx="1512">
                  <c:v>6.5</c:v>
                </c:pt>
                <c:pt idx="1513">
                  <c:v>6.5</c:v>
                </c:pt>
                <c:pt idx="1514">
                  <c:v>6.5</c:v>
                </c:pt>
                <c:pt idx="1515">
                  <c:v>6.5</c:v>
                </c:pt>
                <c:pt idx="1516">
                  <c:v>6.5</c:v>
                </c:pt>
                <c:pt idx="1517">
                  <c:v>6.5</c:v>
                </c:pt>
                <c:pt idx="1518">
                  <c:v>6.5</c:v>
                </c:pt>
                <c:pt idx="1519">
                  <c:v>6.5</c:v>
                </c:pt>
                <c:pt idx="1520">
                  <c:v>6.5</c:v>
                </c:pt>
                <c:pt idx="1521">
                  <c:v>6.5</c:v>
                </c:pt>
                <c:pt idx="1522">
                  <c:v>6.5</c:v>
                </c:pt>
                <c:pt idx="1523">
                  <c:v>6.5</c:v>
                </c:pt>
                <c:pt idx="1524">
                  <c:v>6.5</c:v>
                </c:pt>
                <c:pt idx="1525">
                  <c:v>6.5</c:v>
                </c:pt>
                <c:pt idx="1526">
                  <c:v>6.5</c:v>
                </c:pt>
                <c:pt idx="1527">
                  <c:v>6.5</c:v>
                </c:pt>
                <c:pt idx="1528">
                  <c:v>6.5</c:v>
                </c:pt>
                <c:pt idx="1529">
                  <c:v>6.5</c:v>
                </c:pt>
                <c:pt idx="1530">
                  <c:v>6.5</c:v>
                </c:pt>
                <c:pt idx="1531">
                  <c:v>6.5</c:v>
                </c:pt>
                <c:pt idx="1532">
                  <c:v>6.5</c:v>
                </c:pt>
                <c:pt idx="1533">
                  <c:v>6.5</c:v>
                </c:pt>
                <c:pt idx="1534">
                  <c:v>6.5</c:v>
                </c:pt>
                <c:pt idx="1535">
                  <c:v>6.5</c:v>
                </c:pt>
                <c:pt idx="1536">
                  <c:v>6.5</c:v>
                </c:pt>
                <c:pt idx="1537">
                  <c:v>6.5</c:v>
                </c:pt>
                <c:pt idx="1538">
                  <c:v>6.5</c:v>
                </c:pt>
                <c:pt idx="1539">
                  <c:v>6.5</c:v>
                </c:pt>
                <c:pt idx="1540">
                  <c:v>6.5</c:v>
                </c:pt>
                <c:pt idx="1541">
                  <c:v>6.5</c:v>
                </c:pt>
                <c:pt idx="1542">
                  <c:v>6.5</c:v>
                </c:pt>
                <c:pt idx="1543">
                  <c:v>6.5</c:v>
                </c:pt>
                <c:pt idx="1544">
                  <c:v>6.5</c:v>
                </c:pt>
                <c:pt idx="1545">
                  <c:v>6.5</c:v>
                </c:pt>
                <c:pt idx="1546">
                  <c:v>6.5</c:v>
                </c:pt>
                <c:pt idx="1547">
                  <c:v>6.5</c:v>
                </c:pt>
                <c:pt idx="1548">
                  <c:v>6.5</c:v>
                </c:pt>
                <c:pt idx="1549">
                  <c:v>6.5</c:v>
                </c:pt>
                <c:pt idx="1550">
                  <c:v>6.5</c:v>
                </c:pt>
                <c:pt idx="1551">
                  <c:v>6.5</c:v>
                </c:pt>
                <c:pt idx="1552">
                  <c:v>6.5</c:v>
                </c:pt>
                <c:pt idx="1553">
                  <c:v>6.5</c:v>
                </c:pt>
                <c:pt idx="1554">
                  <c:v>6.5</c:v>
                </c:pt>
                <c:pt idx="1555">
                  <c:v>6.5</c:v>
                </c:pt>
                <c:pt idx="1556">
                  <c:v>6.5</c:v>
                </c:pt>
                <c:pt idx="1557">
                  <c:v>6.5</c:v>
                </c:pt>
                <c:pt idx="1558">
                  <c:v>6.5</c:v>
                </c:pt>
                <c:pt idx="1559">
                  <c:v>6.5</c:v>
                </c:pt>
                <c:pt idx="1560">
                  <c:v>6.5</c:v>
                </c:pt>
                <c:pt idx="1561">
                  <c:v>6.5</c:v>
                </c:pt>
                <c:pt idx="1562">
                  <c:v>6.5</c:v>
                </c:pt>
                <c:pt idx="1563">
                  <c:v>6.5</c:v>
                </c:pt>
                <c:pt idx="1564">
                  <c:v>6.5</c:v>
                </c:pt>
                <c:pt idx="1565">
                  <c:v>6.5</c:v>
                </c:pt>
                <c:pt idx="1566">
                  <c:v>6.5</c:v>
                </c:pt>
                <c:pt idx="1567">
                  <c:v>6.5</c:v>
                </c:pt>
                <c:pt idx="1568">
                  <c:v>6.5</c:v>
                </c:pt>
                <c:pt idx="1569">
                  <c:v>6.5</c:v>
                </c:pt>
                <c:pt idx="1570">
                  <c:v>6.5</c:v>
                </c:pt>
                <c:pt idx="1571">
                  <c:v>6.5</c:v>
                </c:pt>
                <c:pt idx="1572">
                  <c:v>6.5</c:v>
                </c:pt>
                <c:pt idx="1573">
                  <c:v>6.5</c:v>
                </c:pt>
                <c:pt idx="1574">
                  <c:v>6.5</c:v>
                </c:pt>
                <c:pt idx="1575">
                  <c:v>6.5</c:v>
                </c:pt>
                <c:pt idx="1576">
                  <c:v>6.5</c:v>
                </c:pt>
                <c:pt idx="1577">
                  <c:v>6.5</c:v>
                </c:pt>
                <c:pt idx="1578">
                  <c:v>6.5</c:v>
                </c:pt>
                <c:pt idx="1579">
                  <c:v>6.5</c:v>
                </c:pt>
                <c:pt idx="1580">
                  <c:v>6.5</c:v>
                </c:pt>
                <c:pt idx="1581">
                  <c:v>6.5</c:v>
                </c:pt>
                <c:pt idx="1582">
                  <c:v>6.5</c:v>
                </c:pt>
                <c:pt idx="1583">
                  <c:v>6.5</c:v>
                </c:pt>
                <c:pt idx="1584">
                  <c:v>6.5</c:v>
                </c:pt>
                <c:pt idx="1585">
                  <c:v>6.5</c:v>
                </c:pt>
                <c:pt idx="1586">
                  <c:v>6.5</c:v>
                </c:pt>
                <c:pt idx="1587">
                  <c:v>6.5</c:v>
                </c:pt>
                <c:pt idx="1588">
                  <c:v>6.5</c:v>
                </c:pt>
                <c:pt idx="1589">
                  <c:v>6.5</c:v>
                </c:pt>
                <c:pt idx="1590">
                  <c:v>6.5</c:v>
                </c:pt>
                <c:pt idx="1591">
                  <c:v>6.5</c:v>
                </c:pt>
                <c:pt idx="1592">
                  <c:v>6.5</c:v>
                </c:pt>
                <c:pt idx="1593">
                  <c:v>6.5</c:v>
                </c:pt>
                <c:pt idx="1594">
                  <c:v>6.5</c:v>
                </c:pt>
                <c:pt idx="1595">
                  <c:v>6.5</c:v>
                </c:pt>
                <c:pt idx="1596">
                  <c:v>6.5</c:v>
                </c:pt>
                <c:pt idx="1597">
                  <c:v>6.5</c:v>
                </c:pt>
                <c:pt idx="1598">
                  <c:v>6.5</c:v>
                </c:pt>
                <c:pt idx="1599">
                  <c:v>6.5</c:v>
                </c:pt>
                <c:pt idx="1600">
                  <c:v>6.5</c:v>
                </c:pt>
                <c:pt idx="1601">
                  <c:v>6.5</c:v>
                </c:pt>
                <c:pt idx="1602">
                  <c:v>6.5</c:v>
                </c:pt>
                <c:pt idx="1603">
                  <c:v>6.5</c:v>
                </c:pt>
                <c:pt idx="1604">
                  <c:v>6.5</c:v>
                </c:pt>
                <c:pt idx="1605">
                  <c:v>6.5</c:v>
                </c:pt>
                <c:pt idx="1606">
                  <c:v>6.5</c:v>
                </c:pt>
                <c:pt idx="1607">
                  <c:v>6.5</c:v>
                </c:pt>
                <c:pt idx="1608">
                  <c:v>6.5</c:v>
                </c:pt>
                <c:pt idx="1609">
                  <c:v>6.5</c:v>
                </c:pt>
                <c:pt idx="1610">
                  <c:v>6.5</c:v>
                </c:pt>
                <c:pt idx="1611">
                  <c:v>6.5</c:v>
                </c:pt>
                <c:pt idx="1612">
                  <c:v>6.5</c:v>
                </c:pt>
                <c:pt idx="1613">
                  <c:v>6.5</c:v>
                </c:pt>
                <c:pt idx="1614">
                  <c:v>6.5</c:v>
                </c:pt>
                <c:pt idx="1615">
                  <c:v>6.5</c:v>
                </c:pt>
                <c:pt idx="1616">
                  <c:v>6.5</c:v>
                </c:pt>
                <c:pt idx="1617">
                  <c:v>6.5</c:v>
                </c:pt>
                <c:pt idx="1618">
                  <c:v>6.5</c:v>
                </c:pt>
                <c:pt idx="1619">
                  <c:v>6.5</c:v>
                </c:pt>
                <c:pt idx="1620">
                  <c:v>6.5</c:v>
                </c:pt>
                <c:pt idx="1621">
                  <c:v>6.5</c:v>
                </c:pt>
                <c:pt idx="1622">
                  <c:v>6.5</c:v>
                </c:pt>
                <c:pt idx="1623">
                  <c:v>6.5</c:v>
                </c:pt>
                <c:pt idx="1624">
                  <c:v>6.5</c:v>
                </c:pt>
                <c:pt idx="1625">
                  <c:v>6.5</c:v>
                </c:pt>
                <c:pt idx="1626">
                  <c:v>6.5</c:v>
                </c:pt>
                <c:pt idx="1627">
                  <c:v>6.5</c:v>
                </c:pt>
                <c:pt idx="1628">
                  <c:v>6.5</c:v>
                </c:pt>
                <c:pt idx="1629">
                  <c:v>6.5</c:v>
                </c:pt>
                <c:pt idx="1630">
                  <c:v>6.5</c:v>
                </c:pt>
                <c:pt idx="1631">
                  <c:v>6.5</c:v>
                </c:pt>
                <c:pt idx="1632">
                  <c:v>6.5</c:v>
                </c:pt>
                <c:pt idx="1633">
                  <c:v>6.5</c:v>
                </c:pt>
                <c:pt idx="1634">
                  <c:v>6.5</c:v>
                </c:pt>
                <c:pt idx="1635">
                  <c:v>6.5</c:v>
                </c:pt>
                <c:pt idx="1636">
                  <c:v>6.5</c:v>
                </c:pt>
                <c:pt idx="1637">
                  <c:v>6.5</c:v>
                </c:pt>
                <c:pt idx="1638">
                  <c:v>6.5</c:v>
                </c:pt>
                <c:pt idx="1639">
                  <c:v>6.5</c:v>
                </c:pt>
                <c:pt idx="1640">
                  <c:v>6.5</c:v>
                </c:pt>
                <c:pt idx="1641">
                  <c:v>6.5</c:v>
                </c:pt>
                <c:pt idx="1642">
                  <c:v>6.5</c:v>
                </c:pt>
                <c:pt idx="1643">
                  <c:v>6.5</c:v>
                </c:pt>
                <c:pt idx="1644">
                  <c:v>6.5</c:v>
                </c:pt>
                <c:pt idx="1645">
                  <c:v>6.5</c:v>
                </c:pt>
                <c:pt idx="1646">
                  <c:v>6.5</c:v>
                </c:pt>
                <c:pt idx="1647">
                  <c:v>6.5</c:v>
                </c:pt>
                <c:pt idx="1648">
                  <c:v>6.5</c:v>
                </c:pt>
                <c:pt idx="1649">
                  <c:v>6.5</c:v>
                </c:pt>
                <c:pt idx="1650">
                  <c:v>6.5</c:v>
                </c:pt>
                <c:pt idx="1651">
                  <c:v>6.5</c:v>
                </c:pt>
                <c:pt idx="1652">
                  <c:v>6.5</c:v>
                </c:pt>
                <c:pt idx="1653">
                  <c:v>6.5</c:v>
                </c:pt>
                <c:pt idx="1654">
                  <c:v>6.5</c:v>
                </c:pt>
                <c:pt idx="1655">
                  <c:v>6.5</c:v>
                </c:pt>
                <c:pt idx="1656">
                  <c:v>6.5</c:v>
                </c:pt>
                <c:pt idx="1657">
                  <c:v>6.5</c:v>
                </c:pt>
                <c:pt idx="1658">
                  <c:v>6.5</c:v>
                </c:pt>
                <c:pt idx="1659">
                  <c:v>6.5</c:v>
                </c:pt>
                <c:pt idx="1660">
                  <c:v>6.5</c:v>
                </c:pt>
                <c:pt idx="1661">
                  <c:v>6.5</c:v>
                </c:pt>
                <c:pt idx="1662">
                  <c:v>6.5</c:v>
                </c:pt>
                <c:pt idx="1663">
                  <c:v>6.5</c:v>
                </c:pt>
                <c:pt idx="1664">
                  <c:v>6.5</c:v>
                </c:pt>
                <c:pt idx="1665">
                  <c:v>6.5</c:v>
                </c:pt>
                <c:pt idx="1666">
                  <c:v>7</c:v>
                </c:pt>
                <c:pt idx="1667">
                  <c:v>7</c:v>
                </c:pt>
                <c:pt idx="1668">
                  <c:v>7</c:v>
                </c:pt>
                <c:pt idx="1669">
                  <c:v>7</c:v>
                </c:pt>
                <c:pt idx="1670">
                  <c:v>7</c:v>
                </c:pt>
                <c:pt idx="1671">
                  <c:v>7</c:v>
                </c:pt>
                <c:pt idx="1672">
                  <c:v>7</c:v>
                </c:pt>
                <c:pt idx="1673">
                  <c:v>7</c:v>
                </c:pt>
                <c:pt idx="1674">
                  <c:v>7</c:v>
                </c:pt>
                <c:pt idx="1675">
                  <c:v>7</c:v>
                </c:pt>
                <c:pt idx="1676">
                  <c:v>7</c:v>
                </c:pt>
                <c:pt idx="1677">
                  <c:v>7</c:v>
                </c:pt>
                <c:pt idx="1678">
                  <c:v>7</c:v>
                </c:pt>
                <c:pt idx="1679">
                  <c:v>7</c:v>
                </c:pt>
                <c:pt idx="1680">
                  <c:v>7</c:v>
                </c:pt>
                <c:pt idx="1681">
                  <c:v>7</c:v>
                </c:pt>
                <c:pt idx="1682">
                  <c:v>7</c:v>
                </c:pt>
                <c:pt idx="1683">
                  <c:v>7</c:v>
                </c:pt>
                <c:pt idx="1684">
                  <c:v>7</c:v>
                </c:pt>
                <c:pt idx="1685">
                  <c:v>7</c:v>
                </c:pt>
                <c:pt idx="1686">
                  <c:v>7</c:v>
                </c:pt>
                <c:pt idx="1687">
                  <c:v>7</c:v>
                </c:pt>
                <c:pt idx="1688">
                  <c:v>7</c:v>
                </c:pt>
                <c:pt idx="1689">
                  <c:v>7</c:v>
                </c:pt>
                <c:pt idx="1690">
                  <c:v>7</c:v>
                </c:pt>
                <c:pt idx="1691">
                  <c:v>7</c:v>
                </c:pt>
                <c:pt idx="1692">
                  <c:v>7</c:v>
                </c:pt>
                <c:pt idx="1693">
                  <c:v>7</c:v>
                </c:pt>
                <c:pt idx="1694">
                  <c:v>7</c:v>
                </c:pt>
                <c:pt idx="1695">
                  <c:v>7</c:v>
                </c:pt>
                <c:pt idx="1696">
                  <c:v>7</c:v>
                </c:pt>
                <c:pt idx="1697">
                  <c:v>7</c:v>
                </c:pt>
                <c:pt idx="1698">
                  <c:v>7</c:v>
                </c:pt>
                <c:pt idx="1699">
                  <c:v>7</c:v>
                </c:pt>
                <c:pt idx="1700">
                  <c:v>7</c:v>
                </c:pt>
                <c:pt idx="1701">
                  <c:v>7</c:v>
                </c:pt>
                <c:pt idx="1702">
                  <c:v>7</c:v>
                </c:pt>
                <c:pt idx="1703">
                  <c:v>7</c:v>
                </c:pt>
                <c:pt idx="1704">
                  <c:v>7</c:v>
                </c:pt>
                <c:pt idx="1705">
                  <c:v>7</c:v>
                </c:pt>
                <c:pt idx="1706">
                  <c:v>7</c:v>
                </c:pt>
                <c:pt idx="1707">
                  <c:v>7</c:v>
                </c:pt>
                <c:pt idx="1708">
                  <c:v>7</c:v>
                </c:pt>
                <c:pt idx="1709">
                  <c:v>7</c:v>
                </c:pt>
                <c:pt idx="1710">
                  <c:v>7</c:v>
                </c:pt>
                <c:pt idx="1711">
                  <c:v>7</c:v>
                </c:pt>
                <c:pt idx="1712">
                  <c:v>7</c:v>
                </c:pt>
                <c:pt idx="1713">
                  <c:v>7</c:v>
                </c:pt>
                <c:pt idx="1714">
                  <c:v>7</c:v>
                </c:pt>
                <c:pt idx="1715">
                  <c:v>7</c:v>
                </c:pt>
                <c:pt idx="1716">
                  <c:v>7</c:v>
                </c:pt>
                <c:pt idx="1717">
                  <c:v>7</c:v>
                </c:pt>
                <c:pt idx="1718">
                  <c:v>7</c:v>
                </c:pt>
                <c:pt idx="1719">
                  <c:v>7</c:v>
                </c:pt>
                <c:pt idx="1720">
                  <c:v>7</c:v>
                </c:pt>
                <c:pt idx="1721">
                  <c:v>7</c:v>
                </c:pt>
                <c:pt idx="1722">
                  <c:v>7</c:v>
                </c:pt>
                <c:pt idx="1723">
                  <c:v>7</c:v>
                </c:pt>
                <c:pt idx="1724">
                  <c:v>7</c:v>
                </c:pt>
                <c:pt idx="1725">
                  <c:v>7</c:v>
                </c:pt>
                <c:pt idx="1726">
                  <c:v>7</c:v>
                </c:pt>
                <c:pt idx="1727">
                  <c:v>7</c:v>
                </c:pt>
                <c:pt idx="1728">
                  <c:v>7</c:v>
                </c:pt>
                <c:pt idx="1729">
                  <c:v>7</c:v>
                </c:pt>
                <c:pt idx="1730">
                  <c:v>7</c:v>
                </c:pt>
                <c:pt idx="1731">
                  <c:v>7</c:v>
                </c:pt>
                <c:pt idx="1732">
                  <c:v>7</c:v>
                </c:pt>
                <c:pt idx="1733">
                  <c:v>7</c:v>
                </c:pt>
                <c:pt idx="1734">
                  <c:v>7</c:v>
                </c:pt>
                <c:pt idx="1735">
                  <c:v>7</c:v>
                </c:pt>
                <c:pt idx="1736">
                  <c:v>7</c:v>
                </c:pt>
                <c:pt idx="1737">
                  <c:v>7</c:v>
                </c:pt>
                <c:pt idx="1738">
                  <c:v>7</c:v>
                </c:pt>
                <c:pt idx="1739">
                  <c:v>7</c:v>
                </c:pt>
                <c:pt idx="1740">
                  <c:v>7</c:v>
                </c:pt>
                <c:pt idx="1741">
                  <c:v>7</c:v>
                </c:pt>
                <c:pt idx="1742">
                  <c:v>7</c:v>
                </c:pt>
                <c:pt idx="1743">
                  <c:v>7</c:v>
                </c:pt>
                <c:pt idx="1744">
                  <c:v>7</c:v>
                </c:pt>
                <c:pt idx="1745">
                  <c:v>7</c:v>
                </c:pt>
                <c:pt idx="1746">
                  <c:v>7</c:v>
                </c:pt>
                <c:pt idx="1747">
                  <c:v>7</c:v>
                </c:pt>
                <c:pt idx="1748">
                  <c:v>7</c:v>
                </c:pt>
                <c:pt idx="1749">
                  <c:v>7</c:v>
                </c:pt>
                <c:pt idx="1750">
                  <c:v>7</c:v>
                </c:pt>
                <c:pt idx="1751">
                  <c:v>7</c:v>
                </c:pt>
                <c:pt idx="1752">
                  <c:v>7</c:v>
                </c:pt>
                <c:pt idx="1753">
                  <c:v>7</c:v>
                </c:pt>
                <c:pt idx="1754">
                  <c:v>7</c:v>
                </c:pt>
                <c:pt idx="1755">
                  <c:v>7</c:v>
                </c:pt>
                <c:pt idx="1756">
                  <c:v>7</c:v>
                </c:pt>
                <c:pt idx="1757">
                  <c:v>7</c:v>
                </c:pt>
                <c:pt idx="1758">
                  <c:v>7</c:v>
                </c:pt>
                <c:pt idx="1759">
                  <c:v>7</c:v>
                </c:pt>
                <c:pt idx="1760">
                  <c:v>7</c:v>
                </c:pt>
                <c:pt idx="1761">
                  <c:v>7</c:v>
                </c:pt>
                <c:pt idx="1762">
                  <c:v>7</c:v>
                </c:pt>
                <c:pt idx="1763">
                  <c:v>7</c:v>
                </c:pt>
                <c:pt idx="1764">
                  <c:v>7.25</c:v>
                </c:pt>
                <c:pt idx="1765">
                  <c:v>7.25</c:v>
                </c:pt>
                <c:pt idx="1766">
                  <c:v>7.25</c:v>
                </c:pt>
                <c:pt idx="1767">
                  <c:v>7.25</c:v>
                </c:pt>
                <c:pt idx="1768">
                  <c:v>7.25</c:v>
                </c:pt>
                <c:pt idx="1769">
                  <c:v>7.25</c:v>
                </c:pt>
                <c:pt idx="1770">
                  <c:v>7.25</c:v>
                </c:pt>
                <c:pt idx="1771">
                  <c:v>7.25</c:v>
                </c:pt>
                <c:pt idx="1772">
                  <c:v>7.25</c:v>
                </c:pt>
                <c:pt idx="1773">
                  <c:v>7.25</c:v>
                </c:pt>
                <c:pt idx="1774">
                  <c:v>7.25</c:v>
                </c:pt>
                <c:pt idx="1775">
                  <c:v>7.25</c:v>
                </c:pt>
                <c:pt idx="1776">
                  <c:v>7.25</c:v>
                </c:pt>
                <c:pt idx="1777">
                  <c:v>7.25</c:v>
                </c:pt>
                <c:pt idx="1778">
                  <c:v>7.25</c:v>
                </c:pt>
                <c:pt idx="1779">
                  <c:v>7.25</c:v>
                </c:pt>
                <c:pt idx="1780">
                  <c:v>7.25</c:v>
                </c:pt>
                <c:pt idx="1781">
                  <c:v>7.25</c:v>
                </c:pt>
                <c:pt idx="1782">
                  <c:v>7.25</c:v>
                </c:pt>
                <c:pt idx="1783">
                  <c:v>7.25</c:v>
                </c:pt>
                <c:pt idx="1784">
                  <c:v>7.25</c:v>
                </c:pt>
                <c:pt idx="1785">
                  <c:v>7.25</c:v>
                </c:pt>
                <c:pt idx="1786">
                  <c:v>7.25</c:v>
                </c:pt>
                <c:pt idx="1787">
                  <c:v>7.25</c:v>
                </c:pt>
                <c:pt idx="1788">
                  <c:v>7.25</c:v>
                </c:pt>
                <c:pt idx="1789">
                  <c:v>7.25</c:v>
                </c:pt>
                <c:pt idx="1790">
                  <c:v>7.25</c:v>
                </c:pt>
                <c:pt idx="1791">
                  <c:v>7.25</c:v>
                </c:pt>
                <c:pt idx="1792">
                  <c:v>7.25</c:v>
                </c:pt>
                <c:pt idx="1793">
                  <c:v>7.25</c:v>
                </c:pt>
                <c:pt idx="1794">
                  <c:v>7.25</c:v>
                </c:pt>
                <c:pt idx="1795">
                  <c:v>7.25</c:v>
                </c:pt>
                <c:pt idx="1796">
                  <c:v>7.25</c:v>
                </c:pt>
                <c:pt idx="1797">
                  <c:v>7.25</c:v>
                </c:pt>
                <c:pt idx="1798">
                  <c:v>7.25</c:v>
                </c:pt>
                <c:pt idx="1799">
                  <c:v>7.25</c:v>
                </c:pt>
                <c:pt idx="1800">
                  <c:v>7.25</c:v>
                </c:pt>
                <c:pt idx="1801">
                  <c:v>7.25</c:v>
                </c:pt>
                <c:pt idx="1802">
                  <c:v>7.25</c:v>
                </c:pt>
                <c:pt idx="1803">
                  <c:v>7.25</c:v>
                </c:pt>
                <c:pt idx="1804">
                  <c:v>7.25</c:v>
                </c:pt>
                <c:pt idx="1805">
                  <c:v>7.25</c:v>
                </c:pt>
                <c:pt idx="1806">
                  <c:v>7.25</c:v>
                </c:pt>
                <c:pt idx="1807">
                  <c:v>7.25</c:v>
                </c:pt>
                <c:pt idx="1808">
                  <c:v>7.25</c:v>
                </c:pt>
                <c:pt idx="1809">
                  <c:v>7.25</c:v>
                </c:pt>
                <c:pt idx="1810">
                  <c:v>7.25</c:v>
                </c:pt>
                <c:pt idx="1811">
                  <c:v>7.25</c:v>
                </c:pt>
                <c:pt idx="1812">
                  <c:v>7.25</c:v>
                </c:pt>
                <c:pt idx="1813">
                  <c:v>7.25</c:v>
                </c:pt>
                <c:pt idx="1814">
                  <c:v>7.25</c:v>
                </c:pt>
                <c:pt idx="1815">
                  <c:v>7.25</c:v>
                </c:pt>
                <c:pt idx="1816">
                  <c:v>7.25</c:v>
                </c:pt>
                <c:pt idx="1817">
                  <c:v>7.25</c:v>
                </c:pt>
                <c:pt idx="1818">
                  <c:v>7.25</c:v>
                </c:pt>
                <c:pt idx="1819">
                  <c:v>7.25</c:v>
                </c:pt>
                <c:pt idx="1820">
                  <c:v>7.25</c:v>
                </c:pt>
                <c:pt idx="1821">
                  <c:v>7.25</c:v>
                </c:pt>
                <c:pt idx="1822">
                  <c:v>7.25</c:v>
                </c:pt>
                <c:pt idx="1823">
                  <c:v>7.25</c:v>
                </c:pt>
                <c:pt idx="1824">
                  <c:v>7.25</c:v>
                </c:pt>
                <c:pt idx="1825">
                  <c:v>7.25</c:v>
                </c:pt>
                <c:pt idx="1826">
                  <c:v>7.25</c:v>
                </c:pt>
                <c:pt idx="1827">
                  <c:v>7.25</c:v>
                </c:pt>
                <c:pt idx="1828">
                  <c:v>7.25</c:v>
                </c:pt>
                <c:pt idx="1829">
                  <c:v>7.25</c:v>
                </c:pt>
                <c:pt idx="1830">
                  <c:v>7.25</c:v>
                </c:pt>
                <c:pt idx="1831">
                  <c:v>7.25</c:v>
                </c:pt>
                <c:pt idx="1832">
                  <c:v>7.25</c:v>
                </c:pt>
                <c:pt idx="1833">
                  <c:v>7.25</c:v>
                </c:pt>
                <c:pt idx="1834">
                  <c:v>7.25</c:v>
                </c:pt>
                <c:pt idx="1835">
                  <c:v>7.25</c:v>
                </c:pt>
                <c:pt idx="1836">
                  <c:v>7.25</c:v>
                </c:pt>
                <c:pt idx="1837">
                  <c:v>7.25</c:v>
                </c:pt>
                <c:pt idx="1838">
                  <c:v>7.25</c:v>
                </c:pt>
                <c:pt idx="1839">
                  <c:v>7.25</c:v>
                </c:pt>
                <c:pt idx="1840">
                  <c:v>7.25</c:v>
                </c:pt>
                <c:pt idx="1841">
                  <c:v>7.25</c:v>
                </c:pt>
                <c:pt idx="1842">
                  <c:v>7.25</c:v>
                </c:pt>
                <c:pt idx="1843">
                  <c:v>7.25</c:v>
                </c:pt>
                <c:pt idx="1844">
                  <c:v>7.25</c:v>
                </c:pt>
                <c:pt idx="1845">
                  <c:v>7.25</c:v>
                </c:pt>
                <c:pt idx="1846">
                  <c:v>7.25</c:v>
                </c:pt>
                <c:pt idx="1847">
                  <c:v>7.25</c:v>
                </c:pt>
                <c:pt idx="1848">
                  <c:v>7.25</c:v>
                </c:pt>
                <c:pt idx="1849">
                  <c:v>7.25</c:v>
                </c:pt>
                <c:pt idx="1850">
                  <c:v>7.25</c:v>
                </c:pt>
                <c:pt idx="1851">
                  <c:v>7.25</c:v>
                </c:pt>
                <c:pt idx="1852">
                  <c:v>7.25</c:v>
                </c:pt>
                <c:pt idx="1853">
                  <c:v>7.25</c:v>
                </c:pt>
                <c:pt idx="1854">
                  <c:v>7.25</c:v>
                </c:pt>
                <c:pt idx="1855">
                  <c:v>7.25</c:v>
                </c:pt>
                <c:pt idx="1856">
                  <c:v>7.5</c:v>
                </c:pt>
                <c:pt idx="1857">
                  <c:v>7.5</c:v>
                </c:pt>
                <c:pt idx="1858">
                  <c:v>7.5</c:v>
                </c:pt>
                <c:pt idx="1859">
                  <c:v>7.5</c:v>
                </c:pt>
                <c:pt idx="1860">
                  <c:v>7.5</c:v>
                </c:pt>
                <c:pt idx="1861">
                  <c:v>7.5</c:v>
                </c:pt>
                <c:pt idx="1862">
                  <c:v>7.5</c:v>
                </c:pt>
                <c:pt idx="1863">
                  <c:v>7.5</c:v>
                </c:pt>
                <c:pt idx="1864">
                  <c:v>7.5</c:v>
                </c:pt>
                <c:pt idx="1865">
                  <c:v>7.5</c:v>
                </c:pt>
                <c:pt idx="1866">
                  <c:v>7.5</c:v>
                </c:pt>
                <c:pt idx="1867">
                  <c:v>7.5</c:v>
                </c:pt>
                <c:pt idx="1868">
                  <c:v>7.5</c:v>
                </c:pt>
                <c:pt idx="1869">
                  <c:v>7.5</c:v>
                </c:pt>
                <c:pt idx="1870">
                  <c:v>7.5</c:v>
                </c:pt>
                <c:pt idx="1871">
                  <c:v>7.5</c:v>
                </c:pt>
                <c:pt idx="1872">
                  <c:v>7.5</c:v>
                </c:pt>
                <c:pt idx="1873">
                  <c:v>7.5</c:v>
                </c:pt>
                <c:pt idx="1874">
                  <c:v>7.5</c:v>
                </c:pt>
                <c:pt idx="1875">
                  <c:v>7.5</c:v>
                </c:pt>
                <c:pt idx="1876">
                  <c:v>7.5</c:v>
                </c:pt>
                <c:pt idx="1877">
                  <c:v>7.5</c:v>
                </c:pt>
                <c:pt idx="1878">
                  <c:v>7.5</c:v>
                </c:pt>
                <c:pt idx="1879">
                  <c:v>7.5</c:v>
                </c:pt>
                <c:pt idx="1880">
                  <c:v>7.5</c:v>
                </c:pt>
                <c:pt idx="1881">
                  <c:v>7.5</c:v>
                </c:pt>
                <c:pt idx="1882">
                  <c:v>7.5</c:v>
                </c:pt>
                <c:pt idx="1883">
                  <c:v>7.5</c:v>
                </c:pt>
                <c:pt idx="1884">
                  <c:v>7.5</c:v>
                </c:pt>
                <c:pt idx="1885">
                  <c:v>7.5</c:v>
                </c:pt>
                <c:pt idx="1886">
                  <c:v>7.5</c:v>
                </c:pt>
                <c:pt idx="1887">
                  <c:v>7.5</c:v>
                </c:pt>
                <c:pt idx="1888">
                  <c:v>7.5</c:v>
                </c:pt>
                <c:pt idx="1889">
                  <c:v>7.5</c:v>
                </c:pt>
                <c:pt idx="1890">
                  <c:v>7.5</c:v>
                </c:pt>
                <c:pt idx="1891">
                  <c:v>7.5</c:v>
                </c:pt>
                <c:pt idx="1892">
                  <c:v>7.5</c:v>
                </c:pt>
                <c:pt idx="1893">
                  <c:v>7.5</c:v>
                </c:pt>
                <c:pt idx="1894">
                  <c:v>7.5</c:v>
                </c:pt>
                <c:pt idx="1895">
                  <c:v>7.5</c:v>
                </c:pt>
                <c:pt idx="1896">
                  <c:v>7.5</c:v>
                </c:pt>
                <c:pt idx="1897">
                  <c:v>7.5</c:v>
                </c:pt>
                <c:pt idx="1898">
                  <c:v>7.5</c:v>
                </c:pt>
                <c:pt idx="1899">
                  <c:v>7.5</c:v>
                </c:pt>
                <c:pt idx="1900">
                  <c:v>7.5</c:v>
                </c:pt>
                <c:pt idx="1901">
                  <c:v>7.5</c:v>
                </c:pt>
                <c:pt idx="1902">
                  <c:v>7.5</c:v>
                </c:pt>
                <c:pt idx="1903">
                  <c:v>7.5</c:v>
                </c:pt>
                <c:pt idx="1904">
                  <c:v>7.5</c:v>
                </c:pt>
                <c:pt idx="1905">
                  <c:v>7.5</c:v>
                </c:pt>
                <c:pt idx="1906">
                  <c:v>7.5</c:v>
                </c:pt>
                <c:pt idx="1907">
                  <c:v>7.5</c:v>
                </c:pt>
                <c:pt idx="1908">
                  <c:v>7.5</c:v>
                </c:pt>
                <c:pt idx="1909">
                  <c:v>7.5</c:v>
                </c:pt>
                <c:pt idx="1910">
                  <c:v>7.5</c:v>
                </c:pt>
                <c:pt idx="1911">
                  <c:v>7.5</c:v>
                </c:pt>
                <c:pt idx="1912">
                  <c:v>7.5</c:v>
                </c:pt>
                <c:pt idx="1913">
                  <c:v>7.5</c:v>
                </c:pt>
                <c:pt idx="1914">
                  <c:v>7.75</c:v>
                </c:pt>
                <c:pt idx="1915">
                  <c:v>7.75</c:v>
                </c:pt>
                <c:pt idx="1916">
                  <c:v>7.75</c:v>
                </c:pt>
                <c:pt idx="1917">
                  <c:v>7.75</c:v>
                </c:pt>
                <c:pt idx="1918">
                  <c:v>7.75</c:v>
                </c:pt>
                <c:pt idx="1919">
                  <c:v>7.75</c:v>
                </c:pt>
                <c:pt idx="1920">
                  <c:v>7.75</c:v>
                </c:pt>
                <c:pt idx="1921">
                  <c:v>7.75</c:v>
                </c:pt>
                <c:pt idx="1922">
                  <c:v>7.75</c:v>
                </c:pt>
                <c:pt idx="1923">
                  <c:v>7.75</c:v>
                </c:pt>
                <c:pt idx="1924">
                  <c:v>7.75</c:v>
                </c:pt>
                <c:pt idx="1925">
                  <c:v>7.75</c:v>
                </c:pt>
                <c:pt idx="1926">
                  <c:v>7.75</c:v>
                </c:pt>
                <c:pt idx="1927">
                  <c:v>7.75</c:v>
                </c:pt>
                <c:pt idx="1928">
                  <c:v>7.75</c:v>
                </c:pt>
                <c:pt idx="1929">
                  <c:v>7.75</c:v>
                </c:pt>
                <c:pt idx="1930">
                  <c:v>7.75</c:v>
                </c:pt>
                <c:pt idx="1931">
                  <c:v>7.75</c:v>
                </c:pt>
                <c:pt idx="1932">
                  <c:v>7.75</c:v>
                </c:pt>
                <c:pt idx="1933">
                  <c:v>7.75</c:v>
                </c:pt>
                <c:pt idx="1934">
                  <c:v>7.75</c:v>
                </c:pt>
                <c:pt idx="1935">
                  <c:v>7.75</c:v>
                </c:pt>
                <c:pt idx="1936">
                  <c:v>7.75</c:v>
                </c:pt>
                <c:pt idx="1937">
                  <c:v>7.75</c:v>
                </c:pt>
                <c:pt idx="1938">
                  <c:v>7.75</c:v>
                </c:pt>
                <c:pt idx="1939">
                  <c:v>7.75</c:v>
                </c:pt>
                <c:pt idx="1940">
                  <c:v>7.75</c:v>
                </c:pt>
                <c:pt idx="1941">
                  <c:v>7.75</c:v>
                </c:pt>
                <c:pt idx="1942">
                  <c:v>7.75</c:v>
                </c:pt>
                <c:pt idx="1943">
                  <c:v>7.75</c:v>
                </c:pt>
                <c:pt idx="1944">
                  <c:v>7.75</c:v>
                </c:pt>
                <c:pt idx="1945">
                  <c:v>7.75</c:v>
                </c:pt>
                <c:pt idx="1946">
                  <c:v>7.75</c:v>
                </c:pt>
                <c:pt idx="1947">
                  <c:v>7.75</c:v>
                </c:pt>
                <c:pt idx="1948">
                  <c:v>7.75</c:v>
                </c:pt>
                <c:pt idx="1949">
                  <c:v>7.75</c:v>
                </c:pt>
                <c:pt idx="1950">
                  <c:v>7.75</c:v>
                </c:pt>
                <c:pt idx="1951">
                  <c:v>7.75</c:v>
                </c:pt>
                <c:pt idx="1952">
                  <c:v>7.75</c:v>
                </c:pt>
                <c:pt idx="1953">
                  <c:v>7.75</c:v>
                </c:pt>
                <c:pt idx="1954">
                  <c:v>7.75</c:v>
                </c:pt>
                <c:pt idx="1955">
                  <c:v>7.75</c:v>
                </c:pt>
                <c:pt idx="1956">
                  <c:v>7.75</c:v>
                </c:pt>
                <c:pt idx="1957">
                  <c:v>7.75</c:v>
                </c:pt>
                <c:pt idx="1958">
                  <c:v>7.75</c:v>
                </c:pt>
                <c:pt idx="1959">
                  <c:v>7.75</c:v>
                </c:pt>
                <c:pt idx="1960">
                  <c:v>7.75</c:v>
                </c:pt>
                <c:pt idx="1961">
                  <c:v>7.75</c:v>
                </c:pt>
                <c:pt idx="1962">
                  <c:v>7.75</c:v>
                </c:pt>
                <c:pt idx="1963">
                  <c:v>7.75</c:v>
                </c:pt>
                <c:pt idx="1964">
                  <c:v>7.75</c:v>
                </c:pt>
                <c:pt idx="1965">
                  <c:v>7.75</c:v>
                </c:pt>
                <c:pt idx="1966">
                  <c:v>7.75</c:v>
                </c:pt>
                <c:pt idx="1967">
                  <c:v>7.75</c:v>
                </c:pt>
                <c:pt idx="1968">
                  <c:v>7.75</c:v>
                </c:pt>
                <c:pt idx="1969">
                  <c:v>7.75</c:v>
                </c:pt>
                <c:pt idx="1970">
                  <c:v>7.75</c:v>
                </c:pt>
                <c:pt idx="1971">
                  <c:v>7.75</c:v>
                </c:pt>
                <c:pt idx="1972">
                  <c:v>7.75</c:v>
                </c:pt>
                <c:pt idx="1973">
                  <c:v>7.75</c:v>
                </c:pt>
                <c:pt idx="1974">
                  <c:v>7.75</c:v>
                </c:pt>
                <c:pt idx="1975">
                  <c:v>7.75</c:v>
                </c:pt>
                <c:pt idx="1976">
                  <c:v>7.75</c:v>
                </c:pt>
                <c:pt idx="1977">
                  <c:v>7.75</c:v>
                </c:pt>
                <c:pt idx="1978">
                  <c:v>7.75</c:v>
                </c:pt>
                <c:pt idx="1979">
                  <c:v>7.75</c:v>
                </c:pt>
                <c:pt idx="1980">
                  <c:v>7.75</c:v>
                </c:pt>
                <c:pt idx="1981">
                  <c:v>7.75</c:v>
                </c:pt>
                <c:pt idx="1982">
                  <c:v>7.75</c:v>
                </c:pt>
                <c:pt idx="1983">
                  <c:v>7.75</c:v>
                </c:pt>
                <c:pt idx="1984">
                  <c:v>7.75</c:v>
                </c:pt>
                <c:pt idx="1985">
                  <c:v>7.75</c:v>
                </c:pt>
                <c:pt idx="1986">
                  <c:v>7.75</c:v>
                </c:pt>
                <c:pt idx="1987">
                  <c:v>7.75</c:v>
                </c:pt>
                <c:pt idx="1988">
                  <c:v>7.75</c:v>
                </c:pt>
                <c:pt idx="1989">
                  <c:v>7.75</c:v>
                </c:pt>
                <c:pt idx="1990">
                  <c:v>7.75</c:v>
                </c:pt>
                <c:pt idx="1991">
                  <c:v>7.75</c:v>
                </c:pt>
                <c:pt idx="1992">
                  <c:v>7.75</c:v>
                </c:pt>
                <c:pt idx="1993">
                  <c:v>7.75</c:v>
                </c:pt>
                <c:pt idx="1994">
                  <c:v>7.75</c:v>
                </c:pt>
                <c:pt idx="1995">
                  <c:v>7.75</c:v>
                </c:pt>
                <c:pt idx="1996">
                  <c:v>7.75</c:v>
                </c:pt>
                <c:pt idx="1997">
                  <c:v>7.75</c:v>
                </c:pt>
                <c:pt idx="1998">
                  <c:v>7.75</c:v>
                </c:pt>
                <c:pt idx="1999">
                  <c:v>7.75</c:v>
                </c:pt>
                <c:pt idx="2000">
                  <c:v>7.75</c:v>
                </c:pt>
                <c:pt idx="2001">
                  <c:v>7.75</c:v>
                </c:pt>
                <c:pt idx="2002">
                  <c:v>7.75</c:v>
                </c:pt>
                <c:pt idx="2003">
                  <c:v>7.75</c:v>
                </c:pt>
                <c:pt idx="2004">
                  <c:v>7.75</c:v>
                </c:pt>
                <c:pt idx="2005">
                  <c:v>7.75</c:v>
                </c:pt>
                <c:pt idx="2006">
                  <c:v>7.75</c:v>
                </c:pt>
                <c:pt idx="2007">
                  <c:v>7.75</c:v>
                </c:pt>
                <c:pt idx="2008">
                  <c:v>7.75</c:v>
                </c:pt>
                <c:pt idx="2009">
                  <c:v>7.75</c:v>
                </c:pt>
                <c:pt idx="2010">
                  <c:v>7.75</c:v>
                </c:pt>
                <c:pt idx="2011">
                  <c:v>7.75</c:v>
                </c:pt>
                <c:pt idx="2012">
                  <c:v>7.75</c:v>
                </c:pt>
                <c:pt idx="2013">
                  <c:v>7.75</c:v>
                </c:pt>
                <c:pt idx="2014">
                  <c:v>7.75</c:v>
                </c:pt>
                <c:pt idx="2015">
                  <c:v>7.75</c:v>
                </c:pt>
                <c:pt idx="2016">
                  <c:v>7.75</c:v>
                </c:pt>
                <c:pt idx="2017">
                  <c:v>7.75</c:v>
                </c:pt>
                <c:pt idx="2018">
                  <c:v>7.75</c:v>
                </c:pt>
                <c:pt idx="2019">
                  <c:v>7.75</c:v>
                </c:pt>
                <c:pt idx="2020">
                  <c:v>7.75</c:v>
                </c:pt>
                <c:pt idx="2021">
                  <c:v>7.75</c:v>
                </c:pt>
                <c:pt idx="2022">
                  <c:v>7.75</c:v>
                </c:pt>
                <c:pt idx="2023">
                  <c:v>7.75</c:v>
                </c:pt>
                <c:pt idx="2024">
                  <c:v>7.75</c:v>
                </c:pt>
                <c:pt idx="2025">
                  <c:v>7.75</c:v>
                </c:pt>
                <c:pt idx="2026">
                  <c:v>7.75</c:v>
                </c:pt>
                <c:pt idx="2027">
                  <c:v>7.75</c:v>
                </c:pt>
                <c:pt idx="2028">
                  <c:v>7.75</c:v>
                </c:pt>
                <c:pt idx="2029">
                  <c:v>7.75</c:v>
                </c:pt>
                <c:pt idx="2030">
                  <c:v>7.75</c:v>
                </c:pt>
                <c:pt idx="2031">
                  <c:v>7.75</c:v>
                </c:pt>
                <c:pt idx="2032">
                  <c:v>7.75</c:v>
                </c:pt>
                <c:pt idx="2033">
                  <c:v>7.75</c:v>
                </c:pt>
                <c:pt idx="2034">
                  <c:v>7.75</c:v>
                </c:pt>
                <c:pt idx="2035">
                  <c:v>7.75</c:v>
                </c:pt>
                <c:pt idx="2036">
                  <c:v>7.75</c:v>
                </c:pt>
                <c:pt idx="2037">
                  <c:v>7.75</c:v>
                </c:pt>
                <c:pt idx="2038">
                  <c:v>7.75</c:v>
                </c:pt>
                <c:pt idx="2039">
                  <c:v>7.75</c:v>
                </c:pt>
                <c:pt idx="2040">
                  <c:v>7.75</c:v>
                </c:pt>
                <c:pt idx="2041">
                  <c:v>7.75</c:v>
                </c:pt>
                <c:pt idx="2042">
                  <c:v>7.75</c:v>
                </c:pt>
                <c:pt idx="2043">
                  <c:v>7.75</c:v>
                </c:pt>
                <c:pt idx="2044">
                  <c:v>7.75</c:v>
                </c:pt>
                <c:pt idx="2045">
                  <c:v>7.75</c:v>
                </c:pt>
                <c:pt idx="2046">
                  <c:v>7.75</c:v>
                </c:pt>
                <c:pt idx="2047">
                  <c:v>7.75</c:v>
                </c:pt>
                <c:pt idx="2048">
                  <c:v>7.75</c:v>
                </c:pt>
                <c:pt idx="2049">
                  <c:v>7.75</c:v>
                </c:pt>
                <c:pt idx="2050">
                  <c:v>7.75</c:v>
                </c:pt>
                <c:pt idx="2051">
                  <c:v>7.75</c:v>
                </c:pt>
                <c:pt idx="2052">
                  <c:v>7.75</c:v>
                </c:pt>
                <c:pt idx="2053">
                  <c:v>7.75</c:v>
                </c:pt>
                <c:pt idx="2054">
                  <c:v>7.75</c:v>
                </c:pt>
                <c:pt idx="2055">
                  <c:v>7.75</c:v>
                </c:pt>
                <c:pt idx="2056">
                  <c:v>7.75</c:v>
                </c:pt>
                <c:pt idx="2057">
                  <c:v>7.75</c:v>
                </c:pt>
                <c:pt idx="2058">
                  <c:v>7.75</c:v>
                </c:pt>
                <c:pt idx="2059">
                  <c:v>7.75</c:v>
                </c:pt>
                <c:pt idx="2060">
                  <c:v>7.75</c:v>
                </c:pt>
                <c:pt idx="2061">
                  <c:v>7.75</c:v>
                </c:pt>
                <c:pt idx="2062">
                  <c:v>7.75</c:v>
                </c:pt>
                <c:pt idx="2063">
                  <c:v>7.75</c:v>
                </c:pt>
                <c:pt idx="2064">
                  <c:v>7.75</c:v>
                </c:pt>
                <c:pt idx="2065">
                  <c:v>7.75</c:v>
                </c:pt>
                <c:pt idx="2066">
                  <c:v>7.75</c:v>
                </c:pt>
                <c:pt idx="2067">
                  <c:v>7.75</c:v>
                </c:pt>
                <c:pt idx="2068">
                  <c:v>7.75</c:v>
                </c:pt>
                <c:pt idx="2069">
                  <c:v>7.75</c:v>
                </c:pt>
                <c:pt idx="2070">
                  <c:v>7.75</c:v>
                </c:pt>
                <c:pt idx="2071">
                  <c:v>7.75</c:v>
                </c:pt>
                <c:pt idx="2072">
                  <c:v>7.75</c:v>
                </c:pt>
                <c:pt idx="2073">
                  <c:v>7.75</c:v>
                </c:pt>
                <c:pt idx="2074">
                  <c:v>7.75</c:v>
                </c:pt>
                <c:pt idx="2075">
                  <c:v>7.75</c:v>
                </c:pt>
                <c:pt idx="2076">
                  <c:v>7.75</c:v>
                </c:pt>
                <c:pt idx="2077">
                  <c:v>7.75</c:v>
                </c:pt>
                <c:pt idx="2078">
                  <c:v>7.75</c:v>
                </c:pt>
                <c:pt idx="2079">
                  <c:v>7.75</c:v>
                </c:pt>
                <c:pt idx="2080">
                  <c:v>7.75</c:v>
                </c:pt>
                <c:pt idx="2081">
                  <c:v>7.75</c:v>
                </c:pt>
                <c:pt idx="2082">
                  <c:v>7.75</c:v>
                </c:pt>
                <c:pt idx="2083">
                  <c:v>7.75</c:v>
                </c:pt>
                <c:pt idx="2084">
                  <c:v>7.75</c:v>
                </c:pt>
                <c:pt idx="2085">
                  <c:v>7.75</c:v>
                </c:pt>
                <c:pt idx="2086">
                  <c:v>7.75</c:v>
                </c:pt>
                <c:pt idx="2087">
                  <c:v>7.75</c:v>
                </c:pt>
                <c:pt idx="2088">
                  <c:v>7.75</c:v>
                </c:pt>
                <c:pt idx="2089">
                  <c:v>7.75</c:v>
                </c:pt>
                <c:pt idx="2090">
                  <c:v>7.75</c:v>
                </c:pt>
                <c:pt idx="2091">
                  <c:v>7.75</c:v>
                </c:pt>
                <c:pt idx="2092">
                  <c:v>7.75</c:v>
                </c:pt>
                <c:pt idx="2093">
                  <c:v>7.75</c:v>
                </c:pt>
                <c:pt idx="2094">
                  <c:v>7.75</c:v>
                </c:pt>
                <c:pt idx="2095">
                  <c:v>7.75</c:v>
                </c:pt>
                <c:pt idx="2096">
                  <c:v>7.75</c:v>
                </c:pt>
                <c:pt idx="2097">
                  <c:v>7.75</c:v>
                </c:pt>
                <c:pt idx="2098">
                  <c:v>7.75</c:v>
                </c:pt>
                <c:pt idx="2099">
                  <c:v>7.75</c:v>
                </c:pt>
                <c:pt idx="2100">
                  <c:v>7.75</c:v>
                </c:pt>
                <c:pt idx="2101">
                  <c:v>7.75</c:v>
                </c:pt>
                <c:pt idx="2102">
                  <c:v>7.75</c:v>
                </c:pt>
                <c:pt idx="2103">
                  <c:v>7.75</c:v>
                </c:pt>
                <c:pt idx="2104">
                  <c:v>7.75</c:v>
                </c:pt>
                <c:pt idx="2105">
                  <c:v>7.75</c:v>
                </c:pt>
                <c:pt idx="2106">
                  <c:v>7.75</c:v>
                </c:pt>
                <c:pt idx="2107">
                  <c:v>7.75</c:v>
                </c:pt>
                <c:pt idx="2108">
                  <c:v>7.75</c:v>
                </c:pt>
                <c:pt idx="2109">
                  <c:v>7.75</c:v>
                </c:pt>
                <c:pt idx="2110">
                  <c:v>7.75</c:v>
                </c:pt>
                <c:pt idx="2111">
                  <c:v>7.75</c:v>
                </c:pt>
                <c:pt idx="2112">
                  <c:v>7.75</c:v>
                </c:pt>
                <c:pt idx="2113">
                  <c:v>7.75</c:v>
                </c:pt>
                <c:pt idx="2114">
                  <c:v>7.75</c:v>
                </c:pt>
                <c:pt idx="2115">
                  <c:v>7.75</c:v>
                </c:pt>
                <c:pt idx="2116">
                  <c:v>7.75</c:v>
                </c:pt>
                <c:pt idx="2117">
                  <c:v>7.75</c:v>
                </c:pt>
                <c:pt idx="2118">
                  <c:v>7.75</c:v>
                </c:pt>
                <c:pt idx="2119">
                  <c:v>7.75</c:v>
                </c:pt>
                <c:pt idx="2120">
                  <c:v>7.75</c:v>
                </c:pt>
                <c:pt idx="2121">
                  <c:v>7.75</c:v>
                </c:pt>
                <c:pt idx="2122">
                  <c:v>7.75</c:v>
                </c:pt>
                <c:pt idx="2123">
                  <c:v>7.75</c:v>
                </c:pt>
                <c:pt idx="2124">
                  <c:v>7.75</c:v>
                </c:pt>
                <c:pt idx="2125">
                  <c:v>7.75</c:v>
                </c:pt>
                <c:pt idx="2126">
                  <c:v>7.75</c:v>
                </c:pt>
                <c:pt idx="2127">
                  <c:v>7.75</c:v>
                </c:pt>
                <c:pt idx="2128">
                  <c:v>7.75</c:v>
                </c:pt>
                <c:pt idx="2129">
                  <c:v>7.75</c:v>
                </c:pt>
                <c:pt idx="2130">
                  <c:v>7.75</c:v>
                </c:pt>
                <c:pt idx="2131">
                  <c:v>7.75</c:v>
                </c:pt>
                <c:pt idx="2132">
                  <c:v>7.75</c:v>
                </c:pt>
                <c:pt idx="2133">
                  <c:v>7.75</c:v>
                </c:pt>
                <c:pt idx="2134">
                  <c:v>7.75</c:v>
                </c:pt>
                <c:pt idx="2135">
                  <c:v>7.75</c:v>
                </c:pt>
                <c:pt idx="2136">
                  <c:v>7.75</c:v>
                </c:pt>
                <c:pt idx="2137">
                  <c:v>7.75</c:v>
                </c:pt>
                <c:pt idx="2138">
                  <c:v>7.75</c:v>
                </c:pt>
                <c:pt idx="2139">
                  <c:v>7.75</c:v>
                </c:pt>
                <c:pt idx="2140">
                  <c:v>7.75</c:v>
                </c:pt>
                <c:pt idx="2141">
                  <c:v>7.75</c:v>
                </c:pt>
                <c:pt idx="2142">
                  <c:v>7.75</c:v>
                </c:pt>
                <c:pt idx="2143">
                  <c:v>7.75</c:v>
                </c:pt>
                <c:pt idx="2144">
                  <c:v>7.75</c:v>
                </c:pt>
                <c:pt idx="2145">
                  <c:v>7.75</c:v>
                </c:pt>
                <c:pt idx="2146">
                  <c:v>7.75</c:v>
                </c:pt>
                <c:pt idx="2147">
                  <c:v>7.75</c:v>
                </c:pt>
                <c:pt idx="2148">
                  <c:v>7.75</c:v>
                </c:pt>
                <c:pt idx="2149">
                  <c:v>7.75</c:v>
                </c:pt>
                <c:pt idx="2150">
                  <c:v>7.75</c:v>
                </c:pt>
                <c:pt idx="2151">
                  <c:v>7.75</c:v>
                </c:pt>
                <c:pt idx="2152">
                  <c:v>7.75</c:v>
                </c:pt>
                <c:pt idx="2153">
                  <c:v>7.75</c:v>
                </c:pt>
                <c:pt idx="2154">
                  <c:v>7.75</c:v>
                </c:pt>
                <c:pt idx="2155">
                  <c:v>7.75</c:v>
                </c:pt>
                <c:pt idx="2156">
                  <c:v>7.75</c:v>
                </c:pt>
                <c:pt idx="2157">
                  <c:v>7.75</c:v>
                </c:pt>
                <c:pt idx="2158">
                  <c:v>7.75</c:v>
                </c:pt>
                <c:pt idx="2159">
                  <c:v>7.75</c:v>
                </c:pt>
                <c:pt idx="2160">
                  <c:v>7.75</c:v>
                </c:pt>
                <c:pt idx="2161">
                  <c:v>7.75</c:v>
                </c:pt>
                <c:pt idx="2162">
                  <c:v>7.75</c:v>
                </c:pt>
                <c:pt idx="2163">
                  <c:v>7.75</c:v>
                </c:pt>
                <c:pt idx="2164">
                  <c:v>7.75</c:v>
                </c:pt>
                <c:pt idx="2165">
                  <c:v>7.75</c:v>
                </c:pt>
                <c:pt idx="2166">
                  <c:v>7.75</c:v>
                </c:pt>
                <c:pt idx="2167">
                  <c:v>7.75</c:v>
                </c:pt>
                <c:pt idx="2168">
                  <c:v>7.75</c:v>
                </c:pt>
                <c:pt idx="2169">
                  <c:v>7.75</c:v>
                </c:pt>
                <c:pt idx="2170">
                  <c:v>7.75</c:v>
                </c:pt>
                <c:pt idx="2171">
                  <c:v>7.75</c:v>
                </c:pt>
                <c:pt idx="2172">
                  <c:v>7.75</c:v>
                </c:pt>
                <c:pt idx="2173">
                  <c:v>7.75</c:v>
                </c:pt>
                <c:pt idx="2174">
                  <c:v>7.75</c:v>
                </c:pt>
                <c:pt idx="2175">
                  <c:v>7.75</c:v>
                </c:pt>
                <c:pt idx="2176">
                  <c:v>7.75</c:v>
                </c:pt>
                <c:pt idx="2177">
                  <c:v>7.75</c:v>
                </c:pt>
                <c:pt idx="2178">
                  <c:v>7.75</c:v>
                </c:pt>
                <c:pt idx="2179">
                  <c:v>7.75</c:v>
                </c:pt>
                <c:pt idx="2180">
                  <c:v>7.75</c:v>
                </c:pt>
                <c:pt idx="2181">
                  <c:v>7.75</c:v>
                </c:pt>
                <c:pt idx="2182">
                  <c:v>7.75</c:v>
                </c:pt>
                <c:pt idx="2183">
                  <c:v>7.75</c:v>
                </c:pt>
                <c:pt idx="2184">
                  <c:v>7.75</c:v>
                </c:pt>
                <c:pt idx="2185">
                  <c:v>7.75</c:v>
                </c:pt>
                <c:pt idx="2186">
                  <c:v>7.75</c:v>
                </c:pt>
                <c:pt idx="2187">
                  <c:v>7.75</c:v>
                </c:pt>
                <c:pt idx="2188">
                  <c:v>7.75</c:v>
                </c:pt>
                <c:pt idx="2189">
                  <c:v>7.75</c:v>
                </c:pt>
                <c:pt idx="2190">
                  <c:v>7.75</c:v>
                </c:pt>
                <c:pt idx="2191">
                  <c:v>7.75</c:v>
                </c:pt>
                <c:pt idx="2192">
                  <c:v>7.75</c:v>
                </c:pt>
                <c:pt idx="2193">
                  <c:v>7.75</c:v>
                </c:pt>
                <c:pt idx="2194">
                  <c:v>7.75</c:v>
                </c:pt>
                <c:pt idx="2195">
                  <c:v>7.75</c:v>
                </c:pt>
                <c:pt idx="2196">
                  <c:v>7.75</c:v>
                </c:pt>
                <c:pt idx="2197">
                  <c:v>7.75</c:v>
                </c:pt>
                <c:pt idx="2198">
                  <c:v>7.75</c:v>
                </c:pt>
                <c:pt idx="2199">
                  <c:v>7.75</c:v>
                </c:pt>
                <c:pt idx="2200">
                  <c:v>7.75</c:v>
                </c:pt>
                <c:pt idx="2201">
                  <c:v>7.75</c:v>
                </c:pt>
                <c:pt idx="2202">
                  <c:v>7.75</c:v>
                </c:pt>
                <c:pt idx="2203">
                  <c:v>7.75</c:v>
                </c:pt>
                <c:pt idx="2204">
                  <c:v>7.75</c:v>
                </c:pt>
                <c:pt idx="2205">
                  <c:v>7.75</c:v>
                </c:pt>
                <c:pt idx="2206">
                  <c:v>7.75</c:v>
                </c:pt>
                <c:pt idx="2207">
                  <c:v>7.75</c:v>
                </c:pt>
                <c:pt idx="2208">
                  <c:v>7.75</c:v>
                </c:pt>
                <c:pt idx="2209">
                  <c:v>7.75</c:v>
                </c:pt>
                <c:pt idx="2210">
                  <c:v>7.75</c:v>
                </c:pt>
                <c:pt idx="2211">
                  <c:v>7.75</c:v>
                </c:pt>
                <c:pt idx="2212">
                  <c:v>7.75</c:v>
                </c:pt>
                <c:pt idx="2213">
                  <c:v>7.75</c:v>
                </c:pt>
                <c:pt idx="2214">
                  <c:v>7.75</c:v>
                </c:pt>
                <c:pt idx="2215">
                  <c:v>7.75</c:v>
                </c:pt>
                <c:pt idx="2216">
                  <c:v>7.75</c:v>
                </c:pt>
                <c:pt idx="2217">
                  <c:v>7.75</c:v>
                </c:pt>
                <c:pt idx="2218">
                  <c:v>7.75</c:v>
                </c:pt>
                <c:pt idx="2219">
                  <c:v>7.75</c:v>
                </c:pt>
                <c:pt idx="2220">
                  <c:v>7.75</c:v>
                </c:pt>
                <c:pt idx="2221">
                  <c:v>7.75</c:v>
                </c:pt>
                <c:pt idx="2222">
                  <c:v>7.75</c:v>
                </c:pt>
                <c:pt idx="2223">
                  <c:v>7.75</c:v>
                </c:pt>
                <c:pt idx="2224">
                  <c:v>7.75</c:v>
                </c:pt>
                <c:pt idx="2225">
                  <c:v>7.75</c:v>
                </c:pt>
                <c:pt idx="2226">
                  <c:v>7.75</c:v>
                </c:pt>
                <c:pt idx="2227">
                  <c:v>7.75</c:v>
                </c:pt>
                <c:pt idx="2228">
                  <c:v>7.75</c:v>
                </c:pt>
                <c:pt idx="2229">
                  <c:v>7.75</c:v>
                </c:pt>
                <c:pt idx="2230">
                  <c:v>7.75</c:v>
                </c:pt>
                <c:pt idx="2231">
                  <c:v>7.75</c:v>
                </c:pt>
                <c:pt idx="2232">
                  <c:v>7.75</c:v>
                </c:pt>
                <c:pt idx="2233">
                  <c:v>7.75</c:v>
                </c:pt>
                <c:pt idx="2234">
                  <c:v>7.75</c:v>
                </c:pt>
                <c:pt idx="2235">
                  <c:v>7.75</c:v>
                </c:pt>
                <c:pt idx="2236">
                  <c:v>7.75</c:v>
                </c:pt>
                <c:pt idx="2237">
                  <c:v>7.75</c:v>
                </c:pt>
                <c:pt idx="2238">
                  <c:v>7.75</c:v>
                </c:pt>
                <c:pt idx="2239">
                  <c:v>7.75</c:v>
                </c:pt>
                <c:pt idx="2240">
                  <c:v>7.75</c:v>
                </c:pt>
                <c:pt idx="2241">
                  <c:v>7.75</c:v>
                </c:pt>
                <c:pt idx="2242">
                  <c:v>7.75</c:v>
                </c:pt>
                <c:pt idx="2243">
                  <c:v>7.75</c:v>
                </c:pt>
                <c:pt idx="2244">
                  <c:v>7.75</c:v>
                </c:pt>
                <c:pt idx="2245">
                  <c:v>7.75</c:v>
                </c:pt>
                <c:pt idx="2246">
                  <c:v>7.75</c:v>
                </c:pt>
                <c:pt idx="2247">
                  <c:v>7.75</c:v>
                </c:pt>
                <c:pt idx="2248">
                  <c:v>7.75</c:v>
                </c:pt>
                <c:pt idx="2249">
                  <c:v>7.75</c:v>
                </c:pt>
                <c:pt idx="2250">
                  <c:v>7.75</c:v>
                </c:pt>
                <c:pt idx="2251">
                  <c:v>7.75</c:v>
                </c:pt>
                <c:pt idx="2252">
                  <c:v>7.75</c:v>
                </c:pt>
                <c:pt idx="2253">
                  <c:v>7.75</c:v>
                </c:pt>
                <c:pt idx="2254">
                  <c:v>7.75</c:v>
                </c:pt>
                <c:pt idx="2255">
                  <c:v>7.75</c:v>
                </c:pt>
                <c:pt idx="2256">
                  <c:v>7.75</c:v>
                </c:pt>
                <c:pt idx="2257">
                  <c:v>7.75</c:v>
                </c:pt>
                <c:pt idx="2258">
                  <c:v>7.75</c:v>
                </c:pt>
                <c:pt idx="2259">
                  <c:v>7.75</c:v>
                </c:pt>
                <c:pt idx="2260">
                  <c:v>7.75</c:v>
                </c:pt>
                <c:pt idx="2261">
                  <c:v>7.75</c:v>
                </c:pt>
                <c:pt idx="2262">
                  <c:v>7.75</c:v>
                </c:pt>
                <c:pt idx="2263">
                  <c:v>7.75</c:v>
                </c:pt>
                <c:pt idx="2264">
                  <c:v>7.75</c:v>
                </c:pt>
                <c:pt idx="2265">
                  <c:v>7.75</c:v>
                </c:pt>
                <c:pt idx="2266">
                  <c:v>7.75</c:v>
                </c:pt>
                <c:pt idx="2267">
                  <c:v>7.75</c:v>
                </c:pt>
                <c:pt idx="2268">
                  <c:v>7.75</c:v>
                </c:pt>
                <c:pt idx="2269">
                  <c:v>7.75</c:v>
                </c:pt>
                <c:pt idx="2270">
                  <c:v>7.75</c:v>
                </c:pt>
                <c:pt idx="2271">
                  <c:v>7.75</c:v>
                </c:pt>
                <c:pt idx="2272">
                  <c:v>7.75</c:v>
                </c:pt>
                <c:pt idx="2273">
                  <c:v>7.75</c:v>
                </c:pt>
                <c:pt idx="2274">
                  <c:v>7.75</c:v>
                </c:pt>
                <c:pt idx="2275">
                  <c:v>7.75</c:v>
                </c:pt>
                <c:pt idx="2276">
                  <c:v>7.75</c:v>
                </c:pt>
                <c:pt idx="2277">
                  <c:v>7.75</c:v>
                </c:pt>
                <c:pt idx="2278">
                  <c:v>7.75</c:v>
                </c:pt>
                <c:pt idx="2279">
                  <c:v>7.75</c:v>
                </c:pt>
                <c:pt idx="2280">
                  <c:v>7.75</c:v>
                </c:pt>
                <c:pt idx="2281">
                  <c:v>7.75</c:v>
                </c:pt>
                <c:pt idx="2282">
                  <c:v>7.75</c:v>
                </c:pt>
                <c:pt idx="2283">
                  <c:v>7.75</c:v>
                </c:pt>
                <c:pt idx="2284">
                  <c:v>7.75</c:v>
                </c:pt>
                <c:pt idx="2285">
                  <c:v>7.75</c:v>
                </c:pt>
                <c:pt idx="2286">
                  <c:v>7.75</c:v>
                </c:pt>
                <c:pt idx="2287">
                  <c:v>7.75</c:v>
                </c:pt>
                <c:pt idx="2288">
                  <c:v>7.75</c:v>
                </c:pt>
                <c:pt idx="2289">
                  <c:v>7.75</c:v>
                </c:pt>
                <c:pt idx="2290">
                  <c:v>7.75</c:v>
                </c:pt>
                <c:pt idx="2291">
                  <c:v>7.75</c:v>
                </c:pt>
                <c:pt idx="2292">
                  <c:v>7.75</c:v>
                </c:pt>
                <c:pt idx="2293">
                  <c:v>7.75</c:v>
                </c:pt>
                <c:pt idx="2294">
                  <c:v>7.75</c:v>
                </c:pt>
                <c:pt idx="2295">
                  <c:v>7.75</c:v>
                </c:pt>
                <c:pt idx="2296">
                  <c:v>7.75</c:v>
                </c:pt>
                <c:pt idx="2297">
                  <c:v>7.75</c:v>
                </c:pt>
                <c:pt idx="2298">
                  <c:v>7.75</c:v>
                </c:pt>
                <c:pt idx="2299">
                  <c:v>7.75</c:v>
                </c:pt>
                <c:pt idx="2300">
                  <c:v>7.75</c:v>
                </c:pt>
                <c:pt idx="2301">
                  <c:v>7.75</c:v>
                </c:pt>
                <c:pt idx="2302">
                  <c:v>7.75</c:v>
                </c:pt>
                <c:pt idx="2303">
                  <c:v>7.75</c:v>
                </c:pt>
                <c:pt idx="2304">
                  <c:v>7.75</c:v>
                </c:pt>
                <c:pt idx="2305">
                  <c:v>7.75</c:v>
                </c:pt>
                <c:pt idx="2306">
                  <c:v>7.75</c:v>
                </c:pt>
                <c:pt idx="2307">
                  <c:v>7.75</c:v>
                </c:pt>
                <c:pt idx="2308">
                  <c:v>7.75</c:v>
                </c:pt>
                <c:pt idx="2309">
                  <c:v>7.75</c:v>
                </c:pt>
                <c:pt idx="2310">
                  <c:v>7.75</c:v>
                </c:pt>
                <c:pt idx="2311">
                  <c:v>7.75</c:v>
                </c:pt>
                <c:pt idx="2312">
                  <c:v>7.75</c:v>
                </c:pt>
                <c:pt idx="2313">
                  <c:v>7.75</c:v>
                </c:pt>
                <c:pt idx="2314">
                  <c:v>7.75</c:v>
                </c:pt>
                <c:pt idx="2315">
                  <c:v>7.75</c:v>
                </c:pt>
                <c:pt idx="2316">
                  <c:v>7.75</c:v>
                </c:pt>
                <c:pt idx="2317">
                  <c:v>7.75</c:v>
                </c:pt>
                <c:pt idx="2318">
                  <c:v>7.75</c:v>
                </c:pt>
                <c:pt idx="2319">
                  <c:v>7.75</c:v>
                </c:pt>
                <c:pt idx="2320">
                  <c:v>7.75</c:v>
                </c:pt>
                <c:pt idx="2321">
                  <c:v>7.75</c:v>
                </c:pt>
                <c:pt idx="2322">
                  <c:v>7.75</c:v>
                </c:pt>
                <c:pt idx="2323">
                  <c:v>7.75</c:v>
                </c:pt>
                <c:pt idx="2324">
                  <c:v>7.75</c:v>
                </c:pt>
                <c:pt idx="2325">
                  <c:v>7.75</c:v>
                </c:pt>
                <c:pt idx="2326">
                  <c:v>7.75</c:v>
                </c:pt>
                <c:pt idx="2327">
                  <c:v>7.75</c:v>
                </c:pt>
                <c:pt idx="2328">
                  <c:v>7.75</c:v>
                </c:pt>
                <c:pt idx="2329">
                  <c:v>7.75</c:v>
                </c:pt>
                <c:pt idx="2330">
                  <c:v>7.75</c:v>
                </c:pt>
                <c:pt idx="2331">
                  <c:v>7.75</c:v>
                </c:pt>
                <c:pt idx="2332">
                  <c:v>7.75</c:v>
                </c:pt>
                <c:pt idx="2333">
                  <c:v>7.75</c:v>
                </c:pt>
                <c:pt idx="2334">
                  <c:v>7.75</c:v>
                </c:pt>
                <c:pt idx="2335">
                  <c:v>7.75</c:v>
                </c:pt>
                <c:pt idx="2336">
                  <c:v>7.75</c:v>
                </c:pt>
                <c:pt idx="2337">
                  <c:v>7.75</c:v>
                </c:pt>
                <c:pt idx="2338">
                  <c:v>7.75</c:v>
                </c:pt>
                <c:pt idx="2339">
                  <c:v>7.75</c:v>
                </c:pt>
                <c:pt idx="2340">
                  <c:v>7.75</c:v>
                </c:pt>
                <c:pt idx="2341">
                  <c:v>7.75</c:v>
                </c:pt>
                <c:pt idx="2342">
                  <c:v>7.75</c:v>
                </c:pt>
                <c:pt idx="2343">
                  <c:v>7.75</c:v>
                </c:pt>
                <c:pt idx="2344">
                  <c:v>7.75</c:v>
                </c:pt>
                <c:pt idx="2345">
                  <c:v>7.75</c:v>
                </c:pt>
                <c:pt idx="2346">
                  <c:v>7.75</c:v>
                </c:pt>
                <c:pt idx="2347">
                  <c:v>7.75</c:v>
                </c:pt>
                <c:pt idx="2348">
                  <c:v>7.75</c:v>
                </c:pt>
                <c:pt idx="2349">
                  <c:v>7.75</c:v>
                </c:pt>
                <c:pt idx="2350">
                  <c:v>7.75</c:v>
                </c:pt>
                <c:pt idx="2351">
                  <c:v>7.75</c:v>
                </c:pt>
                <c:pt idx="2352">
                  <c:v>7.75</c:v>
                </c:pt>
                <c:pt idx="2353">
                  <c:v>8</c:v>
                </c:pt>
                <c:pt idx="2354">
                  <c:v>8</c:v>
                </c:pt>
                <c:pt idx="2355">
                  <c:v>8</c:v>
                </c:pt>
                <c:pt idx="2356">
                  <c:v>8</c:v>
                </c:pt>
                <c:pt idx="2357">
                  <c:v>8</c:v>
                </c:pt>
                <c:pt idx="2358">
                  <c:v>8</c:v>
                </c:pt>
                <c:pt idx="2359">
                  <c:v>8</c:v>
                </c:pt>
                <c:pt idx="2360">
                  <c:v>8</c:v>
                </c:pt>
                <c:pt idx="2361">
                  <c:v>8</c:v>
                </c:pt>
                <c:pt idx="2362">
                  <c:v>8</c:v>
                </c:pt>
                <c:pt idx="2363">
                  <c:v>8</c:v>
                </c:pt>
                <c:pt idx="2364">
                  <c:v>8</c:v>
                </c:pt>
                <c:pt idx="2365">
                  <c:v>8</c:v>
                </c:pt>
                <c:pt idx="2366">
                  <c:v>8.5</c:v>
                </c:pt>
                <c:pt idx="2367">
                  <c:v>8.5</c:v>
                </c:pt>
                <c:pt idx="2368">
                  <c:v>8.5</c:v>
                </c:pt>
                <c:pt idx="2369">
                  <c:v>8.5</c:v>
                </c:pt>
                <c:pt idx="2370">
                  <c:v>8.5</c:v>
                </c:pt>
                <c:pt idx="2371">
                  <c:v>8.5</c:v>
                </c:pt>
                <c:pt idx="2372">
                  <c:v>8.5</c:v>
                </c:pt>
                <c:pt idx="2373">
                  <c:v>8.5</c:v>
                </c:pt>
                <c:pt idx="2374">
                  <c:v>8.5</c:v>
                </c:pt>
                <c:pt idx="2375">
                  <c:v>8.5</c:v>
                </c:pt>
                <c:pt idx="2376">
                  <c:v>8.5</c:v>
                </c:pt>
                <c:pt idx="2377">
                  <c:v>8.5</c:v>
                </c:pt>
                <c:pt idx="2378">
                  <c:v>8.5</c:v>
                </c:pt>
                <c:pt idx="2379">
                  <c:v>8.5</c:v>
                </c:pt>
                <c:pt idx="2380">
                  <c:v>8.5</c:v>
                </c:pt>
                <c:pt idx="2381">
                  <c:v>8.5</c:v>
                </c:pt>
                <c:pt idx="2382">
                  <c:v>8.5</c:v>
                </c:pt>
                <c:pt idx="2383">
                  <c:v>8.5</c:v>
                </c:pt>
                <c:pt idx="2384">
                  <c:v>8.5</c:v>
                </c:pt>
                <c:pt idx="2385">
                  <c:v>8.5</c:v>
                </c:pt>
                <c:pt idx="2386">
                  <c:v>8.5</c:v>
                </c:pt>
                <c:pt idx="2387">
                  <c:v>8.5</c:v>
                </c:pt>
                <c:pt idx="2388">
                  <c:v>8.5</c:v>
                </c:pt>
                <c:pt idx="2389">
                  <c:v>8.5</c:v>
                </c:pt>
                <c:pt idx="2390">
                  <c:v>8.5</c:v>
                </c:pt>
                <c:pt idx="2391">
                  <c:v>8.5</c:v>
                </c:pt>
                <c:pt idx="2392">
                  <c:v>8.5</c:v>
                </c:pt>
                <c:pt idx="2393">
                  <c:v>8.5</c:v>
                </c:pt>
                <c:pt idx="2394">
                  <c:v>8.5</c:v>
                </c:pt>
                <c:pt idx="2395">
                  <c:v>8.5</c:v>
                </c:pt>
                <c:pt idx="2396">
                  <c:v>8.5</c:v>
                </c:pt>
                <c:pt idx="2397">
                  <c:v>8.5</c:v>
                </c:pt>
                <c:pt idx="2398">
                  <c:v>8.5</c:v>
                </c:pt>
                <c:pt idx="2399">
                  <c:v>8.5</c:v>
                </c:pt>
                <c:pt idx="2400">
                  <c:v>8.5</c:v>
                </c:pt>
                <c:pt idx="2401">
                  <c:v>9</c:v>
                </c:pt>
                <c:pt idx="2402">
                  <c:v>9</c:v>
                </c:pt>
                <c:pt idx="2403">
                  <c:v>9</c:v>
                </c:pt>
                <c:pt idx="2404">
                  <c:v>9</c:v>
                </c:pt>
                <c:pt idx="2405">
                  <c:v>9</c:v>
                </c:pt>
                <c:pt idx="2406">
                  <c:v>9</c:v>
                </c:pt>
                <c:pt idx="2407">
                  <c:v>9</c:v>
                </c:pt>
                <c:pt idx="2408">
                  <c:v>9</c:v>
                </c:pt>
                <c:pt idx="2409">
                  <c:v>9</c:v>
                </c:pt>
                <c:pt idx="2410">
                  <c:v>9</c:v>
                </c:pt>
                <c:pt idx="2411">
                  <c:v>9</c:v>
                </c:pt>
                <c:pt idx="2412">
                  <c:v>9</c:v>
                </c:pt>
                <c:pt idx="2413">
                  <c:v>9</c:v>
                </c:pt>
                <c:pt idx="2414">
                  <c:v>9</c:v>
                </c:pt>
                <c:pt idx="2415">
                  <c:v>9</c:v>
                </c:pt>
                <c:pt idx="2416">
                  <c:v>9</c:v>
                </c:pt>
                <c:pt idx="2417">
                  <c:v>9</c:v>
                </c:pt>
                <c:pt idx="2418">
                  <c:v>9</c:v>
                </c:pt>
                <c:pt idx="2419">
                  <c:v>9</c:v>
                </c:pt>
                <c:pt idx="2420">
                  <c:v>9</c:v>
                </c:pt>
                <c:pt idx="2421">
                  <c:v>9</c:v>
                </c:pt>
                <c:pt idx="2422">
                  <c:v>9</c:v>
                </c:pt>
                <c:pt idx="2423">
                  <c:v>9</c:v>
                </c:pt>
                <c:pt idx="2424">
                  <c:v>9</c:v>
                </c:pt>
                <c:pt idx="2425">
                  <c:v>9</c:v>
                </c:pt>
                <c:pt idx="2426">
                  <c:v>9</c:v>
                </c:pt>
                <c:pt idx="2427">
                  <c:v>9</c:v>
                </c:pt>
                <c:pt idx="2428">
                  <c:v>9</c:v>
                </c:pt>
                <c:pt idx="2429">
                  <c:v>9</c:v>
                </c:pt>
                <c:pt idx="2430">
                  <c:v>9</c:v>
                </c:pt>
                <c:pt idx="2431">
                  <c:v>9</c:v>
                </c:pt>
                <c:pt idx="2432">
                  <c:v>9</c:v>
                </c:pt>
                <c:pt idx="2433">
                  <c:v>9</c:v>
                </c:pt>
                <c:pt idx="2434">
                  <c:v>9</c:v>
                </c:pt>
                <c:pt idx="2435">
                  <c:v>9</c:v>
                </c:pt>
                <c:pt idx="2436">
                  <c:v>9</c:v>
                </c:pt>
                <c:pt idx="2437">
                  <c:v>9</c:v>
                </c:pt>
                <c:pt idx="2438">
                  <c:v>9</c:v>
                </c:pt>
                <c:pt idx="2439">
                  <c:v>9</c:v>
                </c:pt>
                <c:pt idx="2440">
                  <c:v>9</c:v>
                </c:pt>
                <c:pt idx="2441">
                  <c:v>9</c:v>
                </c:pt>
                <c:pt idx="2442">
                  <c:v>9</c:v>
                </c:pt>
                <c:pt idx="2443">
                  <c:v>9</c:v>
                </c:pt>
                <c:pt idx="2444">
                  <c:v>9</c:v>
                </c:pt>
                <c:pt idx="2445">
                  <c:v>9</c:v>
                </c:pt>
                <c:pt idx="2446">
                  <c:v>9</c:v>
                </c:pt>
                <c:pt idx="2447">
                  <c:v>9</c:v>
                </c:pt>
                <c:pt idx="2448">
                  <c:v>9</c:v>
                </c:pt>
                <c:pt idx="2449">
                  <c:v>9</c:v>
                </c:pt>
                <c:pt idx="2450">
                  <c:v>9</c:v>
                </c:pt>
                <c:pt idx="2451">
                  <c:v>9</c:v>
                </c:pt>
                <c:pt idx="2452">
                  <c:v>9</c:v>
                </c:pt>
                <c:pt idx="2453">
                  <c:v>9</c:v>
                </c:pt>
                <c:pt idx="2454">
                  <c:v>9</c:v>
                </c:pt>
                <c:pt idx="2455">
                  <c:v>9</c:v>
                </c:pt>
                <c:pt idx="2456">
                  <c:v>9</c:v>
                </c:pt>
                <c:pt idx="2457">
                  <c:v>9</c:v>
                </c:pt>
                <c:pt idx="2458">
                  <c:v>9</c:v>
                </c:pt>
                <c:pt idx="2459">
                  <c:v>9</c:v>
                </c:pt>
                <c:pt idx="2460">
                  <c:v>9</c:v>
                </c:pt>
                <c:pt idx="2461">
                  <c:v>9</c:v>
                </c:pt>
                <c:pt idx="2462">
                  <c:v>9</c:v>
                </c:pt>
                <c:pt idx="2463">
                  <c:v>9</c:v>
                </c:pt>
                <c:pt idx="2464">
                  <c:v>9</c:v>
                </c:pt>
                <c:pt idx="2465">
                  <c:v>9</c:v>
                </c:pt>
                <c:pt idx="2466">
                  <c:v>9</c:v>
                </c:pt>
                <c:pt idx="2467">
                  <c:v>9</c:v>
                </c:pt>
                <c:pt idx="2468">
                  <c:v>9</c:v>
                </c:pt>
                <c:pt idx="2469">
                  <c:v>9</c:v>
                </c:pt>
                <c:pt idx="2470">
                  <c:v>9</c:v>
                </c:pt>
                <c:pt idx="2471">
                  <c:v>9</c:v>
                </c:pt>
                <c:pt idx="2472">
                  <c:v>9</c:v>
                </c:pt>
                <c:pt idx="2473">
                  <c:v>9</c:v>
                </c:pt>
                <c:pt idx="2474">
                  <c:v>9</c:v>
                </c:pt>
                <c:pt idx="2475">
                  <c:v>9</c:v>
                </c:pt>
                <c:pt idx="2476">
                  <c:v>9</c:v>
                </c:pt>
                <c:pt idx="2477">
                  <c:v>9</c:v>
                </c:pt>
                <c:pt idx="2478">
                  <c:v>9</c:v>
                </c:pt>
                <c:pt idx="2479">
                  <c:v>9</c:v>
                </c:pt>
                <c:pt idx="2480">
                  <c:v>9</c:v>
                </c:pt>
                <c:pt idx="2481">
                  <c:v>9</c:v>
                </c:pt>
                <c:pt idx="2482">
                  <c:v>9</c:v>
                </c:pt>
                <c:pt idx="2483">
                  <c:v>9</c:v>
                </c:pt>
                <c:pt idx="2484">
                  <c:v>8</c:v>
                </c:pt>
                <c:pt idx="2485">
                  <c:v>8</c:v>
                </c:pt>
                <c:pt idx="2486">
                  <c:v>8</c:v>
                </c:pt>
                <c:pt idx="2487">
                  <c:v>8</c:v>
                </c:pt>
                <c:pt idx="2488">
                  <c:v>8</c:v>
                </c:pt>
                <c:pt idx="2489">
                  <c:v>8</c:v>
                </c:pt>
                <c:pt idx="2490">
                  <c:v>8</c:v>
                </c:pt>
                <c:pt idx="2491">
                  <c:v>8</c:v>
                </c:pt>
                <c:pt idx="2492">
                  <c:v>8</c:v>
                </c:pt>
                <c:pt idx="2493">
                  <c:v>8</c:v>
                </c:pt>
                <c:pt idx="2494">
                  <c:v>8</c:v>
                </c:pt>
                <c:pt idx="2495">
                  <c:v>8</c:v>
                </c:pt>
                <c:pt idx="2496">
                  <c:v>8</c:v>
                </c:pt>
                <c:pt idx="2497">
                  <c:v>8</c:v>
                </c:pt>
                <c:pt idx="2498">
                  <c:v>7.5</c:v>
                </c:pt>
                <c:pt idx="2499">
                  <c:v>7.5</c:v>
                </c:pt>
                <c:pt idx="2500">
                  <c:v>7.5</c:v>
                </c:pt>
                <c:pt idx="2501">
                  <c:v>7.5</c:v>
                </c:pt>
                <c:pt idx="2502">
                  <c:v>7.5</c:v>
                </c:pt>
                <c:pt idx="2503">
                  <c:v>7.5</c:v>
                </c:pt>
                <c:pt idx="2504">
                  <c:v>7.5</c:v>
                </c:pt>
                <c:pt idx="2505">
                  <c:v>7.5</c:v>
                </c:pt>
                <c:pt idx="2506">
                  <c:v>7.5</c:v>
                </c:pt>
                <c:pt idx="2507">
                  <c:v>7.5</c:v>
                </c:pt>
                <c:pt idx="2508">
                  <c:v>7.5</c:v>
                </c:pt>
                <c:pt idx="2509">
                  <c:v>7.5</c:v>
                </c:pt>
                <c:pt idx="2510">
                  <c:v>7.5</c:v>
                </c:pt>
                <c:pt idx="2511">
                  <c:v>7.5</c:v>
                </c:pt>
                <c:pt idx="2512">
                  <c:v>7.5</c:v>
                </c:pt>
                <c:pt idx="2513">
                  <c:v>7.5</c:v>
                </c:pt>
                <c:pt idx="2514">
                  <c:v>7.5</c:v>
                </c:pt>
                <c:pt idx="2515">
                  <c:v>7.5</c:v>
                </c:pt>
                <c:pt idx="2516">
                  <c:v>7.5</c:v>
                </c:pt>
                <c:pt idx="2517">
                  <c:v>7.5</c:v>
                </c:pt>
                <c:pt idx="2518">
                  <c:v>7.5</c:v>
                </c:pt>
                <c:pt idx="2519">
                  <c:v>7.5</c:v>
                </c:pt>
                <c:pt idx="2520">
                  <c:v>7.5</c:v>
                </c:pt>
                <c:pt idx="2521">
                  <c:v>7.5</c:v>
                </c:pt>
                <c:pt idx="2522">
                  <c:v>7.5</c:v>
                </c:pt>
                <c:pt idx="2523">
                  <c:v>7.5</c:v>
                </c:pt>
                <c:pt idx="2524">
                  <c:v>7.5</c:v>
                </c:pt>
                <c:pt idx="2525">
                  <c:v>7.5</c:v>
                </c:pt>
                <c:pt idx="2526">
                  <c:v>7.5</c:v>
                </c:pt>
                <c:pt idx="2527">
                  <c:v>7.5</c:v>
                </c:pt>
                <c:pt idx="2528">
                  <c:v>7.5</c:v>
                </c:pt>
                <c:pt idx="2529">
                  <c:v>7.5</c:v>
                </c:pt>
                <c:pt idx="2530">
                  <c:v>7.5</c:v>
                </c:pt>
                <c:pt idx="2531">
                  <c:v>7.5</c:v>
                </c:pt>
                <c:pt idx="2532">
                  <c:v>7.5</c:v>
                </c:pt>
                <c:pt idx="2533">
                  <c:v>6.5</c:v>
                </c:pt>
                <c:pt idx="2534">
                  <c:v>6.5</c:v>
                </c:pt>
                <c:pt idx="2535">
                  <c:v>6.5</c:v>
                </c:pt>
                <c:pt idx="2536">
                  <c:v>6.5</c:v>
                </c:pt>
                <c:pt idx="2537">
                  <c:v>6.5</c:v>
                </c:pt>
                <c:pt idx="2538">
                  <c:v>6.5</c:v>
                </c:pt>
                <c:pt idx="2539">
                  <c:v>6.5</c:v>
                </c:pt>
                <c:pt idx="2540">
                  <c:v>6.5</c:v>
                </c:pt>
                <c:pt idx="2541">
                  <c:v>6.5</c:v>
                </c:pt>
                <c:pt idx="2542">
                  <c:v>6.5</c:v>
                </c:pt>
                <c:pt idx="2543">
                  <c:v>6.5</c:v>
                </c:pt>
                <c:pt idx="2544">
                  <c:v>6.5</c:v>
                </c:pt>
                <c:pt idx="2545">
                  <c:v>6.5</c:v>
                </c:pt>
                <c:pt idx="2546">
                  <c:v>6.5</c:v>
                </c:pt>
                <c:pt idx="2547">
                  <c:v>6.5</c:v>
                </c:pt>
                <c:pt idx="2548">
                  <c:v>6.5</c:v>
                </c:pt>
                <c:pt idx="2549">
                  <c:v>6.5</c:v>
                </c:pt>
                <c:pt idx="2550">
                  <c:v>6.5</c:v>
                </c:pt>
                <c:pt idx="2551">
                  <c:v>6.5</c:v>
                </c:pt>
                <c:pt idx="2552">
                  <c:v>6.5</c:v>
                </c:pt>
                <c:pt idx="2553">
                  <c:v>6.5</c:v>
                </c:pt>
                <c:pt idx="2554">
                  <c:v>6.5</c:v>
                </c:pt>
                <c:pt idx="2555">
                  <c:v>6.5</c:v>
                </c:pt>
                <c:pt idx="2556">
                  <c:v>6.5</c:v>
                </c:pt>
                <c:pt idx="2557">
                  <c:v>6.5</c:v>
                </c:pt>
                <c:pt idx="2558">
                  <c:v>5.5</c:v>
                </c:pt>
                <c:pt idx="2559">
                  <c:v>5.5</c:v>
                </c:pt>
                <c:pt idx="2560">
                  <c:v>5.5</c:v>
                </c:pt>
                <c:pt idx="2561">
                  <c:v>5.5</c:v>
                </c:pt>
                <c:pt idx="2562">
                  <c:v>5.5</c:v>
                </c:pt>
                <c:pt idx="2563">
                  <c:v>5.5</c:v>
                </c:pt>
                <c:pt idx="2564">
                  <c:v>5.5</c:v>
                </c:pt>
                <c:pt idx="2565">
                  <c:v>5.5</c:v>
                </c:pt>
                <c:pt idx="2566">
                  <c:v>5.5</c:v>
                </c:pt>
                <c:pt idx="2567">
                  <c:v>5.5</c:v>
                </c:pt>
                <c:pt idx="2568">
                  <c:v>5.5</c:v>
                </c:pt>
                <c:pt idx="2569">
                  <c:v>5.5</c:v>
                </c:pt>
                <c:pt idx="2570">
                  <c:v>5.5</c:v>
                </c:pt>
                <c:pt idx="2571">
                  <c:v>5.5</c:v>
                </c:pt>
                <c:pt idx="2572">
                  <c:v>5.5</c:v>
                </c:pt>
                <c:pt idx="2573">
                  <c:v>5.5</c:v>
                </c:pt>
                <c:pt idx="2574">
                  <c:v>5.5</c:v>
                </c:pt>
                <c:pt idx="2575">
                  <c:v>5.5</c:v>
                </c:pt>
                <c:pt idx="2576">
                  <c:v>5.5</c:v>
                </c:pt>
                <c:pt idx="2577">
                  <c:v>5.5</c:v>
                </c:pt>
                <c:pt idx="2578">
                  <c:v>5.5</c:v>
                </c:pt>
                <c:pt idx="2579">
                  <c:v>5.5</c:v>
                </c:pt>
                <c:pt idx="2580">
                  <c:v>5.5</c:v>
                </c:pt>
                <c:pt idx="2581">
                  <c:v>5.5</c:v>
                </c:pt>
                <c:pt idx="2582">
                  <c:v>5.5</c:v>
                </c:pt>
                <c:pt idx="2583">
                  <c:v>5.5</c:v>
                </c:pt>
                <c:pt idx="2584">
                  <c:v>5.5</c:v>
                </c:pt>
                <c:pt idx="2585">
                  <c:v>5.5</c:v>
                </c:pt>
                <c:pt idx="2586">
                  <c:v>5.5</c:v>
                </c:pt>
                <c:pt idx="2587">
                  <c:v>5.5</c:v>
                </c:pt>
                <c:pt idx="2588">
                  <c:v>5.5</c:v>
                </c:pt>
                <c:pt idx="2589">
                  <c:v>5.5</c:v>
                </c:pt>
                <c:pt idx="2590">
                  <c:v>5.5</c:v>
                </c:pt>
                <c:pt idx="2591">
                  <c:v>5.5</c:v>
                </c:pt>
                <c:pt idx="2592">
                  <c:v>5.5</c:v>
                </c:pt>
                <c:pt idx="2593">
                  <c:v>5.5</c:v>
                </c:pt>
                <c:pt idx="2594">
                  <c:v>5.5</c:v>
                </c:pt>
                <c:pt idx="2595">
                  <c:v>5.5</c:v>
                </c:pt>
                <c:pt idx="2596">
                  <c:v>5.5</c:v>
                </c:pt>
                <c:pt idx="2597">
                  <c:v>5.5</c:v>
                </c:pt>
                <c:pt idx="2598">
                  <c:v>5.5</c:v>
                </c:pt>
                <c:pt idx="2599">
                  <c:v>5.5</c:v>
                </c:pt>
                <c:pt idx="2600">
                  <c:v>5.5</c:v>
                </c:pt>
                <c:pt idx="2601">
                  <c:v>5.5</c:v>
                </c:pt>
                <c:pt idx="2602">
                  <c:v>5.5</c:v>
                </c:pt>
                <c:pt idx="2603">
                  <c:v>5.5</c:v>
                </c:pt>
                <c:pt idx="2604">
                  <c:v>5.5</c:v>
                </c:pt>
                <c:pt idx="2605">
                  <c:v>5.5</c:v>
                </c:pt>
                <c:pt idx="2606">
                  <c:v>5.5</c:v>
                </c:pt>
                <c:pt idx="2607">
                  <c:v>5.5</c:v>
                </c:pt>
                <c:pt idx="2608">
                  <c:v>5.5</c:v>
                </c:pt>
                <c:pt idx="2609">
                  <c:v>5.5</c:v>
                </c:pt>
                <c:pt idx="2610">
                  <c:v>5.5</c:v>
                </c:pt>
                <c:pt idx="2611">
                  <c:v>5.5</c:v>
                </c:pt>
                <c:pt idx="2612">
                  <c:v>5.5</c:v>
                </c:pt>
                <c:pt idx="2613">
                  <c:v>5.5</c:v>
                </c:pt>
                <c:pt idx="2614">
                  <c:v>5.5</c:v>
                </c:pt>
                <c:pt idx="2615">
                  <c:v>5.5</c:v>
                </c:pt>
                <c:pt idx="2616">
                  <c:v>5.5</c:v>
                </c:pt>
                <c:pt idx="2617">
                  <c:v>5.5</c:v>
                </c:pt>
                <c:pt idx="2618">
                  <c:v>5.5</c:v>
                </c:pt>
                <c:pt idx="2619">
                  <c:v>5</c:v>
                </c:pt>
                <c:pt idx="2620">
                  <c:v>5</c:v>
                </c:pt>
                <c:pt idx="2621">
                  <c:v>5</c:v>
                </c:pt>
                <c:pt idx="2622">
                  <c:v>5</c:v>
                </c:pt>
                <c:pt idx="2623">
                  <c:v>5</c:v>
                </c:pt>
                <c:pt idx="2624">
                  <c:v>5</c:v>
                </c:pt>
                <c:pt idx="2625">
                  <c:v>5</c:v>
                </c:pt>
                <c:pt idx="2626">
                  <c:v>5</c:v>
                </c:pt>
                <c:pt idx="2627">
                  <c:v>5</c:v>
                </c:pt>
                <c:pt idx="2628">
                  <c:v>5</c:v>
                </c:pt>
                <c:pt idx="2629">
                  <c:v>5</c:v>
                </c:pt>
                <c:pt idx="2630">
                  <c:v>5</c:v>
                </c:pt>
                <c:pt idx="2631">
                  <c:v>5</c:v>
                </c:pt>
                <c:pt idx="2632">
                  <c:v>5</c:v>
                </c:pt>
                <c:pt idx="2633">
                  <c:v>5</c:v>
                </c:pt>
                <c:pt idx="2634">
                  <c:v>5</c:v>
                </c:pt>
                <c:pt idx="2635">
                  <c:v>5</c:v>
                </c:pt>
                <c:pt idx="2636">
                  <c:v>5</c:v>
                </c:pt>
                <c:pt idx="2637">
                  <c:v>5</c:v>
                </c:pt>
                <c:pt idx="2638">
                  <c:v>5</c:v>
                </c:pt>
                <c:pt idx="2639">
                  <c:v>5</c:v>
                </c:pt>
                <c:pt idx="2640">
                  <c:v>5</c:v>
                </c:pt>
                <c:pt idx="2641">
                  <c:v>5</c:v>
                </c:pt>
                <c:pt idx="2642">
                  <c:v>5</c:v>
                </c:pt>
                <c:pt idx="2643">
                  <c:v>5</c:v>
                </c:pt>
                <c:pt idx="2644">
                  <c:v>5</c:v>
                </c:pt>
                <c:pt idx="2645">
                  <c:v>5</c:v>
                </c:pt>
                <c:pt idx="2646">
                  <c:v>5</c:v>
                </c:pt>
                <c:pt idx="2647">
                  <c:v>5</c:v>
                </c:pt>
                <c:pt idx="2648">
                  <c:v>5</c:v>
                </c:pt>
                <c:pt idx="2649">
                  <c:v>5</c:v>
                </c:pt>
                <c:pt idx="2650">
                  <c:v>5</c:v>
                </c:pt>
                <c:pt idx="2651">
                  <c:v>5</c:v>
                </c:pt>
                <c:pt idx="2652">
                  <c:v>5</c:v>
                </c:pt>
                <c:pt idx="2653">
                  <c:v>5</c:v>
                </c:pt>
                <c:pt idx="2654">
                  <c:v>5</c:v>
                </c:pt>
                <c:pt idx="2655">
                  <c:v>5</c:v>
                </c:pt>
                <c:pt idx="2656">
                  <c:v>5</c:v>
                </c:pt>
                <c:pt idx="2657">
                  <c:v>5</c:v>
                </c:pt>
                <c:pt idx="2658">
                  <c:v>5</c:v>
                </c:pt>
                <c:pt idx="2659">
                  <c:v>5</c:v>
                </c:pt>
                <c:pt idx="2660">
                  <c:v>5</c:v>
                </c:pt>
                <c:pt idx="2661">
                  <c:v>5</c:v>
                </c:pt>
                <c:pt idx="2662">
                  <c:v>5</c:v>
                </c:pt>
                <c:pt idx="2663">
                  <c:v>5</c:v>
                </c:pt>
                <c:pt idx="2664">
                  <c:v>5</c:v>
                </c:pt>
                <c:pt idx="2665">
                  <c:v>5</c:v>
                </c:pt>
                <c:pt idx="2666">
                  <c:v>5</c:v>
                </c:pt>
                <c:pt idx="2667">
                  <c:v>4.75</c:v>
                </c:pt>
                <c:pt idx="2668">
                  <c:v>4.75</c:v>
                </c:pt>
                <c:pt idx="2669">
                  <c:v>4.75</c:v>
                </c:pt>
                <c:pt idx="2670">
                  <c:v>4.75</c:v>
                </c:pt>
                <c:pt idx="2671">
                  <c:v>4.75</c:v>
                </c:pt>
                <c:pt idx="2672">
                  <c:v>4.75</c:v>
                </c:pt>
                <c:pt idx="2673">
                  <c:v>4.75</c:v>
                </c:pt>
                <c:pt idx="2674">
                  <c:v>4.75</c:v>
                </c:pt>
                <c:pt idx="2675">
                  <c:v>4.75</c:v>
                </c:pt>
                <c:pt idx="2676">
                  <c:v>4.75</c:v>
                </c:pt>
                <c:pt idx="2677">
                  <c:v>4.75</c:v>
                </c:pt>
                <c:pt idx="2678">
                  <c:v>4.75</c:v>
                </c:pt>
                <c:pt idx="2679">
                  <c:v>4.75</c:v>
                </c:pt>
                <c:pt idx="2680">
                  <c:v>4.75</c:v>
                </c:pt>
                <c:pt idx="2681">
                  <c:v>4.75</c:v>
                </c:pt>
                <c:pt idx="2682">
                  <c:v>4.75</c:v>
                </c:pt>
                <c:pt idx="2683">
                  <c:v>4.75</c:v>
                </c:pt>
                <c:pt idx="2684">
                  <c:v>4.75</c:v>
                </c:pt>
                <c:pt idx="2685">
                  <c:v>4.75</c:v>
                </c:pt>
                <c:pt idx="2686">
                  <c:v>4.75</c:v>
                </c:pt>
                <c:pt idx="2687">
                  <c:v>4.75</c:v>
                </c:pt>
                <c:pt idx="2688">
                  <c:v>4.75</c:v>
                </c:pt>
                <c:pt idx="2689">
                  <c:v>4.75</c:v>
                </c:pt>
                <c:pt idx="2690">
                  <c:v>4.75</c:v>
                </c:pt>
                <c:pt idx="2691">
                  <c:v>4.75</c:v>
                </c:pt>
                <c:pt idx="2692">
                  <c:v>4.75</c:v>
                </c:pt>
                <c:pt idx="2693">
                  <c:v>4.75</c:v>
                </c:pt>
                <c:pt idx="2694">
                  <c:v>4.75</c:v>
                </c:pt>
                <c:pt idx="2695">
                  <c:v>4.75</c:v>
                </c:pt>
                <c:pt idx="2696">
                  <c:v>4.75</c:v>
                </c:pt>
                <c:pt idx="2697">
                  <c:v>4.75</c:v>
                </c:pt>
                <c:pt idx="2698">
                  <c:v>4.75</c:v>
                </c:pt>
                <c:pt idx="2699">
                  <c:v>4.75</c:v>
                </c:pt>
                <c:pt idx="2700">
                  <c:v>4.75</c:v>
                </c:pt>
                <c:pt idx="2701">
                  <c:v>4.75</c:v>
                </c:pt>
                <c:pt idx="2702">
                  <c:v>4.75</c:v>
                </c:pt>
                <c:pt idx="2703">
                  <c:v>4.75</c:v>
                </c:pt>
                <c:pt idx="2704">
                  <c:v>4.75</c:v>
                </c:pt>
                <c:pt idx="2705">
                  <c:v>4.75</c:v>
                </c:pt>
                <c:pt idx="2706">
                  <c:v>4.75</c:v>
                </c:pt>
                <c:pt idx="2707">
                  <c:v>4.75</c:v>
                </c:pt>
                <c:pt idx="2708">
                  <c:v>4.75</c:v>
                </c:pt>
                <c:pt idx="2709">
                  <c:v>4.75</c:v>
                </c:pt>
                <c:pt idx="2710">
                  <c:v>4.75</c:v>
                </c:pt>
                <c:pt idx="2711">
                  <c:v>4.75</c:v>
                </c:pt>
                <c:pt idx="2712">
                  <c:v>4.75</c:v>
                </c:pt>
                <c:pt idx="2713">
                  <c:v>4.75</c:v>
                </c:pt>
                <c:pt idx="2714">
                  <c:v>4.75</c:v>
                </c:pt>
                <c:pt idx="2715">
                  <c:v>4.75</c:v>
                </c:pt>
                <c:pt idx="2716">
                  <c:v>4.75</c:v>
                </c:pt>
                <c:pt idx="2717">
                  <c:v>4.75</c:v>
                </c:pt>
                <c:pt idx="2718">
                  <c:v>4.75</c:v>
                </c:pt>
                <c:pt idx="2719">
                  <c:v>4.75</c:v>
                </c:pt>
                <c:pt idx="2720">
                  <c:v>4.75</c:v>
                </c:pt>
                <c:pt idx="2721">
                  <c:v>4.75</c:v>
                </c:pt>
                <c:pt idx="2722">
                  <c:v>4.75</c:v>
                </c:pt>
                <c:pt idx="2723">
                  <c:v>4.75</c:v>
                </c:pt>
                <c:pt idx="2724">
                  <c:v>4.75</c:v>
                </c:pt>
                <c:pt idx="2725">
                  <c:v>4.75</c:v>
                </c:pt>
                <c:pt idx="2726">
                  <c:v>4.75</c:v>
                </c:pt>
                <c:pt idx="2727">
                  <c:v>4.75</c:v>
                </c:pt>
                <c:pt idx="2728">
                  <c:v>4.75</c:v>
                </c:pt>
                <c:pt idx="2729">
                  <c:v>4.75</c:v>
                </c:pt>
                <c:pt idx="2730">
                  <c:v>4.75</c:v>
                </c:pt>
                <c:pt idx="2731">
                  <c:v>4.75</c:v>
                </c:pt>
                <c:pt idx="2732">
                  <c:v>4.75</c:v>
                </c:pt>
                <c:pt idx="2733">
                  <c:v>4.75</c:v>
                </c:pt>
                <c:pt idx="2734">
                  <c:v>4.75</c:v>
                </c:pt>
                <c:pt idx="2735">
                  <c:v>4.75</c:v>
                </c:pt>
                <c:pt idx="2736">
                  <c:v>4.75</c:v>
                </c:pt>
                <c:pt idx="2737">
                  <c:v>4.75</c:v>
                </c:pt>
                <c:pt idx="2738">
                  <c:v>4.75</c:v>
                </c:pt>
                <c:pt idx="2739">
                  <c:v>4.75</c:v>
                </c:pt>
                <c:pt idx="2740">
                  <c:v>4.75</c:v>
                </c:pt>
                <c:pt idx="2741">
                  <c:v>4.75</c:v>
                </c:pt>
                <c:pt idx="2742">
                  <c:v>4.75</c:v>
                </c:pt>
                <c:pt idx="2743">
                  <c:v>4.75</c:v>
                </c:pt>
                <c:pt idx="2744">
                  <c:v>4.75</c:v>
                </c:pt>
                <c:pt idx="2745">
                  <c:v>4.75</c:v>
                </c:pt>
                <c:pt idx="2746">
                  <c:v>4.75</c:v>
                </c:pt>
                <c:pt idx="2747">
                  <c:v>4.75</c:v>
                </c:pt>
                <c:pt idx="2748">
                  <c:v>4.75</c:v>
                </c:pt>
                <c:pt idx="2749">
                  <c:v>4.75</c:v>
                </c:pt>
                <c:pt idx="2750">
                  <c:v>4.75</c:v>
                </c:pt>
                <c:pt idx="2751">
                  <c:v>4.75</c:v>
                </c:pt>
                <c:pt idx="2752">
                  <c:v>4.75</c:v>
                </c:pt>
                <c:pt idx="2753">
                  <c:v>4.75</c:v>
                </c:pt>
                <c:pt idx="2754">
                  <c:v>4.75</c:v>
                </c:pt>
                <c:pt idx="2755">
                  <c:v>4.75</c:v>
                </c:pt>
                <c:pt idx="2756">
                  <c:v>4.75</c:v>
                </c:pt>
                <c:pt idx="2757">
                  <c:v>4.75</c:v>
                </c:pt>
                <c:pt idx="2758">
                  <c:v>4.75</c:v>
                </c:pt>
                <c:pt idx="2759">
                  <c:v>4.75</c:v>
                </c:pt>
                <c:pt idx="2760">
                  <c:v>4.75</c:v>
                </c:pt>
                <c:pt idx="2761">
                  <c:v>4.75</c:v>
                </c:pt>
                <c:pt idx="2762">
                  <c:v>4.75</c:v>
                </c:pt>
                <c:pt idx="2763">
                  <c:v>4.75</c:v>
                </c:pt>
                <c:pt idx="2764">
                  <c:v>4.75</c:v>
                </c:pt>
                <c:pt idx="2765">
                  <c:v>4.75</c:v>
                </c:pt>
                <c:pt idx="2766">
                  <c:v>4.75</c:v>
                </c:pt>
                <c:pt idx="2767">
                  <c:v>4.75</c:v>
                </c:pt>
                <c:pt idx="2768">
                  <c:v>4.75</c:v>
                </c:pt>
                <c:pt idx="2769">
                  <c:v>4.75</c:v>
                </c:pt>
                <c:pt idx="2770">
                  <c:v>4.75</c:v>
                </c:pt>
                <c:pt idx="2771">
                  <c:v>4.75</c:v>
                </c:pt>
                <c:pt idx="2772">
                  <c:v>4.75</c:v>
                </c:pt>
                <c:pt idx="2773">
                  <c:v>4.75</c:v>
                </c:pt>
                <c:pt idx="2774">
                  <c:v>4.75</c:v>
                </c:pt>
                <c:pt idx="2775">
                  <c:v>4.75</c:v>
                </c:pt>
                <c:pt idx="2776">
                  <c:v>4.75</c:v>
                </c:pt>
                <c:pt idx="2777">
                  <c:v>4.75</c:v>
                </c:pt>
                <c:pt idx="2778">
                  <c:v>4.75</c:v>
                </c:pt>
                <c:pt idx="2779">
                  <c:v>4.75</c:v>
                </c:pt>
                <c:pt idx="2780">
                  <c:v>4.75</c:v>
                </c:pt>
                <c:pt idx="2781">
                  <c:v>4.75</c:v>
                </c:pt>
                <c:pt idx="2782">
                  <c:v>4.75</c:v>
                </c:pt>
                <c:pt idx="2783">
                  <c:v>4.75</c:v>
                </c:pt>
                <c:pt idx="2784">
                  <c:v>4.75</c:v>
                </c:pt>
                <c:pt idx="2785">
                  <c:v>4.75</c:v>
                </c:pt>
                <c:pt idx="2786">
                  <c:v>4.75</c:v>
                </c:pt>
                <c:pt idx="2787">
                  <c:v>4.75</c:v>
                </c:pt>
                <c:pt idx="2788">
                  <c:v>4.75</c:v>
                </c:pt>
                <c:pt idx="2789">
                  <c:v>4.75</c:v>
                </c:pt>
                <c:pt idx="2790">
                  <c:v>4.75</c:v>
                </c:pt>
                <c:pt idx="2791">
                  <c:v>4.75</c:v>
                </c:pt>
                <c:pt idx="2792">
                  <c:v>4.75</c:v>
                </c:pt>
                <c:pt idx="2793">
                  <c:v>4.75</c:v>
                </c:pt>
                <c:pt idx="2794">
                  <c:v>4.75</c:v>
                </c:pt>
                <c:pt idx="2795">
                  <c:v>4.75</c:v>
                </c:pt>
                <c:pt idx="2796">
                  <c:v>4.75</c:v>
                </c:pt>
                <c:pt idx="2797">
                  <c:v>4.75</c:v>
                </c:pt>
                <c:pt idx="2798">
                  <c:v>4.75</c:v>
                </c:pt>
                <c:pt idx="2799">
                  <c:v>4.75</c:v>
                </c:pt>
                <c:pt idx="2800">
                  <c:v>4.75</c:v>
                </c:pt>
                <c:pt idx="2801">
                  <c:v>4.75</c:v>
                </c:pt>
                <c:pt idx="2802">
                  <c:v>4.75</c:v>
                </c:pt>
                <c:pt idx="2803">
                  <c:v>4.75</c:v>
                </c:pt>
                <c:pt idx="2804">
                  <c:v>4.75</c:v>
                </c:pt>
                <c:pt idx="2805">
                  <c:v>4.75</c:v>
                </c:pt>
                <c:pt idx="2806">
                  <c:v>4.75</c:v>
                </c:pt>
                <c:pt idx="2807">
                  <c:v>4.75</c:v>
                </c:pt>
                <c:pt idx="2808">
                  <c:v>4.75</c:v>
                </c:pt>
                <c:pt idx="2809">
                  <c:v>4.75</c:v>
                </c:pt>
                <c:pt idx="2810">
                  <c:v>4.75</c:v>
                </c:pt>
                <c:pt idx="2811">
                  <c:v>4.75</c:v>
                </c:pt>
                <c:pt idx="2812">
                  <c:v>4.75</c:v>
                </c:pt>
                <c:pt idx="2813">
                  <c:v>4.75</c:v>
                </c:pt>
                <c:pt idx="2814">
                  <c:v>4.75</c:v>
                </c:pt>
                <c:pt idx="2815">
                  <c:v>4.75</c:v>
                </c:pt>
                <c:pt idx="2816">
                  <c:v>4.75</c:v>
                </c:pt>
                <c:pt idx="2817">
                  <c:v>4.75</c:v>
                </c:pt>
                <c:pt idx="2818">
                  <c:v>4.75</c:v>
                </c:pt>
                <c:pt idx="2819">
                  <c:v>4.75</c:v>
                </c:pt>
                <c:pt idx="2820">
                  <c:v>4.75</c:v>
                </c:pt>
                <c:pt idx="2821">
                  <c:v>4.75</c:v>
                </c:pt>
                <c:pt idx="2822">
                  <c:v>4.75</c:v>
                </c:pt>
                <c:pt idx="2823">
                  <c:v>4.75</c:v>
                </c:pt>
                <c:pt idx="2824">
                  <c:v>4.75</c:v>
                </c:pt>
                <c:pt idx="2825">
                  <c:v>4.75</c:v>
                </c:pt>
                <c:pt idx="2826">
                  <c:v>4.75</c:v>
                </c:pt>
                <c:pt idx="2827">
                  <c:v>4.75</c:v>
                </c:pt>
                <c:pt idx="2828">
                  <c:v>4.75</c:v>
                </c:pt>
                <c:pt idx="2829">
                  <c:v>4.75</c:v>
                </c:pt>
                <c:pt idx="2830">
                  <c:v>4.75</c:v>
                </c:pt>
                <c:pt idx="2831">
                  <c:v>4.75</c:v>
                </c:pt>
                <c:pt idx="2832">
                  <c:v>4.75</c:v>
                </c:pt>
                <c:pt idx="2833">
                  <c:v>4.75</c:v>
                </c:pt>
                <c:pt idx="2834">
                  <c:v>4.75</c:v>
                </c:pt>
                <c:pt idx="2835">
                  <c:v>4.75</c:v>
                </c:pt>
                <c:pt idx="2836">
                  <c:v>4.75</c:v>
                </c:pt>
                <c:pt idx="2837">
                  <c:v>4.75</c:v>
                </c:pt>
                <c:pt idx="2838">
                  <c:v>4.75</c:v>
                </c:pt>
                <c:pt idx="2839">
                  <c:v>4.75</c:v>
                </c:pt>
                <c:pt idx="2840">
                  <c:v>4.75</c:v>
                </c:pt>
                <c:pt idx="2841">
                  <c:v>4.75</c:v>
                </c:pt>
                <c:pt idx="2842">
                  <c:v>4.75</c:v>
                </c:pt>
                <c:pt idx="2843">
                  <c:v>4.75</c:v>
                </c:pt>
                <c:pt idx="2844">
                  <c:v>4.75</c:v>
                </c:pt>
                <c:pt idx="2845">
                  <c:v>4.75</c:v>
                </c:pt>
                <c:pt idx="2846">
                  <c:v>4.75</c:v>
                </c:pt>
                <c:pt idx="2847">
                  <c:v>4.75</c:v>
                </c:pt>
                <c:pt idx="2848">
                  <c:v>4.75</c:v>
                </c:pt>
                <c:pt idx="2849">
                  <c:v>4.75</c:v>
                </c:pt>
                <c:pt idx="2850">
                  <c:v>4.75</c:v>
                </c:pt>
                <c:pt idx="2851">
                  <c:v>4.75</c:v>
                </c:pt>
                <c:pt idx="2852">
                  <c:v>4.75</c:v>
                </c:pt>
                <c:pt idx="2853">
                  <c:v>4.75</c:v>
                </c:pt>
                <c:pt idx="2854">
                  <c:v>4.75</c:v>
                </c:pt>
                <c:pt idx="2855">
                  <c:v>4.75</c:v>
                </c:pt>
                <c:pt idx="2856">
                  <c:v>4.75</c:v>
                </c:pt>
                <c:pt idx="2857">
                  <c:v>4.75</c:v>
                </c:pt>
                <c:pt idx="2858">
                  <c:v>4.75</c:v>
                </c:pt>
                <c:pt idx="2859">
                  <c:v>4.75</c:v>
                </c:pt>
                <c:pt idx="2860">
                  <c:v>4.75</c:v>
                </c:pt>
                <c:pt idx="2861">
                  <c:v>4.75</c:v>
                </c:pt>
                <c:pt idx="2862">
                  <c:v>4.75</c:v>
                </c:pt>
                <c:pt idx="2863">
                  <c:v>4.75</c:v>
                </c:pt>
                <c:pt idx="2864">
                  <c:v>4.75</c:v>
                </c:pt>
                <c:pt idx="2865">
                  <c:v>4.75</c:v>
                </c:pt>
                <c:pt idx="2866">
                  <c:v>4.75</c:v>
                </c:pt>
                <c:pt idx="2867">
                  <c:v>4.75</c:v>
                </c:pt>
                <c:pt idx="2868">
                  <c:v>4.75</c:v>
                </c:pt>
                <c:pt idx="2869">
                  <c:v>4.75</c:v>
                </c:pt>
                <c:pt idx="2870">
                  <c:v>4.75</c:v>
                </c:pt>
                <c:pt idx="2871">
                  <c:v>4.75</c:v>
                </c:pt>
                <c:pt idx="2872">
                  <c:v>4.75</c:v>
                </c:pt>
                <c:pt idx="2873">
                  <c:v>4.75</c:v>
                </c:pt>
                <c:pt idx="2874">
                  <c:v>4.75</c:v>
                </c:pt>
                <c:pt idx="2875">
                  <c:v>4.75</c:v>
                </c:pt>
                <c:pt idx="2876">
                  <c:v>4.75</c:v>
                </c:pt>
                <c:pt idx="2877">
                  <c:v>4.75</c:v>
                </c:pt>
                <c:pt idx="2878">
                  <c:v>4.75</c:v>
                </c:pt>
                <c:pt idx="2879">
                  <c:v>4.75</c:v>
                </c:pt>
                <c:pt idx="2880">
                  <c:v>4.75</c:v>
                </c:pt>
                <c:pt idx="2881">
                  <c:v>4.75</c:v>
                </c:pt>
                <c:pt idx="2882">
                  <c:v>4.75</c:v>
                </c:pt>
                <c:pt idx="2883">
                  <c:v>4.75</c:v>
                </c:pt>
                <c:pt idx="2884">
                  <c:v>4.75</c:v>
                </c:pt>
                <c:pt idx="2885">
                  <c:v>4.75</c:v>
                </c:pt>
                <c:pt idx="2886">
                  <c:v>4.75</c:v>
                </c:pt>
                <c:pt idx="2887">
                  <c:v>4.75</c:v>
                </c:pt>
                <c:pt idx="2888">
                  <c:v>4.75</c:v>
                </c:pt>
                <c:pt idx="2889">
                  <c:v>4.75</c:v>
                </c:pt>
                <c:pt idx="2890">
                  <c:v>4.75</c:v>
                </c:pt>
                <c:pt idx="2891">
                  <c:v>4.75</c:v>
                </c:pt>
                <c:pt idx="2892">
                  <c:v>4.75</c:v>
                </c:pt>
                <c:pt idx="2893">
                  <c:v>4.75</c:v>
                </c:pt>
                <c:pt idx="2894">
                  <c:v>4.75</c:v>
                </c:pt>
                <c:pt idx="2895">
                  <c:v>4.75</c:v>
                </c:pt>
                <c:pt idx="2896">
                  <c:v>4.75</c:v>
                </c:pt>
                <c:pt idx="2897">
                  <c:v>4.75</c:v>
                </c:pt>
                <c:pt idx="2898">
                  <c:v>4.75</c:v>
                </c:pt>
                <c:pt idx="2899">
                  <c:v>4.75</c:v>
                </c:pt>
                <c:pt idx="2900">
                  <c:v>4.75</c:v>
                </c:pt>
                <c:pt idx="2901">
                  <c:v>4.75</c:v>
                </c:pt>
                <c:pt idx="2902">
                  <c:v>4.75</c:v>
                </c:pt>
                <c:pt idx="2903">
                  <c:v>4.75</c:v>
                </c:pt>
                <c:pt idx="2904">
                  <c:v>4.75</c:v>
                </c:pt>
                <c:pt idx="2905">
                  <c:v>4.75</c:v>
                </c:pt>
                <c:pt idx="2906">
                  <c:v>4.75</c:v>
                </c:pt>
                <c:pt idx="2907">
                  <c:v>4.75</c:v>
                </c:pt>
                <c:pt idx="2908">
                  <c:v>4.75</c:v>
                </c:pt>
                <c:pt idx="2909">
                  <c:v>4.75</c:v>
                </c:pt>
                <c:pt idx="2910">
                  <c:v>4.75</c:v>
                </c:pt>
                <c:pt idx="2911">
                  <c:v>4.75</c:v>
                </c:pt>
                <c:pt idx="2912">
                  <c:v>4.75</c:v>
                </c:pt>
                <c:pt idx="2913">
                  <c:v>4.75</c:v>
                </c:pt>
                <c:pt idx="2914">
                  <c:v>4.75</c:v>
                </c:pt>
                <c:pt idx="2915">
                  <c:v>4.75</c:v>
                </c:pt>
                <c:pt idx="2916">
                  <c:v>4.75</c:v>
                </c:pt>
                <c:pt idx="2917">
                  <c:v>4.75</c:v>
                </c:pt>
                <c:pt idx="2918">
                  <c:v>4.75</c:v>
                </c:pt>
                <c:pt idx="2919">
                  <c:v>4.75</c:v>
                </c:pt>
                <c:pt idx="2920">
                  <c:v>4.75</c:v>
                </c:pt>
                <c:pt idx="2921">
                  <c:v>4.75</c:v>
                </c:pt>
                <c:pt idx="2922">
                  <c:v>4.75</c:v>
                </c:pt>
                <c:pt idx="2923">
                  <c:v>4.75</c:v>
                </c:pt>
                <c:pt idx="2924">
                  <c:v>4.75</c:v>
                </c:pt>
                <c:pt idx="2925">
                  <c:v>4.75</c:v>
                </c:pt>
                <c:pt idx="2926">
                  <c:v>4.75</c:v>
                </c:pt>
                <c:pt idx="2927">
                  <c:v>4.75</c:v>
                </c:pt>
                <c:pt idx="2928">
                  <c:v>4.75</c:v>
                </c:pt>
                <c:pt idx="2929">
                  <c:v>4.75</c:v>
                </c:pt>
                <c:pt idx="2930">
                  <c:v>4.75</c:v>
                </c:pt>
                <c:pt idx="2931">
                  <c:v>4.75</c:v>
                </c:pt>
                <c:pt idx="2932">
                  <c:v>4.75</c:v>
                </c:pt>
                <c:pt idx="2933">
                  <c:v>4.75</c:v>
                </c:pt>
                <c:pt idx="2934">
                  <c:v>4.75</c:v>
                </c:pt>
                <c:pt idx="2935">
                  <c:v>4.75</c:v>
                </c:pt>
                <c:pt idx="2936">
                  <c:v>4.75</c:v>
                </c:pt>
                <c:pt idx="2937">
                  <c:v>4.75</c:v>
                </c:pt>
                <c:pt idx="2938">
                  <c:v>4.75</c:v>
                </c:pt>
                <c:pt idx="2939">
                  <c:v>4.75</c:v>
                </c:pt>
                <c:pt idx="2940">
                  <c:v>4.75</c:v>
                </c:pt>
                <c:pt idx="2941">
                  <c:v>4.75</c:v>
                </c:pt>
                <c:pt idx="2942">
                  <c:v>4.75</c:v>
                </c:pt>
                <c:pt idx="2943">
                  <c:v>4.75</c:v>
                </c:pt>
                <c:pt idx="2944">
                  <c:v>4.75</c:v>
                </c:pt>
                <c:pt idx="2945">
                  <c:v>4.75</c:v>
                </c:pt>
                <c:pt idx="2946">
                  <c:v>4.75</c:v>
                </c:pt>
                <c:pt idx="2947">
                  <c:v>4.75</c:v>
                </c:pt>
                <c:pt idx="2948">
                  <c:v>4.75</c:v>
                </c:pt>
                <c:pt idx="2949">
                  <c:v>4.75</c:v>
                </c:pt>
                <c:pt idx="2950">
                  <c:v>4.75</c:v>
                </c:pt>
                <c:pt idx="2951">
                  <c:v>4.75</c:v>
                </c:pt>
                <c:pt idx="2952">
                  <c:v>4.75</c:v>
                </c:pt>
                <c:pt idx="2953">
                  <c:v>4.75</c:v>
                </c:pt>
                <c:pt idx="2954">
                  <c:v>4.75</c:v>
                </c:pt>
                <c:pt idx="2955">
                  <c:v>4.75</c:v>
                </c:pt>
                <c:pt idx="2956">
                  <c:v>4.75</c:v>
                </c:pt>
                <c:pt idx="2957">
                  <c:v>4.75</c:v>
                </c:pt>
                <c:pt idx="2958">
                  <c:v>4.75</c:v>
                </c:pt>
                <c:pt idx="2959">
                  <c:v>4.75</c:v>
                </c:pt>
                <c:pt idx="2960">
                  <c:v>4.75</c:v>
                </c:pt>
                <c:pt idx="2961">
                  <c:v>4.75</c:v>
                </c:pt>
                <c:pt idx="2962">
                  <c:v>4.75</c:v>
                </c:pt>
                <c:pt idx="2963">
                  <c:v>4.75</c:v>
                </c:pt>
                <c:pt idx="2964">
                  <c:v>4.75</c:v>
                </c:pt>
                <c:pt idx="2965">
                  <c:v>4.75</c:v>
                </c:pt>
                <c:pt idx="2966">
                  <c:v>4.75</c:v>
                </c:pt>
                <c:pt idx="2967">
                  <c:v>4.75</c:v>
                </c:pt>
                <c:pt idx="2968">
                  <c:v>4.75</c:v>
                </c:pt>
                <c:pt idx="2969">
                  <c:v>4.75</c:v>
                </c:pt>
                <c:pt idx="2970">
                  <c:v>4.75</c:v>
                </c:pt>
                <c:pt idx="2971">
                  <c:v>4.75</c:v>
                </c:pt>
                <c:pt idx="2972">
                  <c:v>4.75</c:v>
                </c:pt>
                <c:pt idx="2973">
                  <c:v>4.75</c:v>
                </c:pt>
                <c:pt idx="2974">
                  <c:v>4.75</c:v>
                </c:pt>
                <c:pt idx="2975">
                  <c:v>4.75</c:v>
                </c:pt>
                <c:pt idx="2976">
                  <c:v>4.75</c:v>
                </c:pt>
                <c:pt idx="2977">
                  <c:v>4.75</c:v>
                </c:pt>
                <c:pt idx="2978">
                  <c:v>4.75</c:v>
                </c:pt>
                <c:pt idx="2979">
                  <c:v>4.75</c:v>
                </c:pt>
                <c:pt idx="2980">
                  <c:v>4.75</c:v>
                </c:pt>
                <c:pt idx="2981">
                  <c:v>4.75</c:v>
                </c:pt>
                <c:pt idx="2982">
                  <c:v>4.75</c:v>
                </c:pt>
                <c:pt idx="2983">
                  <c:v>4.75</c:v>
                </c:pt>
                <c:pt idx="2984">
                  <c:v>4.75</c:v>
                </c:pt>
                <c:pt idx="2985">
                  <c:v>4.75</c:v>
                </c:pt>
                <c:pt idx="2986">
                  <c:v>4.75</c:v>
                </c:pt>
                <c:pt idx="2987">
                  <c:v>4.75</c:v>
                </c:pt>
                <c:pt idx="2988">
                  <c:v>4.75</c:v>
                </c:pt>
                <c:pt idx="2989">
                  <c:v>4.75</c:v>
                </c:pt>
                <c:pt idx="2990">
                  <c:v>4.75</c:v>
                </c:pt>
                <c:pt idx="2991">
                  <c:v>4.75</c:v>
                </c:pt>
                <c:pt idx="2992">
                  <c:v>4.75</c:v>
                </c:pt>
                <c:pt idx="2993">
                  <c:v>4.75</c:v>
                </c:pt>
                <c:pt idx="2994">
                  <c:v>4.75</c:v>
                </c:pt>
                <c:pt idx="2995">
                  <c:v>4.75</c:v>
                </c:pt>
                <c:pt idx="2996">
                  <c:v>4.75</c:v>
                </c:pt>
                <c:pt idx="2997">
                  <c:v>4.75</c:v>
                </c:pt>
                <c:pt idx="2998">
                  <c:v>4.75</c:v>
                </c:pt>
                <c:pt idx="2999">
                  <c:v>5</c:v>
                </c:pt>
                <c:pt idx="3000">
                  <c:v>5</c:v>
                </c:pt>
                <c:pt idx="3001">
                  <c:v>5</c:v>
                </c:pt>
                <c:pt idx="3002">
                  <c:v>5</c:v>
                </c:pt>
                <c:pt idx="3003">
                  <c:v>5</c:v>
                </c:pt>
                <c:pt idx="3004">
                  <c:v>5</c:v>
                </c:pt>
                <c:pt idx="3005">
                  <c:v>5</c:v>
                </c:pt>
                <c:pt idx="3006">
                  <c:v>5</c:v>
                </c:pt>
                <c:pt idx="3007">
                  <c:v>5</c:v>
                </c:pt>
                <c:pt idx="3008">
                  <c:v>5</c:v>
                </c:pt>
                <c:pt idx="3009">
                  <c:v>5</c:v>
                </c:pt>
                <c:pt idx="3010">
                  <c:v>5</c:v>
                </c:pt>
                <c:pt idx="3011">
                  <c:v>5</c:v>
                </c:pt>
                <c:pt idx="3012">
                  <c:v>5</c:v>
                </c:pt>
                <c:pt idx="3013">
                  <c:v>5</c:v>
                </c:pt>
                <c:pt idx="3014">
                  <c:v>5</c:v>
                </c:pt>
                <c:pt idx="3015">
                  <c:v>5</c:v>
                </c:pt>
                <c:pt idx="3016">
                  <c:v>5</c:v>
                </c:pt>
                <c:pt idx="3017">
                  <c:v>5</c:v>
                </c:pt>
                <c:pt idx="3018">
                  <c:v>5</c:v>
                </c:pt>
                <c:pt idx="3019">
                  <c:v>5</c:v>
                </c:pt>
                <c:pt idx="3020">
                  <c:v>5</c:v>
                </c:pt>
                <c:pt idx="3021">
                  <c:v>5</c:v>
                </c:pt>
                <c:pt idx="3022">
                  <c:v>5</c:v>
                </c:pt>
                <c:pt idx="3023">
                  <c:v>5</c:v>
                </c:pt>
                <c:pt idx="3024">
                  <c:v>5</c:v>
                </c:pt>
                <c:pt idx="3025">
                  <c:v>5</c:v>
                </c:pt>
                <c:pt idx="3026">
                  <c:v>5</c:v>
                </c:pt>
                <c:pt idx="3027">
                  <c:v>5</c:v>
                </c:pt>
                <c:pt idx="3028">
                  <c:v>5</c:v>
                </c:pt>
                <c:pt idx="3029">
                  <c:v>5</c:v>
                </c:pt>
                <c:pt idx="3030">
                  <c:v>5</c:v>
                </c:pt>
                <c:pt idx="3031">
                  <c:v>5.25</c:v>
                </c:pt>
                <c:pt idx="3032">
                  <c:v>5.25</c:v>
                </c:pt>
                <c:pt idx="3033">
                  <c:v>5.25</c:v>
                </c:pt>
                <c:pt idx="3034">
                  <c:v>5.25</c:v>
                </c:pt>
                <c:pt idx="3035">
                  <c:v>5.25</c:v>
                </c:pt>
                <c:pt idx="3036">
                  <c:v>5.25</c:v>
                </c:pt>
                <c:pt idx="3037">
                  <c:v>5.25</c:v>
                </c:pt>
                <c:pt idx="3038">
                  <c:v>5.25</c:v>
                </c:pt>
                <c:pt idx="3039">
                  <c:v>5.25</c:v>
                </c:pt>
                <c:pt idx="3040">
                  <c:v>5.25</c:v>
                </c:pt>
                <c:pt idx="3041">
                  <c:v>5.25</c:v>
                </c:pt>
                <c:pt idx="3042">
                  <c:v>5.25</c:v>
                </c:pt>
                <c:pt idx="3043">
                  <c:v>5.25</c:v>
                </c:pt>
                <c:pt idx="3044">
                  <c:v>5.25</c:v>
                </c:pt>
                <c:pt idx="3045">
                  <c:v>5.25</c:v>
                </c:pt>
                <c:pt idx="3046">
                  <c:v>5.25</c:v>
                </c:pt>
                <c:pt idx="3047">
                  <c:v>5.25</c:v>
                </c:pt>
                <c:pt idx="3048">
                  <c:v>5.25</c:v>
                </c:pt>
                <c:pt idx="3049">
                  <c:v>5.25</c:v>
                </c:pt>
                <c:pt idx="3050">
                  <c:v>5.25</c:v>
                </c:pt>
                <c:pt idx="3051">
                  <c:v>5.25</c:v>
                </c:pt>
                <c:pt idx="3052">
                  <c:v>5.25</c:v>
                </c:pt>
                <c:pt idx="3053">
                  <c:v>5.25</c:v>
                </c:pt>
                <c:pt idx="3054">
                  <c:v>5.25</c:v>
                </c:pt>
                <c:pt idx="3055">
                  <c:v>5.25</c:v>
                </c:pt>
                <c:pt idx="3056">
                  <c:v>5.25</c:v>
                </c:pt>
                <c:pt idx="3057">
                  <c:v>5.25</c:v>
                </c:pt>
                <c:pt idx="3058">
                  <c:v>5.25</c:v>
                </c:pt>
                <c:pt idx="3059">
                  <c:v>5.25</c:v>
                </c:pt>
                <c:pt idx="3060">
                  <c:v>5.25</c:v>
                </c:pt>
                <c:pt idx="3061">
                  <c:v>5.25</c:v>
                </c:pt>
                <c:pt idx="3062">
                  <c:v>5.25</c:v>
                </c:pt>
                <c:pt idx="3063">
                  <c:v>5.25</c:v>
                </c:pt>
                <c:pt idx="3064">
                  <c:v>5.25</c:v>
                </c:pt>
                <c:pt idx="3065">
                  <c:v>5.25</c:v>
                </c:pt>
                <c:pt idx="3066">
                  <c:v>5.25</c:v>
                </c:pt>
                <c:pt idx="3067">
                  <c:v>5.25</c:v>
                </c:pt>
                <c:pt idx="3068">
                  <c:v>5.25</c:v>
                </c:pt>
                <c:pt idx="3069">
                  <c:v>5.25</c:v>
                </c:pt>
                <c:pt idx="3070">
                  <c:v>5.25</c:v>
                </c:pt>
                <c:pt idx="3071">
                  <c:v>5.25</c:v>
                </c:pt>
                <c:pt idx="3072">
                  <c:v>5.25</c:v>
                </c:pt>
                <c:pt idx="3073">
                  <c:v>5.25</c:v>
                </c:pt>
                <c:pt idx="3074">
                  <c:v>5.25</c:v>
                </c:pt>
                <c:pt idx="3075">
                  <c:v>5.25</c:v>
                </c:pt>
                <c:pt idx="3076">
                  <c:v>5.25</c:v>
                </c:pt>
                <c:pt idx="3077">
                  <c:v>5.25</c:v>
                </c:pt>
                <c:pt idx="3078">
                  <c:v>5.25</c:v>
                </c:pt>
                <c:pt idx="3079">
                  <c:v>5.25</c:v>
                </c:pt>
                <c:pt idx="3080">
                  <c:v>5.25</c:v>
                </c:pt>
                <c:pt idx="3081">
                  <c:v>5.25</c:v>
                </c:pt>
                <c:pt idx="3082">
                  <c:v>5.25</c:v>
                </c:pt>
                <c:pt idx="3083">
                  <c:v>5.25</c:v>
                </c:pt>
                <c:pt idx="3084">
                  <c:v>5.25</c:v>
                </c:pt>
                <c:pt idx="3085">
                  <c:v>5.25</c:v>
                </c:pt>
                <c:pt idx="3086">
                  <c:v>5.25</c:v>
                </c:pt>
                <c:pt idx="3087">
                  <c:v>5.25</c:v>
                </c:pt>
                <c:pt idx="3088">
                  <c:v>5.25</c:v>
                </c:pt>
                <c:pt idx="3089">
                  <c:v>5.25</c:v>
                </c:pt>
                <c:pt idx="3090">
                  <c:v>5.25</c:v>
                </c:pt>
                <c:pt idx="3091">
                  <c:v>5.25</c:v>
                </c:pt>
                <c:pt idx="3092">
                  <c:v>5.25</c:v>
                </c:pt>
                <c:pt idx="3093">
                  <c:v>5.25</c:v>
                </c:pt>
                <c:pt idx="3094">
                  <c:v>5.25</c:v>
                </c:pt>
                <c:pt idx="3095">
                  <c:v>5.25</c:v>
                </c:pt>
                <c:pt idx="3096">
                  <c:v>5.25</c:v>
                </c:pt>
                <c:pt idx="3097">
                  <c:v>5.25</c:v>
                </c:pt>
                <c:pt idx="3098">
                  <c:v>5.25</c:v>
                </c:pt>
                <c:pt idx="3099">
                  <c:v>5.25</c:v>
                </c:pt>
                <c:pt idx="3100">
                  <c:v>5.25</c:v>
                </c:pt>
                <c:pt idx="3101">
                  <c:v>5.25</c:v>
                </c:pt>
                <c:pt idx="3102">
                  <c:v>5.25</c:v>
                </c:pt>
                <c:pt idx="3103">
                  <c:v>5.25</c:v>
                </c:pt>
                <c:pt idx="3104">
                  <c:v>5.5</c:v>
                </c:pt>
                <c:pt idx="3105">
                  <c:v>5.5</c:v>
                </c:pt>
                <c:pt idx="3106">
                  <c:v>5.5</c:v>
                </c:pt>
                <c:pt idx="3107">
                  <c:v>5.5</c:v>
                </c:pt>
                <c:pt idx="3108">
                  <c:v>5.5</c:v>
                </c:pt>
                <c:pt idx="3109">
                  <c:v>5.5</c:v>
                </c:pt>
                <c:pt idx="3110">
                  <c:v>5.5</c:v>
                </c:pt>
                <c:pt idx="3111">
                  <c:v>5.5</c:v>
                </c:pt>
                <c:pt idx="3112">
                  <c:v>5.5</c:v>
                </c:pt>
                <c:pt idx="3113">
                  <c:v>5.5</c:v>
                </c:pt>
                <c:pt idx="3114">
                  <c:v>5.5</c:v>
                </c:pt>
                <c:pt idx="3115">
                  <c:v>5.5</c:v>
                </c:pt>
                <c:pt idx="3116">
                  <c:v>5.5</c:v>
                </c:pt>
                <c:pt idx="3117">
                  <c:v>5.5</c:v>
                </c:pt>
                <c:pt idx="3118">
                  <c:v>5.5</c:v>
                </c:pt>
                <c:pt idx="3119">
                  <c:v>5.5</c:v>
                </c:pt>
                <c:pt idx="3120">
                  <c:v>5.5</c:v>
                </c:pt>
                <c:pt idx="3121">
                  <c:v>5.5</c:v>
                </c:pt>
                <c:pt idx="3122">
                  <c:v>5.5</c:v>
                </c:pt>
                <c:pt idx="3123">
                  <c:v>5.5</c:v>
                </c:pt>
                <c:pt idx="3124">
                  <c:v>5.5</c:v>
                </c:pt>
                <c:pt idx="3125">
                  <c:v>5.5</c:v>
                </c:pt>
                <c:pt idx="3126">
                  <c:v>5.5</c:v>
                </c:pt>
                <c:pt idx="3127">
                  <c:v>5.5</c:v>
                </c:pt>
                <c:pt idx="3128">
                  <c:v>5.5</c:v>
                </c:pt>
                <c:pt idx="3129">
                  <c:v>5.75</c:v>
                </c:pt>
                <c:pt idx="3130">
                  <c:v>5.75</c:v>
                </c:pt>
                <c:pt idx="3131">
                  <c:v>5.75</c:v>
                </c:pt>
                <c:pt idx="3132">
                  <c:v>5.75</c:v>
                </c:pt>
                <c:pt idx="3133">
                  <c:v>5.75</c:v>
                </c:pt>
                <c:pt idx="3134">
                  <c:v>5.75</c:v>
                </c:pt>
                <c:pt idx="3135">
                  <c:v>5.75</c:v>
                </c:pt>
                <c:pt idx="3136">
                  <c:v>5.75</c:v>
                </c:pt>
                <c:pt idx="3137">
                  <c:v>5.75</c:v>
                </c:pt>
                <c:pt idx="3138">
                  <c:v>5.75</c:v>
                </c:pt>
                <c:pt idx="3139">
                  <c:v>5.75</c:v>
                </c:pt>
                <c:pt idx="3140">
                  <c:v>5.75</c:v>
                </c:pt>
                <c:pt idx="3141">
                  <c:v>5.75</c:v>
                </c:pt>
                <c:pt idx="3142">
                  <c:v>5.75</c:v>
                </c:pt>
                <c:pt idx="3143">
                  <c:v>5.75</c:v>
                </c:pt>
                <c:pt idx="3144">
                  <c:v>5.75</c:v>
                </c:pt>
                <c:pt idx="3145">
                  <c:v>5.75</c:v>
                </c:pt>
                <c:pt idx="3146">
                  <c:v>5.75</c:v>
                </c:pt>
                <c:pt idx="3147">
                  <c:v>5.75</c:v>
                </c:pt>
                <c:pt idx="3148">
                  <c:v>5.75</c:v>
                </c:pt>
                <c:pt idx="3149">
                  <c:v>5.75</c:v>
                </c:pt>
                <c:pt idx="3150">
                  <c:v>5.75</c:v>
                </c:pt>
                <c:pt idx="3151">
                  <c:v>5.75</c:v>
                </c:pt>
                <c:pt idx="3152">
                  <c:v>5.75</c:v>
                </c:pt>
                <c:pt idx="3153">
                  <c:v>5.75</c:v>
                </c:pt>
                <c:pt idx="3154">
                  <c:v>5.75</c:v>
                </c:pt>
                <c:pt idx="3155">
                  <c:v>5.75</c:v>
                </c:pt>
                <c:pt idx="3156">
                  <c:v>5.75</c:v>
                </c:pt>
                <c:pt idx="3157">
                  <c:v>5.75</c:v>
                </c:pt>
                <c:pt idx="3158">
                  <c:v>5.75</c:v>
                </c:pt>
                <c:pt idx="3159">
                  <c:v>5.75</c:v>
                </c:pt>
                <c:pt idx="3160">
                  <c:v>5.75</c:v>
                </c:pt>
                <c:pt idx="3161">
                  <c:v>5.75</c:v>
                </c:pt>
                <c:pt idx="3162">
                  <c:v>5.75</c:v>
                </c:pt>
                <c:pt idx="3163">
                  <c:v>5.75</c:v>
                </c:pt>
                <c:pt idx="3164">
                  <c:v>5.75</c:v>
                </c:pt>
                <c:pt idx="3165">
                  <c:v>5.75</c:v>
                </c:pt>
                <c:pt idx="3166">
                  <c:v>5.75</c:v>
                </c:pt>
                <c:pt idx="3167">
                  <c:v>5.75</c:v>
                </c:pt>
                <c:pt idx="3168">
                  <c:v>5.75</c:v>
                </c:pt>
                <c:pt idx="3169">
                  <c:v>5.75</c:v>
                </c:pt>
                <c:pt idx="3170">
                  <c:v>5.75</c:v>
                </c:pt>
                <c:pt idx="3171">
                  <c:v>5.75</c:v>
                </c:pt>
                <c:pt idx="3172">
                  <c:v>5.75</c:v>
                </c:pt>
                <c:pt idx="3173">
                  <c:v>5.75</c:v>
                </c:pt>
                <c:pt idx="3174">
                  <c:v>5.75</c:v>
                </c:pt>
                <c:pt idx="3175">
                  <c:v>5.75</c:v>
                </c:pt>
                <c:pt idx="3176">
                  <c:v>5.75</c:v>
                </c:pt>
                <c:pt idx="3177">
                  <c:v>5.75</c:v>
                </c:pt>
                <c:pt idx="3178">
                  <c:v>5.75</c:v>
                </c:pt>
                <c:pt idx="3179">
                  <c:v>5.75</c:v>
                </c:pt>
                <c:pt idx="3180">
                  <c:v>6</c:v>
                </c:pt>
                <c:pt idx="3181">
                  <c:v>6</c:v>
                </c:pt>
                <c:pt idx="3182">
                  <c:v>6</c:v>
                </c:pt>
                <c:pt idx="3183">
                  <c:v>6</c:v>
                </c:pt>
                <c:pt idx="3184">
                  <c:v>6</c:v>
                </c:pt>
                <c:pt idx="3185">
                  <c:v>6</c:v>
                </c:pt>
                <c:pt idx="3186">
                  <c:v>6</c:v>
                </c:pt>
                <c:pt idx="3187">
                  <c:v>6</c:v>
                </c:pt>
                <c:pt idx="3188">
                  <c:v>6</c:v>
                </c:pt>
                <c:pt idx="3189">
                  <c:v>6</c:v>
                </c:pt>
                <c:pt idx="3190">
                  <c:v>6</c:v>
                </c:pt>
                <c:pt idx="3191">
                  <c:v>6</c:v>
                </c:pt>
                <c:pt idx="3192">
                  <c:v>6</c:v>
                </c:pt>
                <c:pt idx="3193">
                  <c:v>6</c:v>
                </c:pt>
                <c:pt idx="3194">
                  <c:v>6</c:v>
                </c:pt>
                <c:pt idx="3195">
                  <c:v>6</c:v>
                </c:pt>
                <c:pt idx="3196">
                  <c:v>6</c:v>
                </c:pt>
                <c:pt idx="3197">
                  <c:v>6</c:v>
                </c:pt>
                <c:pt idx="3198">
                  <c:v>6</c:v>
                </c:pt>
                <c:pt idx="3199">
                  <c:v>6</c:v>
                </c:pt>
                <c:pt idx="3200">
                  <c:v>6</c:v>
                </c:pt>
                <c:pt idx="3201">
                  <c:v>6</c:v>
                </c:pt>
                <c:pt idx="3202">
                  <c:v>6</c:v>
                </c:pt>
                <c:pt idx="3203">
                  <c:v>6</c:v>
                </c:pt>
                <c:pt idx="3204">
                  <c:v>6</c:v>
                </c:pt>
                <c:pt idx="3205">
                  <c:v>6</c:v>
                </c:pt>
                <c:pt idx="3206">
                  <c:v>6</c:v>
                </c:pt>
                <c:pt idx="3207">
                  <c:v>6</c:v>
                </c:pt>
                <c:pt idx="3208">
                  <c:v>6</c:v>
                </c:pt>
                <c:pt idx="3209">
                  <c:v>6</c:v>
                </c:pt>
                <c:pt idx="3210">
                  <c:v>6</c:v>
                </c:pt>
                <c:pt idx="3211">
                  <c:v>6</c:v>
                </c:pt>
                <c:pt idx="3212">
                  <c:v>6</c:v>
                </c:pt>
                <c:pt idx="3213">
                  <c:v>6</c:v>
                </c:pt>
                <c:pt idx="3214">
                  <c:v>6</c:v>
                </c:pt>
                <c:pt idx="3215">
                  <c:v>6</c:v>
                </c:pt>
                <c:pt idx="3216">
                  <c:v>6</c:v>
                </c:pt>
                <c:pt idx="3217">
                  <c:v>6</c:v>
                </c:pt>
                <c:pt idx="3218">
                  <c:v>6</c:v>
                </c:pt>
                <c:pt idx="3219">
                  <c:v>6</c:v>
                </c:pt>
                <c:pt idx="3220">
                  <c:v>6</c:v>
                </c:pt>
                <c:pt idx="3221">
                  <c:v>6</c:v>
                </c:pt>
                <c:pt idx="3222">
                  <c:v>6</c:v>
                </c:pt>
                <c:pt idx="3223">
                  <c:v>6</c:v>
                </c:pt>
                <c:pt idx="3224">
                  <c:v>6</c:v>
                </c:pt>
                <c:pt idx="3225">
                  <c:v>6</c:v>
                </c:pt>
                <c:pt idx="3226">
                  <c:v>6</c:v>
                </c:pt>
                <c:pt idx="3227">
                  <c:v>6.25</c:v>
                </c:pt>
                <c:pt idx="3228">
                  <c:v>6.25</c:v>
                </c:pt>
                <c:pt idx="3229">
                  <c:v>6.25</c:v>
                </c:pt>
                <c:pt idx="3230">
                  <c:v>6.25</c:v>
                </c:pt>
                <c:pt idx="3231">
                  <c:v>6.25</c:v>
                </c:pt>
                <c:pt idx="3232">
                  <c:v>6.25</c:v>
                </c:pt>
                <c:pt idx="3233">
                  <c:v>6.25</c:v>
                </c:pt>
                <c:pt idx="3234">
                  <c:v>6.25</c:v>
                </c:pt>
                <c:pt idx="3235">
                  <c:v>6.25</c:v>
                </c:pt>
                <c:pt idx="3236">
                  <c:v>6.25</c:v>
                </c:pt>
                <c:pt idx="3237">
                  <c:v>6.25</c:v>
                </c:pt>
                <c:pt idx="3238">
                  <c:v>6.25</c:v>
                </c:pt>
                <c:pt idx="3239">
                  <c:v>6.25</c:v>
                </c:pt>
                <c:pt idx="3240">
                  <c:v>6.25</c:v>
                </c:pt>
                <c:pt idx="3241">
                  <c:v>6.25</c:v>
                </c:pt>
                <c:pt idx="3242">
                  <c:v>6.25</c:v>
                </c:pt>
                <c:pt idx="3243">
                  <c:v>6.25</c:v>
                </c:pt>
                <c:pt idx="3244">
                  <c:v>6.25</c:v>
                </c:pt>
                <c:pt idx="3245">
                  <c:v>6.25</c:v>
                </c:pt>
                <c:pt idx="3246">
                  <c:v>6.25</c:v>
                </c:pt>
                <c:pt idx="3247">
                  <c:v>6.25</c:v>
                </c:pt>
                <c:pt idx="3248">
                  <c:v>6.25</c:v>
                </c:pt>
                <c:pt idx="3249">
                  <c:v>6.25</c:v>
                </c:pt>
                <c:pt idx="3250">
                  <c:v>6.25</c:v>
                </c:pt>
                <c:pt idx="3251">
                  <c:v>6.25</c:v>
                </c:pt>
                <c:pt idx="3252">
                  <c:v>6.25</c:v>
                </c:pt>
                <c:pt idx="3253">
                  <c:v>6.25</c:v>
                </c:pt>
                <c:pt idx="3254">
                  <c:v>6.25</c:v>
                </c:pt>
                <c:pt idx="3255">
                  <c:v>6.25</c:v>
                </c:pt>
                <c:pt idx="3256">
                  <c:v>6.25</c:v>
                </c:pt>
                <c:pt idx="3257">
                  <c:v>6.25</c:v>
                </c:pt>
                <c:pt idx="3258">
                  <c:v>6.25</c:v>
                </c:pt>
                <c:pt idx="3259">
                  <c:v>6.25</c:v>
                </c:pt>
                <c:pt idx="3260">
                  <c:v>6.25</c:v>
                </c:pt>
                <c:pt idx="3261">
                  <c:v>6.25</c:v>
                </c:pt>
                <c:pt idx="3262">
                  <c:v>6.25</c:v>
                </c:pt>
                <c:pt idx="3263">
                  <c:v>6.25</c:v>
                </c:pt>
                <c:pt idx="3264">
                  <c:v>6.25</c:v>
                </c:pt>
                <c:pt idx="3265">
                  <c:v>6.25</c:v>
                </c:pt>
                <c:pt idx="3266">
                  <c:v>6.25</c:v>
                </c:pt>
                <c:pt idx="3267">
                  <c:v>6.25</c:v>
                </c:pt>
                <c:pt idx="3268">
                  <c:v>6.25</c:v>
                </c:pt>
                <c:pt idx="3269">
                  <c:v>6.25</c:v>
                </c:pt>
                <c:pt idx="3270">
                  <c:v>6.25</c:v>
                </c:pt>
                <c:pt idx="3271">
                  <c:v>6.25</c:v>
                </c:pt>
                <c:pt idx="3272">
                  <c:v>6.25</c:v>
                </c:pt>
                <c:pt idx="3273">
                  <c:v>6.25</c:v>
                </c:pt>
                <c:pt idx="3274">
                  <c:v>6.25</c:v>
                </c:pt>
                <c:pt idx="3275">
                  <c:v>6.25</c:v>
                </c:pt>
                <c:pt idx="3276">
                  <c:v>6.25</c:v>
                </c:pt>
                <c:pt idx="3277">
                  <c:v>6.25</c:v>
                </c:pt>
                <c:pt idx="3278">
                  <c:v>6.25</c:v>
                </c:pt>
                <c:pt idx="3279">
                  <c:v>6.25</c:v>
                </c:pt>
                <c:pt idx="3280">
                  <c:v>6.25</c:v>
                </c:pt>
                <c:pt idx="3281">
                  <c:v>6.25</c:v>
                </c:pt>
                <c:pt idx="3282">
                  <c:v>6.25</c:v>
                </c:pt>
                <c:pt idx="3283">
                  <c:v>6.25</c:v>
                </c:pt>
                <c:pt idx="3284">
                  <c:v>6.25</c:v>
                </c:pt>
                <c:pt idx="3285">
                  <c:v>6.25</c:v>
                </c:pt>
                <c:pt idx="3286">
                  <c:v>6.25</c:v>
                </c:pt>
                <c:pt idx="3287">
                  <c:v>6.25</c:v>
                </c:pt>
                <c:pt idx="3288">
                  <c:v>6.25</c:v>
                </c:pt>
                <c:pt idx="3289">
                  <c:v>6.25</c:v>
                </c:pt>
                <c:pt idx="3290">
                  <c:v>6.25</c:v>
                </c:pt>
                <c:pt idx="3291">
                  <c:v>6.25</c:v>
                </c:pt>
                <c:pt idx="3292">
                  <c:v>6.25</c:v>
                </c:pt>
                <c:pt idx="3293">
                  <c:v>6.25</c:v>
                </c:pt>
                <c:pt idx="3294">
                  <c:v>6.25</c:v>
                </c:pt>
                <c:pt idx="3295">
                  <c:v>6.25</c:v>
                </c:pt>
                <c:pt idx="3296">
                  <c:v>6.25</c:v>
                </c:pt>
                <c:pt idx="3297">
                  <c:v>6.25</c:v>
                </c:pt>
                <c:pt idx="3298">
                  <c:v>6.25</c:v>
                </c:pt>
                <c:pt idx="3299">
                  <c:v>6.25</c:v>
                </c:pt>
                <c:pt idx="3300">
                  <c:v>6.25</c:v>
                </c:pt>
                <c:pt idx="3301">
                  <c:v>6.25</c:v>
                </c:pt>
                <c:pt idx="3302">
                  <c:v>6.25</c:v>
                </c:pt>
                <c:pt idx="3303">
                  <c:v>6.25</c:v>
                </c:pt>
                <c:pt idx="3304">
                  <c:v>6.25</c:v>
                </c:pt>
                <c:pt idx="3305">
                  <c:v>6.25</c:v>
                </c:pt>
                <c:pt idx="3306">
                  <c:v>6.25</c:v>
                </c:pt>
                <c:pt idx="3307">
                  <c:v>6.25</c:v>
                </c:pt>
                <c:pt idx="3308">
                  <c:v>6.25</c:v>
                </c:pt>
                <c:pt idx="3309">
                  <c:v>6.25</c:v>
                </c:pt>
                <c:pt idx="3310">
                  <c:v>6.25</c:v>
                </c:pt>
                <c:pt idx="3311">
                  <c:v>6.5</c:v>
                </c:pt>
                <c:pt idx="3312">
                  <c:v>6.5</c:v>
                </c:pt>
                <c:pt idx="3313">
                  <c:v>6.5</c:v>
                </c:pt>
                <c:pt idx="3314">
                  <c:v>6.5</c:v>
                </c:pt>
                <c:pt idx="3315">
                  <c:v>6.5</c:v>
                </c:pt>
                <c:pt idx="3316">
                  <c:v>6.5</c:v>
                </c:pt>
                <c:pt idx="3317">
                  <c:v>6.5</c:v>
                </c:pt>
                <c:pt idx="3318">
                  <c:v>6.5</c:v>
                </c:pt>
                <c:pt idx="3319">
                  <c:v>6.5</c:v>
                </c:pt>
                <c:pt idx="3320">
                  <c:v>6.5</c:v>
                </c:pt>
                <c:pt idx="3321">
                  <c:v>6.5</c:v>
                </c:pt>
                <c:pt idx="3322">
                  <c:v>6.5</c:v>
                </c:pt>
                <c:pt idx="3323">
                  <c:v>6.5</c:v>
                </c:pt>
                <c:pt idx="3324">
                  <c:v>6.5</c:v>
                </c:pt>
                <c:pt idx="3325">
                  <c:v>6.5</c:v>
                </c:pt>
                <c:pt idx="3326">
                  <c:v>6.5</c:v>
                </c:pt>
                <c:pt idx="3327">
                  <c:v>6.5</c:v>
                </c:pt>
                <c:pt idx="3328">
                  <c:v>6.5</c:v>
                </c:pt>
                <c:pt idx="3329">
                  <c:v>6.5</c:v>
                </c:pt>
                <c:pt idx="3330">
                  <c:v>6.5</c:v>
                </c:pt>
                <c:pt idx="3331">
                  <c:v>6.5</c:v>
                </c:pt>
                <c:pt idx="3332">
                  <c:v>6.5</c:v>
                </c:pt>
                <c:pt idx="3333">
                  <c:v>6.5</c:v>
                </c:pt>
                <c:pt idx="3334">
                  <c:v>6.5</c:v>
                </c:pt>
                <c:pt idx="3335">
                  <c:v>6.5</c:v>
                </c:pt>
                <c:pt idx="3336">
                  <c:v>6.5</c:v>
                </c:pt>
                <c:pt idx="3337">
                  <c:v>6.5</c:v>
                </c:pt>
                <c:pt idx="3338">
                  <c:v>6.5</c:v>
                </c:pt>
                <c:pt idx="3339">
                  <c:v>6.5</c:v>
                </c:pt>
                <c:pt idx="3340">
                  <c:v>6.5</c:v>
                </c:pt>
                <c:pt idx="3341">
                  <c:v>6.5</c:v>
                </c:pt>
                <c:pt idx="3342">
                  <c:v>6.5</c:v>
                </c:pt>
                <c:pt idx="3343">
                  <c:v>6.5</c:v>
                </c:pt>
                <c:pt idx="3344">
                  <c:v>6.5</c:v>
                </c:pt>
                <c:pt idx="3345">
                  <c:v>6.5</c:v>
                </c:pt>
                <c:pt idx="3346">
                  <c:v>6.5</c:v>
                </c:pt>
                <c:pt idx="3347">
                  <c:v>6.5</c:v>
                </c:pt>
                <c:pt idx="3348">
                  <c:v>6.5</c:v>
                </c:pt>
                <c:pt idx="3349">
                  <c:v>6.5</c:v>
                </c:pt>
                <c:pt idx="3350">
                  <c:v>6.5</c:v>
                </c:pt>
                <c:pt idx="3351">
                  <c:v>6.5</c:v>
                </c:pt>
                <c:pt idx="3352">
                  <c:v>6.5</c:v>
                </c:pt>
                <c:pt idx="3353">
                  <c:v>6.5</c:v>
                </c:pt>
                <c:pt idx="3354">
                  <c:v>6.5</c:v>
                </c:pt>
                <c:pt idx="3355">
                  <c:v>6.5</c:v>
                </c:pt>
                <c:pt idx="3356">
                  <c:v>6.5</c:v>
                </c:pt>
                <c:pt idx="3357">
                  <c:v>6.5</c:v>
                </c:pt>
                <c:pt idx="3358">
                  <c:v>6.5</c:v>
                </c:pt>
                <c:pt idx="3359">
                  <c:v>6.5</c:v>
                </c:pt>
                <c:pt idx="3360">
                  <c:v>6.5</c:v>
                </c:pt>
                <c:pt idx="3361">
                  <c:v>6.5</c:v>
                </c:pt>
                <c:pt idx="3362">
                  <c:v>6.75</c:v>
                </c:pt>
                <c:pt idx="3363">
                  <c:v>6.75</c:v>
                </c:pt>
                <c:pt idx="3364">
                  <c:v>6.75</c:v>
                </c:pt>
                <c:pt idx="3365">
                  <c:v>6.75</c:v>
                </c:pt>
                <c:pt idx="3366">
                  <c:v>6.75</c:v>
                </c:pt>
                <c:pt idx="3367">
                  <c:v>6.75</c:v>
                </c:pt>
                <c:pt idx="3368">
                  <c:v>6.75</c:v>
                </c:pt>
                <c:pt idx="3369">
                  <c:v>6.75</c:v>
                </c:pt>
                <c:pt idx="3370">
                  <c:v>6.75</c:v>
                </c:pt>
                <c:pt idx="3371">
                  <c:v>6.75</c:v>
                </c:pt>
                <c:pt idx="3372">
                  <c:v>6.75</c:v>
                </c:pt>
                <c:pt idx="3373">
                  <c:v>6.75</c:v>
                </c:pt>
                <c:pt idx="3374">
                  <c:v>6.75</c:v>
                </c:pt>
                <c:pt idx="3375">
                  <c:v>6.75</c:v>
                </c:pt>
                <c:pt idx="3376">
                  <c:v>6.75</c:v>
                </c:pt>
                <c:pt idx="3377">
                  <c:v>6.75</c:v>
                </c:pt>
                <c:pt idx="3378">
                  <c:v>6.75</c:v>
                </c:pt>
                <c:pt idx="3379">
                  <c:v>6.75</c:v>
                </c:pt>
                <c:pt idx="3380">
                  <c:v>6.75</c:v>
                </c:pt>
                <c:pt idx="3381">
                  <c:v>6.75</c:v>
                </c:pt>
                <c:pt idx="3382">
                  <c:v>6.75</c:v>
                </c:pt>
                <c:pt idx="3383">
                  <c:v>6.75</c:v>
                </c:pt>
                <c:pt idx="3384">
                  <c:v>6.75</c:v>
                </c:pt>
                <c:pt idx="3385">
                  <c:v>6.75</c:v>
                </c:pt>
                <c:pt idx="3386">
                  <c:v>6.75</c:v>
                </c:pt>
                <c:pt idx="3387">
                  <c:v>6.75</c:v>
                </c:pt>
                <c:pt idx="3388">
                  <c:v>6.75</c:v>
                </c:pt>
                <c:pt idx="3389">
                  <c:v>6.75</c:v>
                </c:pt>
                <c:pt idx="3390">
                  <c:v>6.75</c:v>
                </c:pt>
                <c:pt idx="3391">
                  <c:v>6.75</c:v>
                </c:pt>
                <c:pt idx="3392">
                  <c:v>6.75</c:v>
                </c:pt>
                <c:pt idx="3393">
                  <c:v>6.75</c:v>
                </c:pt>
                <c:pt idx="3394">
                  <c:v>6.75</c:v>
                </c:pt>
                <c:pt idx="3395">
                  <c:v>6.75</c:v>
                </c:pt>
                <c:pt idx="3396">
                  <c:v>6.75</c:v>
                </c:pt>
                <c:pt idx="3397">
                  <c:v>6.75</c:v>
                </c:pt>
                <c:pt idx="3398">
                  <c:v>6.75</c:v>
                </c:pt>
                <c:pt idx="3399">
                  <c:v>6.75</c:v>
                </c:pt>
                <c:pt idx="3400">
                  <c:v>6.75</c:v>
                </c:pt>
                <c:pt idx="3401">
                  <c:v>6.75</c:v>
                </c:pt>
                <c:pt idx="3402">
                  <c:v>6.75</c:v>
                </c:pt>
                <c:pt idx="3403">
                  <c:v>6.75</c:v>
                </c:pt>
                <c:pt idx="3404">
                  <c:v>6.75</c:v>
                </c:pt>
                <c:pt idx="3405">
                  <c:v>6.75</c:v>
                </c:pt>
                <c:pt idx="3406">
                  <c:v>6.75</c:v>
                </c:pt>
                <c:pt idx="3407">
                  <c:v>6.75</c:v>
                </c:pt>
                <c:pt idx="3408">
                  <c:v>6.75</c:v>
                </c:pt>
                <c:pt idx="3409">
                  <c:v>7.25</c:v>
                </c:pt>
                <c:pt idx="3410">
                  <c:v>7.25</c:v>
                </c:pt>
                <c:pt idx="3411">
                  <c:v>7.25</c:v>
                </c:pt>
                <c:pt idx="3412">
                  <c:v>7.25</c:v>
                </c:pt>
                <c:pt idx="3413">
                  <c:v>7.25</c:v>
                </c:pt>
                <c:pt idx="3414">
                  <c:v>7.25</c:v>
                </c:pt>
                <c:pt idx="3415">
                  <c:v>7.25</c:v>
                </c:pt>
                <c:pt idx="3416">
                  <c:v>7.25</c:v>
                </c:pt>
                <c:pt idx="3417">
                  <c:v>7.25</c:v>
                </c:pt>
                <c:pt idx="3418">
                  <c:v>7.25</c:v>
                </c:pt>
                <c:pt idx="3419">
                  <c:v>7.25</c:v>
                </c:pt>
                <c:pt idx="3420">
                  <c:v>7.25</c:v>
                </c:pt>
                <c:pt idx="3421">
                  <c:v>7.25</c:v>
                </c:pt>
                <c:pt idx="3422">
                  <c:v>7.25</c:v>
                </c:pt>
                <c:pt idx="3423">
                  <c:v>7.25</c:v>
                </c:pt>
                <c:pt idx="3424">
                  <c:v>7.25</c:v>
                </c:pt>
                <c:pt idx="3425">
                  <c:v>7.25</c:v>
                </c:pt>
                <c:pt idx="3426">
                  <c:v>7.25</c:v>
                </c:pt>
                <c:pt idx="3427">
                  <c:v>7.25</c:v>
                </c:pt>
                <c:pt idx="3428">
                  <c:v>7.25</c:v>
                </c:pt>
                <c:pt idx="3429">
                  <c:v>7.25</c:v>
                </c:pt>
                <c:pt idx="3430">
                  <c:v>7.25</c:v>
                </c:pt>
                <c:pt idx="3431">
                  <c:v>7.25</c:v>
                </c:pt>
                <c:pt idx="3432">
                  <c:v>7.25</c:v>
                </c:pt>
                <c:pt idx="3433">
                  <c:v>7.25</c:v>
                </c:pt>
                <c:pt idx="3434">
                  <c:v>7.25</c:v>
                </c:pt>
                <c:pt idx="3435">
                  <c:v>7.25</c:v>
                </c:pt>
                <c:pt idx="3436">
                  <c:v>7.25</c:v>
                </c:pt>
                <c:pt idx="3437">
                  <c:v>7.25</c:v>
                </c:pt>
                <c:pt idx="3438">
                  <c:v>7.25</c:v>
                </c:pt>
                <c:pt idx="3439">
                  <c:v>7.25</c:v>
                </c:pt>
                <c:pt idx="3440">
                  <c:v>7.25</c:v>
                </c:pt>
                <c:pt idx="3441">
                  <c:v>7.25</c:v>
                </c:pt>
                <c:pt idx="3442">
                  <c:v>7.25</c:v>
                </c:pt>
                <c:pt idx="3443">
                  <c:v>7.25</c:v>
                </c:pt>
                <c:pt idx="3444">
                  <c:v>7.25</c:v>
                </c:pt>
                <c:pt idx="3445">
                  <c:v>7.25</c:v>
                </c:pt>
                <c:pt idx="3446">
                  <c:v>7.25</c:v>
                </c:pt>
                <c:pt idx="3447">
                  <c:v>7.25</c:v>
                </c:pt>
                <c:pt idx="3448">
                  <c:v>7.25</c:v>
                </c:pt>
                <c:pt idx="3449">
                  <c:v>7.25</c:v>
                </c:pt>
                <c:pt idx="3450">
                  <c:v>7.25</c:v>
                </c:pt>
                <c:pt idx="3451">
                  <c:v>7.25</c:v>
                </c:pt>
                <c:pt idx="3452">
                  <c:v>7.25</c:v>
                </c:pt>
                <c:pt idx="3453">
                  <c:v>7.5</c:v>
                </c:pt>
                <c:pt idx="3454">
                  <c:v>7.5</c:v>
                </c:pt>
                <c:pt idx="3455">
                  <c:v>7.5</c:v>
                </c:pt>
                <c:pt idx="3456">
                  <c:v>7.5</c:v>
                </c:pt>
                <c:pt idx="3457">
                  <c:v>7.5</c:v>
                </c:pt>
                <c:pt idx="3458">
                  <c:v>7.5</c:v>
                </c:pt>
                <c:pt idx="3459">
                  <c:v>7.5</c:v>
                </c:pt>
                <c:pt idx="3460">
                  <c:v>7.5</c:v>
                </c:pt>
                <c:pt idx="3461">
                  <c:v>7.5</c:v>
                </c:pt>
                <c:pt idx="3462">
                  <c:v>7.5</c:v>
                </c:pt>
                <c:pt idx="3463">
                  <c:v>7.5</c:v>
                </c:pt>
                <c:pt idx="3464">
                  <c:v>7.5</c:v>
                </c:pt>
                <c:pt idx="3465">
                  <c:v>7.5</c:v>
                </c:pt>
                <c:pt idx="3466">
                  <c:v>7.5</c:v>
                </c:pt>
                <c:pt idx="3467">
                  <c:v>7.5</c:v>
                </c:pt>
                <c:pt idx="3468">
                  <c:v>7.5</c:v>
                </c:pt>
                <c:pt idx="3469">
                  <c:v>7.5</c:v>
                </c:pt>
                <c:pt idx="3470">
                  <c:v>7.5</c:v>
                </c:pt>
                <c:pt idx="3471">
                  <c:v>7.5</c:v>
                </c:pt>
                <c:pt idx="3472">
                  <c:v>7.5</c:v>
                </c:pt>
                <c:pt idx="3473">
                  <c:v>7.5</c:v>
                </c:pt>
                <c:pt idx="3474">
                  <c:v>7.5</c:v>
                </c:pt>
                <c:pt idx="3475">
                  <c:v>7.5</c:v>
                </c:pt>
                <c:pt idx="3476">
                  <c:v>7.5</c:v>
                </c:pt>
                <c:pt idx="3477">
                  <c:v>7.5</c:v>
                </c:pt>
                <c:pt idx="3478">
                  <c:v>7.5</c:v>
                </c:pt>
                <c:pt idx="3479">
                  <c:v>7.5</c:v>
                </c:pt>
                <c:pt idx="3480">
                  <c:v>7.5</c:v>
                </c:pt>
                <c:pt idx="3481">
                  <c:v>7.5</c:v>
                </c:pt>
                <c:pt idx="3482">
                  <c:v>7.5</c:v>
                </c:pt>
                <c:pt idx="3483">
                  <c:v>7.5</c:v>
                </c:pt>
                <c:pt idx="3484">
                  <c:v>7.5</c:v>
                </c:pt>
                <c:pt idx="3485">
                  <c:v>7.5</c:v>
                </c:pt>
                <c:pt idx="3486">
                  <c:v>7.5</c:v>
                </c:pt>
                <c:pt idx="3487">
                  <c:v>7.5</c:v>
                </c:pt>
                <c:pt idx="3488">
                  <c:v>7.5</c:v>
                </c:pt>
                <c:pt idx="3489">
                  <c:v>7.5</c:v>
                </c:pt>
                <c:pt idx="3490">
                  <c:v>7.5</c:v>
                </c:pt>
                <c:pt idx="3491">
                  <c:v>7.5</c:v>
                </c:pt>
                <c:pt idx="3492">
                  <c:v>7.5</c:v>
                </c:pt>
                <c:pt idx="3493">
                  <c:v>8</c:v>
                </c:pt>
                <c:pt idx="3494">
                  <c:v>8</c:v>
                </c:pt>
                <c:pt idx="3495">
                  <c:v>8</c:v>
                </c:pt>
                <c:pt idx="3496">
                  <c:v>8</c:v>
                </c:pt>
                <c:pt idx="3497">
                  <c:v>8</c:v>
                </c:pt>
                <c:pt idx="3498">
                  <c:v>8</c:v>
                </c:pt>
                <c:pt idx="3499">
                  <c:v>8</c:v>
                </c:pt>
                <c:pt idx="3500">
                  <c:v>8</c:v>
                </c:pt>
                <c:pt idx="3501">
                  <c:v>8</c:v>
                </c:pt>
                <c:pt idx="3502">
                  <c:v>8</c:v>
                </c:pt>
                <c:pt idx="3503">
                  <c:v>8</c:v>
                </c:pt>
                <c:pt idx="3504">
                  <c:v>8</c:v>
                </c:pt>
                <c:pt idx="3505">
                  <c:v>8</c:v>
                </c:pt>
                <c:pt idx="3506">
                  <c:v>8</c:v>
                </c:pt>
                <c:pt idx="3507">
                  <c:v>8</c:v>
                </c:pt>
                <c:pt idx="3508">
                  <c:v>8</c:v>
                </c:pt>
                <c:pt idx="3509">
                  <c:v>8</c:v>
                </c:pt>
                <c:pt idx="3510">
                  <c:v>8</c:v>
                </c:pt>
                <c:pt idx="3511">
                  <c:v>8</c:v>
                </c:pt>
                <c:pt idx="3512">
                  <c:v>8</c:v>
                </c:pt>
                <c:pt idx="3513">
                  <c:v>8</c:v>
                </c:pt>
                <c:pt idx="3514">
                  <c:v>8</c:v>
                </c:pt>
                <c:pt idx="3515">
                  <c:v>8</c:v>
                </c:pt>
                <c:pt idx="3516">
                  <c:v>8</c:v>
                </c:pt>
                <c:pt idx="3517">
                  <c:v>8</c:v>
                </c:pt>
                <c:pt idx="3518">
                  <c:v>8</c:v>
                </c:pt>
                <c:pt idx="3519">
                  <c:v>8</c:v>
                </c:pt>
                <c:pt idx="3520">
                  <c:v>8</c:v>
                </c:pt>
                <c:pt idx="3521">
                  <c:v>8</c:v>
                </c:pt>
                <c:pt idx="3522">
                  <c:v>8</c:v>
                </c:pt>
                <c:pt idx="3523">
                  <c:v>8</c:v>
                </c:pt>
                <c:pt idx="3524">
                  <c:v>8</c:v>
                </c:pt>
                <c:pt idx="3525">
                  <c:v>8</c:v>
                </c:pt>
                <c:pt idx="3526">
                  <c:v>8</c:v>
                </c:pt>
                <c:pt idx="3527">
                  <c:v>8</c:v>
                </c:pt>
                <c:pt idx="3528">
                  <c:v>8</c:v>
                </c:pt>
                <c:pt idx="3529">
                  <c:v>8</c:v>
                </c:pt>
                <c:pt idx="3530">
                  <c:v>8</c:v>
                </c:pt>
                <c:pt idx="3531">
                  <c:v>8</c:v>
                </c:pt>
                <c:pt idx="3532">
                  <c:v>8</c:v>
                </c:pt>
                <c:pt idx="3533">
                  <c:v>8</c:v>
                </c:pt>
                <c:pt idx="3534">
                  <c:v>8</c:v>
                </c:pt>
                <c:pt idx="3535">
                  <c:v>8</c:v>
                </c:pt>
                <c:pt idx="3536">
                  <c:v>8</c:v>
                </c:pt>
                <c:pt idx="3537">
                  <c:v>8</c:v>
                </c:pt>
                <c:pt idx="3538">
                  <c:v>8</c:v>
                </c:pt>
                <c:pt idx="3539">
                  <c:v>8</c:v>
                </c:pt>
                <c:pt idx="3540">
                  <c:v>8</c:v>
                </c:pt>
                <c:pt idx="3541">
                  <c:v>8</c:v>
                </c:pt>
                <c:pt idx="3542">
                  <c:v>8</c:v>
                </c:pt>
                <c:pt idx="3543">
                  <c:v>8</c:v>
                </c:pt>
                <c:pt idx="3544">
                  <c:v>8</c:v>
                </c:pt>
                <c:pt idx="3545">
                  <c:v>8.25</c:v>
                </c:pt>
                <c:pt idx="3546">
                  <c:v>8.25</c:v>
                </c:pt>
                <c:pt idx="3547">
                  <c:v>8.25</c:v>
                </c:pt>
                <c:pt idx="3548">
                  <c:v>8.25</c:v>
                </c:pt>
                <c:pt idx="3549">
                  <c:v>8.25</c:v>
                </c:pt>
                <c:pt idx="3550">
                  <c:v>8.25</c:v>
                </c:pt>
                <c:pt idx="3551">
                  <c:v>8.25</c:v>
                </c:pt>
                <c:pt idx="3552">
                  <c:v>8.25</c:v>
                </c:pt>
                <c:pt idx="3553">
                  <c:v>8.25</c:v>
                </c:pt>
                <c:pt idx="3554">
                  <c:v>8.25</c:v>
                </c:pt>
                <c:pt idx="3555">
                  <c:v>8.25</c:v>
                </c:pt>
                <c:pt idx="3556">
                  <c:v>8.25</c:v>
                </c:pt>
                <c:pt idx="3557">
                  <c:v>8.25</c:v>
                </c:pt>
                <c:pt idx="3558">
                  <c:v>8.25</c:v>
                </c:pt>
                <c:pt idx="3559">
                  <c:v>8.25</c:v>
                </c:pt>
                <c:pt idx="3560">
                  <c:v>8.25</c:v>
                </c:pt>
                <c:pt idx="3561">
                  <c:v>8.25</c:v>
                </c:pt>
                <c:pt idx="3562">
                  <c:v>8.25</c:v>
                </c:pt>
                <c:pt idx="3563">
                  <c:v>8.25</c:v>
                </c:pt>
                <c:pt idx="3564">
                  <c:v>8.25</c:v>
                </c:pt>
                <c:pt idx="3565">
                  <c:v>8.25</c:v>
                </c:pt>
                <c:pt idx="3566">
                  <c:v>8.25</c:v>
                </c:pt>
                <c:pt idx="3567">
                  <c:v>8.25</c:v>
                </c:pt>
                <c:pt idx="3568">
                  <c:v>8.25</c:v>
                </c:pt>
                <c:pt idx="3569">
                  <c:v>8.25</c:v>
                </c:pt>
                <c:pt idx="3570">
                  <c:v>8.25</c:v>
                </c:pt>
                <c:pt idx="3571">
                  <c:v>8.25</c:v>
                </c:pt>
                <c:pt idx="3572">
                  <c:v>8.25</c:v>
                </c:pt>
                <c:pt idx="3573">
                  <c:v>8.25</c:v>
                </c:pt>
                <c:pt idx="3574">
                  <c:v>8.25</c:v>
                </c:pt>
                <c:pt idx="3575">
                  <c:v>8.25</c:v>
                </c:pt>
                <c:pt idx="3576">
                  <c:v>8.25</c:v>
                </c:pt>
                <c:pt idx="3577">
                  <c:v>8.25</c:v>
                </c:pt>
                <c:pt idx="3578">
                  <c:v>8.25</c:v>
                </c:pt>
                <c:pt idx="3579">
                  <c:v>8.25</c:v>
                </c:pt>
                <c:pt idx="3580">
                  <c:v>8.25</c:v>
                </c:pt>
                <c:pt idx="3581">
                  <c:v>8.25</c:v>
                </c:pt>
                <c:pt idx="3582">
                  <c:v>8.25</c:v>
                </c:pt>
                <c:pt idx="3583">
                  <c:v>8.25</c:v>
                </c:pt>
                <c:pt idx="3584">
                  <c:v>8.5</c:v>
                </c:pt>
                <c:pt idx="3585">
                  <c:v>8.5</c:v>
                </c:pt>
                <c:pt idx="3586">
                  <c:v>8.5</c:v>
                </c:pt>
                <c:pt idx="3587">
                  <c:v>8.5</c:v>
                </c:pt>
                <c:pt idx="3588">
                  <c:v>8.5</c:v>
                </c:pt>
                <c:pt idx="3589">
                  <c:v>8.5</c:v>
                </c:pt>
                <c:pt idx="3590">
                  <c:v>8.5</c:v>
                </c:pt>
                <c:pt idx="3591">
                  <c:v>8.5</c:v>
                </c:pt>
                <c:pt idx="3592">
                  <c:v>8.5</c:v>
                </c:pt>
                <c:pt idx="3593">
                  <c:v>8.5</c:v>
                </c:pt>
                <c:pt idx="3594">
                  <c:v>8.5</c:v>
                </c:pt>
                <c:pt idx="3595">
                  <c:v>8.5</c:v>
                </c:pt>
                <c:pt idx="3596">
                  <c:v>8.5</c:v>
                </c:pt>
                <c:pt idx="3597">
                  <c:v>8.5</c:v>
                </c:pt>
                <c:pt idx="3598">
                  <c:v>8.5</c:v>
                </c:pt>
                <c:pt idx="3599">
                  <c:v>8.5</c:v>
                </c:pt>
                <c:pt idx="3600">
                  <c:v>8.5</c:v>
                </c:pt>
                <c:pt idx="3601">
                  <c:v>8.5</c:v>
                </c:pt>
                <c:pt idx="3602">
                  <c:v>8.5</c:v>
                </c:pt>
                <c:pt idx="3603">
                  <c:v>8.5</c:v>
                </c:pt>
                <c:pt idx="3604">
                  <c:v>8.5</c:v>
                </c:pt>
                <c:pt idx="3605">
                  <c:v>8.5</c:v>
                </c:pt>
                <c:pt idx="3606">
                  <c:v>8.5</c:v>
                </c:pt>
                <c:pt idx="3607">
                  <c:v>8.5</c:v>
                </c:pt>
                <c:pt idx="3608">
                  <c:v>8.5</c:v>
                </c:pt>
                <c:pt idx="3609">
                  <c:v>8.5</c:v>
                </c:pt>
                <c:pt idx="3610">
                  <c:v>8.5</c:v>
                </c:pt>
                <c:pt idx="3611">
                  <c:v>8.5</c:v>
                </c:pt>
                <c:pt idx="3612">
                  <c:v>8.5</c:v>
                </c:pt>
                <c:pt idx="3613">
                  <c:v>8.5</c:v>
                </c:pt>
                <c:pt idx="3614">
                  <c:v>8.5</c:v>
                </c:pt>
                <c:pt idx="3615">
                  <c:v>8.5</c:v>
                </c:pt>
                <c:pt idx="3616">
                  <c:v>8.5</c:v>
                </c:pt>
                <c:pt idx="3617">
                  <c:v>8.5</c:v>
                </c:pt>
                <c:pt idx="3618">
                  <c:v>8.5</c:v>
                </c:pt>
                <c:pt idx="3619">
                  <c:v>8.5</c:v>
                </c:pt>
                <c:pt idx="3620">
                  <c:v>8.5</c:v>
                </c:pt>
                <c:pt idx="3621">
                  <c:v>8.5</c:v>
                </c:pt>
                <c:pt idx="3622">
                  <c:v>8.5</c:v>
                </c:pt>
                <c:pt idx="3623">
                  <c:v>8.5</c:v>
                </c:pt>
                <c:pt idx="3624">
                  <c:v>8.5</c:v>
                </c:pt>
                <c:pt idx="3625">
                  <c:v>8.5</c:v>
                </c:pt>
                <c:pt idx="3626">
                  <c:v>8.5</c:v>
                </c:pt>
                <c:pt idx="3627">
                  <c:v>8.5</c:v>
                </c:pt>
                <c:pt idx="3628">
                  <c:v>8.5</c:v>
                </c:pt>
                <c:pt idx="3629">
                  <c:v>8.5</c:v>
                </c:pt>
                <c:pt idx="3630">
                  <c:v>8.5</c:v>
                </c:pt>
                <c:pt idx="3631">
                  <c:v>8.5</c:v>
                </c:pt>
                <c:pt idx="3632">
                  <c:v>8.5</c:v>
                </c:pt>
                <c:pt idx="3633">
                  <c:v>8.5</c:v>
                </c:pt>
                <c:pt idx="3634">
                  <c:v>8.5</c:v>
                </c:pt>
                <c:pt idx="3635">
                  <c:v>8.5</c:v>
                </c:pt>
                <c:pt idx="3636">
                  <c:v>8.5</c:v>
                </c:pt>
                <c:pt idx="3637">
                  <c:v>8.5</c:v>
                </c:pt>
                <c:pt idx="3638">
                  <c:v>8.5</c:v>
                </c:pt>
                <c:pt idx="3639">
                  <c:v>8.5</c:v>
                </c:pt>
                <c:pt idx="3640">
                  <c:v>8.5</c:v>
                </c:pt>
                <c:pt idx="3641">
                  <c:v>8.5</c:v>
                </c:pt>
                <c:pt idx="3642">
                  <c:v>8.5</c:v>
                </c:pt>
                <c:pt idx="3643">
                  <c:v>8.5</c:v>
                </c:pt>
                <c:pt idx="3644">
                  <c:v>8.5</c:v>
                </c:pt>
                <c:pt idx="3645">
                  <c:v>8.5</c:v>
                </c:pt>
                <c:pt idx="3646">
                  <c:v>8.5</c:v>
                </c:pt>
                <c:pt idx="3647">
                  <c:v>8.5</c:v>
                </c:pt>
                <c:pt idx="3648">
                  <c:v>8.5</c:v>
                </c:pt>
                <c:pt idx="3649">
                  <c:v>8.5</c:v>
                </c:pt>
                <c:pt idx="3650">
                  <c:v>8.5</c:v>
                </c:pt>
                <c:pt idx="3651">
                  <c:v>8.5</c:v>
                </c:pt>
                <c:pt idx="3652">
                  <c:v>8.5</c:v>
                </c:pt>
                <c:pt idx="3653">
                  <c:v>8.5</c:v>
                </c:pt>
                <c:pt idx="3654">
                  <c:v>8.5</c:v>
                </c:pt>
                <c:pt idx="3655">
                  <c:v>8.5</c:v>
                </c:pt>
                <c:pt idx="3656">
                  <c:v>8.5</c:v>
                </c:pt>
                <c:pt idx="3657">
                  <c:v>8.5</c:v>
                </c:pt>
                <c:pt idx="3658">
                  <c:v>8.5</c:v>
                </c:pt>
                <c:pt idx="3659">
                  <c:v>8.5</c:v>
                </c:pt>
                <c:pt idx="3660">
                  <c:v>8.5</c:v>
                </c:pt>
                <c:pt idx="3661">
                  <c:v>8.5</c:v>
                </c:pt>
                <c:pt idx="3662">
                  <c:v>8.5</c:v>
                </c:pt>
                <c:pt idx="3663">
                  <c:v>8.5</c:v>
                </c:pt>
                <c:pt idx="3664">
                  <c:v>8.5</c:v>
                </c:pt>
                <c:pt idx="3665">
                  <c:v>8.5</c:v>
                </c:pt>
                <c:pt idx="3666">
                  <c:v>8.5</c:v>
                </c:pt>
                <c:pt idx="3667">
                  <c:v>8.5</c:v>
                </c:pt>
                <c:pt idx="3668">
                  <c:v>8.5</c:v>
                </c:pt>
                <c:pt idx="3669">
                  <c:v>8.5</c:v>
                </c:pt>
                <c:pt idx="3670">
                  <c:v>8.5</c:v>
                </c:pt>
                <c:pt idx="3671">
                  <c:v>8.5</c:v>
                </c:pt>
                <c:pt idx="3672">
                  <c:v>8.5</c:v>
                </c:pt>
                <c:pt idx="3673">
                  <c:v>8.5</c:v>
                </c:pt>
                <c:pt idx="3674">
                  <c:v>8.5</c:v>
                </c:pt>
                <c:pt idx="3675">
                  <c:v>8.5</c:v>
                </c:pt>
                <c:pt idx="3676">
                  <c:v>8.5</c:v>
                </c:pt>
                <c:pt idx="3677">
                  <c:v>8.5</c:v>
                </c:pt>
                <c:pt idx="3678">
                  <c:v>8.5</c:v>
                </c:pt>
                <c:pt idx="3679">
                  <c:v>8.5</c:v>
                </c:pt>
                <c:pt idx="3680">
                  <c:v>8.5</c:v>
                </c:pt>
                <c:pt idx="3681">
                  <c:v>8.5</c:v>
                </c:pt>
                <c:pt idx="3682">
                  <c:v>8.5</c:v>
                </c:pt>
                <c:pt idx="3683">
                  <c:v>8.5</c:v>
                </c:pt>
                <c:pt idx="3684">
                  <c:v>8.5</c:v>
                </c:pt>
                <c:pt idx="3685">
                  <c:v>8.5</c:v>
                </c:pt>
                <c:pt idx="3686">
                  <c:v>8.5</c:v>
                </c:pt>
                <c:pt idx="3687">
                  <c:v>8.5</c:v>
                </c:pt>
                <c:pt idx="3688">
                  <c:v>8.5</c:v>
                </c:pt>
                <c:pt idx="3689">
                  <c:v>8.5</c:v>
                </c:pt>
                <c:pt idx="3690">
                  <c:v>8.5</c:v>
                </c:pt>
                <c:pt idx="3691">
                  <c:v>8.5</c:v>
                </c:pt>
                <c:pt idx="3692">
                  <c:v>8.5</c:v>
                </c:pt>
                <c:pt idx="3693">
                  <c:v>8.5</c:v>
                </c:pt>
                <c:pt idx="3694">
                  <c:v>8.5</c:v>
                </c:pt>
                <c:pt idx="3695">
                  <c:v>8.5</c:v>
                </c:pt>
                <c:pt idx="3696">
                  <c:v>8.5</c:v>
                </c:pt>
                <c:pt idx="3697">
                  <c:v>8.5</c:v>
                </c:pt>
                <c:pt idx="3698">
                  <c:v>8.5</c:v>
                </c:pt>
                <c:pt idx="3699">
                  <c:v>8.5</c:v>
                </c:pt>
                <c:pt idx="3700">
                  <c:v>8.5</c:v>
                </c:pt>
                <c:pt idx="3701">
                  <c:v>8.5</c:v>
                </c:pt>
                <c:pt idx="3702">
                  <c:v>8.5</c:v>
                </c:pt>
                <c:pt idx="3703">
                  <c:v>8.5</c:v>
                </c:pt>
                <c:pt idx="3704">
                  <c:v>8.5</c:v>
                </c:pt>
                <c:pt idx="3705">
                  <c:v>8.5</c:v>
                </c:pt>
                <c:pt idx="3706">
                  <c:v>8.5</c:v>
                </c:pt>
                <c:pt idx="3707">
                  <c:v>8.5</c:v>
                </c:pt>
                <c:pt idx="3708">
                  <c:v>8.5</c:v>
                </c:pt>
                <c:pt idx="3709">
                  <c:v>8.5</c:v>
                </c:pt>
                <c:pt idx="3710">
                  <c:v>8.5</c:v>
                </c:pt>
                <c:pt idx="3711">
                  <c:v>8.5</c:v>
                </c:pt>
                <c:pt idx="3712">
                  <c:v>8.5</c:v>
                </c:pt>
                <c:pt idx="3713">
                  <c:v>8.5</c:v>
                </c:pt>
                <c:pt idx="3714">
                  <c:v>8.5</c:v>
                </c:pt>
                <c:pt idx="3715">
                  <c:v>8.5</c:v>
                </c:pt>
                <c:pt idx="3716">
                  <c:v>8.5</c:v>
                </c:pt>
                <c:pt idx="3717">
                  <c:v>8.5</c:v>
                </c:pt>
                <c:pt idx="3718">
                  <c:v>8.5</c:v>
                </c:pt>
                <c:pt idx="3719">
                  <c:v>8.5</c:v>
                </c:pt>
                <c:pt idx="3720">
                  <c:v>8.5</c:v>
                </c:pt>
                <c:pt idx="3721">
                  <c:v>8.5</c:v>
                </c:pt>
                <c:pt idx="3722">
                  <c:v>8.5</c:v>
                </c:pt>
                <c:pt idx="3723">
                  <c:v>8.5</c:v>
                </c:pt>
                <c:pt idx="3724">
                  <c:v>8.5</c:v>
                </c:pt>
                <c:pt idx="3725">
                  <c:v>8.5</c:v>
                </c:pt>
                <c:pt idx="3726">
                  <c:v>8.5</c:v>
                </c:pt>
                <c:pt idx="3727">
                  <c:v>8.5</c:v>
                </c:pt>
                <c:pt idx="3728">
                  <c:v>8.5</c:v>
                </c:pt>
                <c:pt idx="3729">
                  <c:v>8.5</c:v>
                </c:pt>
                <c:pt idx="3730">
                  <c:v>8.5</c:v>
                </c:pt>
                <c:pt idx="3731">
                  <c:v>8.5</c:v>
                </c:pt>
                <c:pt idx="3732">
                  <c:v>8.5</c:v>
                </c:pt>
                <c:pt idx="3733">
                  <c:v>8.5</c:v>
                </c:pt>
                <c:pt idx="3734">
                  <c:v>8.5</c:v>
                </c:pt>
                <c:pt idx="3735">
                  <c:v>8.5</c:v>
                </c:pt>
                <c:pt idx="3736">
                  <c:v>8.5</c:v>
                </c:pt>
                <c:pt idx="3737">
                  <c:v>8.5</c:v>
                </c:pt>
                <c:pt idx="3738">
                  <c:v>8.5</c:v>
                </c:pt>
                <c:pt idx="3739">
                  <c:v>8.5</c:v>
                </c:pt>
                <c:pt idx="3740">
                  <c:v>8.5</c:v>
                </c:pt>
                <c:pt idx="3741">
                  <c:v>8.5</c:v>
                </c:pt>
                <c:pt idx="3742">
                  <c:v>8.5</c:v>
                </c:pt>
                <c:pt idx="3743">
                  <c:v>8.5</c:v>
                </c:pt>
                <c:pt idx="3744">
                  <c:v>8.5</c:v>
                </c:pt>
                <c:pt idx="3745">
                  <c:v>8.5</c:v>
                </c:pt>
                <c:pt idx="3746">
                  <c:v>8.5</c:v>
                </c:pt>
                <c:pt idx="3747">
                  <c:v>8.5</c:v>
                </c:pt>
                <c:pt idx="3748">
                  <c:v>8.5</c:v>
                </c:pt>
                <c:pt idx="3749">
                  <c:v>8.5</c:v>
                </c:pt>
                <c:pt idx="3750">
                  <c:v>8.5</c:v>
                </c:pt>
                <c:pt idx="3751">
                  <c:v>8.5</c:v>
                </c:pt>
                <c:pt idx="3752">
                  <c:v>8.5</c:v>
                </c:pt>
                <c:pt idx="3753">
                  <c:v>8.5</c:v>
                </c:pt>
                <c:pt idx="3754">
                  <c:v>8.5</c:v>
                </c:pt>
                <c:pt idx="3755">
                  <c:v>8.5</c:v>
                </c:pt>
                <c:pt idx="3756">
                  <c:v>8.5</c:v>
                </c:pt>
                <c:pt idx="3757">
                  <c:v>8.5</c:v>
                </c:pt>
                <c:pt idx="3758">
                  <c:v>8.5</c:v>
                </c:pt>
                <c:pt idx="3759">
                  <c:v>8</c:v>
                </c:pt>
                <c:pt idx="3760">
                  <c:v>8</c:v>
                </c:pt>
                <c:pt idx="3761">
                  <c:v>8</c:v>
                </c:pt>
                <c:pt idx="3762">
                  <c:v>8</c:v>
                </c:pt>
                <c:pt idx="3763">
                  <c:v>8</c:v>
                </c:pt>
                <c:pt idx="3764">
                  <c:v>8</c:v>
                </c:pt>
                <c:pt idx="3765">
                  <c:v>8</c:v>
                </c:pt>
                <c:pt idx="3766">
                  <c:v>8</c:v>
                </c:pt>
                <c:pt idx="3767">
                  <c:v>8</c:v>
                </c:pt>
                <c:pt idx="3768">
                  <c:v>8</c:v>
                </c:pt>
                <c:pt idx="3769">
                  <c:v>8</c:v>
                </c:pt>
                <c:pt idx="3770">
                  <c:v>8</c:v>
                </c:pt>
                <c:pt idx="3771">
                  <c:v>8</c:v>
                </c:pt>
                <c:pt idx="3772">
                  <c:v>8</c:v>
                </c:pt>
                <c:pt idx="3773">
                  <c:v>8</c:v>
                </c:pt>
                <c:pt idx="3774">
                  <c:v>8</c:v>
                </c:pt>
                <c:pt idx="3775">
                  <c:v>8</c:v>
                </c:pt>
                <c:pt idx="3776">
                  <c:v>8</c:v>
                </c:pt>
                <c:pt idx="3777">
                  <c:v>8</c:v>
                </c:pt>
                <c:pt idx="3778">
                  <c:v>8</c:v>
                </c:pt>
                <c:pt idx="3779">
                  <c:v>8</c:v>
                </c:pt>
                <c:pt idx="3780">
                  <c:v>8</c:v>
                </c:pt>
                <c:pt idx="3781">
                  <c:v>8</c:v>
                </c:pt>
                <c:pt idx="3782">
                  <c:v>8</c:v>
                </c:pt>
                <c:pt idx="3783">
                  <c:v>8</c:v>
                </c:pt>
                <c:pt idx="3784">
                  <c:v>8</c:v>
                </c:pt>
                <c:pt idx="3785">
                  <c:v>8</c:v>
                </c:pt>
                <c:pt idx="3786">
                  <c:v>8</c:v>
                </c:pt>
                <c:pt idx="3787">
                  <c:v>8</c:v>
                </c:pt>
                <c:pt idx="3788">
                  <c:v>8</c:v>
                </c:pt>
                <c:pt idx="3789">
                  <c:v>8</c:v>
                </c:pt>
                <c:pt idx="3790">
                  <c:v>8</c:v>
                </c:pt>
                <c:pt idx="3791">
                  <c:v>8</c:v>
                </c:pt>
                <c:pt idx="3792">
                  <c:v>8</c:v>
                </c:pt>
                <c:pt idx="3793">
                  <c:v>8</c:v>
                </c:pt>
                <c:pt idx="3794">
                  <c:v>8</c:v>
                </c:pt>
                <c:pt idx="3795">
                  <c:v>8</c:v>
                </c:pt>
                <c:pt idx="3796">
                  <c:v>8</c:v>
                </c:pt>
                <c:pt idx="3797">
                  <c:v>8</c:v>
                </c:pt>
                <c:pt idx="3798">
                  <c:v>8</c:v>
                </c:pt>
                <c:pt idx="3799">
                  <c:v>8</c:v>
                </c:pt>
                <c:pt idx="3800">
                  <c:v>8</c:v>
                </c:pt>
                <c:pt idx="3801">
                  <c:v>8</c:v>
                </c:pt>
                <c:pt idx="3802">
                  <c:v>8</c:v>
                </c:pt>
                <c:pt idx="3803">
                  <c:v>8</c:v>
                </c:pt>
                <c:pt idx="3804">
                  <c:v>8</c:v>
                </c:pt>
                <c:pt idx="3805">
                  <c:v>8</c:v>
                </c:pt>
                <c:pt idx="3806">
                  <c:v>8</c:v>
                </c:pt>
                <c:pt idx="3807">
                  <c:v>8</c:v>
                </c:pt>
                <c:pt idx="3808">
                  <c:v>8</c:v>
                </c:pt>
                <c:pt idx="3809">
                  <c:v>8</c:v>
                </c:pt>
                <c:pt idx="3810">
                  <c:v>8</c:v>
                </c:pt>
                <c:pt idx="3811">
                  <c:v>8</c:v>
                </c:pt>
                <c:pt idx="3812">
                  <c:v>8</c:v>
                </c:pt>
                <c:pt idx="3813">
                  <c:v>8</c:v>
                </c:pt>
                <c:pt idx="3814">
                  <c:v>8</c:v>
                </c:pt>
                <c:pt idx="3815">
                  <c:v>8</c:v>
                </c:pt>
                <c:pt idx="3816">
                  <c:v>8</c:v>
                </c:pt>
                <c:pt idx="3817">
                  <c:v>8</c:v>
                </c:pt>
                <c:pt idx="3818">
                  <c:v>8</c:v>
                </c:pt>
                <c:pt idx="3819">
                  <c:v>8</c:v>
                </c:pt>
                <c:pt idx="3820">
                  <c:v>8</c:v>
                </c:pt>
                <c:pt idx="3821">
                  <c:v>8</c:v>
                </c:pt>
                <c:pt idx="3822">
                  <c:v>8</c:v>
                </c:pt>
                <c:pt idx="3823">
                  <c:v>8</c:v>
                </c:pt>
                <c:pt idx="3824">
                  <c:v>8</c:v>
                </c:pt>
                <c:pt idx="3825">
                  <c:v>8</c:v>
                </c:pt>
                <c:pt idx="3826">
                  <c:v>8</c:v>
                </c:pt>
                <c:pt idx="3827">
                  <c:v>8</c:v>
                </c:pt>
                <c:pt idx="3828">
                  <c:v>8</c:v>
                </c:pt>
                <c:pt idx="3829">
                  <c:v>8</c:v>
                </c:pt>
                <c:pt idx="3830">
                  <c:v>8</c:v>
                </c:pt>
                <c:pt idx="3831">
                  <c:v>8</c:v>
                </c:pt>
                <c:pt idx="3832">
                  <c:v>8</c:v>
                </c:pt>
                <c:pt idx="3833">
                  <c:v>8</c:v>
                </c:pt>
                <c:pt idx="3834">
                  <c:v>8</c:v>
                </c:pt>
                <c:pt idx="3835">
                  <c:v>8</c:v>
                </c:pt>
                <c:pt idx="3836">
                  <c:v>8</c:v>
                </c:pt>
                <c:pt idx="3837">
                  <c:v>8</c:v>
                </c:pt>
                <c:pt idx="3838">
                  <c:v>8</c:v>
                </c:pt>
                <c:pt idx="3839">
                  <c:v>8</c:v>
                </c:pt>
                <c:pt idx="3840">
                  <c:v>8</c:v>
                </c:pt>
                <c:pt idx="3841">
                  <c:v>8</c:v>
                </c:pt>
                <c:pt idx="3842">
                  <c:v>8</c:v>
                </c:pt>
                <c:pt idx="3843">
                  <c:v>8</c:v>
                </c:pt>
                <c:pt idx="3844">
                  <c:v>8</c:v>
                </c:pt>
                <c:pt idx="3845">
                  <c:v>8</c:v>
                </c:pt>
                <c:pt idx="3846">
                  <c:v>8</c:v>
                </c:pt>
                <c:pt idx="3847">
                  <c:v>8</c:v>
                </c:pt>
                <c:pt idx="3848">
                  <c:v>8</c:v>
                </c:pt>
                <c:pt idx="3849">
                  <c:v>8</c:v>
                </c:pt>
                <c:pt idx="3850">
                  <c:v>8</c:v>
                </c:pt>
                <c:pt idx="3851">
                  <c:v>8</c:v>
                </c:pt>
                <c:pt idx="3852">
                  <c:v>8</c:v>
                </c:pt>
                <c:pt idx="3853">
                  <c:v>8</c:v>
                </c:pt>
                <c:pt idx="3854">
                  <c:v>8</c:v>
                </c:pt>
                <c:pt idx="3855">
                  <c:v>8</c:v>
                </c:pt>
                <c:pt idx="3856">
                  <c:v>8</c:v>
                </c:pt>
                <c:pt idx="3857">
                  <c:v>8</c:v>
                </c:pt>
                <c:pt idx="3858">
                  <c:v>8</c:v>
                </c:pt>
                <c:pt idx="3859">
                  <c:v>8</c:v>
                </c:pt>
                <c:pt idx="3860">
                  <c:v>8</c:v>
                </c:pt>
                <c:pt idx="3861">
                  <c:v>8</c:v>
                </c:pt>
                <c:pt idx="3862">
                  <c:v>8</c:v>
                </c:pt>
                <c:pt idx="3863">
                  <c:v>8</c:v>
                </c:pt>
                <c:pt idx="3864">
                  <c:v>8</c:v>
                </c:pt>
                <c:pt idx="3865">
                  <c:v>8</c:v>
                </c:pt>
                <c:pt idx="3866">
                  <c:v>8</c:v>
                </c:pt>
                <c:pt idx="3867">
                  <c:v>8</c:v>
                </c:pt>
                <c:pt idx="3868">
                  <c:v>8</c:v>
                </c:pt>
                <c:pt idx="3869">
                  <c:v>8</c:v>
                </c:pt>
                <c:pt idx="3870">
                  <c:v>8</c:v>
                </c:pt>
                <c:pt idx="3871">
                  <c:v>8</c:v>
                </c:pt>
                <c:pt idx="3872">
                  <c:v>8</c:v>
                </c:pt>
                <c:pt idx="3873">
                  <c:v>8</c:v>
                </c:pt>
                <c:pt idx="3874">
                  <c:v>8</c:v>
                </c:pt>
                <c:pt idx="3875">
                  <c:v>8</c:v>
                </c:pt>
                <c:pt idx="3876">
                  <c:v>8</c:v>
                </c:pt>
                <c:pt idx="3877">
                  <c:v>8</c:v>
                </c:pt>
                <c:pt idx="3878">
                  <c:v>8</c:v>
                </c:pt>
                <c:pt idx="3879">
                  <c:v>8</c:v>
                </c:pt>
                <c:pt idx="3880">
                  <c:v>8</c:v>
                </c:pt>
                <c:pt idx="3881">
                  <c:v>8</c:v>
                </c:pt>
                <c:pt idx="3882">
                  <c:v>8</c:v>
                </c:pt>
                <c:pt idx="3883">
                  <c:v>8</c:v>
                </c:pt>
                <c:pt idx="3884">
                  <c:v>8</c:v>
                </c:pt>
                <c:pt idx="3885">
                  <c:v>8</c:v>
                </c:pt>
                <c:pt idx="3886">
                  <c:v>8</c:v>
                </c:pt>
                <c:pt idx="3887">
                  <c:v>8</c:v>
                </c:pt>
                <c:pt idx="3888">
                  <c:v>8</c:v>
                </c:pt>
                <c:pt idx="3889">
                  <c:v>8</c:v>
                </c:pt>
                <c:pt idx="3890">
                  <c:v>8</c:v>
                </c:pt>
                <c:pt idx="3891">
                  <c:v>8</c:v>
                </c:pt>
                <c:pt idx="3892">
                  <c:v>8</c:v>
                </c:pt>
                <c:pt idx="3893">
                  <c:v>8</c:v>
                </c:pt>
                <c:pt idx="3894">
                  <c:v>8</c:v>
                </c:pt>
                <c:pt idx="3895">
                  <c:v>8</c:v>
                </c:pt>
                <c:pt idx="3896">
                  <c:v>8</c:v>
                </c:pt>
                <c:pt idx="3897">
                  <c:v>8</c:v>
                </c:pt>
                <c:pt idx="3898">
                  <c:v>8</c:v>
                </c:pt>
                <c:pt idx="3899">
                  <c:v>8</c:v>
                </c:pt>
                <c:pt idx="3900">
                  <c:v>8</c:v>
                </c:pt>
                <c:pt idx="3901">
                  <c:v>8</c:v>
                </c:pt>
                <c:pt idx="3902">
                  <c:v>8</c:v>
                </c:pt>
                <c:pt idx="3903">
                  <c:v>8</c:v>
                </c:pt>
                <c:pt idx="3904">
                  <c:v>8</c:v>
                </c:pt>
                <c:pt idx="3905">
                  <c:v>8</c:v>
                </c:pt>
                <c:pt idx="3906">
                  <c:v>8</c:v>
                </c:pt>
                <c:pt idx="3907">
                  <c:v>8</c:v>
                </c:pt>
                <c:pt idx="3908">
                  <c:v>8</c:v>
                </c:pt>
                <c:pt idx="3909">
                  <c:v>8</c:v>
                </c:pt>
                <c:pt idx="3910">
                  <c:v>8</c:v>
                </c:pt>
                <c:pt idx="3911">
                  <c:v>8</c:v>
                </c:pt>
                <c:pt idx="3912">
                  <c:v>8</c:v>
                </c:pt>
                <c:pt idx="3913">
                  <c:v>8</c:v>
                </c:pt>
                <c:pt idx="3914">
                  <c:v>8</c:v>
                </c:pt>
                <c:pt idx="3915">
                  <c:v>8</c:v>
                </c:pt>
                <c:pt idx="3916">
                  <c:v>8</c:v>
                </c:pt>
                <c:pt idx="3917">
                  <c:v>8</c:v>
                </c:pt>
                <c:pt idx="3918">
                  <c:v>8</c:v>
                </c:pt>
                <c:pt idx="3919">
                  <c:v>8</c:v>
                </c:pt>
                <c:pt idx="3920">
                  <c:v>8</c:v>
                </c:pt>
                <c:pt idx="3921">
                  <c:v>8</c:v>
                </c:pt>
                <c:pt idx="3922">
                  <c:v>8</c:v>
                </c:pt>
                <c:pt idx="3923">
                  <c:v>8</c:v>
                </c:pt>
                <c:pt idx="3924">
                  <c:v>8</c:v>
                </c:pt>
                <c:pt idx="3925">
                  <c:v>8</c:v>
                </c:pt>
                <c:pt idx="3926">
                  <c:v>8</c:v>
                </c:pt>
                <c:pt idx="3927">
                  <c:v>8</c:v>
                </c:pt>
                <c:pt idx="3928">
                  <c:v>8</c:v>
                </c:pt>
                <c:pt idx="3929">
                  <c:v>8</c:v>
                </c:pt>
                <c:pt idx="3930">
                  <c:v>8</c:v>
                </c:pt>
                <c:pt idx="3931">
                  <c:v>8</c:v>
                </c:pt>
                <c:pt idx="3932">
                  <c:v>8</c:v>
                </c:pt>
                <c:pt idx="3933">
                  <c:v>8</c:v>
                </c:pt>
                <c:pt idx="3934">
                  <c:v>8</c:v>
                </c:pt>
                <c:pt idx="3935">
                  <c:v>8</c:v>
                </c:pt>
                <c:pt idx="3936">
                  <c:v>8</c:v>
                </c:pt>
                <c:pt idx="3937">
                  <c:v>8</c:v>
                </c:pt>
                <c:pt idx="3938">
                  <c:v>8</c:v>
                </c:pt>
                <c:pt idx="3939">
                  <c:v>8</c:v>
                </c:pt>
                <c:pt idx="3940">
                  <c:v>8</c:v>
                </c:pt>
                <c:pt idx="3941">
                  <c:v>8</c:v>
                </c:pt>
                <c:pt idx="3942">
                  <c:v>8</c:v>
                </c:pt>
                <c:pt idx="3943">
                  <c:v>8</c:v>
                </c:pt>
                <c:pt idx="3944">
                  <c:v>8</c:v>
                </c:pt>
                <c:pt idx="3945">
                  <c:v>8</c:v>
                </c:pt>
                <c:pt idx="3946">
                  <c:v>8</c:v>
                </c:pt>
                <c:pt idx="3947">
                  <c:v>8</c:v>
                </c:pt>
                <c:pt idx="3948">
                  <c:v>8</c:v>
                </c:pt>
                <c:pt idx="3949">
                  <c:v>8</c:v>
                </c:pt>
                <c:pt idx="3950">
                  <c:v>8</c:v>
                </c:pt>
                <c:pt idx="3951">
                  <c:v>8</c:v>
                </c:pt>
                <c:pt idx="3952">
                  <c:v>8</c:v>
                </c:pt>
                <c:pt idx="3953">
                  <c:v>8</c:v>
                </c:pt>
                <c:pt idx="3954">
                  <c:v>8</c:v>
                </c:pt>
                <c:pt idx="3955">
                  <c:v>8</c:v>
                </c:pt>
                <c:pt idx="3956">
                  <c:v>8</c:v>
                </c:pt>
                <c:pt idx="3957">
                  <c:v>8</c:v>
                </c:pt>
                <c:pt idx="3958">
                  <c:v>8</c:v>
                </c:pt>
                <c:pt idx="3959">
                  <c:v>8</c:v>
                </c:pt>
                <c:pt idx="3960">
                  <c:v>8</c:v>
                </c:pt>
                <c:pt idx="3961">
                  <c:v>8</c:v>
                </c:pt>
                <c:pt idx="3962">
                  <c:v>8</c:v>
                </c:pt>
                <c:pt idx="3963">
                  <c:v>8</c:v>
                </c:pt>
                <c:pt idx="3964">
                  <c:v>8</c:v>
                </c:pt>
                <c:pt idx="3965">
                  <c:v>8</c:v>
                </c:pt>
                <c:pt idx="3966">
                  <c:v>8</c:v>
                </c:pt>
                <c:pt idx="3967">
                  <c:v>8</c:v>
                </c:pt>
                <c:pt idx="3968">
                  <c:v>8</c:v>
                </c:pt>
                <c:pt idx="3969">
                  <c:v>8</c:v>
                </c:pt>
                <c:pt idx="3970">
                  <c:v>8</c:v>
                </c:pt>
                <c:pt idx="3971">
                  <c:v>8</c:v>
                </c:pt>
                <c:pt idx="3972">
                  <c:v>8</c:v>
                </c:pt>
                <c:pt idx="3973">
                  <c:v>8</c:v>
                </c:pt>
                <c:pt idx="3974">
                  <c:v>8</c:v>
                </c:pt>
                <c:pt idx="3975">
                  <c:v>8</c:v>
                </c:pt>
                <c:pt idx="3976">
                  <c:v>8</c:v>
                </c:pt>
                <c:pt idx="3977">
                  <c:v>8</c:v>
                </c:pt>
                <c:pt idx="3978">
                  <c:v>8</c:v>
                </c:pt>
                <c:pt idx="3979">
                  <c:v>8</c:v>
                </c:pt>
                <c:pt idx="3980">
                  <c:v>8</c:v>
                </c:pt>
                <c:pt idx="3981">
                  <c:v>8</c:v>
                </c:pt>
                <c:pt idx="3982">
                  <c:v>8</c:v>
                </c:pt>
                <c:pt idx="3983">
                  <c:v>8</c:v>
                </c:pt>
                <c:pt idx="3984">
                  <c:v>8</c:v>
                </c:pt>
                <c:pt idx="3985">
                  <c:v>8</c:v>
                </c:pt>
                <c:pt idx="3986">
                  <c:v>8</c:v>
                </c:pt>
                <c:pt idx="3987">
                  <c:v>8</c:v>
                </c:pt>
                <c:pt idx="3988">
                  <c:v>8</c:v>
                </c:pt>
                <c:pt idx="3989">
                  <c:v>8</c:v>
                </c:pt>
                <c:pt idx="3990">
                  <c:v>8</c:v>
                </c:pt>
                <c:pt idx="3991">
                  <c:v>8</c:v>
                </c:pt>
                <c:pt idx="3992">
                  <c:v>8</c:v>
                </c:pt>
                <c:pt idx="3993">
                  <c:v>8</c:v>
                </c:pt>
                <c:pt idx="3994">
                  <c:v>8</c:v>
                </c:pt>
                <c:pt idx="3995">
                  <c:v>8</c:v>
                </c:pt>
                <c:pt idx="3996">
                  <c:v>8</c:v>
                </c:pt>
                <c:pt idx="3997">
                  <c:v>8</c:v>
                </c:pt>
                <c:pt idx="3998">
                  <c:v>8</c:v>
                </c:pt>
                <c:pt idx="3999">
                  <c:v>8</c:v>
                </c:pt>
                <c:pt idx="4000">
                  <c:v>8</c:v>
                </c:pt>
                <c:pt idx="4001">
                  <c:v>8</c:v>
                </c:pt>
                <c:pt idx="4002">
                  <c:v>8</c:v>
                </c:pt>
                <c:pt idx="4003">
                  <c:v>8</c:v>
                </c:pt>
                <c:pt idx="4004">
                  <c:v>8</c:v>
                </c:pt>
                <c:pt idx="4005">
                  <c:v>8</c:v>
                </c:pt>
                <c:pt idx="4006">
                  <c:v>8</c:v>
                </c:pt>
                <c:pt idx="4007">
                  <c:v>8</c:v>
                </c:pt>
                <c:pt idx="4008">
                  <c:v>8</c:v>
                </c:pt>
                <c:pt idx="4009">
                  <c:v>8</c:v>
                </c:pt>
                <c:pt idx="4010">
                  <c:v>8</c:v>
                </c:pt>
                <c:pt idx="4011">
                  <c:v>8</c:v>
                </c:pt>
                <c:pt idx="4012">
                  <c:v>8</c:v>
                </c:pt>
                <c:pt idx="4013">
                  <c:v>8</c:v>
                </c:pt>
                <c:pt idx="4014">
                  <c:v>8</c:v>
                </c:pt>
                <c:pt idx="4015">
                  <c:v>8</c:v>
                </c:pt>
                <c:pt idx="4016">
                  <c:v>8</c:v>
                </c:pt>
                <c:pt idx="4017">
                  <c:v>8</c:v>
                </c:pt>
                <c:pt idx="4018">
                  <c:v>8</c:v>
                </c:pt>
                <c:pt idx="4019">
                  <c:v>8</c:v>
                </c:pt>
                <c:pt idx="4020">
                  <c:v>8</c:v>
                </c:pt>
                <c:pt idx="4021">
                  <c:v>8</c:v>
                </c:pt>
                <c:pt idx="4022">
                  <c:v>8</c:v>
                </c:pt>
                <c:pt idx="4023">
                  <c:v>8</c:v>
                </c:pt>
                <c:pt idx="4024">
                  <c:v>8</c:v>
                </c:pt>
                <c:pt idx="4025">
                  <c:v>8</c:v>
                </c:pt>
                <c:pt idx="4026">
                  <c:v>8</c:v>
                </c:pt>
                <c:pt idx="4027">
                  <c:v>8</c:v>
                </c:pt>
                <c:pt idx="4028">
                  <c:v>8</c:v>
                </c:pt>
                <c:pt idx="4029">
                  <c:v>8</c:v>
                </c:pt>
                <c:pt idx="4030">
                  <c:v>8</c:v>
                </c:pt>
                <c:pt idx="4031">
                  <c:v>8</c:v>
                </c:pt>
                <c:pt idx="4032">
                  <c:v>8</c:v>
                </c:pt>
                <c:pt idx="4033">
                  <c:v>8</c:v>
                </c:pt>
                <c:pt idx="4034">
                  <c:v>8</c:v>
                </c:pt>
                <c:pt idx="4035">
                  <c:v>8</c:v>
                </c:pt>
                <c:pt idx="4036">
                  <c:v>8</c:v>
                </c:pt>
                <c:pt idx="4037">
                  <c:v>8</c:v>
                </c:pt>
                <c:pt idx="4038">
                  <c:v>8</c:v>
                </c:pt>
                <c:pt idx="4039">
                  <c:v>8</c:v>
                </c:pt>
                <c:pt idx="4040">
                  <c:v>8</c:v>
                </c:pt>
                <c:pt idx="4041">
                  <c:v>8</c:v>
                </c:pt>
                <c:pt idx="4042">
                  <c:v>8</c:v>
                </c:pt>
                <c:pt idx="4043">
                  <c:v>8</c:v>
                </c:pt>
                <c:pt idx="4044">
                  <c:v>8</c:v>
                </c:pt>
                <c:pt idx="4045">
                  <c:v>8</c:v>
                </c:pt>
                <c:pt idx="4046">
                  <c:v>7.75</c:v>
                </c:pt>
                <c:pt idx="4047">
                  <c:v>7.75</c:v>
                </c:pt>
                <c:pt idx="4048">
                  <c:v>7.75</c:v>
                </c:pt>
                <c:pt idx="4049">
                  <c:v>7.75</c:v>
                </c:pt>
                <c:pt idx="4050">
                  <c:v>7.75</c:v>
                </c:pt>
                <c:pt idx="4051">
                  <c:v>7.75</c:v>
                </c:pt>
                <c:pt idx="4052">
                  <c:v>7.75</c:v>
                </c:pt>
                <c:pt idx="4053">
                  <c:v>7.75</c:v>
                </c:pt>
                <c:pt idx="4054">
                  <c:v>7.75</c:v>
                </c:pt>
                <c:pt idx="4055">
                  <c:v>7.75</c:v>
                </c:pt>
                <c:pt idx="4056">
                  <c:v>7.75</c:v>
                </c:pt>
                <c:pt idx="4057">
                  <c:v>7.75</c:v>
                </c:pt>
                <c:pt idx="4058">
                  <c:v>7.75</c:v>
                </c:pt>
                <c:pt idx="4059">
                  <c:v>7.75</c:v>
                </c:pt>
                <c:pt idx="4060">
                  <c:v>7.75</c:v>
                </c:pt>
                <c:pt idx="4061">
                  <c:v>7.75</c:v>
                </c:pt>
                <c:pt idx="4062">
                  <c:v>7.75</c:v>
                </c:pt>
                <c:pt idx="4063">
                  <c:v>7.75</c:v>
                </c:pt>
                <c:pt idx="4064">
                  <c:v>7.75</c:v>
                </c:pt>
                <c:pt idx="4065">
                  <c:v>7.75</c:v>
                </c:pt>
                <c:pt idx="4066">
                  <c:v>7.75</c:v>
                </c:pt>
                <c:pt idx="4067">
                  <c:v>7.75</c:v>
                </c:pt>
                <c:pt idx="4068">
                  <c:v>7.75</c:v>
                </c:pt>
                <c:pt idx="4069">
                  <c:v>7.75</c:v>
                </c:pt>
                <c:pt idx="4070">
                  <c:v>7.75</c:v>
                </c:pt>
                <c:pt idx="4071">
                  <c:v>7.75</c:v>
                </c:pt>
                <c:pt idx="4072">
                  <c:v>7.75</c:v>
                </c:pt>
                <c:pt idx="4073">
                  <c:v>7.75</c:v>
                </c:pt>
                <c:pt idx="4074">
                  <c:v>7.75</c:v>
                </c:pt>
                <c:pt idx="4075">
                  <c:v>7.75</c:v>
                </c:pt>
                <c:pt idx="4076">
                  <c:v>7.75</c:v>
                </c:pt>
                <c:pt idx="4077">
                  <c:v>7.75</c:v>
                </c:pt>
                <c:pt idx="4078">
                  <c:v>7.75</c:v>
                </c:pt>
                <c:pt idx="4079">
                  <c:v>7.75</c:v>
                </c:pt>
                <c:pt idx="4080">
                  <c:v>7.75</c:v>
                </c:pt>
                <c:pt idx="4081">
                  <c:v>7.75</c:v>
                </c:pt>
                <c:pt idx="4082">
                  <c:v>7.75</c:v>
                </c:pt>
                <c:pt idx="4083">
                  <c:v>7.75</c:v>
                </c:pt>
                <c:pt idx="4084">
                  <c:v>7.75</c:v>
                </c:pt>
                <c:pt idx="4085">
                  <c:v>7.75</c:v>
                </c:pt>
                <c:pt idx="4086">
                  <c:v>7.75</c:v>
                </c:pt>
                <c:pt idx="4087">
                  <c:v>7.75</c:v>
                </c:pt>
                <c:pt idx="4088">
                  <c:v>7.75</c:v>
                </c:pt>
                <c:pt idx="4089">
                  <c:v>7.75</c:v>
                </c:pt>
                <c:pt idx="4090">
                  <c:v>7.75</c:v>
                </c:pt>
                <c:pt idx="4091">
                  <c:v>7.75</c:v>
                </c:pt>
                <c:pt idx="4092">
                  <c:v>7.75</c:v>
                </c:pt>
                <c:pt idx="4093">
                  <c:v>7.75</c:v>
                </c:pt>
                <c:pt idx="4094">
                  <c:v>7.75</c:v>
                </c:pt>
                <c:pt idx="4095">
                  <c:v>7.5</c:v>
                </c:pt>
                <c:pt idx="4096">
                  <c:v>7.5</c:v>
                </c:pt>
                <c:pt idx="4097">
                  <c:v>7.5</c:v>
                </c:pt>
                <c:pt idx="4098">
                  <c:v>7.5</c:v>
                </c:pt>
                <c:pt idx="4099">
                  <c:v>7.5</c:v>
                </c:pt>
                <c:pt idx="4100">
                  <c:v>7.5</c:v>
                </c:pt>
                <c:pt idx="4101">
                  <c:v>7.5</c:v>
                </c:pt>
                <c:pt idx="4102">
                  <c:v>7.5</c:v>
                </c:pt>
                <c:pt idx="4103">
                  <c:v>7.5</c:v>
                </c:pt>
                <c:pt idx="4104">
                  <c:v>7.5</c:v>
                </c:pt>
                <c:pt idx="4105">
                  <c:v>7.5</c:v>
                </c:pt>
                <c:pt idx="4106">
                  <c:v>7.5</c:v>
                </c:pt>
                <c:pt idx="4107">
                  <c:v>7.5</c:v>
                </c:pt>
                <c:pt idx="4108">
                  <c:v>7.5</c:v>
                </c:pt>
                <c:pt idx="4109">
                  <c:v>7.5</c:v>
                </c:pt>
                <c:pt idx="4110">
                  <c:v>7.5</c:v>
                </c:pt>
                <c:pt idx="4111">
                  <c:v>7.5</c:v>
                </c:pt>
                <c:pt idx="4112">
                  <c:v>7.5</c:v>
                </c:pt>
                <c:pt idx="4113">
                  <c:v>7.5</c:v>
                </c:pt>
                <c:pt idx="4114">
                  <c:v>7.5</c:v>
                </c:pt>
                <c:pt idx="4115">
                  <c:v>7.5</c:v>
                </c:pt>
                <c:pt idx="4116">
                  <c:v>7.5</c:v>
                </c:pt>
                <c:pt idx="4117">
                  <c:v>7.5</c:v>
                </c:pt>
                <c:pt idx="4118">
                  <c:v>7.5</c:v>
                </c:pt>
                <c:pt idx="4119">
                  <c:v>7.5</c:v>
                </c:pt>
                <c:pt idx="4120">
                  <c:v>7.5</c:v>
                </c:pt>
                <c:pt idx="4121">
                  <c:v>7.5</c:v>
                </c:pt>
                <c:pt idx="4122">
                  <c:v>7.5</c:v>
                </c:pt>
                <c:pt idx="4123">
                  <c:v>7.5</c:v>
                </c:pt>
                <c:pt idx="4124">
                  <c:v>7.5</c:v>
                </c:pt>
                <c:pt idx="4125">
                  <c:v>7.5</c:v>
                </c:pt>
                <c:pt idx="4126">
                  <c:v>7.5</c:v>
                </c:pt>
                <c:pt idx="4127">
                  <c:v>7.5</c:v>
                </c:pt>
                <c:pt idx="4128">
                  <c:v>7.5</c:v>
                </c:pt>
                <c:pt idx="4129">
                  <c:v>7.5</c:v>
                </c:pt>
                <c:pt idx="4130">
                  <c:v>7.5</c:v>
                </c:pt>
                <c:pt idx="4131">
                  <c:v>7.5</c:v>
                </c:pt>
                <c:pt idx="4132">
                  <c:v>7.5</c:v>
                </c:pt>
                <c:pt idx="4133">
                  <c:v>7.5</c:v>
                </c:pt>
                <c:pt idx="4134">
                  <c:v>7.5</c:v>
                </c:pt>
                <c:pt idx="4135">
                  <c:v>7.5</c:v>
                </c:pt>
                <c:pt idx="4136">
                  <c:v>7.5</c:v>
                </c:pt>
                <c:pt idx="4137">
                  <c:v>7.5</c:v>
                </c:pt>
                <c:pt idx="4138">
                  <c:v>7.5</c:v>
                </c:pt>
                <c:pt idx="4139">
                  <c:v>7.5</c:v>
                </c:pt>
                <c:pt idx="4140">
                  <c:v>7.25</c:v>
                </c:pt>
                <c:pt idx="4141">
                  <c:v>7.25</c:v>
                </c:pt>
                <c:pt idx="4142">
                  <c:v>7.25</c:v>
                </c:pt>
                <c:pt idx="4143">
                  <c:v>7.25</c:v>
                </c:pt>
                <c:pt idx="4144">
                  <c:v>7.25</c:v>
                </c:pt>
                <c:pt idx="4145">
                  <c:v>7.25</c:v>
                </c:pt>
                <c:pt idx="4146">
                  <c:v>7.25</c:v>
                </c:pt>
                <c:pt idx="4147">
                  <c:v>7.25</c:v>
                </c:pt>
                <c:pt idx="4148">
                  <c:v>7.25</c:v>
                </c:pt>
                <c:pt idx="4149">
                  <c:v>7.25</c:v>
                </c:pt>
                <c:pt idx="4150">
                  <c:v>7.25</c:v>
                </c:pt>
                <c:pt idx="4151">
                  <c:v>7.25</c:v>
                </c:pt>
                <c:pt idx="4152">
                  <c:v>7.25</c:v>
                </c:pt>
                <c:pt idx="4153">
                  <c:v>7.25</c:v>
                </c:pt>
                <c:pt idx="4154">
                  <c:v>7.25</c:v>
                </c:pt>
                <c:pt idx="4155">
                  <c:v>7.25</c:v>
                </c:pt>
                <c:pt idx="4156">
                  <c:v>7.25</c:v>
                </c:pt>
                <c:pt idx="4157">
                  <c:v>7.25</c:v>
                </c:pt>
                <c:pt idx="4158">
                  <c:v>7.25</c:v>
                </c:pt>
                <c:pt idx="4159">
                  <c:v>7.25</c:v>
                </c:pt>
                <c:pt idx="4160">
                  <c:v>7.25</c:v>
                </c:pt>
                <c:pt idx="4161">
                  <c:v>7.25</c:v>
                </c:pt>
                <c:pt idx="4162">
                  <c:v>7.25</c:v>
                </c:pt>
                <c:pt idx="4163">
                  <c:v>7.25</c:v>
                </c:pt>
                <c:pt idx="4164">
                  <c:v>7.25</c:v>
                </c:pt>
                <c:pt idx="4165">
                  <c:v>7.25</c:v>
                </c:pt>
                <c:pt idx="4166">
                  <c:v>7.25</c:v>
                </c:pt>
                <c:pt idx="4167">
                  <c:v>7.25</c:v>
                </c:pt>
                <c:pt idx="4168">
                  <c:v>7.25</c:v>
                </c:pt>
                <c:pt idx="4169">
                  <c:v>7.25</c:v>
                </c:pt>
                <c:pt idx="4170">
                  <c:v>7.25</c:v>
                </c:pt>
                <c:pt idx="4171">
                  <c:v>7.25</c:v>
                </c:pt>
                <c:pt idx="4172">
                  <c:v>7.25</c:v>
                </c:pt>
                <c:pt idx="4173">
                  <c:v>7.25</c:v>
                </c:pt>
                <c:pt idx="4174">
                  <c:v>7.25</c:v>
                </c:pt>
                <c:pt idx="4175">
                  <c:v>7.25</c:v>
                </c:pt>
                <c:pt idx="4176">
                  <c:v>7.25</c:v>
                </c:pt>
                <c:pt idx="4177">
                  <c:v>7.25</c:v>
                </c:pt>
                <c:pt idx="4178">
                  <c:v>7.25</c:v>
                </c:pt>
                <c:pt idx="4179">
                  <c:v>7.25</c:v>
                </c:pt>
                <c:pt idx="4180">
                  <c:v>7.25</c:v>
                </c:pt>
                <c:pt idx="4181">
                  <c:v>7.25</c:v>
                </c:pt>
                <c:pt idx="4182">
                  <c:v>7.25</c:v>
                </c:pt>
                <c:pt idx="4183">
                  <c:v>7.25</c:v>
                </c:pt>
                <c:pt idx="4184">
                  <c:v>7.25</c:v>
                </c:pt>
                <c:pt idx="4185">
                  <c:v>7.25</c:v>
                </c:pt>
                <c:pt idx="4186">
                  <c:v>7.25</c:v>
                </c:pt>
                <c:pt idx="4187">
                  <c:v>7.25</c:v>
                </c:pt>
                <c:pt idx="4188">
                  <c:v>7.25</c:v>
                </c:pt>
                <c:pt idx="4189">
                  <c:v>7.25</c:v>
                </c:pt>
                <c:pt idx="4190">
                  <c:v>7.25</c:v>
                </c:pt>
                <c:pt idx="4191">
                  <c:v>7.25</c:v>
                </c:pt>
                <c:pt idx="4192">
                  <c:v>7.25</c:v>
                </c:pt>
                <c:pt idx="4193">
                  <c:v>7.25</c:v>
                </c:pt>
                <c:pt idx="4194">
                  <c:v>7.25</c:v>
                </c:pt>
                <c:pt idx="4195">
                  <c:v>7.25</c:v>
                </c:pt>
                <c:pt idx="4196">
                  <c:v>7.25</c:v>
                </c:pt>
                <c:pt idx="4197">
                  <c:v>7.25</c:v>
                </c:pt>
                <c:pt idx="4198">
                  <c:v>7.25</c:v>
                </c:pt>
                <c:pt idx="4199">
                  <c:v>7.25</c:v>
                </c:pt>
                <c:pt idx="4200">
                  <c:v>7.25</c:v>
                </c:pt>
                <c:pt idx="4201">
                  <c:v>7.25</c:v>
                </c:pt>
                <c:pt idx="4202">
                  <c:v>7.25</c:v>
                </c:pt>
                <c:pt idx="4203">
                  <c:v>7.25</c:v>
                </c:pt>
                <c:pt idx="4204">
                  <c:v>7.25</c:v>
                </c:pt>
                <c:pt idx="4205">
                  <c:v>7.25</c:v>
                </c:pt>
                <c:pt idx="4206">
                  <c:v>7.25</c:v>
                </c:pt>
                <c:pt idx="4207">
                  <c:v>7.25</c:v>
                </c:pt>
                <c:pt idx="4208">
                  <c:v>7.25</c:v>
                </c:pt>
                <c:pt idx="4209">
                  <c:v>7.25</c:v>
                </c:pt>
                <c:pt idx="4210">
                  <c:v>7.25</c:v>
                </c:pt>
                <c:pt idx="4211">
                  <c:v>7.25</c:v>
                </c:pt>
                <c:pt idx="4212">
                  <c:v>7.25</c:v>
                </c:pt>
                <c:pt idx="4213">
                  <c:v>7.25</c:v>
                </c:pt>
                <c:pt idx="4214">
                  <c:v>7.25</c:v>
                </c:pt>
                <c:pt idx="4215">
                  <c:v>7.25</c:v>
                </c:pt>
                <c:pt idx="4216">
                  <c:v>7.25</c:v>
                </c:pt>
                <c:pt idx="4217">
                  <c:v>7.25</c:v>
                </c:pt>
                <c:pt idx="4218">
                  <c:v>7.25</c:v>
                </c:pt>
                <c:pt idx="4219">
                  <c:v>7.25</c:v>
                </c:pt>
                <c:pt idx="4220">
                  <c:v>7.25</c:v>
                </c:pt>
                <c:pt idx="4221">
                  <c:v>7.25</c:v>
                </c:pt>
                <c:pt idx="4222">
                  <c:v>7.25</c:v>
                </c:pt>
                <c:pt idx="4223">
                  <c:v>7.25</c:v>
                </c:pt>
                <c:pt idx="4224">
                  <c:v>7.25</c:v>
                </c:pt>
                <c:pt idx="4225">
                  <c:v>7.25</c:v>
                </c:pt>
                <c:pt idx="4226">
                  <c:v>7.25</c:v>
                </c:pt>
                <c:pt idx="4227">
                  <c:v>7.25</c:v>
                </c:pt>
                <c:pt idx="4228">
                  <c:v>7.25</c:v>
                </c:pt>
                <c:pt idx="4229">
                  <c:v>7.25</c:v>
                </c:pt>
                <c:pt idx="4230">
                  <c:v>7.25</c:v>
                </c:pt>
                <c:pt idx="4231">
                  <c:v>7.25</c:v>
                </c:pt>
                <c:pt idx="4232">
                  <c:v>7.25</c:v>
                </c:pt>
                <c:pt idx="4233">
                  <c:v>7.25</c:v>
                </c:pt>
                <c:pt idx="4234">
                  <c:v>7.25</c:v>
                </c:pt>
                <c:pt idx="4235">
                  <c:v>7.25</c:v>
                </c:pt>
                <c:pt idx="4236">
                  <c:v>7.25</c:v>
                </c:pt>
                <c:pt idx="4237">
                  <c:v>7.25</c:v>
                </c:pt>
                <c:pt idx="4238">
                  <c:v>7.25</c:v>
                </c:pt>
                <c:pt idx="4239">
                  <c:v>7.25</c:v>
                </c:pt>
                <c:pt idx="4240">
                  <c:v>7.25</c:v>
                </c:pt>
                <c:pt idx="4241">
                  <c:v>7.25</c:v>
                </c:pt>
                <c:pt idx="4242">
                  <c:v>7.25</c:v>
                </c:pt>
                <c:pt idx="4243">
                  <c:v>7.25</c:v>
                </c:pt>
                <c:pt idx="4244">
                  <c:v>7.25</c:v>
                </c:pt>
                <c:pt idx="4245">
                  <c:v>7.25</c:v>
                </c:pt>
                <c:pt idx="4246">
                  <c:v>7.25</c:v>
                </c:pt>
                <c:pt idx="4247">
                  <c:v>7.25</c:v>
                </c:pt>
                <c:pt idx="4248">
                  <c:v>7.25</c:v>
                </c:pt>
                <c:pt idx="4249">
                  <c:v>7.25</c:v>
                </c:pt>
                <c:pt idx="4250">
                  <c:v>7.25</c:v>
                </c:pt>
                <c:pt idx="4251">
                  <c:v>7.25</c:v>
                </c:pt>
                <c:pt idx="4252">
                  <c:v>7.25</c:v>
                </c:pt>
                <c:pt idx="4253">
                  <c:v>7.25</c:v>
                </c:pt>
                <c:pt idx="4254">
                  <c:v>7.25</c:v>
                </c:pt>
                <c:pt idx="4255">
                  <c:v>7.25</c:v>
                </c:pt>
                <c:pt idx="4256">
                  <c:v>7.25</c:v>
                </c:pt>
                <c:pt idx="4257">
                  <c:v>7.25</c:v>
                </c:pt>
                <c:pt idx="4258">
                  <c:v>7.25</c:v>
                </c:pt>
                <c:pt idx="4259">
                  <c:v>7.25</c:v>
                </c:pt>
                <c:pt idx="4260">
                  <c:v>7.25</c:v>
                </c:pt>
                <c:pt idx="4261">
                  <c:v>7.25</c:v>
                </c:pt>
                <c:pt idx="4262">
                  <c:v>7.25</c:v>
                </c:pt>
                <c:pt idx="4263">
                  <c:v>7.25</c:v>
                </c:pt>
                <c:pt idx="4264">
                  <c:v>7.25</c:v>
                </c:pt>
                <c:pt idx="4265">
                  <c:v>7.25</c:v>
                </c:pt>
                <c:pt idx="4266">
                  <c:v>7.25</c:v>
                </c:pt>
                <c:pt idx="4267">
                  <c:v>7.25</c:v>
                </c:pt>
                <c:pt idx="4268">
                  <c:v>7.25</c:v>
                </c:pt>
                <c:pt idx="4269">
                  <c:v>7.25</c:v>
                </c:pt>
                <c:pt idx="4270">
                  <c:v>7.25</c:v>
                </c:pt>
                <c:pt idx="4271">
                  <c:v>7.25</c:v>
                </c:pt>
                <c:pt idx="4272">
                  <c:v>7.25</c:v>
                </c:pt>
                <c:pt idx="4273">
                  <c:v>7.25</c:v>
                </c:pt>
                <c:pt idx="4274">
                  <c:v>7.25</c:v>
                </c:pt>
                <c:pt idx="4275">
                  <c:v>7.25</c:v>
                </c:pt>
                <c:pt idx="4276">
                  <c:v>7.25</c:v>
                </c:pt>
                <c:pt idx="4277">
                  <c:v>7.25</c:v>
                </c:pt>
                <c:pt idx="4278">
                  <c:v>7.25</c:v>
                </c:pt>
                <c:pt idx="4279">
                  <c:v>7.25</c:v>
                </c:pt>
                <c:pt idx="4280">
                  <c:v>7.5</c:v>
                </c:pt>
                <c:pt idx="4281">
                  <c:v>7.5</c:v>
                </c:pt>
                <c:pt idx="4282">
                  <c:v>7.5</c:v>
                </c:pt>
                <c:pt idx="4283">
                  <c:v>7.5</c:v>
                </c:pt>
                <c:pt idx="4284">
                  <c:v>7.5</c:v>
                </c:pt>
                <c:pt idx="4285">
                  <c:v>7.5</c:v>
                </c:pt>
                <c:pt idx="4286">
                  <c:v>7.5</c:v>
                </c:pt>
                <c:pt idx="4287">
                  <c:v>7.5</c:v>
                </c:pt>
                <c:pt idx="4288">
                  <c:v>7.5</c:v>
                </c:pt>
                <c:pt idx="4289">
                  <c:v>7.5</c:v>
                </c:pt>
                <c:pt idx="4290">
                  <c:v>7.5</c:v>
                </c:pt>
                <c:pt idx="4291">
                  <c:v>7.5</c:v>
                </c:pt>
                <c:pt idx="4292">
                  <c:v>7.5</c:v>
                </c:pt>
                <c:pt idx="4293">
                  <c:v>7.5</c:v>
                </c:pt>
                <c:pt idx="4294">
                  <c:v>7.5</c:v>
                </c:pt>
                <c:pt idx="4295">
                  <c:v>7.5</c:v>
                </c:pt>
                <c:pt idx="4296">
                  <c:v>7.5</c:v>
                </c:pt>
                <c:pt idx="4297">
                  <c:v>7.5</c:v>
                </c:pt>
                <c:pt idx="4298">
                  <c:v>7.5</c:v>
                </c:pt>
                <c:pt idx="4299">
                  <c:v>7.5</c:v>
                </c:pt>
                <c:pt idx="4300">
                  <c:v>7.5</c:v>
                </c:pt>
                <c:pt idx="4301">
                  <c:v>7.5</c:v>
                </c:pt>
                <c:pt idx="4302">
                  <c:v>7.5</c:v>
                </c:pt>
                <c:pt idx="4303">
                  <c:v>7.5</c:v>
                </c:pt>
                <c:pt idx="4304">
                  <c:v>7.5</c:v>
                </c:pt>
                <c:pt idx="4305">
                  <c:v>7.5</c:v>
                </c:pt>
                <c:pt idx="4306">
                  <c:v>7.5</c:v>
                </c:pt>
                <c:pt idx="4307">
                  <c:v>7.5</c:v>
                </c:pt>
                <c:pt idx="4308">
                  <c:v>7.5</c:v>
                </c:pt>
                <c:pt idx="4309">
                  <c:v>7.5</c:v>
                </c:pt>
                <c:pt idx="4310">
                  <c:v>7.5</c:v>
                </c:pt>
                <c:pt idx="4311">
                  <c:v>7.5</c:v>
                </c:pt>
                <c:pt idx="4312">
                  <c:v>7.5</c:v>
                </c:pt>
                <c:pt idx="4313">
                  <c:v>7.5</c:v>
                </c:pt>
                <c:pt idx="4314">
                  <c:v>7.5</c:v>
                </c:pt>
                <c:pt idx="4315">
                  <c:v>7.5</c:v>
                </c:pt>
                <c:pt idx="4316">
                  <c:v>7.5</c:v>
                </c:pt>
                <c:pt idx="4317">
                  <c:v>7.5</c:v>
                </c:pt>
                <c:pt idx="4318">
                  <c:v>7.5</c:v>
                </c:pt>
                <c:pt idx="4319">
                  <c:v>7.75</c:v>
                </c:pt>
                <c:pt idx="4320">
                  <c:v>7.75</c:v>
                </c:pt>
                <c:pt idx="4321">
                  <c:v>7.75</c:v>
                </c:pt>
                <c:pt idx="4322">
                  <c:v>7.75</c:v>
                </c:pt>
                <c:pt idx="4323">
                  <c:v>7.75</c:v>
                </c:pt>
                <c:pt idx="4324">
                  <c:v>7.75</c:v>
                </c:pt>
                <c:pt idx="4325">
                  <c:v>7.75</c:v>
                </c:pt>
                <c:pt idx="4326">
                  <c:v>7.75</c:v>
                </c:pt>
                <c:pt idx="4327">
                  <c:v>7.75</c:v>
                </c:pt>
                <c:pt idx="4328">
                  <c:v>7.75</c:v>
                </c:pt>
                <c:pt idx="4329">
                  <c:v>7.75</c:v>
                </c:pt>
                <c:pt idx="4330">
                  <c:v>7.75</c:v>
                </c:pt>
                <c:pt idx="4331">
                  <c:v>7.75</c:v>
                </c:pt>
                <c:pt idx="4332">
                  <c:v>7.75</c:v>
                </c:pt>
                <c:pt idx="4333">
                  <c:v>7.75</c:v>
                </c:pt>
                <c:pt idx="4334">
                  <c:v>7.75</c:v>
                </c:pt>
                <c:pt idx="4335">
                  <c:v>7.75</c:v>
                </c:pt>
                <c:pt idx="4336">
                  <c:v>7.75</c:v>
                </c:pt>
                <c:pt idx="4337">
                  <c:v>7.75</c:v>
                </c:pt>
                <c:pt idx="4338">
                  <c:v>7.75</c:v>
                </c:pt>
                <c:pt idx="4339">
                  <c:v>7.75</c:v>
                </c:pt>
                <c:pt idx="4340">
                  <c:v>7.75</c:v>
                </c:pt>
                <c:pt idx="4341">
                  <c:v>7.75</c:v>
                </c:pt>
                <c:pt idx="4342">
                  <c:v>7.75</c:v>
                </c:pt>
                <c:pt idx="4343">
                  <c:v>7.75</c:v>
                </c:pt>
                <c:pt idx="4344">
                  <c:v>7.75</c:v>
                </c:pt>
                <c:pt idx="4345">
                  <c:v>7.75</c:v>
                </c:pt>
                <c:pt idx="4346">
                  <c:v>7.75</c:v>
                </c:pt>
                <c:pt idx="4347">
                  <c:v>7.75</c:v>
                </c:pt>
                <c:pt idx="4348">
                  <c:v>7.75</c:v>
                </c:pt>
                <c:pt idx="4349">
                  <c:v>7.75</c:v>
                </c:pt>
                <c:pt idx="4350">
                  <c:v>7.75</c:v>
                </c:pt>
                <c:pt idx="4351">
                  <c:v>7.75</c:v>
                </c:pt>
                <c:pt idx="4352">
                  <c:v>7.75</c:v>
                </c:pt>
                <c:pt idx="4353">
                  <c:v>7.75</c:v>
                </c:pt>
                <c:pt idx="4354">
                  <c:v>7.75</c:v>
                </c:pt>
                <c:pt idx="4355">
                  <c:v>7.75</c:v>
                </c:pt>
                <c:pt idx="4356">
                  <c:v>7.75</c:v>
                </c:pt>
                <c:pt idx="4357">
                  <c:v>7.75</c:v>
                </c:pt>
                <c:pt idx="4358">
                  <c:v>7.75</c:v>
                </c:pt>
                <c:pt idx="4359">
                  <c:v>7.75</c:v>
                </c:pt>
                <c:pt idx="4360">
                  <c:v>7.75</c:v>
                </c:pt>
                <c:pt idx="4361">
                  <c:v>7.75</c:v>
                </c:pt>
                <c:pt idx="4362">
                  <c:v>7.75</c:v>
                </c:pt>
                <c:pt idx="4363">
                  <c:v>7.75</c:v>
                </c:pt>
                <c:pt idx="4364">
                  <c:v>7.75</c:v>
                </c:pt>
                <c:pt idx="4365">
                  <c:v>7.75</c:v>
                </c:pt>
                <c:pt idx="4366">
                  <c:v>7.75</c:v>
                </c:pt>
                <c:pt idx="4367">
                  <c:v>7.75</c:v>
                </c:pt>
                <c:pt idx="4368">
                  <c:v>7.75</c:v>
                </c:pt>
                <c:pt idx="4369">
                  <c:v>7.75</c:v>
                </c:pt>
                <c:pt idx="4370">
                  <c:v>7.75</c:v>
                </c:pt>
                <c:pt idx="4371">
                  <c:v>7.75</c:v>
                </c:pt>
                <c:pt idx="4372">
                  <c:v>7.75</c:v>
                </c:pt>
                <c:pt idx="4373">
                  <c:v>7.75</c:v>
                </c:pt>
                <c:pt idx="4374">
                  <c:v>7.75</c:v>
                </c:pt>
                <c:pt idx="4375">
                  <c:v>7.75</c:v>
                </c:pt>
                <c:pt idx="4376">
                  <c:v>7.75</c:v>
                </c:pt>
                <c:pt idx="4377">
                  <c:v>7.75</c:v>
                </c:pt>
                <c:pt idx="4378">
                  <c:v>7.75</c:v>
                </c:pt>
                <c:pt idx="4379">
                  <c:v>7.75</c:v>
                </c:pt>
                <c:pt idx="4380">
                  <c:v>7.75</c:v>
                </c:pt>
                <c:pt idx="4381">
                  <c:v>7.75</c:v>
                </c:pt>
                <c:pt idx="4382">
                  <c:v>7.75</c:v>
                </c:pt>
                <c:pt idx="4383">
                  <c:v>7.75</c:v>
                </c:pt>
                <c:pt idx="4384">
                  <c:v>7.75</c:v>
                </c:pt>
                <c:pt idx="4385">
                  <c:v>7.75</c:v>
                </c:pt>
                <c:pt idx="4386">
                  <c:v>7.75</c:v>
                </c:pt>
                <c:pt idx="4387">
                  <c:v>7.75</c:v>
                </c:pt>
                <c:pt idx="4388">
                  <c:v>7.75</c:v>
                </c:pt>
                <c:pt idx="4389">
                  <c:v>7.75</c:v>
                </c:pt>
                <c:pt idx="4390">
                  <c:v>7.75</c:v>
                </c:pt>
                <c:pt idx="4391">
                  <c:v>7.75</c:v>
                </c:pt>
                <c:pt idx="4392">
                  <c:v>7.75</c:v>
                </c:pt>
                <c:pt idx="4393">
                  <c:v>7.75</c:v>
                </c:pt>
                <c:pt idx="4394">
                  <c:v>7.75</c:v>
                </c:pt>
                <c:pt idx="4395">
                  <c:v>7.75</c:v>
                </c:pt>
                <c:pt idx="4396">
                  <c:v>7.75</c:v>
                </c:pt>
                <c:pt idx="4397">
                  <c:v>7.75</c:v>
                </c:pt>
                <c:pt idx="4398">
                  <c:v>7.75</c:v>
                </c:pt>
                <c:pt idx="4399">
                  <c:v>7.75</c:v>
                </c:pt>
                <c:pt idx="4400">
                  <c:v>7.75</c:v>
                </c:pt>
                <c:pt idx="4401">
                  <c:v>7.75</c:v>
                </c:pt>
                <c:pt idx="4402">
                  <c:v>7.75</c:v>
                </c:pt>
                <c:pt idx="4403">
                  <c:v>7.75</c:v>
                </c:pt>
                <c:pt idx="4404">
                  <c:v>7.75</c:v>
                </c:pt>
                <c:pt idx="4405">
                  <c:v>7.75</c:v>
                </c:pt>
                <c:pt idx="4406">
                  <c:v>7.75</c:v>
                </c:pt>
                <c:pt idx="4407">
                  <c:v>7.75</c:v>
                </c:pt>
                <c:pt idx="4408">
                  <c:v>7.75</c:v>
                </c:pt>
                <c:pt idx="4409">
                  <c:v>7.75</c:v>
                </c:pt>
                <c:pt idx="4410">
                  <c:v>8</c:v>
                </c:pt>
                <c:pt idx="4411">
                  <c:v>8</c:v>
                </c:pt>
                <c:pt idx="4412">
                  <c:v>8</c:v>
                </c:pt>
                <c:pt idx="4413">
                  <c:v>8</c:v>
                </c:pt>
                <c:pt idx="4414">
                  <c:v>8</c:v>
                </c:pt>
                <c:pt idx="4415">
                  <c:v>8</c:v>
                </c:pt>
                <c:pt idx="4416">
                  <c:v>8</c:v>
                </c:pt>
                <c:pt idx="4417">
                  <c:v>8</c:v>
                </c:pt>
                <c:pt idx="4418">
                  <c:v>8</c:v>
                </c:pt>
                <c:pt idx="4419">
                  <c:v>8</c:v>
                </c:pt>
                <c:pt idx="4420">
                  <c:v>8</c:v>
                </c:pt>
                <c:pt idx="4421">
                  <c:v>8</c:v>
                </c:pt>
                <c:pt idx="4422">
                  <c:v>8</c:v>
                </c:pt>
                <c:pt idx="4423">
                  <c:v>8</c:v>
                </c:pt>
                <c:pt idx="4424">
                  <c:v>8</c:v>
                </c:pt>
                <c:pt idx="4425">
                  <c:v>8</c:v>
                </c:pt>
                <c:pt idx="4426">
                  <c:v>8</c:v>
                </c:pt>
                <c:pt idx="4427">
                  <c:v>8</c:v>
                </c:pt>
                <c:pt idx="4428">
                  <c:v>8</c:v>
                </c:pt>
                <c:pt idx="4429">
                  <c:v>8</c:v>
                </c:pt>
                <c:pt idx="4430">
                  <c:v>8</c:v>
                </c:pt>
                <c:pt idx="4431">
                  <c:v>8</c:v>
                </c:pt>
                <c:pt idx="4432">
                  <c:v>8</c:v>
                </c:pt>
                <c:pt idx="4433">
                  <c:v>8</c:v>
                </c:pt>
                <c:pt idx="4434">
                  <c:v>8</c:v>
                </c:pt>
                <c:pt idx="4435">
                  <c:v>8</c:v>
                </c:pt>
                <c:pt idx="4436">
                  <c:v>8</c:v>
                </c:pt>
                <c:pt idx="4437">
                  <c:v>8</c:v>
                </c:pt>
                <c:pt idx="4438">
                  <c:v>8</c:v>
                </c:pt>
                <c:pt idx="4439">
                  <c:v>8</c:v>
                </c:pt>
                <c:pt idx="4440">
                  <c:v>8</c:v>
                </c:pt>
                <c:pt idx="4441">
                  <c:v>8</c:v>
                </c:pt>
                <c:pt idx="4442">
                  <c:v>8</c:v>
                </c:pt>
                <c:pt idx="4443">
                  <c:v>8</c:v>
                </c:pt>
                <c:pt idx="4444">
                  <c:v>8</c:v>
                </c:pt>
                <c:pt idx="4445">
                  <c:v>8</c:v>
                </c:pt>
                <c:pt idx="4446">
                  <c:v>8</c:v>
                </c:pt>
                <c:pt idx="4447">
                  <c:v>8</c:v>
                </c:pt>
                <c:pt idx="4448">
                  <c:v>8</c:v>
                </c:pt>
                <c:pt idx="4449">
                  <c:v>8</c:v>
                </c:pt>
                <c:pt idx="4450">
                  <c:v>8</c:v>
                </c:pt>
                <c:pt idx="4451">
                  <c:v>8</c:v>
                </c:pt>
                <c:pt idx="4452">
                  <c:v>8</c:v>
                </c:pt>
                <c:pt idx="4453">
                  <c:v>8</c:v>
                </c:pt>
                <c:pt idx="4454">
                  <c:v>8</c:v>
                </c:pt>
                <c:pt idx="4455">
                  <c:v>8</c:v>
                </c:pt>
                <c:pt idx="4456">
                  <c:v>8</c:v>
                </c:pt>
                <c:pt idx="4457">
                  <c:v>8</c:v>
                </c:pt>
                <c:pt idx="4458">
                  <c:v>8</c:v>
                </c:pt>
                <c:pt idx="4459">
                  <c:v>8</c:v>
                </c:pt>
                <c:pt idx="4460">
                  <c:v>8</c:v>
                </c:pt>
                <c:pt idx="4461">
                  <c:v>8</c:v>
                </c:pt>
                <c:pt idx="4462">
                  <c:v>8</c:v>
                </c:pt>
                <c:pt idx="4463">
                  <c:v>8</c:v>
                </c:pt>
                <c:pt idx="4464">
                  <c:v>8</c:v>
                </c:pt>
                <c:pt idx="4465">
                  <c:v>8</c:v>
                </c:pt>
                <c:pt idx="4466">
                  <c:v>8</c:v>
                </c:pt>
                <c:pt idx="4467">
                  <c:v>8</c:v>
                </c:pt>
                <c:pt idx="4468">
                  <c:v>8</c:v>
                </c:pt>
                <c:pt idx="4469">
                  <c:v>8</c:v>
                </c:pt>
                <c:pt idx="4470">
                  <c:v>8</c:v>
                </c:pt>
                <c:pt idx="4471">
                  <c:v>8</c:v>
                </c:pt>
                <c:pt idx="4472">
                  <c:v>8</c:v>
                </c:pt>
                <c:pt idx="4473">
                  <c:v>8</c:v>
                </c:pt>
                <c:pt idx="4474">
                  <c:v>8</c:v>
                </c:pt>
                <c:pt idx="4475">
                  <c:v>8</c:v>
                </c:pt>
                <c:pt idx="4476">
                  <c:v>8</c:v>
                </c:pt>
                <c:pt idx="4477">
                  <c:v>8</c:v>
                </c:pt>
                <c:pt idx="4478">
                  <c:v>8</c:v>
                </c:pt>
                <c:pt idx="4479">
                  <c:v>8</c:v>
                </c:pt>
                <c:pt idx="4480">
                  <c:v>8</c:v>
                </c:pt>
                <c:pt idx="4481">
                  <c:v>8</c:v>
                </c:pt>
                <c:pt idx="4482">
                  <c:v>8</c:v>
                </c:pt>
                <c:pt idx="4483">
                  <c:v>8</c:v>
                </c:pt>
                <c:pt idx="4484">
                  <c:v>8</c:v>
                </c:pt>
                <c:pt idx="4485">
                  <c:v>8</c:v>
                </c:pt>
                <c:pt idx="4486">
                  <c:v>8</c:v>
                </c:pt>
                <c:pt idx="4487">
                  <c:v>8</c:v>
                </c:pt>
                <c:pt idx="4488">
                  <c:v>8</c:v>
                </c:pt>
                <c:pt idx="4489">
                  <c:v>8</c:v>
                </c:pt>
                <c:pt idx="4490">
                  <c:v>8</c:v>
                </c:pt>
                <c:pt idx="4491">
                  <c:v>8</c:v>
                </c:pt>
                <c:pt idx="4492">
                  <c:v>8</c:v>
                </c:pt>
                <c:pt idx="4493">
                  <c:v>8</c:v>
                </c:pt>
                <c:pt idx="4494">
                  <c:v>8</c:v>
                </c:pt>
                <c:pt idx="4495">
                  <c:v>8</c:v>
                </c:pt>
                <c:pt idx="4496">
                  <c:v>8</c:v>
                </c:pt>
                <c:pt idx="4497">
                  <c:v>8</c:v>
                </c:pt>
                <c:pt idx="4498">
                  <c:v>8</c:v>
                </c:pt>
                <c:pt idx="4499">
                  <c:v>8</c:v>
                </c:pt>
                <c:pt idx="4500">
                  <c:v>8</c:v>
                </c:pt>
                <c:pt idx="4501">
                  <c:v>8</c:v>
                </c:pt>
                <c:pt idx="4502">
                  <c:v>8</c:v>
                </c:pt>
                <c:pt idx="4503">
                  <c:v>8</c:v>
                </c:pt>
                <c:pt idx="4504">
                  <c:v>8</c:v>
                </c:pt>
                <c:pt idx="4505">
                  <c:v>8</c:v>
                </c:pt>
                <c:pt idx="4506">
                  <c:v>8</c:v>
                </c:pt>
                <c:pt idx="4507">
                  <c:v>8</c:v>
                </c:pt>
                <c:pt idx="4508">
                  <c:v>8</c:v>
                </c:pt>
                <c:pt idx="4509">
                  <c:v>8</c:v>
                </c:pt>
                <c:pt idx="4510">
                  <c:v>8</c:v>
                </c:pt>
                <c:pt idx="4511">
                  <c:v>8</c:v>
                </c:pt>
                <c:pt idx="4512">
                  <c:v>8</c:v>
                </c:pt>
                <c:pt idx="4513">
                  <c:v>8</c:v>
                </c:pt>
                <c:pt idx="4514">
                  <c:v>8</c:v>
                </c:pt>
                <c:pt idx="4515">
                  <c:v>8</c:v>
                </c:pt>
                <c:pt idx="4516">
                  <c:v>8</c:v>
                </c:pt>
                <c:pt idx="4517">
                  <c:v>8</c:v>
                </c:pt>
                <c:pt idx="4518">
                  <c:v>8</c:v>
                </c:pt>
                <c:pt idx="4519">
                  <c:v>8</c:v>
                </c:pt>
                <c:pt idx="4520">
                  <c:v>8</c:v>
                </c:pt>
                <c:pt idx="4521">
                  <c:v>8</c:v>
                </c:pt>
                <c:pt idx="4522">
                  <c:v>8</c:v>
                </c:pt>
                <c:pt idx="4523">
                  <c:v>8</c:v>
                </c:pt>
                <c:pt idx="4524">
                  <c:v>8</c:v>
                </c:pt>
                <c:pt idx="4525">
                  <c:v>8</c:v>
                </c:pt>
                <c:pt idx="4526">
                  <c:v>8</c:v>
                </c:pt>
                <c:pt idx="4527">
                  <c:v>8</c:v>
                </c:pt>
                <c:pt idx="4528">
                  <c:v>8</c:v>
                </c:pt>
                <c:pt idx="4529">
                  <c:v>8</c:v>
                </c:pt>
                <c:pt idx="4530">
                  <c:v>8</c:v>
                </c:pt>
                <c:pt idx="4531">
                  <c:v>8</c:v>
                </c:pt>
                <c:pt idx="4532">
                  <c:v>8</c:v>
                </c:pt>
                <c:pt idx="4533">
                  <c:v>8</c:v>
                </c:pt>
                <c:pt idx="4534">
                  <c:v>8</c:v>
                </c:pt>
                <c:pt idx="4535">
                  <c:v>8</c:v>
                </c:pt>
                <c:pt idx="4536">
                  <c:v>8</c:v>
                </c:pt>
                <c:pt idx="4537">
                  <c:v>8</c:v>
                </c:pt>
                <c:pt idx="4538">
                  <c:v>8</c:v>
                </c:pt>
                <c:pt idx="4539">
                  <c:v>8</c:v>
                </c:pt>
                <c:pt idx="4540">
                  <c:v>8</c:v>
                </c:pt>
                <c:pt idx="4541">
                  <c:v>8</c:v>
                </c:pt>
                <c:pt idx="4542">
                  <c:v>8</c:v>
                </c:pt>
                <c:pt idx="4543">
                  <c:v>8</c:v>
                </c:pt>
                <c:pt idx="4544">
                  <c:v>8</c:v>
                </c:pt>
                <c:pt idx="4545">
                  <c:v>8</c:v>
                </c:pt>
                <c:pt idx="4546">
                  <c:v>8</c:v>
                </c:pt>
                <c:pt idx="4547">
                  <c:v>8</c:v>
                </c:pt>
                <c:pt idx="4548">
                  <c:v>8</c:v>
                </c:pt>
                <c:pt idx="4549">
                  <c:v>8</c:v>
                </c:pt>
                <c:pt idx="4550">
                  <c:v>8</c:v>
                </c:pt>
                <c:pt idx="4551">
                  <c:v>8</c:v>
                </c:pt>
                <c:pt idx="4552">
                  <c:v>8</c:v>
                </c:pt>
                <c:pt idx="4553">
                  <c:v>8</c:v>
                </c:pt>
                <c:pt idx="4554">
                  <c:v>8</c:v>
                </c:pt>
                <c:pt idx="4555">
                  <c:v>8</c:v>
                </c:pt>
                <c:pt idx="4556">
                  <c:v>8</c:v>
                </c:pt>
                <c:pt idx="4557">
                  <c:v>8</c:v>
                </c:pt>
                <c:pt idx="4558">
                  <c:v>8</c:v>
                </c:pt>
                <c:pt idx="4559">
                  <c:v>8</c:v>
                </c:pt>
                <c:pt idx="4560">
                  <c:v>8</c:v>
                </c:pt>
                <c:pt idx="4561">
                  <c:v>8</c:v>
                </c:pt>
                <c:pt idx="4562">
                  <c:v>8</c:v>
                </c:pt>
                <c:pt idx="4563">
                  <c:v>8</c:v>
                </c:pt>
                <c:pt idx="4564">
                  <c:v>8</c:v>
                </c:pt>
                <c:pt idx="4565">
                  <c:v>8</c:v>
                </c:pt>
                <c:pt idx="4566">
                  <c:v>8</c:v>
                </c:pt>
                <c:pt idx="4567">
                  <c:v>8</c:v>
                </c:pt>
                <c:pt idx="4568">
                  <c:v>8</c:v>
                </c:pt>
                <c:pt idx="4569">
                  <c:v>8</c:v>
                </c:pt>
                <c:pt idx="4570">
                  <c:v>8</c:v>
                </c:pt>
                <c:pt idx="4571">
                  <c:v>8</c:v>
                </c:pt>
                <c:pt idx="4572">
                  <c:v>8</c:v>
                </c:pt>
                <c:pt idx="4573">
                  <c:v>8</c:v>
                </c:pt>
                <c:pt idx="4574">
                  <c:v>8</c:v>
                </c:pt>
                <c:pt idx="4575">
                  <c:v>8</c:v>
                </c:pt>
                <c:pt idx="4576">
                  <c:v>8</c:v>
                </c:pt>
                <c:pt idx="4577">
                  <c:v>8</c:v>
                </c:pt>
                <c:pt idx="4578">
                  <c:v>8</c:v>
                </c:pt>
                <c:pt idx="4579">
                  <c:v>8</c:v>
                </c:pt>
                <c:pt idx="4580">
                  <c:v>8</c:v>
                </c:pt>
                <c:pt idx="4581">
                  <c:v>8</c:v>
                </c:pt>
                <c:pt idx="4582">
                  <c:v>8</c:v>
                </c:pt>
                <c:pt idx="4583">
                  <c:v>8</c:v>
                </c:pt>
                <c:pt idx="4584">
                  <c:v>8</c:v>
                </c:pt>
                <c:pt idx="4585">
                  <c:v>8</c:v>
                </c:pt>
                <c:pt idx="4586">
                  <c:v>8</c:v>
                </c:pt>
                <c:pt idx="4587">
                  <c:v>8</c:v>
                </c:pt>
                <c:pt idx="4588">
                  <c:v>8</c:v>
                </c:pt>
                <c:pt idx="4589">
                  <c:v>8</c:v>
                </c:pt>
                <c:pt idx="4590">
                  <c:v>8</c:v>
                </c:pt>
                <c:pt idx="4591">
                  <c:v>8</c:v>
                </c:pt>
                <c:pt idx="4592">
                  <c:v>8</c:v>
                </c:pt>
                <c:pt idx="4593">
                  <c:v>8</c:v>
                </c:pt>
                <c:pt idx="4594">
                  <c:v>8</c:v>
                </c:pt>
                <c:pt idx="4595">
                  <c:v>8</c:v>
                </c:pt>
                <c:pt idx="4596">
                  <c:v>8</c:v>
                </c:pt>
                <c:pt idx="4597">
                  <c:v>8</c:v>
                </c:pt>
                <c:pt idx="4598">
                  <c:v>8</c:v>
                </c:pt>
                <c:pt idx="4599">
                  <c:v>8</c:v>
                </c:pt>
                <c:pt idx="4600">
                  <c:v>8</c:v>
                </c:pt>
                <c:pt idx="4601">
                  <c:v>8</c:v>
                </c:pt>
                <c:pt idx="4602">
                  <c:v>8</c:v>
                </c:pt>
                <c:pt idx="4603">
                  <c:v>8</c:v>
                </c:pt>
                <c:pt idx="4604">
                  <c:v>8</c:v>
                </c:pt>
                <c:pt idx="4605">
                  <c:v>8</c:v>
                </c:pt>
                <c:pt idx="4606">
                  <c:v>8</c:v>
                </c:pt>
                <c:pt idx="4607">
                  <c:v>8</c:v>
                </c:pt>
                <c:pt idx="4608">
                  <c:v>8</c:v>
                </c:pt>
                <c:pt idx="4609">
                  <c:v>8</c:v>
                </c:pt>
                <c:pt idx="4610">
                  <c:v>8</c:v>
                </c:pt>
                <c:pt idx="4611">
                  <c:v>8</c:v>
                </c:pt>
                <c:pt idx="4612">
                  <c:v>8</c:v>
                </c:pt>
                <c:pt idx="4613">
                  <c:v>8</c:v>
                </c:pt>
                <c:pt idx="4614">
                  <c:v>8</c:v>
                </c:pt>
                <c:pt idx="4615">
                  <c:v>8</c:v>
                </c:pt>
                <c:pt idx="4616">
                  <c:v>8</c:v>
                </c:pt>
                <c:pt idx="4617">
                  <c:v>8</c:v>
                </c:pt>
                <c:pt idx="4618">
                  <c:v>8</c:v>
                </c:pt>
                <c:pt idx="4619">
                  <c:v>8</c:v>
                </c:pt>
                <c:pt idx="4620">
                  <c:v>8</c:v>
                </c:pt>
                <c:pt idx="4621">
                  <c:v>8</c:v>
                </c:pt>
                <c:pt idx="4622">
                  <c:v>8</c:v>
                </c:pt>
                <c:pt idx="4623">
                  <c:v>8</c:v>
                </c:pt>
                <c:pt idx="4624">
                  <c:v>8</c:v>
                </c:pt>
                <c:pt idx="4625">
                  <c:v>8</c:v>
                </c:pt>
                <c:pt idx="4626">
                  <c:v>8</c:v>
                </c:pt>
                <c:pt idx="4627">
                  <c:v>8</c:v>
                </c:pt>
                <c:pt idx="4628">
                  <c:v>8</c:v>
                </c:pt>
                <c:pt idx="4629">
                  <c:v>8</c:v>
                </c:pt>
                <c:pt idx="4630">
                  <c:v>8</c:v>
                </c:pt>
                <c:pt idx="4631">
                  <c:v>8</c:v>
                </c:pt>
                <c:pt idx="4632">
                  <c:v>8</c:v>
                </c:pt>
                <c:pt idx="4633">
                  <c:v>8</c:v>
                </c:pt>
                <c:pt idx="4634">
                  <c:v>8</c:v>
                </c:pt>
                <c:pt idx="4635">
                  <c:v>8</c:v>
                </c:pt>
                <c:pt idx="4636">
                  <c:v>8</c:v>
                </c:pt>
                <c:pt idx="4637">
                  <c:v>8</c:v>
                </c:pt>
                <c:pt idx="4638">
                  <c:v>8</c:v>
                </c:pt>
                <c:pt idx="4639">
                  <c:v>8</c:v>
                </c:pt>
                <c:pt idx="4640">
                  <c:v>8</c:v>
                </c:pt>
                <c:pt idx="4641">
                  <c:v>8</c:v>
                </c:pt>
                <c:pt idx="4642">
                  <c:v>8</c:v>
                </c:pt>
                <c:pt idx="4643">
                  <c:v>8</c:v>
                </c:pt>
                <c:pt idx="4644">
                  <c:v>8</c:v>
                </c:pt>
                <c:pt idx="4645">
                  <c:v>8</c:v>
                </c:pt>
                <c:pt idx="4646">
                  <c:v>8</c:v>
                </c:pt>
                <c:pt idx="4647">
                  <c:v>8</c:v>
                </c:pt>
                <c:pt idx="4648">
                  <c:v>8</c:v>
                </c:pt>
                <c:pt idx="4649">
                  <c:v>8</c:v>
                </c:pt>
                <c:pt idx="4650">
                  <c:v>8</c:v>
                </c:pt>
                <c:pt idx="4651">
                  <c:v>8</c:v>
                </c:pt>
                <c:pt idx="4652">
                  <c:v>8</c:v>
                </c:pt>
                <c:pt idx="4653">
                  <c:v>8</c:v>
                </c:pt>
                <c:pt idx="4654">
                  <c:v>8</c:v>
                </c:pt>
                <c:pt idx="4655">
                  <c:v>8</c:v>
                </c:pt>
                <c:pt idx="4656">
                  <c:v>8</c:v>
                </c:pt>
                <c:pt idx="4657">
                  <c:v>8</c:v>
                </c:pt>
                <c:pt idx="4658">
                  <c:v>8</c:v>
                </c:pt>
                <c:pt idx="4659">
                  <c:v>8</c:v>
                </c:pt>
                <c:pt idx="4660">
                  <c:v>8</c:v>
                </c:pt>
                <c:pt idx="4661">
                  <c:v>8</c:v>
                </c:pt>
                <c:pt idx="4662">
                  <c:v>8</c:v>
                </c:pt>
                <c:pt idx="4663">
                  <c:v>8</c:v>
                </c:pt>
                <c:pt idx="4664">
                  <c:v>8</c:v>
                </c:pt>
                <c:pt idx="4665">
                  <c:v>8</c:v>
                </c:pt>
                <c:pt idx="4666">
                  <c:v>8</c:v>
                </c:pt>
                <c:pt idx="4667">
                  <c:v>8</c:v>
                </c:pt>
                <c:pt idx="4668">
                  <c:v>8</c:v>
                </c:pt>
                <c:pt idx="4669">
                  <c:v>8</c:v>
                </c:pt>
                <c:pt idx="4670">
                  <c:v>8</c:v>
                </c:pt>
                <c:pt idx="4671">
                  <c:v>8</c:v>
                </c:pt>
                <c:pt idx="4672">
                  <c:v>8</c:v>
                </c:pt>
                <c:pt idx="4673">
                  <c:v>8</c:v>
                </c:pt>
                <c:pt idx="4674">
                  <c:v>8</c:v>
                </c:pt>
                <c:pt idx="4675">
                  <c:v>8</c:v>
                </c:pt>
                <c:pt idx="4676">
                  <c:v>8</c:v>
                </c:pt>
                <c:pt idx="4677">
                  <c:v>8</c:v>
                </c:pt>
                <c:pt idx="4678">
                  <c:v>8</c:v>
                </c:pt>
                <c:pt idx="4679">
                  <c:v>8</c:v>
                </c:pt>
                <c:pt idx="4680">
                  <c:v>8</c:v>
                </c:pt>
                <c:pt idx="4681">
                  <c:v>8</c:v>
                </c:pt>
                <c:pt idx="4682">
                  <c:v>8</c:v>
                </c:pt>
                <c:pt idx="4683">
                  <c:v>8</c:v>
                </c:pt>
                <c:pt idx="4684">
                  <c:v>8</c:v>
                </c:pt>
                <c:pt idx="4685">
                  <c:v>8</c:v>
                </c:pt>
                <c:pt idx="4686">
                  <c:v>8</c:v>
                </c:pt>
                <c:pt idx="4687">
                  <c:v>8</c:v>
                </c:pt>
                <c:pt idx="4688">
                  <c:v>8</c:v>
                </c:pt>
                <c:pt idx="4689">
                  <c:v>8</c:v>
                </c:pt>
                <c:pt idx="4690">
                  <c:v>8</c:v>
                </c:pt>
                <c:pt idx="4691">
                  <c:v>8</c:v>
                </c:pt>
                <c:pt idx="4692">
                  <c:v>8</c:v>
                </c:pt>
                <c:pt idx="4693">
                  <c:v>8</c:v>
                </c:pt>
                <c:pt idx="4694">
                  <c:v>8</c:v>
                </c:pt>
                <c:pt idx="4695">
                  <c:v>8</c:v>
                </c:pt>
                <c:pt idx="4696">
                  <c:v>8</c:v>
                </c:pt>
                <c:pt idx="4697">
                  <c:v>8</c:v>
                </c:pt>
                <c:pt idx="4698">
                  <c:v>8</c:v>
                </c:pt>
                <c:pt idx="4699">
                  <c:v>8</c:v>
                </c:pt>
                <c:pt idx="4700">
                  <c:v>8</c:v>
                </c:pt>
                <c:pt idx="4701">
                  <c:v>8</c:v>
                </c:pt>
                <c:pt idx="4702">
                  <c:v>8</c:v>
                </c:pt>
                <c:pt idx="4703">
                  <c:v>8</c:v>
                </c:pt>
                <c:pt idx="4704">
                  <c:v>8</c:v>
                </c:pt>
                <c:pt idx="4705">
                  <c:v>8</c:v>
                </c:pt>
                <c:pt idx="4706">
                  <c:v>8</c:v>
                </c:pt>
                <c:pt idx="4707">
                  <c:v>8</c:v>
                </c:pt>
                <c:pt idx="4708">
                  <c:v>8</c:v>
                </c:pt>
                <c:pt idx="4709">
                  <c:v>8</c:v>
                </c:pt>
                <c:pt idx="4710">
                  <c:v>8</c:v>
                </c:pt>
                <c:pt idx="4711">
                  <c:v>8</c:v>
                </c:pt>
                <c:pt idx="4712">
                  <c:v>8</c:v>
                </c:pt>
                <c:pt idx="4713">
                  <c:v>8</c:v>
                </c:pt>
                <c:pt idx="4714">
                  <c:v>8</c:v>
                </c:pt>
                <c:pt idx="4715">
                  <c:v>8</c:v>
                </c:pt>
                <c:pt idx="4716">
                  <c:v>8</c:v>
                </c:pt>
                <c:pt idx="4717">
                  <c:v>8</c:v>
                </c:pt>
                <c:pt idx="4718">
                  <c:v>8</c:v>
                </c:pt>
                <c:pt idx="4719">
                  <c:v>8</c:v>
                </c:pt>
                <c:pt idx="4720">
                  <c:v>8</c:v>
                </c:pt>
                <c:pt idx="4721">
                  <c:v>8</c:v>
                </c:pt>
                <c:pt idx="4722">
                  <c:v>8</c:v>
                </c:pt>
                <c:pt idx="4723">
                  <c:v>8</c:v>
                </c:pt>
                <c:pt idx="4724">
                  <c:v>8</c:v>
                </c:pt>
                <c:pt idx="4725">
                  <c:v>8</c:v>
                </c:pt>
                <c:pt idx="4726">
                  <c:v>8</c:v>
                </c:pt>
                <c:pt idx="4727">
                  <c:v>8</c:v>
                </c:pt>
                <c:pt idx="4728">
                  <c:v>8</c:v>
                </c:pt>
                <c:pt idx="4729">
                  <c:v>8</c:v>
                </c:pt>
                <c:pt idx="4730">
                  <c:v>8</c:v>
                </c:pt>
                <c:pt idx="4731">
                  <c:v>8</c:v>
                </c:pt>
                <c:pt idx="4732">
                  <c:v>8</c:v>
                </c:pt>
                <c:pt idx="4733">
                  <c:v>8</c:v>
                </c:pt>
                <c:pt idx="4734">
                  <c:v>8</c:v>
                </c:pt>
                <c:pt idx="4735">
                  <c:v>8</c:v>
                </c:pt>
                <c:pt idx="4736">
                  <c:v>8</c:v>
                </c:pt>
                <c:pt idx="4737">
                  <c:v>8</c:v>
                </c:pt>
                <c:pt idx="4738">
                  <c:v>8</c:v>
                </c:pt>
                <c:pt idx="4739">
                  <c:v>8</c:v>
                </c:pt>
                <c:pt idx="4740">
                  <c:v>8</c:v>
                </c:pt>
                <c:pt idx="4741">
                  <c:v>8</c:v>
                </c:pt>
                <c:pt idx="4742">
                  <c:v>8</c:v>
                </c:pt>
                <c:pt idx="4743">
                  <c:v>8</c:v>
                </c:pt>
                <c:pt idx="4744">
                  <c:v>8</c:v>
                </c:pt>
                <c:pt idx="4745">
                  <c:v>8</c:v>
                </c:pt>
                <c:pt idx="4746">
                  <c:v>8</c:v>
                </c:pt>
                <c:pt idx="4747">
                  <c:v>8</c:v>
                </c:pt>
                <c:pt idx="4748">
                  <c:v>8</c:v>
                </c:pt>
                <c:pt idx="4749">
                  <c:v>8</c:v>
                </c:pt>
                <c:pt idx="4750">
                  <c:v>8</c:v>
                </c:pt>
                <c:pt idx="4751">
                  <c:v>8</c:v>
                </c:pt>
                <c:pt idx="4752">
                  <c:v>8</c:v>
                </c:pt>
                <c:pt idx="4753">
                  <c:v>8</c:v>
                </c:pt>
                <c:pt idx="4754">
                  <c:v>8</c:v>
                </c:pt>
                <c:pt idx="4755">
                  <c:v>8</c:v>
                </c:pt>
                <c:pt idx="4756">
                  <c:v>8</c:v>
                </c:pt>
                <c:pt idx="4757">
                  <c:v>8</c:v>
                </c:pt>
                <c:pt idx="4758">
                  <c:v>8</c:v>
                </c:pt>
                <c:pt idx="4759">
                  <c:v>8</c:v>
                </c:pt>
                <c:pt idx="4760">
                  <c:v>8</c:v>
                </c:pt>
                <c:pt idx="4761">
                  <c:v>8</c:v>
                </c:pt>
                <c:pt idx="4762">
                  <c:v>7.75</c:v>
                </c:pt>
                <c:pt idx="4763">
                  <c:v>7.75</c:v>
                </c:pt>
                <c:pt idx="4764">
                  <c:v>7.75</c:v>
                </c:pt>
                <c:pt idx="4765">
                  <c:v>7.75</c:v>
                </c:pt>
                <c:pt idx="4766">
                  <c:v>7.75</c:v>
                </c:pt>
                <c:pt idx="4767">
                  <c:v>7.75</c:v>
                </c:pt>
                <c:pt idx="4768">
                  <c:v>7.75</c:v>
                </c:pt>
                <c:pt idx="4769">
                  <c:v>7.75</c:v>
                </c:pt>
                <c:pt idx="4770">
                  <c:v>7.75</c:v>
                </c:pt>
                <c:pt idx="4771">
                  <c:v>7.75</c:v>
                </c:pt>
                <c:pt idx="4772">
                  <c:v>7.75</c:v>
                </c:pt>
                <c:pt idx="4773">
                  <c:v>7.75</c:v>
                </c:pt>
                <c:pt idx="4774">
                  <c:v>7.75</c:v>
                </c:pt>
                <c:pt idx="4775">
                  <c:v>7.75</c:v>
                </c:pt>
                <c:pt idx="4776">
                  <c:v>7.75</c:v>
                </c:pt>
                <c:pt idx="4777">
                  <c:v>7.75</c:v>
                </c:pt>
                <c:pt idx="4778">
                  <c:v>7.75</c:v>
                </c:pt>
                <c:pt idx="4779">
                  <c:v>7.75</c:v>
                </c:pt>
                <c:pt idx="4780">
                  <c:v>7.75</c:v>
                </c:pt>
                <c:pt idx="4781">
                  <c:v>7.75</c:v>
                </c:pt>
                <c:pt idx="4782">
                  <c:v>7.75</c:v>
                </c:pt>
                <c:pt idx="4783">
                  <c:v>7.75</c:v>
                </c:pt>
                <c:pt idx="4784">
                  <c:v>7.75</c:v>
                </c:pt>
                <c:pt idx="4785">
                  <c:v>7.75</c:v>
                </c:pt>
                <c:pt idx="4786">
                  <c:v>7.75</c:v>
                </c:pt>
                <c:pt idx="4787">
                  <c:v>7.75</c:v>
                </c:pt>
                <c:pt idx="4788">
                  <c:v>7.75</c:v>
                </c:pt>
                <c:pt idx="4789">
                  <c:v>7.75</c:v>
                </c:pt>
                <c:pt idx="4790">
                  <c:v>7.75</c:v>
                </c:pt>
                <c:pt idx="4791">
                  <c:v>7.75</c:v>
                </c:pt>
                <c:pt idx="4792">
                  <c:v>7.75</c:v>
                </c:pt>
                <c:pt idx="4793">
                  <c:v>7.75</c:v>
                </c:pt>
                <c:pt idx="4794">
                  <c:v>7.75</c:v>
                </c:pt>
                <c:pt idx="4795">
                  <c:v>7.75</c:v>
                </c:pt>
                <c:pt idx="4796">
                  <c:v>7.75</c:v>
                </c:pt>
                <c:pt idx="4797">
                  <c:v>7.75</c:v>
                </c:pt>
                <c:pt idx="4798">
                  <c:v>7.75</c:v>
                </c:pt>
                <c:pt idx="4799">
                  <c:v>7.75</c:v>
                </c:pt>
                <c:pt idx="4800">
                  <c:v>7.75</c:v>
                </c:pt>
                <c:pt idx="4801">
                  <c:v>7.75</c:v>
                </c:pt>
                <c:pt idx="4802">
                  <c:v>7.75</c:v>
                </c:pt>
                <c:pt idx="4803">
                  <c:v>7.75</c:v>
                </c:pt>
                <c:pt idx="4804">
                  <c:v>7.75</c:v>
                </c:pt>
                <c:pt idx="4805">
                  <c:v>7.75</c:v>
                </c:pt>
                <c:pt idx="4806">
                  <c:v>7.75</c:v>
                </c:pt>
                <c:pt idx="4807">
                  <c:v>7.75</c:v>
                </c:pt>
                <c:pt idx="4808">
                  <c:v>7.75</c:v>
                </c:pt>
                <c:pt idx="4809">
                  <c:v>7.75</c:v>
                </c:pt>
                <c:pt idx="4810">
                  <c:v>7.5</c:v>
                </c:pt>
                <c:pt idx="4811">
                  <c:v>7.5</c:v>
                </c:pt>
                <c:pt idx="4812">
                  <c:v>7.5</c:v>
                </c:pt>
                <c:pt idx="4813">
                  <c:v>7.5</c:v>
                </c:pt>
                <c:pt idx="4814">
                  <c:v>7.5</c:v>
                </c:pt>
                <c:pt idx="4815">
                  <c:v>7.5</c:v>
                </c:pt>
                <c:pt idx="4816">
                  <c:v>7.5</c:v>
                </c:pt>
                <c:pt idx="4817">
                  <c:v>7.5</c:v>
                </c:pt>
                <c:pt idx="4818">
                  <c:v>7.5</c:v>
                </c:pt>
                <c:pt idx="4819">
                  <c:v>7.5</c:v>
                </c:pt>
                <c:pt idx="4820">
                  <c:v>7.5</c:v>
                </c:pt>
                <c:pt idx="4821">
                  <c:v>7.5</c:v>
                </c:pt>
                <c:pt idx="4822">
                  <c:v>7.5</c:v>
                </c:pt>
                <c:pt idx="4823">
                  <c:v>7.5</c:v>
                </c:pt>
                <c:pt idx="4824">
                  <c:v>7.5</c:v>
                </c:pt>
                <c:pt idx="4825">
                  <c:v>7.5</c:v>
                </c:pt>
                <c:pt idx="4826">
                  <c:v>7.5</c:v>
                </c:pt>
                <c:pt idx="4827">
                  <c:v>7.5</c:v>
                </c:pt>
                <c:pt idx="4828">
                  <c:v>7.5</c:v>
                </c:pt>
                <c:pt idx="4829">
                  <c:v>7.5</c:v>
                </c:pt>
                <c:pt idx="4830">
                  <c:v>7.5</c:v>
                </c:pt>
                <c:pt idx="4831">
                  <c:v>7.5</c:v>
                </c:pt>
                <c:pt idx="4832">
                  <c:v>7.5</c:v>
                </c:pt>
                <c:pt idx="4833">
                  <c:v>7.5</c:v>
                </c:pt>
                <c:pt idx="4834">
                  <c:v>7.5</c:v>
                </c:pt>
                <c:pt idx="4835">
                  <c:v>7.5</c:v>
                </c:pt>
                <c:pt idx="4836">
                  <c:v>7.5</c:v>
                </c:pt>
                <c:pt idx="4837">
                  <c:v>7.5</c:v>
                </c:pt>
                <c:pt idx="4838">
                  <c:v>7.5</c:v>
                </c:pt>
                <c:pt idx="4839">
                  <c:v>7.5</c:v>
                </c:pt>
                <c:pt idx="4840">
                  <c:v>7.5</c:v>
                </c:pt>
                <c:pt idx="4841">
                  <c:v>7.5</c:v>
                </c:pt>
                <c:pt idx="4842">
                  <c:v>7.5</c:v>
                </c:pt>
                <c:pt idx="4843">
                  <c:v>7.5</c:v>
                </c:pt>
                <c:pt idx="4844">
                  <c:v>7.5</c:v>
                </c:pt>
                <c:pt idx="4845">
                  <c:v>7.5</c:v>
                </c:pt>
                <c:pt idx="4846">
                  <c:v>7.5</c:v>
                </c:pt>
                <c:pt idx="4847">
                  <c:v>7.5</c:v>
                </c:pt>
                <c:pt idx="4848">
                  <c:v>7.5</c:v>
                </c:pt>
                <c:pt idx="4849">
                  <c:v>7.5</c:v>
                </c:pt>
                <c:pt idx="4850">
                  <c:v>7.5</c:v>
                </c:pt>
                <c:pt idx="4851">
                  <c:v>7.5</c:v>
                </c:pt>
                <c:pt idx="4852">
                  <c:v>7.5</c:v>
                </c:pt>
                <c:pt idx="4853">
                  <c:v>7.5</c:v>
                </c:pt>
                <c:pt idx="4854">
                  <c:v>7.5</c:v>
                </c:pt>
                <c:pt idx="4855">
                  <c:v>7.5</c:v>
                </c:pt>
                <c:pt idx="4856">
                  <c:v>7.5</c:v>
                </c:pt>
                <c:pt idx="4857">
                  <c:v>7.5</c:v>
                </c:pt>
                <c:pt idx="4858">
                  <c:v>7.5</c:v>
                </c:pt>
                <c:pt idx="4859">
                  <c:v>7.5</c:v>
                </c:pt>
                <c:pt idx="4860">
                  <c:v>7.5</c:v>
                </c:pt>
                <c:pt idx="4861">
                  <c:v>7.5</c:v>
                </c:pt>
                <c:pt idx="4862">
                  <c:v>7.5</c:v>
                </c:pt>
                <c:pt idx="4863">
                  <c:v>7.5</c:v>
                </c:pt>
                <c:pt idx="4864">
                  <c:v>7.5</c:v>
                </c:pt>
                <c:pt idx="4865">
                  <c:v>7.5</c:v>
                </c:pt>
                <c:pt idx="4866">
                  <c:v>7.5</c:v>
                </c:pt>
                <c:pt idx="4867">
                  <c:v>7.5</c:v>
                </c:pt>
                <c:pt idx="4868">
                  <c:v>7.5</c:v>
                </c:pt>
                <c:pt idx="4869">
                  <c:v>7.5</c:v>
                </c:pt>
                <c:pt idx="4870">
                  <c:v>7.5</c:v>
                </c:pt>
                <c:pt idx="4871">
                  <c:v>7.5</c:v>
                </c:pt>
                <c:pt idx="4872">
                  <c:v>7.5</c:v>
                </c:pt>
                <c:pt idx="4873">
                  <c:v>7.5</c:v>
                </c:pt>
                <c:pt idx="4874">
                  <c:v>7.5</c:v>
                </c:pt>
                <c:pt idx="4875">
                  <c:v>7.5</c:v>
                </c:pt>
                <c:pt idx="4876">
                  <c:v>7.5</c:v>
                </c:pt>
                <c:pt idx="4877">
                  <c:v>7.5</c:v>
                </c:pt>
                <c:pt idx="4878">
                  <c:v>7.5</c:v>
                </c:pt>
                <c:pt idx="4879">
                  <c:v>7.5</c:v>
                </c:pt>
                <c:pt idx="4880">
                  <c:v>7.5</c:v>
                </c:pt>
                <c:pt idx="4881">
                  <c:v>7.5</c:v>
                </c:pt>
                <c:pt idx="4882">
                  <c:v>7.5</c:v>
                </c:pt>
                <c:pt idx="4883">
                  <c:v>7.5</c:v>
                </c:pt>
                <c:pt idx="4884">
                  <c:v>7.5</c:v>
                </c:pt>
                <c:pt idx="4885">
                  <c:v>7.5</c:v>
                </c:pt>
                <c:pt idx="4886">
                  <c:v>7.5</c:v>
                </c:pt>
                <c:pt idx="4887">
                  <c:v>7.5</c:v>
                </c:pt>
                <c:pt idx="4888">
                  <c:v>7.5</c:v>
                </c:pt>
                <c:pt idx="4889">
                  <c:v>7.5</c:v>
                </c:pt>
                <c:pt idx="4890">
                  <c:v>7.5</c:v>
                </c:pt>
                <c:pt idx="4891">
                  <c:v>7.5</c:v>
                </c:pt>
                <c:pt idx="4892">
                  <c:v>7.5</c:v>
                </c:pt>
                <c:pt idx="4893">
                  <c:v>7.5</c:v>
                </c:pt>
                <c:pt idx="4894">
                  <c:v>7.5</c:v>
                </c:pt>
                <c:pt idx="4895">
                  <c:v>7.5</c:v>
                </c:pt>
                <c:pt idx="4896">
                  <c:v>7.5</c:v>
                </c:pt>
                <c:pt idx="4897">
                  <c:v>7.5</c:v>
                </c:pt>
                <c:pt idx="4898">
                  <c:v>7.5</c:v>
                </c:pt>
                <c:pt idx="4899">
                  <c:v>7.5</c:v>
                </c:pt>
                <c:pt idx="4900">
                  <c:v>7.25</c:v>
                </c:pt>
                <c:pt idx="4901">
                  <c:v>7.25</c:v>
                </c:pt>
                <c:pt idx="4902">
                  <c:v>7.25</c:v>
                </c:pt>
                <c:pt idx="4903">
                  <c:v>7.25</c:v>
                </c:pt>
                <c:pt idx="4904">
                  <c:v>7.25</c:v>
                </c:pt>
                <c:pt idx="4905">
                  <c:v>7.25</c:v>
                </c:pt>
                <c:pt idx="4906">
                  <c:v>7.25</c:v>
                </c:pt>
                <c:pt idx="4907">
                  <c:v>7.25</c:v>
                </c:pt>
                <c:pt idx="4908">
                  <c:v>7.25</c:v>
                </c:pt>
                <c:pt idx="4909">
                  <c:v>7.25</c:v>
                </c:pt>
                <c:pt idx="4910">
                  <c:v>7.25</c:v>
                </c:pt>
                <c:pt idx="4911">
                  <c:v>7.25</c:v>
                </c:pt>
                <c:pt idx="4912">
                  <c:v>7.25</c:v>
                </c:pt>
                <c:pt idx="4913">
                  <c:v>7.25</c:v>
                </c:pt>
                <c:pt idx="4914">
                  <c:v>7.25</c:v>
                </c:pt>
                <c:pt idx="4915">
                  <c:v>7.25</c:v>
                </c:pt>
                <c:pt idx="4916">
                  <c:v>7.25</c:v>
                </c:pt>
                <c:pt idx="4917">
                  <c:v>7.25</c:v>
                </c:pt>
                <c:pt idx="4918">
                  <c:v>7.25</c:v>
                </c:pt>
                <c:pt idx="4919">
                  <c:v>7.25</c:v>
                </c:pt>
                <c:pt idx="4920">
                  <c:v>7.25</c:v>
                </c:pt>
                <c:pt idx="4921">
                  <c:v>7.25</c:v>
                </c:pt>
                <c:pt idx="4922">
                  <c:v>7.25</c:v>
                </c:pt>
                <c:pt idx="4923">
                  <c:v>7.25</c:v>
                </c:pt>
                <c:pt idx="4924">
                  <c:v>7.25</c:v>
                </c:pt>
                <c:pt idx="4925">
                  <c:v>7.25</c:v>
                </c:pt>
                <c:pt idx="4926">
                  <c:v>7.25</c:v>
                </c:pt>
                <c:pt idx="4927">
                  <c:v>7.25</c:v>
                </c:pt>
                <c:pt idx="4928">
                  <c:v>7.25</c:v>
                </c:pt>
                <c:pt idx="4929">
                  <c:v>7.25</c:v>
                </c:pt>
                <c:pt idx="4930">
                  <c:v>7.25</c:v>
                </c:pt>
                <c:pt idx="4931">
                  <c:v>7.25</c:v>
                </c:pt>
                <c:pt idx="4932">
                  <c:v>7.25</c:v>
                </c:pt>
                <c:pt idx="4933">
                  <c:v>7.25</c:v>
                </c:pt>
                <c:pt idx="4934">
                  <c:v>7.25</c:v>
                </c:pt>
                <c:pt idx="4935">
                  <c:v>7.25</c:v>
                </c:pt>
                <c:pt idx="4936">
                  <c:v>7.25</c:v>
                </c:pt>
                <c:pt idx="4937">
                  <c:v>7.25</c:v>
                </c:pt>
                <c:pt idx="4938">
                  <c:v>7.25</c:v>
                </c:pt>
                <c:pt idx="4939">
                  <c:v>7.25</c:v>
                </c:pt>
                <c:pt idx="4940">
                  <c:v>7.25</c:v>
                </c:pt>
                <c:pt idx="4941">
                  <c:v>7.25</c:v>
                </c:pt>
                <c:pt idx="4942">
                  <c:v>7.25</c:v>
                </c:pt>
                <c:pt idx="4943">
                  <c:v>7.25</c:v>
                </c:pt>
                <c:pt idx="4944">
                  <c:v>7.25</c:v>
                </c:pt>
                <c:pt idx="4945">
                  <c:v>7.25</c:v>
                </c:pt>
                <c:pt idx="4946">
                  <c:v>7.25</c:v>
                </c:pt>
                <c:pt idx="4947">
                  <c:v>7.25</c:v>
                </c:pt>
                <c:pt idx="4948">
                  <c:v>7.25</c:v>
                </c:pt>
                <c:pt idx="4949">
                  <c:v>7.25</c:v>
                </c:pt>
                <c:pt idx="4950">
                  <c:v>7.25</c:v>
                </c:pt>
                <c:pt idx="4951">
                  <c:v>7.25</c:v>
                </c:pt>
                <c:pt idx="4952">
                  <c:v>7.25</c:v>
                </c:pt>
                <c:pt idx="4953">
                  <c:v>7.25</c:v>
                </c:pt>
                <c:pt idx="4954">
                  <c:v>7.25</c:v>
                </c:pt>
                <c:pt idx="4955">
                  <c:v>7.25</c:v>
                </c:pt>
                <c:pt idx="4956">
                  <c:v>7.25</c:v>
                </c:pt>
                <c:pt idx="4957">
                  <c:v>7.25</c:v>
                </c:pt>
                <c:pt idx="4958">
                  <c:v>7.25</c:v>
                </c:pt>
                <c:pt idx="4959">
                  <c:v>7.25</c:v>
                </c:pt>
                <c:pt idx="4960">
                  <c:v>7.25</c:v>
                </c:pt>
                <c:pt idx="4961">
                  <c:v>7.25</c:v>
                </c:pt>
                <c:pt idx="4962">
                  <c:v>7.25</c:v>
                </c:pt>
                <c:pt idx="4963">
                  <c:v>7.25</c:v>
                </c:pt>
                <c:pt idx="4964">
                  <c:v>7.25</c:v>
                </c:pt>
                <c:pt idx="4965">
                  <c:v>7.25</c:v>
                </c:pt>
                <c:pt idx="4966">
                  <c:v>7.25</c:v>
                </c:pt>
                <c:pt idx="4967">
                  <c:v>7.25</c:v>
                </c:pt>
                <c:pt idx="4968">
                  <c:v>7.25</c:v>
                </c:pt>
                <c:pt idx="4969">
                  <c:v>7.25</c:v>
                </c:pt>
                <c:pt idx="4970">
                  <c:v>7.25</c:v>
                </c:pt>
                <c:pt idx="4971">
                  <c:v>7.25</c:v>
                </c:pt>
                <c:pt idx="4972">
                  <c:v>7.25</c:v>
                </c:pt>
                <c:pt idx="4973">
                  <c:v>7.25</c:v>
                </c:pt>
                <c:pt idx="4974">
                  <c:v>7.25</c:v>
                </c:pt>
                <c:pt idx="4975">
                  <c:v>7.25</c:v>
                </c:pt>
                <c:pt idx="4976">
                  <c:v>7.25</c:v>
                </c:pt>
                <c:pt idx="4977">
                  <c:v>7.25</c:v>
                </c:pt>
                <c:pt idx="4978">
                  <c:v>7.25</c:v>
                </c:pt>
                <c:pt idx="4979">
                  <c:v>7.25</c:v>
                </c:pt>
                <c:pt idx="4980">
                  <c:v>7.25</c:v>
                </c:pt>
                <c:pt idx="4981">
                  <c:v>7.25</c:v>
                </c:pt>
                <c:pt idx="4982">
                  <c:v>7.25</c:v>
                </c:pt>
                <c:pt idx="4983">
                  <c:v>7.25</c:v>
                </c:pt>
                <c:pt idx="4984">
                  <c:v>7.25</c:v>
                </c:pt>
                <c:pt idx="4985">
                  <c:v>7.25</c:v>
                </c:pt>
                <c:pt idx="4986">
                  <c:v>7.25</c:v>
                </c:pt>
                <c:pt idx="4987">
                  <c:v>7.25</c:v>
                </c:pt>
                <c:pt idx="4988">
                  <c:v>7.25</c:v>
                </c:pt>
                <c:pt idx="4989">
                  <c:v>7.25</c:v>
                </c:pt>
                <c:pt idx="4990">
                  <c:v>7.25</c:v>
                </c:pt>
                <c:pt idx="4991">
                  <c:v>7.25</c:v>
                </c:pt>
                <c:pt idx="4992">
                  <c:v>7.25</c:v>
                </c:pt>
                <c:pt idx="4993">
                  <c:v>7.25</c:v>
                </c:pt>
                <c:pt idx="4994">
                  <c:v>7.25</c:v>
                </c:pt>
                <c:pt idx="4995">
                  <c:v>7.25</c:v>
                </c:pt>
                <c:pt idx="4996">
                  <c:v>7.25</c:v>
                </c:pt>
                <c:pt idx="4997">
                  <c:v>7.25</c:v>
                </c:pt>
                <c:pt idx="4998">
                  <c:v>7.25</c:v>
                </c:pt>
                <c:pt idx="4999">
                  <c:v>7.25</c:v>
                </c:pt>
                <c:pt idx="5000">
                  <c:v>7.25</c:v>
                </c:pt>
                <c:pt idx="5001">
                  <c:v>7.25</c:v>
                </c:pt>
                <c:pt idx="5002">
                  <c:v>7.25</c:v>
                </c:pt>
                <c:pt idx="5003">
                  <c:v>7.25</c:v>
                </c:pt>
                <c:pt idx="5004">
                  <c:v>7.25</c:v>
                </c:pt>
                <c:pt idx="5005">
                  <c:v>7.25</c:v>
                </c:pt>
                <c:pt idx="5006">
                  <c:v>7.25</c:v>
                </c:pt>
                <c:pt idx="5007">
                  <c:v>7.25</c:v>
                </c:pt>
                <c:pt idx="5008">
                  <c:v>7.25</c:v>
                </c:pt>
                <c:pt idx="5009">
                  <c:v>7.25</c:v>
                </c:pt>
                <c:pt idx="5010">
                  <c:v>7.25</c:v>
                </c:pt>
                <c:pt idx="5011">
                  <c:v>7.25</c:v>
                </c:pt>
                <c:pt idx="5012">
                  <c:v>7.25</c:v>
                </c:pt>
                <c:pt idx="5013">
                  <c:v>7.25</c:v>
                </c:pt>
                <c:pt idx="5014">
                  <c:v>7.25</c:v>
                </c:pt>
                <c:pt idx="5015">
                  <c:v>7.25</c:v>
                </c:pt>
                <c:pt idx="5016">
                  <c:v>7.25</c:v>
                </c:pt>
                <c:pt idx="5017">
                  <c:v>7.25</c:v>
                </c:pt>
                <c:pt idx="5018">
                  <c:v>7.25</c:v>
                </c:pt>
                <c:pt idx="5019">
                  <c:v>6.75</c:v>
                </c:pt>
                <c:pt idx="5020">
                  <c:v>6.75</c:v>
                </c:pt>
                <c:pt idx="5021">
                  <c:v>6.75</c:v>
                </c:pt>
                <c:pt idx="5022">
                  <c:v>6.75</c:v>
                </c:pt>
                <c:pt idx="5023">
                  <c:v>6.75</c:v>
                </c:pt>
                <c:pt idx="5024">
                  <c:v>6.75</c:v>
                </c:pt>
                <c:pt idx="5025">
                  <c:v>6.75</c:v>
                </c:pt>
                <c:pt idx="5026">
                  <c:v>6.75</c:v>
                </c:pt>
                <c:pt idx="5027">
                  <c:v>6.75</c:v>
                </c:pt>
                <c:pt idx="5028">
                  <c:v>6.75</c:v>
                </c:pt>
                <c:pt idx="5029">
                  <c:v>6.75</c:v>
                </c:pt>
                <c:pt idx="5030">
                  <c:v>6.75</c:v>
                </c:pt>
                <c:pt idx="5031">
                  <c:v>6.75</c:v>
                </c:pt>
                <c:pt idx="5032">
                  <c:v>6.75</c:v>
                </c:pt>
                <c:pt idx="5033">
                  <c:v>6.75</c:v>
                </c:pt>
                <c:pt idx="5034">
                  <c:v>6.75</c:v>
                </c:pt>
                <c:pt idx="5035">
                  <c:v>6.75</c:v>
                </c:pt>
                <c:pt idx="5036">
                  <c:v>6.75</c:v>
                </c:pt>
                <c:pt idx="5037">
                  <c:v>6.75</c:v>
                </c:pt>
                <c:pt idx="5038">
                  <c:v>6.75</c:v>
                </c:pt>
                <c:pt idx="5039">
                  <c:v>6.75</c:v>
                </c:pt>
                <c:pt idx="5040">
                  <c:v>6.75</c:v>
                </c:pt>
                <c:pt idx="5041">
                  <c:v>6.75</c:v>
                </c:pt>
                <c:pt idx="5042">
                  <c:v>6.75</c:v>
                </c:pt>
                <c:pt idx="5043">
                  <c:v>6.75</c:v>
                </c:pt>
                <c:pt idx="5044">
                  <c:v>6.75</c:v>
                </c:pt>
                <c:pt idx="5045">
                  <c:v>6.75</c:v>
                </c:pt>
                <c:pt idx="5046">
                  <c:v>6.75</c:v>
                </c:pt>
                <c:pt idx="5047">
                  <c:v>6.75</c:v>
                </c:pt>
                <c:pt idx="5048">
                  <c:v>6.75</c:v>
                </c:pt>
                <c:pt idx="5049">
                  <c:v>6.75</c:v>
                </c:pt>
                <c:pt idx="5050">
                  <c:v>6.75</c:v>
                </c:pt>
                <c:pt idx="5051">
                  <c:v>6.75</c:v>
                </c:pt>
                <c:pt idx="5052">
                  <c:v>6.75</c:v>
                </c:pt>
                <c:pt idx="5053">
                  <c:v>6.75</c:v>
                </c:pt>
                <c:pt idx="5054">
                  <c:v>6.75</c:v>
                </c:pt>
                <c:pt idx="5055">
                  <c:v>6.75</c:v>
                </c:pt>
                <c:pt idx="5056">
                  <c:v>6.75</c:v>
                </c:pt>
                <c:pt idx="5057">
                  <c:v>6.75</c:v>
                </c:pt>
                <c:pt idx="5058">
                  <c:v>6.75</c:v>
                </c:pt>
                <c:pt idx="5059">
                  <c:v>6.75</c:v>
                </c:pt>
                <c:pt idx="5060">
                  <c:v>6.75</c:v>
                </c:pt>
                <c:pt idx="5061">
                  <c:v>6.75</c:v>
                </c:pt>
                <c:pt idx="5062">
                  <c:v>6.75</c:v>
                </c:pt>
                <c:pt idx="5063">
                  <c:v>6.75</c:v>
                </c:pt>
                <c:pt idx="5064">
                  <c:v>6.75</c:v>
                </c:pt>
                <c:pt idx="5065">
                  <c:v>6.75</c:v>
                </c:pt>
                <c:pt idx="5066">
                  <c:v>6.75</c:v>
                </c:pt>
                <c:pt idx="5067">
                  <c:v>6.75</c:v>
                </c:pt>
                <c:pt idx="5068">
                  <c:v>6.75</c:v>
                </c:pt>
                <c:pt idx="5069">
                  <c:v>6.75</c:v>
                </c:pt>
                <c:pt idx="5070">
                  <c:v>6.75</c:v>
                </c:pt>
                <c:pt idx="5071">
                  <c:v>6.75</c:v>
                </c:pt>
                <c:pt idx="5072">
                  <c:v>6.75</c:v>
                </c:pt>
                <c:pt idx="5073">
                  <c:v>6.75</c:v>
                </c:pt>
                <c:pt idx="5074">
                  <c:v>6.75</c:v>
                </c:pt>
                <c:pt idx="5075">
                  <c:v>6.75</c:v>
                </c:pt>
                <c:pt idx="5076">
                  <c:v>6.75</c:v>
                </c:pt>
                <c:pt idx="5077">
                  <c:v>6.75</c:v>
                </c:pt>
                <c:pt idx="5078">
                  <c:v>6.75</c:v>
                </c:pt>
                <c:pt idx="5079">
                  <c:v>6.75</c:v>
                </c:pt>
                <c:pt idx="5080">
                  <c:v>6.75</c:v>
                </c:pt>
                <c:pt idx="5081">
                  <c:v>6.75</c:v>
                </c:pt>
                <c:pt idx="5082">
                  <c:v>6.75</c:v>
                </c:pt>
                <c:pt idx="5083">
                  <c:v>6.75</c:v>
                </c:pt>
                <c:pt idx="5084">
                  <c:v>6.75</c:v>
                </c:pt>
                <c:pt idx="5085">
                  <c:v>6.75</c:v>
                </c:pt>
                <c:pt idx="5086">
                  <c:v>6.75</c:v>
                </c:pt>
                <c:pt idx="5087">
                  <c:v>6.75</c:v>
                </c:pt>
                <c:pt idx="5088">
                  <c:v>6.75</c:v>
                </c:pt>
                <c:pt idx="5089">
                  <c:v>6.75</c:v>
                </c:pt>
                <c:pt idx="5090">
                  <c:v>6.75</c:v>
                </c:pt>
                <c:pt idx="5091">
                  <c:v>6.75</c:v>
                </c:pt>
                <c:pt idx="5092">
                  <c:v>6.75</c:v>
                </c:pt>
                <c:pt idx="5093">
                  <c:v>6.75</c:v>
                </c:pt>
                <c:pt idx="5094">
                  <c:v>6.75</c:v>
                </c:pt>
                <c:pt idx="5095">
                  <c:v>6.75</c:v>
                </c:pt>
                <c:pt idx="5096">
                  <c:v>6.75</c:v>
                </c:pt>
                <c:pt idx="5097">
                  <c:v>6.75</c:v>
                </c:pt>
                <c:pt idx="5098">
                  <c:v>6.75</c:v>
                </c:pt>
                <c:pt idx="5099">
                  <c:v>6.75</c:v>
                </c:pt>
                <c:pt idx="5100">
                  <c:v>6.75</c:v>
                </c:pt>
                <c:pt idx="5101">
                  <c:v>6.75</c:v>
                </c:pt>
                <c:pt idx="5102">
                  <c:v>6.75</c:v>
                </c:pt>
                <c:pt idx="5103">
                  <c:v>6.75</c:v>
                </c:pt>
                <c:pt idx="5104">
                  <c:v>6.75</c:v>
                </c:pt>
                <c:pt idx="5105">
                  <c:v>6.75</c:v>
                </c:pt>
                <c:pt idx="5106">
                  <c:v>6.75</c:v>
                </c:pt>
                <c:pt idx="5107">
                  <c:v>6.75</c:v>
                </c:pt>
                <c:pt idx="5108">
                  <c:v>6.75</c:v>
                </c:pt>
                <c:pt idx="5109">
                  <c:v>6.75</c:v>
                </c:pt>
                <c:pt idx="5110">
                  <c:v>6.75</c:v>
                </c:pt>
                <c:pt idx="5111">
                  <c:v>6.75</c:v>
                </c:pt>
                <c:pt idx="5112">
                  <c:v>6.75</c:v>
                </c:pt>
                <c:pt idx="5113">
                  <c:v>6.75</c:v>
                </c:pt>
                <c:pt idx="5114">
                  <c:v>6.75</c:v>
                </c:pt>
                <c:pt idx="5115">
                  <c:v>6.75</c:v>
                </c:pt>
                <c:pt idx="5116">
                  <c:v>6.75</c:v>
                </c:pt>
                <c:pt idx="5117">
                  <c:v>6.75</c:v>
                </c:pt>
                <c:pt idx="5118">
                  <c:v>6.75</c:v>
                </c:pt>
                <c:pt idx="5119">
                  <c:v>6.75</c:v>
                </c:pt>
                <c:pt idx="5120">
                  <c:v>6.75</c:v>
                </c:pt>
                <c:pt idx="5121">
                  <c:v>6.75</c:v>
                </c:pt>
                <c:pt idx="5122">
                  <c:v>6.75</c:v>
                </c:pt>
                <c:pt idx="5123">
                  <c:v>6.75</c:v>
                </c:pt>
                <c:pt idx="5124">
                  <c:v>6.75</c:v>
                </c:pt>
                <c:pt idx="5125">
                  <c:v>6.75</c:v>
                </c:pt>
                <c:pt idx="5126">
                  <c:v>6.75</c:v>
                </c:pt>
                <c:pt idx="5127">
                  <c:v>6.75</c:v>
                </c:pt>
                <c:pt idx="5128">
                  <c:v>6.75</c:v>
                </c:pt>
                <c:pt idx="5129">
                  <c:v>6.75</c:v>
                </c:pt>
                <c:pt idx="5130">
                  <c:v>6.75</c:v>
                </c:pt>
                <c:pt idx="5131">
                  <c:v>6.75</c:v>
                </c:pt>
                <c:pt idx="5132">
                  <c:v>6.75</c:v>
                </c:pt>
                <c:pt idx="5133">
                  <c:v>6.75</c:v>
                </c:pt>
                <c:pt idx="5134">
                  <c:v>6.75</c:v>
                </c:pt>
                <c:pt idx="5135">
                  <c:v>6.75</c:v>
                </c:pt>
                <c:pt idx="5136">
                  <c:v>6.75</c:v>
                </c:pt>
                <c:pt idx="5137">
                  <c:v>6.75</c:v>
                </c:pt>
                <c:pt idx="5138">
                  <c:v>6.75</c:v>
                </c:pt>
                <c:pt idx="5139">
                  <c:v>6.75</c:v>
                </c:pt>
                <c:pt idx="5140">
                  <c:v>6.75</c:v>
                </c:pt>
                <c:pt idx="5141">
                  <c:v>6.75</c:v>
                </c:pt>
                <c:pt idx="5142">
                  <c:v>6.75</c:v>
                </c:pt>
                <c:pt idx="5143">
                  <c:v>6.75</c:v>
                </c:pt>
                <c:pt idx="5144">
                  <c:v>6.75</c:v>
                </c:pt>
                <c:pt idx="5145">
                  <c:v>6.75</c:v>
                </c:pt>
                <c:pt idx="5146">
                  <c:v>6.75</c:v>
                </c:pt>
                <c:pt idx="5147">
                  <c:v>6.75</c:v>
                </c:pt>
                <c:pt idx="5148">
                  <c:v>6.75</c:v>
                </c:pt>
                <c:pt idx="5149">
                  <c:v>6.75</c:v>
                </c:pt>
                <c:pt idx="5150">
                  <c:v>6.75</c:v>
                </c:pt>
                <c:pt idx="5151">
                  <c:v>6.75</c:v>
                </c:pt>
                <c:pt idx="5152">
                  <c:v>6.75</c:v>
                </c:pt>
                <c:pt idx="5153">
                  <c:v>6.75</c:v>
                </c:pt>
                <c:pt idx="5154">
                  <c:v>6.75</c:v>
                </c:pt>
                <c:pt idx="5155">
                  <c:v>6.75</c:v>
                </c:pt>
                <c:pt idx="5156">
                  <c:v>6.75</c:v>
                </c:pt>
                <c:pt idx="5157">
                  <c:v>6.75</c:v>
                </c:pt>
                <c:pt idx="5158">
                  <c:v>6.75</c:v>
                </c:pt>
                <c:pt idx="5159">
                  <c:v>6.75</c:v>
                </c:pt>
                <c:pt idx="5160">
                  <c:v>6.75</c:v>
                </c:pt>
                <c:pt idx="5161">
                  <c:v>6.75</c:v>
                </c:pt>
                <c:pt idx="5162">
                  <c:v>6.75</c:v>
                </c:pt>
                <c:pt idx="5163">
                  <c:v>6.75</c:v>
                </c:pt>
                <c:pt idx="5164">
                  <c:v>6.75</c:v>
                </c:pt>
                <c:pt idx="5165">
                  <c:v>6.75</c:v>
                </c:pt>
                <c:pt idx="5166">
                  <c:v>6.75</c:v>
                </c:pt>
                <c:pt idx="5167">
                  <c:v>6.75</c:v>
                </c:pt>
                <c:pt idx="5168">
                  <c:v>6.75</c:v>
                </c:pt>
                <c:pt idx="5169">
                  <c:v>6.75</c:v>
                </c:pt>
                <c:pt idx="5170">
                  <c:v>6.75</c:v>
                </c:pt>
                <c:pt idx="5171">
                  <c:v>6.75</c:v>
                </c:pt>
                <c:pt idx="5172">
                  <c:v>6.75</c:v>
                </c:pt>
                <c:pt idx="5173">
                  <c:v>6.75</c:v>
                </c:pt>
                <c:pt idx="5174">
                  <c:v>6.75</c:v>
                </c:pt>
                <c:pt idx="5175">
                  <c:v>6.75</c:v>
                </c:pt>
                <c:pt idx="5176">
                  <c:v>6.75</c:v>
                </c:pt>
                <c:pt idx="5177">
                  <c:v>6.75</c:v>
                </c:pt>
                <c:pt idx="5178">
                  <c:v>6.75</c:v>
                </c:pt>
                <c:pt idx="5179">
                  <c:v>6.75</c:v>
                </c:pt>
                <c:pt idx="5180">
                  <c:v>6.75</c:v>
                </c:pt>
                <c:pt idx="5181">
                  <c:v>6.75</c:v>
                </c:pt>
                <c:pt idx="5182">
                  <c:v>6.75</c:v>
                </c:pt>
                <c:pt idx="5183">
                  <c:v>6.75</c:v>
                </c:pt>
                <c:pt idx="5184">
                  <c:v>6.75</c:v>
                </c:pt>
                <c:pt idx="5185">
                  <c:v>6.75</c:v>
                </c:pt>
                <c:pt idx="5186">
                  <c:v>6.75</c:v>
                </c:pt>
                <c:pt idx="5187">
                  <c:v>6.75</c:v>
                </c:pt>
                <c:pt idx="5188">
                  <c:v>6.75</c:v>
                </c:pt>
                <c:pt idx="5189">
                  <c:v>6.75</c:v>
                </c:pt>
                <c:pt idx="5190">
                  <c:v>6.75</c:v>
                </c:pt>
                <c:pt idx="5191">
                  <c:v>6.75</c:v>
                </c:pt>
                <c:pt idx="5192">
                  <c:v>6.75</c:v>
                </c:pt>
                <c:pt idx="5193">
                  <c:v>6.75</c:v>
                </c:pt>
                <c:pt idx="5194">
                  <c:v>6.75</c:v>
                </c:pt>
                <c:pt idx="5195">
                  <c:v>6.75</c:v>
                </c:pt>
                <c:pt idx="5196">
                  <c:v>6.75</c:v>
                </c:pt>
                <c:pt idx="5197">
                  <c:v>6.75</c:v>
                </c:pt>
                <c:pt idx="5198">
                  <c:v>6.75</c:v>
                </c:pt>
                <c:pt idx="5199">
                  <c:v>6.75</c:v>
                </c:pt>
                <c:pt idx="5200">
                  <c:v>6.75</c:v>
                </c:pt>
                <c:pt idx="5201">
                  <c:v>6.75</c:v>
                </c:pt>
                <c:pt idx="5202">
                  <c:v>6.75</c:v>
                </c:pt>
                <c:pt idx="5203">
                  <c:v>6.75</c:v>
                </c:pt>
                <c:pt idx="5204">
                  <c:v>6.75</c:v>
                </c:pt>
                <c:pt idx="5205">
                  <c:v>6.75</c:v>
                </c:pt>
                <c:pt idx="5206">
                  <c:v>6.75</c:v>
                </c:pt>
                <c:pt idx="5207">
                  <c:v>6.75</c:v>
                </c:pt>
                <c:pt idx="5208">
                  <c:v>6.5</c:v>
                </c:pt>
                <c:pt idx="5209">
                  <c:v>6.5</c:v>
                </c:pt>
                <c:pt idx="5210">
                  <c:v>6.5</c:v>
                </c:pt>
                <c:pt idx="5211">
                  <c:v>6.5</c:v>
                </c:pt>
                <c:pt idx="5212">
                  <c:v>6.5</c:v>
                </c:pt>
                <c:pt idx="5213">
                  <c:v>6.5</c:v>
                </c:pt>
                <c:pt idx="5214">
                  <c:v>6.5</c:v>
                </c:pt>
                <c:pt idx="5215">
                  <c:v>6.5</c:v>
                </c:pt>
                <c:pt idx="5216">
                  <c:v>6.5</c:v>
                </c:pt>
                <c:pt idx="5217">
                  <c:v>6.5</c:v>
                </c:pt>
                <c:pt idx="5218">
                  <c:v>6.5</c:v>
                </c:pt>
                <c:pt idx="5219">
                  <c:v>6.5</c:v>
                </c:pt>
                <c:pt idx="5220">
                  <c:v>6.5</c:v>
                </c:pt>
                <c:pt idx="5221">
                  <c:v>6.5</c:v>
                </c:pt>
                <c:pt idx="5222">
                  <c:v>6.5</c:v>
                </c:pt>
                <c:pt idx="5223">
                  <c:v>6.5</c:v>
                </c:pt>
                <c:pt idx="5224">
                  <c:v>6.5</c:v>
                </c:pt>
                <c:pt idx="5225">
                  <c:v>6.5</c:v>
                </c:pt>
                <c:pt idx="5226">
                  <c:v>6.5</c:v>
                </c:pt>
                <c:pt idx="5227">
                  <c:v>6.5</c:v>
                </c:pt>
                <c:pt idx="5228">
                  <c:v>6.5</c:v>
                </c:pt>
                <c:pt idx="5229">
                  <c:v>6.5</c:v>
                </c:pt>
                <c:pt idx="5230">
                  <c:v>6.5</c:v>
                </c:pt>
                <c:pt idx="5231">
                  <c:v>6.5</c:v>
                </c:pt>
                <c:pt idx="5232">
                  <c:v>6.5</c:v>
                </c:pt>
                <c:pt idx="5233">
                  <c:v>6.5</c:v>
                </c:pt>
                <c:pt idx="5234">
                  <c:v>6.5</c:v>
                </c:pt>
                <c:pt idx="5235">
                  <c:v>6.5</c:v>
                </c:pt>
                <c:pt idx="5236">
                  <c:v>6.5</c:v>
                </c:pt>
                <c:pt idx="5237">
                  <c:v>6.5</c:v>
                </c:pt>
                <c:pt idx="5238">
                  <c:v>6.5</c:v>
                </c:pt>
                <c:pt idx="5239">
                  <c:v>6.5</c:v>
                </c:pt>
                <c:pt idx="5240">
                  <c:v>6.5</c:v>
                </c:pt>
                <c:pt idx="5241">
                  <c:v>6.5</c:v>
                </c:pt>
                <c:pt idx="5242">
                  <c:v>6.5</c:v>
                </c:pt>
                <c:pt idx="5243">
                  <c:v>6.5</c:v>
                </c:pt>
                <c:pt idx="5244">
                  <c:v>6.5</c:v>
                </c:pt>
                <c:pt idx="5245">
                  <c:v>6.5</c:v>
                </c:pt>
                <c:pt idx="5246">
                  <c:v>6.5</c:v>
                </c:pt>
                <c:pt idx="5247">
                  <c:v>6.5</c:v>
                </c:pt>
                <c:pt idx="5248">
                  <c:v>6.5</c:v>
                </c:pt>
                <c:pt idx="5249">
                  <c:v>6.5</c:v>
                </c:pt>
                <c:pt idx="5250">
                  <c:v>6.5</c:v>
                </c:pt>
                <c:pt idx="5251">
                  <c:v>6.5</c:v>
                </c:pt>
                <c:pt idx="5252">
                  <c:v>6.5</c:v>
                </c:pt>
                <c:pt idx="5253">
                  <c:v>6.5</c:v>
                </c:pt>
                <c:pt idx="5254">
                  <c:v>6.5</c:v>
                </c:pt>
                <c:pt idx="5255">
                  <c:v>6.5</c:v>
                </c:pt>
                <c:pt idx="5256">
                  <c:v>6.5</c:v>
                </c:pt>
                <c:pt idx="5257">
                  <c:v>6.5</c:v>
                </c:pt>
                <c:pt idx="5258">
                  <c:v>6.5</c:v>
                </c:pt>
                <c:pt idx="5259">
                  <c:v>6.5</c:v>
                </c:pt>
                <c:pt idx="5260">
                  <c:v>6.5</c:v>
                </c:pt>
                <c:pt idx="5261">
                  <c:v>6.5</c:v>
                </c:pt>
                <c:pt idx="5262">
                  <c:v>6.5</c:v>
                </c:pt>
                <c:pt idx="5263">
                  <c:v>6.5</c:v>
                </c:pt>
                <c:pt idx="5264">
                  <c:v>6.5</c:v>
                </c:pt>
                <c:pt idx="5265">
                  <c:v>6.5</c:v>
                </c:pt>
                <c:pt idx="5266">
                  <c:v>6.5</c:v>
                </c:pt>
                <c:pt idx="5267">
                  <c:v>6.5</c:v>
                </c:pt>
                <c:pt idx="5268">
                  <c:v>6.5</c:v>
                </c:pt>
                <c:pt idx="5269">
                  <c:v>6.5</c:v>
                </c:pt>
                <c:pt idx="5270">
                  <c:v>6.5</c:v>
                </c:pt>
                <c:pt idx="5271">
                  <c:v>6.5</c:v>
                </c:pt>
                <c:pt idx="5272">
                  <c:v>6.5</c:v>
                </c:pt>
                <c:pt idx="5273">
                  <c:v>6.5</c:v>
                </c:pt>
                <c:pt idx="5274">
                  <c:v>6.5</c:v>
                </c:pt>
                <c:pt idx="5275">
                  <c:v>6.5</c:v>
                </c:pt>
                <c:pt idx="5276">
                  <c:v>6.5</c:v>
                </c:pt>
                <c:pt idx="5277">
                  <c:v>6.5</c:v>
                </c:pt>
                <c:pt idx="5278">
                  <c:v>6.5</c:v>
                </c:pt>
                <c:pt idx="5279">
                  <c:v>6.5</c:v>
                </c:pt>
                <c:pt idx="5280">
                  <c:v>6.5</c:v>
                </c:pt>
                <c:pt idx="5281">
                  <c:v>6.5</c:v>
                </c:pt>
                <c:pt idx="5282">
                  <c:v>6.5</c:v>
                </c:pt>
                <c:pt idx="5283">
                  <c:v>6.5</c:v>
                </c:pt>
                <c:pt idx="5284">
                  <c:v>6.5</c:v>
                </c:pt>
                <c:pt idx="5285">
                  <c:v>6.5</c:v>
                </c:pt>
                <c:pt idx="5286">
                  <c:v>6.5</c:v>
                </c:pt>
                <c:pt idx="5287">
                  <c:v>6.5</c:v>
                </c:pt>
                <c:pt idx="5288">
                  <c:v>6.5</c:v>
                </c:pt>
                <c:pt idx="5289">
                  <c:v>6.5</c:v>
                </c:pt>
                <c:pt idx="5290">
                  <c:v>6.5</c:v>
                </c:pt>
                <c:pt idx="5291">
                  <c:v>6.5</c:v>
                </c:pt>
                <c:pt idx="5292">
                  <c:v>6.5</c:v>
                </c:pt>
                <c:pt idx="5293">
                  <c:v>6.5</c:v>
                </c:pt>
                <c:pt idx="5294">
                  <c:v>6.5</c:v>
                </c:pt>
                <c:pt idx="5295">
                  <c:v>6.5</c:v>
                </c:pt>
                <c:pt idx="5296">
                  <c:v>6.5</c:v>
                </c:pt>
                <c:pt idx="5297">
                  <c:v>6.5</c:v>
                </c:pt>
                <c:pt idx="5298">
                  <c:v>6.5</c:v>
                </c:pt>
                <c:pt idx="5299">
                  <c:v>6.5</c:v>
                </c:pt>
                <c:pt idx="5300">
                  <c:v>6.5</c:v>
                </c:pt>
                <c:pt idx="5301">
                  <c:v>6.5</c:v>
                </c:pt>
                <c:pt idx="5302">
                  <c:v>6.5</c:v>
                </c:pt>
                <c:pt idx="5303">
                  <c:v>6.5</c:v>
                </c:pt>
                <c:pt idx="5304">
                  <c:v>6.5</c:v>
                </c:pt>
                <c:pt idx="5305">
                  <c:v>6.5</c:v>
                </c:pt>
                <c:pt idx="5306">
                  <c:v>6.5</c:v>
                </c:pt>
                <c:pt idx="5307">
                  <c:v>6.5</c:v>
                </c:pt>
                <c:pt idx="5308">
                  <c:v>6.5</c:v>
                </c:pt>
                <c:pt idx="5309">
                  <c:v>6.5</c:v>
                </c:pt>
                <c:pt idx="5310">
                  <c:v>6.5</c:v>
                </c:pt>
                <c:pt idx="5311">
                  <c:v>6.5</c:v>
                </c:pt>
                <c:pt idx="5312">
                  <c:v>6.5</c:v>
                </c:pt>
                <c:pt idx="5313">
                  <c:v>6.5</c:v>
                </c:pt>
                <c:pt idx="5314">
                  <c:v>6.5</c:v>
                </c:pt>
                <c:pt idx="5315">
                  <c:v>6.5</c:v>
                </c:pt>
                <c:pt idx="5316">
                  <c:v>6.5</c:v>
                </c:pt>
                <c:pt idx="5317">
                  <c:v>6.5</c:v>
                </c:pt>
                <c:pt idx="5318">
                  <c:v>6.5</c:v>
                </c:pt>
                <c:pt idx="5319">
                  <c:v>6.5</c:v>
                </c:pt>
                <c:pt idx="5320">
                  <c:v>6.5</c:v>
                </c:pt>
                <c:pt idx="5321">
                  <c:v>6.5</c:v>
                </c:pt>
                <c:pt idx="5322">
                  <c:v>6.5</c:v>
                </c:pt>
                <c:pt idx="5323">
                  <c:v>6.5</c:v>
                </c:pt>
                <c:pt idx="5324">
                  <c:v>6.5</c:v>
                </c:pt>
                <c:pt idx="5325">
                  <c:v>6.5</c:v>
                </c:pt>
                <c:pt idx="5326">
                  <c:v>6.5</c:v>
                </c:pt>
                <c:pt idx="5327">
                  <c:v>6.5</c:v>
                </c:pt>
                <c:pt idx="5328">
                  <c:v>6.5</c:v>
                </c:pt>
                <c:pt idx="5329">
                  <c:v>6.5</c:v>
                </c:pt>
                <c:pt idx="5330">
                  <c:v>6.5</c:v>
                </c:pt>
                <c:pt idx="5331">
                  <c:v>6.5</c:v>
                </c:pt>
                <c:pt idx="5332">
                  <c:v>6.5</c:v>
                </c:pt>
                <c:pt idx="5333">
                  <c:v>6.5</c:v>
                </c:pt>
                <c:pt idx="5334">
                  <c:v>6.5</c:v>
                </c:pt>
                <c:pt idx="5335">
                  <c:v>6.5</c:v>
                </c:pt>
                <c:pt idx="5336">
                  <c:v>6.5</c:v>
                </c:pt>
                <c:pt idx="5337">
                  <c:v>6.5</c:v>
                </c:pt>
                <c:pt idx="5338">
                  <c:v>6.5</c:v>
                </c:pt>
                <c:pt idx="5339">
                  <c:v>6.5</c:v>
                </c:pt>
                <c:pt idx="5340">
                  <c:v>6.5</c:v>
                </c:pt>
                <c:pt idx="5341">
                  <c:v>6.5</c:v>
                </c:pt>
                <c:pt idx="5342">
                  <c:v>6.5</c:v>
                </c:pt>
                <c:pt idx="5343">
                  <c:v>6.5</c:v>
                </c:pt>
                <c:pt idx="5344">
                  <c:v>6.5</c:v>
                </c:pt>
                <c:pt idx="5345">
                  <c:v>6.5</c:v>
                </c:pt>
                <c:pt idx="5346">
                  <c:v>6.5</c:v>
                </c:pt>
                <c:pt idx="5347">
                  <c:v>6.5</c:v>
                </c:pt>
                <c:pt idx="5348">
                  <c:v>6.5</c:v>
                </c:pt>
                <c:pt idx="5349">
                  <c:v>6.5</c:v>
                </c:pt>
                <c:pt idx="5350">
                  <c:v>6.5</c:v>
                </c:pt>
                <c:pt idx="5351">
                  <c:v>6.5</c:v>
                </c:pt>
                <c:pt idx="5352">
                  <c:v>6.5</c:v>
                </c:pt>
                <c:pt idx="5353">
                  <c:v>6.5</c:v>
                </c:pt>
                <c:pt idx="5354">
                  <c:v>6.5</c:v>
                </c:pt>
                <c:pt idx="5355">
                  <c:v>6.5</c:v>
                </c:pt>
                <c:pt idx="5356">
                  <c:v>6.5</c:v>
                </c:pt>
                <c:pt idx="5357">
                  <c:v>6.5</c:v>
                </c:pt>
                <c:pt idx="5358">
                  <c:v>6.5</c:v>
                </c:pt>
                <c:pt idx="5359">
                  <c:v>6.5</c:v>
                </c:pt>
                <c:pt idx="5360">
                  <c:v>6.5</c:v>
                </c:pt>
                <c:pt idx="5361">
                  <c:v>6.5</c:v>
                </c:pt>
                <c:pt idx="5362">
                  <c:v>6.5</c:v>
                </c:pt>
                <c:pt idx="5363">
                  <c:v>6.5</c:v>
                </c:pt>
                <c:pt idx="5364">
                  <c:v>6.5</c:v>
                </c:pt>
                <c:pt idx="5365">
                  <c:v>6.5</c:v>
                </c:pt>
                <c:pt idx="5366">
                  <c:v>6.5</c:v>
                </c:pt>
                <c:pt idx="5367">
                  <c:v>6.5</c:v>
                </c:pt>
                <c:pt idx="5368">
                  <c:v>6.5</c:v>
                </c:pt>
                <c:pt idx="5369">
                  <c:v>6.5</c:v>
                </c:pt>
                <c:pt idx="5370">
                  <c:v>6.5</c:v>
                </c:pt>
                <c:pt idx="5371">
                  <c:v>6.5</c:v>
                </c:pt>
                <c:pt idx="5372">
                  <c:v>6.5</c:v>
                </c:pt>
                <c:pt idx="5373">
                  <c:v>6.5</c:v>
                </c:pt>
                <c:pt idx="5374">
                  <c:v>6.5</c:v>
                </c:pt>
                <c:pt idx="5375">
                  <c:v>6.5</c:v>
                </c:pt>
                <c:pt idx="5376">
                  <c:v>6.5</c:v>
                </c:pt>
                <c:pt idx="5377">
                  <c:v>6.5</c:v>
                </c:pt>
                <c:pt idx="5378">
                  <c:v>6.5</c:v>
                </c:pt>
                <c:pt idx="5379">
                  <c:v>6.5</c:v>
                </c:pt>
                <c:pt idx="5380">
                  <c:v>6.5</c:v>
                </c:pt>
                <c:pt idx="5381">
                  <c:v>6.5</c:v>
                </c:pt>
                <c:pt idx="5382">
                  <c:v>6.5</c:v>
                </c:pt>
                <c:pt idx="5383">
                  <c:v>6.5</c:v>
                </c:pt>
                <c:pt idx="5384">
                  <c:v>6.5</c:v>
                </c:pt>
                <c:pt idx="5385">
                  <c:v>6.5</c:v>
                </c:pt>
                <c:pt idx="5386">
                  <c:v>6.5</c:v>
                </c:pt>
                <c:pt idx="5387">
                  <c:v>6.5</c:v>
                </c:pt>
                <c:pt idx="5388">
                  <c:v>6.5</c:v>
                </c:pt>
                <c:pt idx="5389">
                  <c:v>6.5</c:v>
                </c:pt>
                <c:pt idx="5390">
                  <c:v>6.5</c:v>
                </c:pt>
                <c:pt idx="5391">
                  <c:v>6.25</c:v>
                </c:pt>
                <c:pt idx="5392">
                  <c:v>6.25</c:v>
                </c:pt>
                <c:pt idx="5393">
                  <c:v>6.25</c:v>
                </c:pt>
                <c:pt idx="5394">
                  <c:v>6.25</c:v>
                </c:pt>
                <c:pt idx="5395">
                  <c:v>6.25</c:v>
                </c:pt>
                <c:pt idx="5396">
                  <c:v>6.25</c:v>
                </c:pt>
                <c:pt idx="5397">
                  <c:v>6.25</c:v>
                </c:pt>
                <c:pt idx="5398">
                  <c:v>6.25</c:v>
                </c:pt>
                <c:pt idx="5399">
                  <c:v>6.25</c:v>
                </c:pt>
                <c:pt idx="5400">
                  <c:v>6.25</c:v>
                </c:pt>
                <c:pt idx="5401">
                  <c:v>6.25</c:v>
                </c:pt>
                <c:pt idx="5402">
                  <c:v>6.25</c:v>
                </c:pt>
                <c:pt idx="5403">
                  <c:v>6.25</c:v>
                </c:pt>
                <c:pt idx="5404">
                  <c:v>6.25</c:v>
                </c:pt>
                <c:pt idx="5405">
                  <c:v>6.25</c:v>
                </c:pt>
                <c:pt idx="5406">
                  <c:v>6.25</c:v>
                </c:pt>
                <c:pt idx="5407">
                  <c:v>6.25</c:v>
                </c:pt>
                <c:pt idx="5408">
                  <c:v>6.25</c:v>
                </c:pt>
                <c:pt idx="5409">
                  <c:v>6.25</c:v>
                </c:pt>
                <c:pt idx="5410">
                  <c:v>6.25</c:v>
                </c:pt>
                <c:pt idx="5411">
                  <c:v>6.25</c:v>
                </c:pt>
                <c:pt idx="5412">
                  <c:v>6.25</c:v>
                </c:pt>
                <c:pt idx="5413">
                  <c:v>6.25</c:v>
                </c:pt>
                <c:pt idx="5414">
                  <c:v>6.25</c:v>
                </c:pt>
                <c:pt idx="5415">
                  <c:v>6.25</c:v>
                </c:pt>
                <c:pt idx="5416">
                  <c:v>6.25</c:v>
                </c:pt>
                <c:pt idx="5417">
                  <c:v>6.25</c:v>
                </c:pt>
                <c:pt idx="5418">
                  <c:v>6.25</c:v>
                </c:pt>
                <c:pt idx="5419">
                  <c:v>6.25</c:v>
                </c:pt>
                <c:pt idx="5420">
                  <c:v>6.25</c:v>
                </c:pt>
                <c:pt idx="5421">
                  <c:v>6.25</c:v>
                </c:pt>
                <c:pt idx="5422">
                  <c:v>6.25</c:v>
                </c:pt>
                <c:pt idx="5423">
                  <c:v>6.25</c:v>
                </c:pt>
                <c:pt idx="5424">
                  <c:v>6.25</c:v>
                </c:pt>
                <c:pt idx="5425">
                  <c:v>6.25</c:v>
                </c:pt>
                <c:pt idx="5426">
                  <c:v>6.25</c:v>
                </c:pt>
                <c:pt idx="5427">
                  <c:v>6.25</c:v>
                </c:pt>
                <c:pt idx="5428">
                  <c:v>6.25</c:v>
                </c:pt>
                <c:pt idx="5429">
                  <c:v>6.25</c:v>
                </c:pt>
                <c:pt idx="5430">
                  <c:v>6.25</c:v>
                </c:pt>
                <c:pt idx="5431">
                  <c:v>6.25</c:v>
                </c:pt>
                <c:pt idx="5432">
                  <c:v>6.25</c:v>
                </c:pt>
                <c:pt idx="5433">
                  <c:v>6.25</c:v>
                </c:pt>
                <c:pt idx="5434">
                  <c:v>6.25</c:v>
                </c:pt>
                <c:pt idx="5435">
                  <c:v>6.25</c:v>
                </c:pt>
                <c:pt idx="5436">
                  <c:v>6.25</c:v>
                </c:pt>
                <c:pt idx="5437">
                  <c:v>6.25</c:v>
                </c:pt>
                <c:pt idx="5438">
                  <c:v>6.25</c:v>
                </c:pt>
                <c:pt idx="5439">
                  <c:v>6.25</c:v>
                </c:pt>
                <c:pt idx="5440">
                  <c:v>6.25</c:v>
                </c:pt>
                <c:pt idx="5441">
                  <c:v>6.25</c:v>
                </c:pt>
                <c:pt idx="5442">
                  <c:v>6.25</c:v>
                </c:pt>
                <c:pt idx="5443">
                  <c:v>6.25</c:v>
                </c:pt>
                <c:pt idx="5444">
                  <c:v>6.25</c:v>
                </c:pt>
                <c:pt idx="5445">
                  <c:v>6.25</c:v>
                </c:pt>
                <c:pt idx="5446">
                  <c:v>6.25</c:v>
                </c:pt>
                <c:pt idx="5447">
                  <c:v>6.25</c:v>
                </c:pt>
                <c:pt idx="5448">
                  <c:v>6.25</c:v>
                </c:pt>
                <c:pt idx="5449">
                  <c:v>6.25</c:v>
                </c:pt>
                <c:pt idx="5450">
                  <c:v>6.25</c:v>
                </c:pt>
                <c:pt idx="5451">
                  <c:v>6.25</c:v>
                </c:pt>
                <c:pt idx="5452">
                  <c:v>6.25</c:v>
                </c:pt>
                <c:pt idx="5453">
                  <c:v>6.25</c:v>
                </c:pt>
                <c:pt idx="5454">
                  <c:v>6.25</c:v>
                </c:pt>
                <c:pt idx="5455">
                  <c:v>6.25</c:v>
                </c:pt>
                <c:pt idx="5456">
                  <c:v>6.25</c:v>
                </c:pt>
                <c:pt idx="5457">
                  <c:v>6.25</c:v>
                </c:pt>
                <c:pt idx="5458">
                  <c:v>6.25</c:v>
                </c:pt>
                <c:pt idx="5459">
                  <c:v>6.25</c:v>
                </c:pt>
                <c:pt idx="5460">
                  <c:v>6.25</c:v>
                </c:pt>
                <c:pt idx="5461">
                  <c:v>6.25</c:v>
                </c:pt>
                <c:pt idx="5462">
                  <c:v>6.25</c:v>
                </c:pt>
                <c:pt idx="5463">
                  <c:v>6.25</c:v>
                </c:pt>
                <c:pt idx="5464">
                  <c:v>6.25</c:v>
                </c:pt>
                <c:pt idx="5465">
                  <c:v>6.25</c:v>
                </c:pt>
                <c:pt idx="5466">
                  <c:v>6.25</c:v>
                </c:pt>
                <c:pt idx="5467">
                  <c:v>6.25</c:v>
                </c:pt>
                <c:pt idx="5468">
                  <c:v>6.25</c:v>
                </c:pt>
                <c:pt idx="5469">
                  <c:v>6.25</c:v>
                </c:pt>
                <c:pt idx="5470">
                  <c:v>6.25</c:v>
                </c:pt>
                <c:pt idx="5471">
                  <c:v>6.25</c:v>
                </c:pt>
                <c:pt idx="5472">
                  <c:v>6.25</c:v>
                </c:pt>
                <c:pt idx="5473">
                  <c:v>6.25</c:v>
                </c:pt>
                <c:pt idx="5474">
                  <c:v>6.25</c:v>
                </c:pt>
                <c:pt idx="5475">
                  <c:v>6.25</c:v>
                </c:pt>
                <c:pt idx="5476">
                  <c:v>6.25</c:v>
                </c:pt>
                <c:pt idx="5477">
                  <c:v>6.25</c:v>
                </c:pt>
                <c:pt idx="5478">
                  <c:v>6.25</c:v>
                </c:pt>
                <c:pt idx="5479">
                  <c:v>6.25</c:v>
                </c:pt>
                <c:pt idx="5480">
                  <c:v>6.25</c:v>
                </c:pt>
                <c:pt idx="5481">
                  <c:v>6.25</c:v>
                </c:pt>
                <c:pt idx="5482">
                  <c:v>6.25</c:v>
                </c:pt>
                <c:pt idx="5483">
                  <c:v>6.25</c:v>
                </c:pt>
                <c:pt idx="5484">
                  <c:v>6.25</c:v>
                </c:pt>
                <c:pt idx="5485">
                  <c:v>6.25</c:v>
                </c:pt>
                <c:pt idx="5486">
                  <c:v>6.25</c:v>
                </c:pt>
                <c:pt idx="5487">
                  <c:v>6.25</c:v>
                </c:pt>
                <c:pt idx="5488">
                  <c:v>6.25</c:v>
                </c:pt>
                <c:pt idx="5489">
                  <c:v>6.25</c:v>
                </c:pt>
                <c:pt idx="5490">
                  <c:v>6.25</c:v>
                </c:pt>
                <c:pt idx="5491">
                  <c:v>6.25</c:v>
                </c:pt>
                <c:pt idx="5492">
                  <c:v>6.25</c:v>
                </c:pt>
                <c:pt idx="5493">
                  <c:v>6.25</c:v>
                </c:pt>
                <c:pt idx="5494">
                  <c:v>6.25</c:v>
                </c:pt>
                <c:pt idx="5495">
                  <c:v>6.25</c:v>
                </c:pt>
                <c:pt idx="5496">
                  <c:v>6.25</c:v>
                </c:pt>
                <c:pt idx="5497">
                  <c:v>6.25</c:v>
                </c:pt>
                <c:pt idx="5498">
                  <c:v>6.25</c:v>
                </c:pt>
                <c:pt idx="5499">
                  <c:v>6.25</c:v>
                </c:pt>
                <c:pt idx="5500">
                  <c:v>6.25</c:v>
                </c:pt>
                <c:pt idx="5501">
                  <c:v>6.25</c:v>
                </c:pt>
                <c:pt idx="5502">
                  <c:v>6.25</c:v>
                </c:pt>
                <c:pt idx="5503">
                  <c:v>6.25</c:v>
                </c:pt>
                <c:pt idx="5504">
                  <c:v>6.25</c:v>
                </c:pt>
                <c:pt idx="5505">
                  <c:v>6.25</c:v>
                </c:pt>
                <c:pt idx="5506">
                  <c:v>6.25</c:v>
                </c:pt>
                <c:pt idx="5507">
                  <c:v>6.25</c:v>
                </c:pt>
                <c:pt idx="5508">
                  <c:v>6.25</c:v>
                </c:pt>
                <c:pt idx="5509">
                  <c:v>6.25</c:v>
                </c:pt>
                <c:pt idx="5510">
                  <c:v>6.25</c:v>
                </c:pt>
                <c:pt idx="5511">
                  <c:v>6.25</c:v>
                </c:pt>
                <c:pt idx="5512">
                  <c:v>6.25</c:v>
                </c:pt>
                <c:pt idx="5513">
                  <c:v>6.25</c:v>
                </c:pt>
                <c:pt idx="5514">
                  <c:v>6.25</c:v>
                </c:pt>
                <c:pt idx="5515">
                  <c:v>6.25</c:v>
                </c:pt>
                <c:pt idx="5516">
                  <c:v>6.25</c:v>
                </c:pt>
                <c:pt idx="5517">
                  <c:v>6.25</c:v>
                </c:pt>
                <c:pt idx="5518">
                  <c:v>6.25</c:v>
                </c:pt>
                <c:pt idx="5519">
                  <c:v>6.25</c:v>
                </c:pt>
                <c:pt idx="5520">
                  <c:v>6.25</c:v>
                </c:pt>
                <c:pt idx="5521">
                  <c:v>6.25</c:v>
                </c:pt>
                <c:pt idx="5522">
                  <c:v>6.25</c:v>
                </c:pt>
                <c:pt idx="5523">
                  <c:v>6.25</c:v>
                </c:pt>
                <c:pt idx="5524">
                  <c:v>6.25</c:v>
                </c:pt>
                <c:pt idx="5525">
                  <c:v>6.25</c:v>
                </c:pt>
                <c:pt idx="5526">
                  <c:v>6.25</c:v>
                </c:pt>
                <c:pt idx="5527">
                  <c:v>6.25</c:v>
                </c:pt>
                <c:pt idx="5528">
                  <c:v>6.25</c:v>
                </c:pt>
                <c:pt idx="5529">
                  <c:v>6.25</c:v>
                </c:pt>
                <c:pt idx="5530">
                  <c:v>6.25</c:v>
                </c:pt>
                <c:pt idx="5531">
                  <c:v>6.25</c:v>
                </c:pt>
                <c:pt idx="5532">
                  <c:v>6.25</c:v>
                </c:pt>
                <c:pt idx="5533">
                  <c:v>6.25</c:v>
                </c:pt>
                <c:pt idx="5534">
                  <c:v>6.25</c:v>
                </c:pt>
                <c:pt idx="5535">
                  <c:v>6.25</c:v>
                </c:pt>
                <c:pt idx="5536">
                  <c:v>6.25</c:v>
                </c:pt>
                <c:pt idx="5537">
                  <c:v>6.25</c:v>
                </c:pt>
                <c:pt idx="5538">
                  <c:v>6.25</c:v>
                </c:pt>
                <c:pt idx="5539">
                  <c:v>6.25</c:v>
                </c:pt>
                <c:pt idx="5540">
                  <c:v>6.25</c:v>
                </c:pt>
                <c:pt idx="5541">
                  <c:v>6.25</c:v>
                </c:pt>
                <c:pt idx="5542">
                  <c:v>6.25</c:v>
                </c:pt>
                <c:pt idx="5543">
                  <c:v>6.25</c:v>
                </c:pt>
                <c:pt idx="5544">
                  <c:v>6.25</c:v>
                </c:pt>
                <c:pt idx="5545">
                  <c:v>6.25</c:v>
                </c:pt>
                <c:pt idx="5546">
                  <c:v>6.25</c:v>
                </c:pt>
                <c:pt idx="5547">
                  <c:v>6.25</c:v>
                </c:pt>
                <c:pt idx="5548">
                  <c:v>6.25</c:v>
                </c:pt>
                <c:pt idx="5549">
                  <c:v>6.25</c:v>
                </c:pt>
                <c:pt idx="5550">
                  <c:v>6.25</c:v>
                </c:pt>
                <c:pt idx="5551">
                  <c:v>6.25</c:v>
                </c:pt>
                <c:pt idx="5552">
                  <c:v>6.25</c:v>
                </c:pt>
                <c:pt idx="5553">
                  <c:v>6.25</c:v>
                </c:pt>
                <c:pt idx="5554">
                  <c:v>6.25</c:v>
                </c:pt>
                <c:pt idx="5555">
                  <c:v>6.25</c:v>
                </c:pt>
                <c:pt idx="5556">
                  <c:v>6.25</c:v>
                </c:pt>
                <c:pt idx="5557">
                  <c:v>6.25</c:v>
                </c:pt>
                <c:pt idx="5558">
                  <c:v>6.25</c:v>
                </c:pt>
                <c:pt idx="5559">
                  <c:v>6.25</c:v>
                </c:pt>
                <c:pt idx="5560">
                  <c:v>6.25</c:v>
                </c:pt>
                <c:pt idx="5561">
                  <c:v>6.25</c:v>
                </c:pt>
                <c:pt idx="5562">
                  <c:v>6.25</c:v>
                </c:pt>
                <c:pt idx="5563">
                  <c:v>6.25</c:v>
                </c:pt>
                <c:pt idx="5564">
                  <c:v>6.25</c:v>
                </c:pt>
                <c:pt idx="5565">
                  <c:v>6.25</c:v>
                </c:pt>
                <c:pt idx="5566">
                  <c:v>6.25</c:v>
                </c:pt>
                <c:pt idx="5567">
                  <c:v>6.25</c:v>
                </c:pt>
                <c:pt idx="5568">
                  <c:v>6.25</c:v>
                </c:pt>
                <c:pt idx="5569">
                  <c:v>6.25</c:v>
                </c:pt>
                <c:pt idx="5570">
                  <c:v>6.25</c:v>
                </c:pt>
                <c:pt idx="5571">
                  <c:v>6.25</c:v>
                </c:pt>
                <c:pt idx="5572">
                  <c:v>6.25</c:v>
                </c:pt>
                <c:pt idx="5573">
                  <c:v>6.25</c:v>
                </c:pt>
                <c:pt idx="5574">
                  <c:v>6.25</c:v>
                </c:pt>
                <c:pt idx="5575">
                  <c:v>6.25</c:v>
                </c:pt>
                <c:pt idx="5576">
                  <c:v>6.25</c:v>
                </c:pt>
                <c:pt idx="5577">
                  <c:v>6.25</c:v>
                </c:pt>
                <c:pt idx="5578">
                  <c:v>6.25</c:v>
                </c:pt>
                <c:pt idx="5579">
                  <c:v>6.25</c:v>
                </c:pt>
                <c:pt idx="5580">
                  <c:v>6.25</c:v>
                </c:pt>
                <c:pt idx="5581">
                  <c:v>6.25</c:v>
                </c:pt>
                <c:pt idx="5582">
                  <c:v>6.25</c:v>
                </c:pt>
                <c:pt idx="5583">
                  <c:v>6.25</c:v>
                </c:pt>
                <c:pt idx="5584">
                  <c:v>6.25</c:v>
                </c:pt>
                <c:pt idx="5585">
                  <c:v>6.25</c:v>
                </c:pt>
                <c:pt idx="5586">
                  <c:v>6.25</c:v>
                </c:pt>
                <c:pt idx="5587">
                  <c:v>6.25</c:v>
                </c:pt>
                <c:pt idx="5588">
                  <c:v>6.25</c:v>
                </c:pt>
                <c:pt idx="5589">
                  <c:v>6.25</c:v>
                </c:pt>
                <c:pt idx="5590">
                  <c:v>6.25</c:v>
                </c:pt>
                <c:pt idx="5591">
                  <c:v>6.25</c:v>
                </c:pt>
                <c:pt idx="5592">
                  <c:v>6.25</c:v>
                </c:pt>
                <c:pt idx="5593">
                  <c:v>6.25</c:v>
                </c:pt>
                <c:pt idx="5594">
                  <c:v>6.25</c:v>
                </c:pt>
                <c:pt idx="5595">
                  <c:v>6.25</c:v>
                </c:pt>
                <c:pt idx="5596">
                  <c:v>6.25</c:v>
                </c:pt>
                <c:pt idx="5597">
                  <c:v>6.25</c:v>
                </c:pt>
                <c:pt idx="5598">
                  <c:v>6.25</c:v>
                </c:pt>
                <c:pt idx="5599">
                  <c:v>6.25</c:v>
                </c:pt>
                <c:pt idx="5600">
                  <c:v>6.25</c:v>
                </c:pt>
                <c:pt idx="5601">
                  <c:v>6.25</c:v>
                </c:pt>
                <c:pt idx="5602">
                  <c:v>6.25</c:v>
                </c:pt>
                <c:pt idx="5603">
                  <c:v>6.25</c:v>
                </c:pt>
                <c:pt idx="5604">
                  <c:v>6.25</c:v>
                </c:pt>
                <c:pt idx="5605">
                  <c:v>6.25</c:v>
                </c:pt>
                <c:pt idx="5606">
                  <c:v>6.25</c:v>
                </c:pt>
                <c:pt idx="5607">
                  <c:v>6.25</c:v>
                </c:pt>
                <c:pt idx="5608">
                  <c:v>6.25</c:v>
                </c:pt>
                <c:pt idx="5609">
                  <c:v>6.25</c:v>
                </c:pt>
                <c:pt idx="5610">
                  <c:v>6.25</c:v>
                </c:pt>
                <c:pt idx="5611">
                  <c:v>6.25</c:v>
                </c:pt>
                <c:pt idx="5612">
                  <c:v>6.25</c:v>
                </c:pt>
                <c:pt idx="5613">
                  <c:v>6.25</c:v>
                </c:pt>
                <c:pt idx="5614">
                  <c:v>6.25</c:v>
                </c:pt>
                <c:pt idx="5615">
                  <c:v>6.25</c:v>
                </c:pt>
                <c:pt idx="5616">
                  <c:v>6.25</c:v>
                </c:pt>
                <c:pt idx="5617">
                  <c:v>6.25</c:v>
                </c:pt>
                <c:pt idx="5618">
                  <c:v>6.25</c:v>
                </c:pt>
                <c:pt idx="5619">
                  <c:v>6.25</c:v>
                </c:pt>
                <c:pt idx="5620">
                  <c:v>6.25</c:v>
                </c:pt>
                <c:pt idx="5621">
                  <c:v>6.25</c:v>
                </c:pt>
                <c:pt idx="5622">
                  <c:v>6.25</c:v>
                </c:pt>
                <c:pt idx="5623">
                  <c:v>6.25</c:v>
                </c:pt>
                <c:pt idx="5624">
                  <c:v>6.25</c:v>
                </c:pt>
                <c:pt idx="5625">
                  <c:v>6.25</c:v>
                </c:pt>
                <c:pt idx="5626">
                  <c:v>6.25</c:v>
                </c:pt>
                <c:pt idx="5627">
                  <c:v>6.25</c:v>
                </c:pt>
                <c:pt idx="5628">
                  <c:v>6.25</c:v>
                </c:pt>
                <c:pt idx="5629">
                  <c:v>6.25</c:v>
                </c:pt>
                <c:pt idx="5630">
                  <c:v>6.25</c:v>
                </c:pt>
                <c:pt idx="5631">
                  <c:v>6.25</c:v>
                </c:pt>
                <c:pt idx="5632">
                  <c:v>6.25</c:v>
                </c:pt>
                <c:pt idx="5633">
                  <c:v>6.25</c:v>
                </c:pt>
                <c:pt idx="5634">
                  <c:v>6.25</c:v>
                </c:pt>
                <c:pt idx="5635">
                  <c:v>6.25</c:v>
                </c:pt>
                <c:pt idx="5636">
                  <c:v>6.25</c:v>
                </c:pt>
                <c:pt idx="5637">
                  <c:v>6.25</c:v>
                </c:pt>
                <c:pt idx="5638">
                  <c:v>6.25</c:v>
                </c:pt>
                <c:pt idx="5639">
                  <c:v>6.25</c:v>
                </c:pt>
                <c:pt idx="5640">
                  <c:v>6.25</c:v>
                </c:pt>
                <c:pt idx="5641">
                  <c:v>6.25</c:v>
                </c:pt>
                <c:pt idx="5642">
                  <c:v>6.25</c:v>
                </c:pt>
                <c:pt idx="5643">
                  <c:v>6.25</c:v>
                </c:pt>
                <c:pt idx="5644">
                  <c:v>6.25</c:v>
                </c:pt>
                <c:pt idx="5645">
                  <c:v>6.25</c:v>
                </c:pt>
                <c:pt idx="5646">
                  <c:v>6.25</c:v>
                </c:pt>
                <c:pt idx="5647">
                  <c:v>6.25</c:v>
                </c:pt>
                <c:pt idx="5648">
                  <c:v>6.25</c:v>
                </c:pt>
                <c:pt idx="5649">
                  <c:v>6.25</c:v>
                </c:pt>
                <c:pt idx="5650">
                  <c:v>6.25</c:v>
                </c:pt>
                <c:pt idx="5651">
                  <c:v>6.25</c:v>
                </c:pt>
                <c:pt idx="5652">
                  <c:v>6.25</c:v>
                </c:pt>
                <c:pt idx="5653">
                  <c:v>6.25</c:v>
                </c:pt>
                <c:pt idx="5654">
                  <c:v>6.25</c:v>
                </c:pt>
                <c:pt idx="5655">
                  <c:v>6.25</c:v>
                </c:pt>
                <c:pt idx="5656">
                  <c:v>6.25</c:v>
                </c:pt>
                <c:pt idx="5657">
                  <c:v>6.25</c:v>
                </c:pt>
                <c:pt idx="5658">
                  <c:v>6.25</c:v>
                </c:pt>
                <c:pt idx="5659">
                  <c:v>6.25</c:v>
                </c:pt>
                <c:pt idx="5660">
                  <c:v>6.25</c:v>
                </c:pt>
                <c:pt idx="5661">
                  <c:v>6.25</c:v>
                </c:pt>
                <c:pt idx="5662">
                  <c:v>6.25</c:v>
                </c:pt>
                <c:pt idx="5663">
                  <c:v>6.25</c:v>
                </c:pt>
                <c:pt idx="5664">
                  <c:v>6.25</c:v>
                </c:pt>
                <c:pt idx="5665">
                  <c:v>6.25</c:v>
                </c:pt>
                <c:pt idx="5666">
                  <c:v>6.25</c:v>
                </c:pt>
                <c:pt idx="5667">
                  <c:v>6.25</c:v>
                </c:pt>
                <c:pt idx="5668">
                  <c:v>6.25</c:v>
                </c:pt>
                <c:pt idx="5669">
                  <c:v>6.25</c:v>
                </c:pt>
                <c:pt idx="5670">
                  <c:v>6.25</c:v>
                </c:pt>
                <c:pt idx="5671">
                  <c:v>6.25</c:v>
                </c:pt>
                <c:pt idx="5672">
                  <c:v>6.25</c:v>
                </c:pt>
                <c:pt idx="5673">
                  <c:v>6.25</c:v>
                </c:pt>
                <c:pt idx="5674">
                  <c:v>6.25</c:v>
                </c:pt>
                <c:pt idx="5675">
                  <c:v>6.25</c:v>
                </c:pt>
                <c:pt idx="5676">
                  <c:v>6.25</c:v>
                </c:pt>
                <c:pt idx="5677">
                  <c:v>6.25</c:v>
                </c:pt>
                <c:pt idx="5678">
                  <c:v>6.25</c:v>
                </c:pt>
                <c:pt idx="5679">
                  <c:v>6.25</c:v>
                </c:pt>
                <c:pt idx="5680">
                  <c:v>6.25</c:v>
                </c:pt>
                <c:pt idx="5681">
                  <c:v>6.25</c:v>
                </c:pt>
                <c:pt idx="5682">
                  <c:v>6.25</c:v>
                </c:pt>
                <c:pt idx="5683">
                  <c:v>6.25</c:v>
                </c:pt>
                <c:pt idx="5684">
                  <c:v>6.25</c:v>
                </c:pt>
                <c:pt idx="5685">
                  <c:v>6.25</c:v>
                </c:pt>
                <c:pt idx="5686">
                  <c:v>6.25</c:v>
                </c:pt>
                <c:pt idx="5687">
                  <c:v>6.25</c:v>
                </c:pt>
                <c:pt idx="5688">
                  <c:v>6.25</c:v>
                </c:pt>
                <c:pt idx="5689">
                  <c:v>6.25</c:v>
                </c:pt>
                <c:pt idx="5690">
                  <c:v>6.25</c:v>
                </c:pt>
                <c:pt idx="5691">
                  <c:v>6.25</c:v>
                </c:pt>
                <c:pt idx="5692">
                  <c:v>6</c:v>
                </c:pt>
                <c:pt idx="5693">
                  <c:v>6</c:v>
                </c:pt>
                <c:pt idx="5694">
                  <c:v>6</c:v>
                </c:pt>
                <c:pt idx="5695">
                  <c:v>6</c:v>
                </c:pt>
                <c:pt idx="5696">
                  <c:v>6</c:v>
                </c:pt>
                <c:pt idx="5697">
                  <c:v>6</c:v>
                </c:pt>
                <c:pt idx="5698">
                  <c:v>6</c:v>
                </c:pt>
                <c:pt idx="5699">
                  <c:v>6</c:v>
                </c:pt>
                <c:pt idx="5700">
                  <c:v>6</c:v>
                </c:pt>
                <c:pt idx="5701">
                  <c:v>6</c:v>
                </c:pt>
                <c:pt idx="5702">
                  <c:v>6</c:v>
                </c:pt>
                <c:pt idx="5703">
                  <c:v>6</c:v>
                </c:pt>
                <c:pt idx="5704">
                  <c:v>6</c:v>
                </c:pt>
                <c:pt idx="5705">
                  <c:v>6</c:v>
                </c:pt>
                <c:pt idx="5706">
                  <c:v>6</c:v>
                </c:pt>
                <c:pt idx="5707">
                  <c:v>6</c:v>
                </c:pt>
                <c:pt idx="5708">
                  <c:v>6</c:v>
                </c:pt>
                <c:pt idx="5709">
                  <c:v>6</c:v>
                </c:pt>
                <c:pt idx="5710">
                  <c:v>6</c:v>
                </c:pt>
                <c:pt idx="5711">
                  <c:v>6</c:v>
                </c:pt>
                <c:pt idx="5712">
                  <c:v>6</c:v>
                </c:pt>
                <c:pt idx="5713">
                  <c:v>6</c:v>
                </c:pt>
                <c:pt idx="5714">
                  <c:v>6</c:v>
                </c:pt>
                <c:pt idx="5715">
                  <c:v>6</c:v>
                </c:pt>
                <c:pt idx="5716">
                  <c:v>6</c:v>
                </c:pt>
                <c:pt idx="5717">
                  <c:v>6</c:v>
                </c:pt>
                <c:pt idx="5718">
                  <c:v>6</c:v>
                </c:pt>
                <c:pt idx="5719">
                  <c:v>6</c:v>
                </c:pt>
                <c:pt idx="5720">
                  <c:v>6</c:v>
                </c:pt>
                <c:pt idx="5721">
                  <c:v>6</c:v>
                </c:pt>
                <c:pt idx="5722">
                  <c:v>6</c:v>
                </c:pt>
                <c:pt idx="5723">
                  <c:v>6</c:v>
                </c:pt>
                <c:pt idx="5724">
                  <c:v>6</c:v>
                </c:pt>
                <c:pt idx="5725">
                  <c:v>6</c:v>
                </c:pt>
                <c:pt idx="5726">
                  <c:v>6</c:v>
                </c:pt>
                <c:pt idx="5727">
                  <c:v>6</c:v>
                </c:pt>
                <c:pt idx="5728">
                  <c:v>6</c:v>
                </c:pt>
                <c:pt idx="5729">
                  <c:v>6</c:v>
                </c:pt>
                <c:pt idx="5730">
                  <c:v>6</c:v>
                </c:pt>
                <c:pt idx="5731">
                  <c:v>6</c:v>
                </c:pt>
                <c:pt idx="5732">
                  <c:v>6</c:v>
                </c:pt>
                <c:pt idx="5733">
                  <c:v>6</c:v>
                </c:pt>
                <c:pt idx="5734">
                  <c:v>6</c:v>
                </c:pt>
                <c:pt idx="5735">
                  <c:v>6</c:v>
                </c:pt>
                <c:pt idx="5736">
                  <c:v>6</c:v>
                </c:pt>
                <c:pt idx="5737">
                  <c:v>6</c:v>
                </c:pt>
                <c:pt idx="5738">
                  <c:v>6</c:v>
                </c:pt>
                <c:pt idx="5739">
                  <c:v>6</c:v>
                </c:pt>
                <c:pt idx="5740">
                  <c:v>6</c:v>
                </c:pt>
                <c:pt idx="5741">
                  <c:v>6</c:v>
                </c:pt>
                <c:pt idx="5742">
                  <c:v>6</c:v>
                </c:pt>
                <c:pt idx="5743">
                  <c:v>6</c:v>
                </c:pt>
                <c:pt idx="5744">
                  <c:v>6</c:v>
                </c:pt>
                <c:pt idx="5745">
                  <c:v>6</c:v>
                </c:pt>
                <c:pt idx="5746">
                  <c:v>6</c:v>
                </c:pt>
                <c:pt idx="5747">
                  <c:v>6</c:v>
                </c:pt>
                <c:pt idx="5748">
                  <c:v>6</c:v>
                </c:pt>
                <c:pt idx="5749">
                  <c:v>6</c:v>
                </c:pt>
                <c:pt idx="5750">
                  <c:v>6</c:v>
                </c:pt>
                <c:pt idx="5751">
                  <c:v>6</c:v>
                </c:pt>
                <c:pt idx="5752">
                  <c:v>6</c:v>
                </c:pt>
                <c:pt idx="5753">
                  <c:v>6</c:v>
                </c:pt>
                <c:pt idx="5754">
                  <c:v>6</c:v>
                </c:pt>
                <c:pt idx="5755">
                  <c:v>6</c:v>
                </c:pt>
                <c:pt idx="5756">
                  <c:v>6</c:v>
                </c:pt>
                <c:pt idx="5757">
                  <c:v>6</c:v>
                </c:pt>
                <c:pt idx="5758">
                  <c:v>6</c:v>
                </c:pt>
                <c:pt idx="5759">
                  <c:v>6</c:v>
                </c:pt>
                <c:pt idx="5760">
                  <c:v>6</c:v>
                </c:pt>
                <c:pt idx="5761">
                  <c:v>6</c:v>
                </c:pt>
                <c:pt idx="5762">
                  <c:v>6</c:v>
                </c:pt>
                <c:pt idx="5763">
                  <c:v>6</c:v>
                </c:pt>
                <c:pt idx="5764">
                  <c:v>6</c:v>
                </c:pt>
                <c:pt idx="5765">
                  <c:v>6</c:v>
                </c:pt>
                <c:pt idx="5766">
                  <c:v>6</c:v>
                </c:pt>
                <c:pt idx="5767">
                  <c:v>6</c:v>
                </c:pt>
                <c:pt idx="5768">
                  <c:v>6</c:v>
                </c:pt>
                <c:pt idx="5769">
                  <c:v>6</c:v>
                </c:pt>
                <c:pt idx="5770">
                  <c:v>6</c:v>
                </c:pt>
                <c:pt idx="5771">
                  <c:v>6</c:v>
                </c:pt>
                <c:pt idx="5772">
                  <c:v>6</c:v>
                </c:pt>
                <c:pt idx="5773">
                  <c:v>6</c:v>
                </c:pt>
                <c:pt idx="5774">
                  <c:v>6</c:v>
                </c:pt>
                <c:pt idx="5775">
                  <c:v>6</c:v>
                </c:pt>
                <c:pt idx="5776">
                  <c:v>6</c:v>
                </c:pt>
                <c:pt idx="5777">
                  <c:v>6</c:v>
                </c:pt>
                <c:pt idx="5778">
                  <c:v>6</c:v>
                </c:pt>
                <c:pt idx="5779">
                  <c:v>6</c:v>
                </c:pt>
                <c:pt idx="5780">
                  <c:v>6</c:v>
                </c:pt>
                <c:pt idx="5781">
                  <c:v>6</c:v>
                </c:pt>
                <c:pt idx="5782">
                  <c:v>6</c:v>
                </c:pt>
                <c:pt idx="5783">
                  <c:v>6</c:v>
                </c:pt>
                <c:pt idx="5784">
                  <c:v>6</c:v>
                </c:pt>
                <c:pt idx="5785">
                  <c:v>6</c:v>
                </c:pt>
                <c:pt idx="5786">
                  <c:v>6</c:v>
                </c:pt>
                <c:pt idx="5787">
                  <c:v>6</c:v>
                </c:pt>
                <c:pt idx="5788">
                  <c:v>6</c:v>
                </c:pt>
                <c:pt idx="5789">
                  <c:v>6</c:v>
                </c:pt>
                <c:pt idx="5790">
                  <c:v>6</c:v>
                </c:pt>
                <c:pt idx="5791">
                  <c:v>6</c:v>
                </c:pt>
                <c:pt idx="5792">
                  <c:v>6</c:v>
                </c:pt>
                <c:pt idx="5793">
                  <c:v>6</c:v>
                </c:pt>
                <c:pt idx="5794">
                  <c:v>6</c:v>
                </c:pt>
                <c:pt idx="5795">
                  <c:v>6</c:v>
                </c:pt>
                <c:pt idx="5796">
                  <c:v>6</c:v>
                </c:pt>
                <c:pt idx="5797">
                  <c:v>6</c:v>
                </c:pt>
                <c:pt idx="5798">
                  <c:v>6</c:v>
                </c:pt>
                <c:pt idx="5799">
                  <c:v>6</c:v>
                </c:pt>
                <c:pt idx="5800">
                  <c:v>6</c:v>
                </c:pt>
                <c:pt idx="5801">
                  <c:v>6</c:v>
                </c:pt>
                <c:pt idx="5802">
                  <c:v>6</c:v>
                </c:pt>
                <c:pt idx="5803">
                  <c:v>6</c:v>
                </c:pt>
                <c:pt idx="5804">
                  <c:v>6</c:v>
                </c:pt>
                <c:pt idx="5805">
                  <c:v>6</c:v>
                </c:pt>
                <c:pt idx="5806">
                  <c:v>6</c:v>
                </c:pt>
                <c:pt idx="5807">
                  <c:v>6</c:v>
                </c:pt>
                <c:pt idx="5808">
                  <c:v>6</c:v>
                </c:pt>
                <c:pt idx="5809">
                  <c:v>6</c:v>
                </c:pt>
                <c:pt idx="5810">
                  <c:v>6</c:v>
                </c:pt>
                <c:pt idx="5811">
                  <c:v>6</c:v>
                </c:pt>
                <c:pt idx="5812">
                  <c:v>6</c:v>
                </c:pt>
                <c:pt idx="5813">
                  <c:v>6</c:v>
                </c:pt>
                <c:pt idx="5814">
                  <c:v>6</c:v>
                </c:pt>
                <c:pt idx="5815">
                  <c:v>6</c:v>
                </c:pt>
                <c:pt idx="5816">
                  <c:v>6</c:v>
                </c:pt>
                <c:pt idx="5817">
                  <c:v>6</c:v>
                </c:pt>
                <c:pt idx="5818">
                  <c:v>6</c:v>
                </c:pt>
                <c:pt idx="5819">
                  <c:v>6</c:v>
                </c:pt>
                <c:pt idx="5820">
                  <c:v>6</c:v>
                </c:pt>
                <c:pt idx="5821">
                  <c:v>6</c:v>
                </c:pt>
                <c:pt idx="5822">
                  <c:v>6</c:v>
                </c:pt>
                <c:pt idx="5823">
                  <c:v>6</c:v>
                </c:pt>
                <c:pt idx="5824">
                  <c:v>6</c:v>
                </c:pt>
                <c:pt idx="5825">
                  <c:v>6</c:v>
                </c:pt>
                <c:pt idx="5826">
                  <c:v>6</c:v>
                </c:pt>
                <c:pt idx="5827">
                  <c:v>6</c:v>
                </c:pt>
                <c:pt idx="5828">
                  <c:v>6</c:v>
                </c:pt>
                <c:pt idx="5829">
                  <c:v>6</c:v>
                </c:pt>
                <c:pt idx="5830">
                  <c:v>6</c:v>
                </c:pt>
                <c:pt idx="5831">
                  <c:v>6</c:v>
                </c:pt>
                <c:pt idx="5832">
                  <c:v>6</c:v>
                </c:pt>
                <c:pt idx="5833">
                  <c:v>6</c:v>
                </c:pt>
                <c:pt idx="5834">
                  <c:v>6</c:v>
                </c:pt>
                <c:pt idx="5835">
                  <c:v>6</c:v>
                </c:pt>
                <c:pt idx="5836">
                  <c:v>6</c:v>
                </c:pt>
                <c:pt idx="5837">
                  <c:v>6</c:v>
                </c:pt>
                <c:pt idx="5838">
                  <c:v>6</c:v>
                </c:pt>
                <c:pt idx="5839">
                  <c:v>6</c:v>
                </c:pt>
                <c:pt idx="5840">
                  <c:v>6</c:v>
                </c:pt>
                <c:pt idx="5841">
                  <c:v>6</c:v>
                </c:pt>
                <c:pt idx="5842">
                  <c:v>6</c:v>
                </c:pt>
                <c:pt idx="5843">
                  <c:v>6</c:v>
                </c:pt>
                <c:pt idx="5844">
                  <c:v>6</c:v>
                </c:pt>
                <c:pt idx="5845">
                  <c:v>6</c:v>
                </c:pt>
                <c:pt idx="5846">
                  <c:v>6</c:v>
                </c:pt>
                <c:pt idx="5847">
                  <c:v>6</c:v>
                </c:pt>
                <c:pt idx="5848">
                  <c:v>6</c:v>
                </c:pt>
                <c:pt idx="5849">
                  <c:v>6</c:v>
                </c:pt>
                <c:pt idx="5850">
                  <c:v>6</c:v>
                </c:pt>
                <c:pt idx="5851">
                  <c:v>6</c:v>
                </c:pt>
                <c:pt idx="5852">
                  <c:v>6</c:v>
                </c:pt>
                <c:pt idx="5853">
                  <c:v>6</c:v>
                </c:pt>
                <c:pt idx="5854">
                  <c:v>6</c:v>
                </c:pt>
                <c:pt idx="5855">
                  <c:v>6</c:v>
                </c:pt>
                <c:pt idx="5856">
                  <c:v>6</c:v>
                </c:pt>
                <c:pt idx="5857">
                  <c:v>6</c:v>
                </c:pt>
                <c:pt idx="5858">
                  <c:v>6</c:v>
                </c:pt>
                <c:pt idx="5859">
                  <c:v>6</c:v>
                </c:pt>
                <c:pt idx="5860">
                  <c:v>6</c:v>
                </c:pt>
                <c:pt idx="5861">
                  <c:v>6</c:v>
                </c:pt>
                <c:pt idx="5862">
                  <c:v>6</c:v>
                </c:pt>
                <c:pt idx="5863">
                  <c:v>6</c:v>
                </c:pt>
                <c:pt idx="5864">
                  <c:v>6</c:v>
                </c:pt>
                <c:pt idx="5865">
                  <c:v>6</c:v>
                </c:pt>
                <c:pt idx="5866">
                  <c:v>6</c:v>
                </c:pt>
                <c:pt idx="5867">
                  <c:v>6</c:v>
                </c:pt>
                <c:pt idx="5868">
                  <c:v>6</c:v>
                </c:pt>
                <c:pt idx="5869">
                  <c:v>6</c:v>
                </c:pt>
                <c:pt idx="5870">
                  <c:v>6</c:v>
                </c:pt>
                <c:pt idx="5871">
                  <c:v>6</c:v>
                </c:pt>
                <c:pt idx="5872">
                  <c:v>6</c:v>
                </c:pt>
                <c:pt idx="5873">
                  <c:v>6</c:v>
                </c:pt>
                <c:pt idx="5874">
                  <c:v>6</c:v>
                </c:pt>
                <c:pt idx="5875">
                  <c:v>6</c:v>
                </c:pt>
                <c:pt idx="5876">
                  <c:v>6</c:v>
                </c:pt>
                <c:pt idx="5877">
                  <c:v>6</c:v>
                </c:pt>
                <c:pt idx="5878">
                  <c:v>6</c:v>
                </c:pt>
                <c:pt idx="5879">
                  <c:v>6</c:v>
                </c:pt>
                <c:pt idx="5880">
                  <c:v>6</c:v>
                </c:pt>
                <c:pt idx="5881">
                  <c:v>6</c:v>
                </c:pt>
                <c:pt idx="5882">
                  <c:v>6</c:v>
                </c:pt>
                <c:pt idx="5883">
                  <c:v>6</c:v>
                </c:pt>
                <c:pt idx="5884">
                  <c:v>6</c:v>
                </c:pt>
                <c:pt idx="5885">
                  <c:v>6</c:v>
                </c:pt>
                <c:pt idx="5886">
                  <c:v>6</c:v>
                </c:pt>
                <c:pt idx="5887">
                  <c:v>6</c:v>
                </c:pt>
                <c:pt idx="5888">
                  <c:v>6</c:v>
                </c:pt>
                <c:pt idx="5889">
                  <c:v>6</c:v>
                </c:pt>
                <c:pt idx="5890">
                  <c:v>6</c:v>
                </c:pt>
                <c:pt idx="5891">
                  <c:v>6</c:v>
                </c:pt>
                <c:pt idx="5892">
                  <c:v>6</c:v>
                </c:pt>
                <c:pt idx="5893">
                  <c:v>6</c:v>
                </c:pt>
                <c:pt idx="5894">
                  <c:v>6</c:v>
                </c:pt>
                <c:pt idx="5895">
                  <c:v>6</c:v>
                </c:pt>
                <c:pt idx="5896">
                  <c:v>6</c:v>
                </c:pt>
                <c:pt idx="5897">
                  <c:v>6</c:v>
                </c:pt>
                <c:pt idx="5898">
                  <c:v>6</c:v>
                </c:pt>
                <c:pt idx="5899">
                  <c:v>6</c:v>
                </c:pt>
                <c:pt idx="5900">
                  <c:v>6</c:v>
                </c:pt>
                <c:pt idx="5901">
                  <c:v>6</c:v>
                </c:pt>
                <c:pt idx="5902">
                  <c:v>6</c:v>
                </c:pt>
                <c:pt idx="5903">
                  <c:v>6</c:v>
                </c:pt>
                <c:pt idx="5904">
                  <c:v>6</c:v>
                </c:pt>
                <c:pt idx="5905">
                  <c:v>6</c:v>
                </c:pt>
                <c:pt idx="5906">
                  <c:v>6</c:v>
                </c:pt>
                <c:pt idx="5907">
                  <c:v>6</c:v>
                </c:pt>
                <c:pt idx="5908">
                  <c:v>6</c:v>
                </c:pt>
                <c:pt idx="5909">
                  <c:v>6</c:v>
                </c:pt>
                <c:pt idx="5910">
                  <c:v>6</c:v>
                </c:pt>
                <c:pt idx="5911">
                  <c:v>6</c:v>
                </c:pt>
                <c:pt idx="5912">
                  <c:v>6</c:v>
                </c:pt>
                <c:pt idx="5913">
                  <c:v>6</c:v>
                </c:pt>
                <c:pt idx="5914">
                  <c:v>6</c:v>
                </c:pt>
                <c:pt idx="5915">
                  <c:v>6</c:v>
                </c:pt>
                <c:pt idx="5916">
                  <c:v>6</c:v>
                </c:pt>
                <c:pt idx="5917">
                  <c:v>6</c:v>
                </c:pt>
                <c:pt idx="5918">
                  <c:v>6</c:v>
                </c:pt>
                <c:pt idx="5919">
                  <c:v>6</c:v>
                </c:pt>
                <c:pt idx="5920">
                  <c:v>6</c:v>
                </c:pt>
                <c:pt idx="5921">
                  <c:v>6</c:v>
                </c:pt>
                <c:pt idx="5922">
                  <c:v>6</c:v>
                </c:pt>
                <c:pt idx="5923">
                  <c:v>6</c:v>
                </c:pt>
                <c:pt idx="5924">
                  <c:v>6</c:v>
                </c:pt>
                <c:pt idx="5925">
                  <c:v>6</c:v>
                </c:pt>
                <c:pt idx="5926">
                  <c:v>6</c:v>
                </c:pt>
                <c:pt idx="5927">
                  <c:v>6</c:v>
                </c:pt>
                <c:pt idx="5928">
                  <c:v>6</c:v>
                </c:pt>
                <c:pt idx="5929">
                  <c:v>6</c:v>
                </c:pt>
                <c:pt idx="5930">
                  <c:v>6</c:v>
                </c:pt>
                <c:pt idx="5931">
                  <c:v>6</c:v>
                </c:pt>
                <c:pt idx="5932">
                  <c:v>6</c:v>
                </c:pt>
                <c:pt idx="5933">
                  <c:v>6</c:v>
                </c:pt>
                <c:pt idx="5934">
                  <c:v>6</c:v>
                </c:pt>
                <c:pt idx="5935">
                  <c:v>6</c:v>
                </c:pt>
                <c:pt idx="5936">
                  <c:v>6</c:v>
                </c:pt>
                <c:pt idx="5937">
                  <c:v>6</c:v>
                </c:pt>
                <c:pt idx="5938">
                  <c:v>6</c:v>
                </c:pt>
                <c:pt idx="5939">
                  <c:v>6</c:v>
                </c:pt>
                <c:pt idx="5940">
                  <c:v>6</c:v>
                </c:pt>
                <c:pt idx="5941">
                  <c:v>6</c:v>
                </c:pt>
                <c:pt idx="5942">
                  <c:v>6</c:v>
                </c:pt>
                <c:pt idx="5943">
                  <c:v>6</c:v>
                </c:pt>
                <c:pt idx="5944">
                  <c:v>6</c:v>
                </c:pt>
                <c:pt idx="5945">
                  <c:v>6</c:v>
                </c:pt>
                <c:pt idx="5946">
                  <c:v>6</c:v>
                </c:pt>
                <c:pt idx="5947">
                  <c:v>6</c:v>
                </c:pt>
                <c:pt idx="5948">
                  <c:v>6</c:v>
                </c:pt>
                <c:pt idx="5949">
                  <c:v>6</c:v>
                </c:pt>
                <c:pt idx="5950">
                  <c:v>6</c:v>
                </c:pt>
                <c:pt idx="5951">
                  <c:v>6</c:v>
                </c:pt>
                <c:pt idx="5952">
                  <c:v>6</c:v>
                </c:pt>
                <c:pt idx="5953">
                  <c:v>6</c:v>
                </c:pt>
                <c:pt idx="5954">
                  <c:v>6</c:v>
                </c:pt>
                <c:pt idx="5955">
                  <c:v>6</c:v>
                </c:pt>
                <c:pt idx="5956">
                  <c:v>6</c:v>
                </c:pt>
                <c:pt idx="5957">
                  <c:v>6</c:v>
                </c:pt>
                <c:pt idx="5958">
                  <c:v>6</c:v>
                </c:pt>
                <c:pt idx="5959">
                  <c:v>6</c:v>
                </c:pt>
                <c:pt idx="5960">
                  <c:v>6</c:v>
                </c:pt>
                <c:pt idx="5961">
                  <c:v>6</c:v>
                </c:pt>
                <c:pt idx="5962">
                  <c:v>6</c:v>
                </c:pt>
                <c:pt idx="5963">
                  <c:v>6</c:v>
                </c:pt>
                <c:pt idx="5964">
                  <c:v>6</c:v>
                </c:pt>
                <c:pt idx="5965">
                  <c:v>6</c:v>
                </c:pt>
                <c:pt idx="5966">
                  <c:v>6</c:v>
                </c:pt>
                <c:pt idx="5967">
                  <c:v>6</c:v>
                </c:pt>
                <c:pt idx="5968">
                  <c:v>6</c:v>
                </c:pt>
                <c:pt idx="5969">
                  <c:v>6</c:v>
                </c:pt>
                <c:pt idx="5970">
                  <c:v>6</c:v>
                </c:pt>
                <c:pt idx="5971">
                  <c:v>6</c:v>
                </c:pt>
                <c:pt idx="5972">
                  <c:v>6</c:v>
                </c:pt>
                <c:pt idx="5973">
                  <c:v>6</c:v>
                </c:pt>
                <c:pt idx="5974">
                  <c:v>6</c:v>
                </c:pt>
                <c:pt idx="5975">
                  <c:v>6</c:v>
                </c:pt>
                <c:pt idx="5976">
                  <c:v>6</c:v>
                </c:pt>
                <c:pt idx="5977">
                  <c:v>6</c:v>
                </c:pt>
                <c:pt idx="5978">
                  <c:v>6</c:v>
                </c:pt>
                <c:pt idx="5979">
                  <c:v>6</c:v>
                </c:pt>
                <c:pt idx="5980">
                  <c:v>6</c:v>
                </c:pt>
                <c:pt idx="5981">
                  <c:v>6</c:v>
                </c:pt>
                <c:pt idx="5982">
                  <c:v>6</c:v>
                </c:pt>
                <c:pt idx="5983">
                  <c:v>6</c:v>
                </c:pt>
                <c:pt idx="5984">
                  <c:v>6</c:v>
                </c:pt>
                <c:pt idx="5985">
                  <c:v>6</c:v>
                </c:pt>
                <c:pt idx="5986">
                  <c:v>6</c:v>
                </c:pt>
                <c:pt idx="5987">
                  <c:v>6</c:v>
                </c:pt>
                <c:pt idx="5988">
                  <c:v>6</c:v>
                </c:pt>
                <c:pt idx="5989">
                  <c:v>6</c:v>
                </c:pt>
                <c:pt idx="5990">
                  <c:v>6</c:v>
                </c:pt>
                <c:pt idx="5991">
                  <c:v>6</c:v>
                </c:pt>
                <c:pt idx="5992">
                  <c:v>6</c:v>
                </c:pt>
                <c:pt idx="5993">
                  <c:v>6</c:v>
                </c:pt>
                <c:pt idx="5994">
                  <c:v>6</c:v>
                </c:pt>
                <c:pt idx="5995">
                  <c:v>6</c:v>
                </c:pt>
                <c:pt idx="5996">
                  <c:v>6</c:v>
                </c:pt>
                <c:pt idx="5997">
                  <c:v>6</c:v>
                </c:pt>
                <c:pt idx="5998">
                  <c:v>6</c:v>
                </c:pt>
                <c:pt idx="5999">
                  <c:v>6</c:v>
                </c:pt>
                <c:pt idx="6000">
                  <c:v>6.25</c:v>
                </c:pt>
                <c:pt idx="6001">
                  <c:v>6.25</c:v>
                </c:pt>
                <c:pt idx="6002">
                  <c:v>6.25</c:v>
                </c:pt>
                <c:pt idx="6003">
                  <c:v>6.25</c:v>
                </c:pt>
                <c:pt idx="6004">
                  <c:v>6.25</c:v>
                </c:pt>
                <c:pt idx="6005">
                  <c:v>6.25</c:v>
                </c:pt>
                <c:pt idx="6006">
                  <c:v>6.25</c:v>
                </c:pt>
                <c:pt idx="6007">
                  <c:v>6.25</c:v>
                </c:pt>
                <c:pt idx="6008">
                  <c:v>6.25</c:v>
                </c:pt>
                <c:pt idx="6009">
                  <c:v>6.25</c:v>
                </c:pt>
                <c:pt idx="6010">
                  <c:v>6.25</c:v>
                </c:pt>
                <c:pt idx="6011">
                  <c:v>6.25</c:v>
                </c:pt>
                <c:pt idx="6012">
                  <c:v>6.25</c:v>
                </c:pt>
                <c:pt idx="6013">
                  <c:v>6.25</c:v>
                </c:pt>
                <c:pt idx="6014">
                  <c:v>6.25</c:v>
                </c:pt>
                <c:pt idx="6015">
                  <c:v>6.25</c:v>
                </c:pt>
                <c:pt idx="6016">
                  <c:v>6.25</c:v>
                </c:pt>
                <c:pt idx="6017">
                  <c:v>6.25</c:v>
                </c:pt>
                <c:pt idx="6018">
                  <c:v>6.25</c:v>
                </c:pt>
                <c:pt idx="6019">
                  <c:v>6.25</c:v>
                </c:pt>
                <c:pt idx="6020">
                  <c:v>6.25</c:v>
                </c:pt>
                <c:pt idx="6021">
                  <c:v>6.25</c:v>
                </c:pt>
                <c:pt idx="6022">
                  <c:v>6.25</c:v>
                </c:pt>
                <c:pt idx="6023">
                  <c:v>6.25</c:v>
                </c:pt>
                <c:pt idx="6024">
                  <c:v>6.25</c:v>
                </c:pt>
                <c:pt idx="6025">
                  <c:v>6.25</c:v>
                </c:pt>
                <c:pt idx="6026">
                  <c:v>6.25</c:v>
                </c:pt>
                <c:pt idx="6027">
                  <c:v>6.25</c:v>
                </c:pt>
                <c:pt idx="6028">
                  <c:v>6.25</c:v>
                </c:pt>
                <c:pt idx="6029">
                  <c:v>6.25</c:v>
                </c:pt>
                <c:pt idx="6030">
                  <c:v>6.25</c:v>
                </c:pt>
                <c:pt idx="6031">
                  <c:v>6.25</c:v>
                </c:pt>
                <c:pt idx="6032">
                  <c:v>6.25</c:v>
                </c:pt>
                <c:pt idx="6033">
                  <c:v>6.25</c:v>
                </c:pt>
                <c:pt idx="6034">
                  <c:v>6.25</c:v>
                </c:pt>
                <c:pt idx="6035">
                  <c:v>6.25</c:v>
                </c:pt>
                <c:pt idx="6036">
                  <c:v>6.25</c:v>
                </c:pt>
                <c:pt idx="6037">
                  <c:v>6.25</c:v>
                </c:pt>
                <c:pt idx="6038">
                  <c:v>6.25</c:v>
                </c:pt>
                <c:pt idx="6039">
                  <c:v>6.25</c:v>
                </c:pt>
                <c:pt idx="6040">
                  <c:v>6.25</c:v>
                </c:pt>
                <c:pt idx="6041">
                  <c:v>6.25</c:v>
                </c:pt>
                <c:pt idx="6042">
                  <c:v>6.25</c:v>
                </c:pt>
                <c:pt idx="6043">
                  <c:v>6.25</c:v>
                </c:pt>
                <c:pt idx="6044">
                  <c:v>6.25</c:v>
                </c:pt>
                <c:pt idx="6045">
                  <c:v>6.25</c:v>
                </c:pt>
                <c:pt idx="6046">
                  <c:v>6.25</c:v>
                </c:pt>
                <c:pt idx="6047">
                  <c:v>6.25</c:v>
                </c:pt>
                <c:pt idx="6048">
                  <c:v>6.25</c:v>
                </c:pt>
                <c:pt idx="6049">
                  <c:v>6.25</c:v>
                </c:pt>
                <c:pt idx="6050">
                  <c:v>6.25</c:v>
                </c:pt>
                <c:pt idx="6051">
                  <c:v>6.25</c:v>
                </c:pt>
                <c:pt idx="6052">
                  <c:v>6.25</c:v>
                </c:pt>
                <c:pt idx="6053">
                  <c:v>6.25</c:v>
                </c:pt>
                <c:pt idx="6054">
                  <c:v>6.25</c:v>
                </c:pt>
                <c:pt idx="6055">
                  <c:v>6.25</c:v>
                </c:pt>
                <c:pt idx="6056">
                  <c:v>6.5</c:v>
                </c:pt>
                <c:pt idx="6057">
                  <c:v>6.5</c:v>
                </c:pt>
                <c:pt idx="6058">
                  <c:v>6.5</c:v>
                </c:pt>
                <c:pt idx="6059">
                  <c:v>6.5</c:v>
                </c:pt>
                <c:pt idx="6060">
                  <c:v>6.5</c:v>
                </c:pt>
                <c:pt idx="6061">
                  <c:v>6.5</c:v>
                </c:pt>
                <c:pt idx="6062">
                  <c:v>6.5</c:v>
                </c:pt>
                <c:pt idx="6063">
                  <c:v>6.5</c:v>
                </c:pt>
                <c:pt idx="6064">
                  <c:v>6.5</c:v>
                </c:pt>
                <c:pt idx="6065">
                  <c:v>6.5</c:v>
                </c:pt>
                <c:pt idx="6066">
                  <c:v>6.5</c:v>
                </c:pt>
                <c:pt idx="6067">
                  <c:v>6.5</c:v>
                </c:pt>
                <c:pt idx="6068">
                  <c:v>6.5</c:v>
                </c:pt>
                <c:pt idx="6069">
                  <c:v>6.5</c:v>
                </c:pt>
                <c:pt idx="6070">
                  <c:v>6.5</c:v>
                </c:pt>
                <c:pt idx="6071">
                  <c:v>6.5</c:v>
                </c:pt>
                <c:pt idx="6072">
                  <c:v>6.5</c:v>
                </c:pt>
                <c:pt idx="6073">
                  <c:v>6.5</c:v>
                </c:pt>
                <c:pt idx="6074">
                  <c:v>6.5</c:v>
                </c:pt>
                <c:pt idx="6075">
                  <c:v>6.5</c:v>
                </c:pt>
                <c:pt idx="6076">
                  <c:v>6.5</c:v>
                </c:pt>
                <c:pt idx="6077">
                  <c:v>6.5</c:v>
                </c:pt>
                <c:pt idx="6078">
                  <c:v>6.5</c:v>
                </c:pt>
                <c:pt idx="6079">
                  <c:v>6.5</c:v>
                </c:pt>
                <c:pt idx="6080">
                  <c:v>6.5</c:v>
                </c:pt>
                <c:pt idx="6081">
                  <c:v>6.5</c:v>
                </c:pt>
                <c:pt idx="6082">
                  <c:v>6.5</c:v>
                </c:pt>
                <c:pt idx="6083">
                  <c:v>6.5</c:v>
                </c:pt>
                <c:pt idx="6084">
                  <c:v>6.5</c:v>
                </c:pt>
                <c:pt idx="6085">
                  <c:v>6.5</c:v>
                </c:pt>
                <c:pt idx="6086">
                  <c:v>6.5</c:v>
                </c:pt>
                <c:pt idx="6087">
                  <c:v>6.5</c:v>
                </c:pt>
                <c:pt idx="6088">
                  <c:v>6.5</c:v>
                </c:pt>
                <c:pt idx="6089">
                  <c:v>6.5</c:v>
                </c:pt>
                <c:pt idx="6090">
                  <c:v>6.5</c:v>
                </c:pt>
                <c:pt idx="6091">
                  <c:v>6.5</c:v>
                </c:pt>
                <c:pt idx="6092">
                  <c:v>6.5</c:v>
                </c:pt>
                <c:pt idx="6093">
                  <c:v>6.5</c:v>
                </c:pt>
                <c:pt idx="6094">
                  <c:v>6.5</c:v>
                </c:pt>
                <c:pt idx="6095">
                  <c:v>6.5</c:v>
                </c:pt>
                <c:pt idx="6096">
                  <c:v>6.5</c:v>
                </c:pt>
                <c:pt idx="6097">
                  <c:v>6.5</c:v>
                </c:pt>
                <c:pt idx="6098">
                  <c:v>6.5</c:v>
                </c:pt>
                <c:pt idx="6099">
                  <c:v>6.5</c:v>
                </c:pt>
                <c:pt idx="6100">
                  <c:v>6.5</c:v>
                </c:pt>
                <c:pt idx="6101">
                  <c:v>6.5</c:v>
                </c:pt>
                <c:pt idx="6102">
                  <c:v>6.5</c:v>
                </c:pt>
                <c:pt idx="6103">
                  <c:v>6.5</c:v>
                </c:pt>
                <c:pt idx="6104">
                  <c:v>6.5</c:v>
                </c:pt>
                <c:pt idx="6105">
                  <c:v>6.5</c:v>
                </c:pt>
                <c:pt idx="6106">
                  <c:v>6.5</c:v>
                </c:pt>
                <c:pt idx="6107">
                  <c:v>6.5</c:v>
                </c:pt>
                <c:pt idx="6108">
                  <c:v>6.5</c:v>
                </c:pt>
                <c:pt idx="6109">
                  <c:v>6.5</c:v>
                </c:pt>
                <c:pt idx="6110">
                  <c:v>6.5</c:v>
                </c:pt>
                <c:pt idx="6111">
                  <c:v>6.5</c:v>
                </c:pt>
                <c:pt idx="6112">
                  <c:v>6.5</c:v>
                </c:pt>
                <c:pt idx="6113">
                  <c:v>6.5</c:v>
                </c:pt>
                <c:pt idx="6114">
                  <c:v>6.5</c:v>
                </c:pt>
                <c:pt idx="6115">
                  <c:v>6.5</c:v>
                </c:pt>
                <c:pt idx="6116">
                  <c:v>6.5</c:v>
                </c:pt>
                <c:pt idx="6117">
                  <c:v>6.5</c:v>
                </c:pt>
                <c:pt idx="6118">
                  <c:v>6.5</c:v>
                </c:pt>
                <c:pt idx="6119">
                  <c:v>6.5</c:v>
                </c:pt>
                <c:pt idx="6120">
                  <c:v>6.5</c:v>
                </c:pt>
                <c:pt idx="6121">
                  <c:v>6.5</c:v>
                </c:pt>
                <c:pt idx="6122">
                  <c:v>6.5</c:v>
                </c:pt>
                <c:pt idx="6123">
                  <c:v>6.5</c:v>
                </c:pt>
                <c:pt idx="6124">
                  <c:v>6.5</c:v>
                </c:pt>
                <c:pt idx="6125">
                  <c:v>6.5</c:v>
                </c:pt>
                <c:pt idx="6126">
                  <c:v>6.5</c:v>
                </c:pt>
                <c:pt idx="6127">
                  <c:v>6.5</c:v>
                </c:pt>
                <c:pt idx="6128">
                  <c:v>6.5</c:v>
                </c:pt>
                <c:pt idx="6129">
                  <c:v>6.5</c:v>
                </c:pt>
                <c:pt idx="6130">
                  <c:v>6.5</c:v>
                </c:pt>
                <c:pt idx="6131">
                  <c:v>6.5</c:v>
                </c:pt>
                <c:pt idx="6132">
                  <c:v>6.5</c:v>
                </c:pt>
                <c:pt idx="6133">
                  <c:v>6.5</c:v>
                </c:pt>
                <c:pt idx="6134">
                  <c:v>6.5</c:v>
                </c:pt>
                <c:pt idx="6135">
                  <c:v>6.5</c:v>
                </c:pt>
                <c:pt idx="6136">
                  <c:v>6.5</c:v>
                </c:pt>
                <c:pt idx="6137">
                  <c:v>6.5</c:v>
                </c:pt>
                <c:pt idx="6138">
                  <c:v>6.5</c:v>
                </c:pt>
                <c:pt idx="6139">
                  <c:v>6.5</c:v>
                </c:pt>
                <c:pt idx="6140">
                  <c:v>6.5</c:v>
                </c:pt>
                <c:pt idx="6141">
                  <c:v>6.5</c:v>
                </c:pt>
                <c:pt idx="6142">
                  <c:v>6.5</c:v>
                </c:pt>
                <c:pt idx="6143">
                  <c:v>6.5</c:v>
                </c:pt>
                <c:pt idx="6144">
                  <c:v>6.5</c:v>
                </c:pt>
                <c:pt idx="6145">
                  <c:v>6.5</c:v>
                </c:pt>
                <c:pt idx="6146">
                  <c:v>6.5</c:v>
                </c:pt>
                <c:pt idx="6147">
                  <c:v>6.5</c:v>
                </c:pt>
                <c:pt idx="6148">
                  <c:v>6.5</c:v>
                </c:pt>
                <c:pt idx="6149">
                  <c:v>6.5</c:v>
                </c:pt>
                <c:pt idx="6150">
                  <c:v>6.5</c:v>
                </c:pt>
                <c:pt idx="6151">
                  <c:v>6.5</c:v>
                </c:pt>
                <c:pt idx="6152">
                  <c:v>6.5</c:v>
                </c:pt>
                <c:pt idx="6153">
                  <c:v>6.5</c:v>
                </c:pt>
                <c:pt idx="6154">
                  <c:v>6.5</c:v>
                </c:pt>
                <c:pt idx="6155">
                  <c:v>6.5</c:v>
                </c:pt>
                <c:pt idx="6156">
                  <c:v>6.5</c:v>
                </c:pt>
                <c:pt idx="6157">
                  <c:v>6.5</c:v>
                </c:pt>
                <c:pt idx="6158">
                  <c:v>6.5</c:v>
                </c:pt>
                <c:pt idx="6159">
                  <c:v>6.5</c:v>
                </c:pt>
                <c:pt idx="6160">
                  <c:v>6.5</c:v>
                </c:pt>
                <c:pt idx="6161">
                  <c:v>6.5</c:v>
                </c:pt>
                <c:pt idx="6162">
                  <c:v>6.5</c:v>
                </c:pt>
                <c:pt idx="6163">
                  <c:v>6.5</c:v>
                </c:pt>
                <c:pt idx="6164">
                  <c:v>6.5</c:v>
                </c:pt>
                <c:pt idx="6165">
                  <c:v>6.5</c:v>
                </c:pt>
                <c:pt idx="6166">
                  <c:v>6.5</c:v>
                </c:pt>
                <c:pt idx="6167">
                  <c:v>6.5</c:v>
                </c:pt>
                <c:pt idx="6168">
                  <c:v>6.5</c:v>
                </c:pt>
                <c:pt idx="6169">
                  <c:v>6.5</c:v>
                </c:pt>
                <c:pt idx="6170">
                  <c:v>6.5</c:v>
                </c:pt>
                <c:pt idx="6171">
                  <c:v>6.5</c:v>
                </c:pt>
                <c:pt idx="6172">
                  <c:v>6.5</c:v>
                </c:pt>
                <c:pt idx="6173">
                  <c:v>6.5</c:v>
                </c:pt>
                <c:pt idx="6174">
                  <c:v>6.5</c:v>
                </c:pt>
                <c:pt idx="6175">
                  <c:v>6.5</c:v>
                </c:pt>
                <c:pt idx="6176">
                  <c:v>6.5</c:v>
                </c:pt>
                <c:pt idx="6177">
                  <c:v>6.5</c:v>
                </c:pt>
                <c:pt idx="6178">
                  <c:v>6.5</c:v>
                </c:pt>
                <c:pt idx="6179">
                  <c:v>6.5</c:v>
                </c:pt>
                <c:pt idx="6180">
                  <c:v>6.5</c:v>
                </c:pt>
                <c:pt idx="6181">
                  <c:v>6.5</c:v>
                </c:pt>
                <c:pt idx="6182">
                  <c:v>6.5</c:v>
                </c:pt>
                <c:pt idx="6183">
                  <c:v>6.5</c:v>
                </c:pt>
                <c:pt idx="6184">
                  <c:v>6.5</c:v>
                </c:pt>
                <c:pt idx="6185">
                  <c:v>6.5</c:v>
                </c:pt>
                <c:pt idx="6186">
                  <c:v>6.5</c:v>
                </c:pt>
                <c:pt idx="6187">
                  <c:v>6.5</c:v>
                </c:pt>
                <c:pt idx="6188">
                  <c:v>6.5</c:v>
                </c:pt>
                <c:pt idx="6189">
                  <c:v>6.5</c:v>
                </c:pt>
                <c:pt idx="6190">
                  <c:v>6.5</c:v>
                </c:pt>
                <c:pt idx="6191">
                  <c:v>6.5</c:v>
                </c:pt>
                <c:pt idx="6192">
                  <c:v>6.5</c:v>
                </c:pt>
                <c:pt idx="6193">
                  <c:v>6.5</c:v>
                </c:pt>
                <c:pt idx="6194">
                  <c:v>6.5</c:v>
                </c:pt>
                <c:pt idx="6195">
                  <c:v>6.5</c:v>
                </c:pt>
                <c:pt idx="6196">
                  <c:v>6.5</c:v>
                </c:pt>
                <c:pt idx="6197">
                  <c:v>6.5</c:v>
                </c:pt>
                <c:pt idx="6198">
                  <c:v>6.5</c:v>
                </c:pt>
                <c:pt idx="6199">
                  <c:v>6.5</c:v>
                </c:pt>
                <c:pt idx="6200">
                  <c:v>6.5</c:v>
                </c:pt>
                <c:pt idx="6201">
                  <c:v>6.5</c:v>
                </c:pt>
                <c:pt idx="6202">
                  <c:v>6.5</c:v>
                </c:pt>
                <c:pt idx="6203">
                  <c:v>6.5</c:v>
                </c:pt>
                <c:pt idx="6204">
                  <c:v>6.5</c:v>
                </c:pt>
                <c:pt idx="6205">
                  <c:v>6.5</c:v>
                </c:pt>
                <c:pt idx="6206">
                  <c:v>6.5</c:v>
                </c:pt>
                <c:pt idx="6207">
                  <c:v>6.5</c:v>
                </c:pt>
                <c:pt idx="6208">
                  <c:v>6.5</c:v>
                </c:pt>
                <c:pt idx="6209">
                  <c:v>6.5</c:v>
                </c:pt>
                <c:pt idx="6210">
                  <c:v>6.5</c:v>
                </c:pt>
                <c:pt idx="6211">
                  <c:v>6.5</c:v>
                </c:pt>
                <c:pt idx="6212">
                  <c:v>6.5</c:v>
                </c:pt>
                <c:pt idx="6213">
                  <c:v>6.5</c:v>
                </c:pt>
                <c:pt idx="6214">
                  <c:v>6.5</c:v>
                </c:pt>
                <c:pt idx="6215">
                  <c:v>6.5</c:v>
                </c:pt>
                <c:pt idx="6216">
                  <c:v>6.5</c:v>
                </c:pt>
                <c:pt idx="6217">
                  <c:v>6.5</c:v>
                </c:pt>
                <c:pt idx="6218">
                  <c:v>6.5</c:v>
                </c:pt>
                <c:pt idx="6219">
                  <c:v>6.5</c:v>
                </c:pt>
                <c:pt idx="6220">
                  <c:v>6.5</c:v>
                </c:pt>
                <c:pt idx="6221">
                  <c:v>6.5</c:v>
                </c:pt>
                <c:pt idx="6222">
                  <c:v>6.5</c:v>
                </c:pt>
                <c:pt idx="6223">
                  <c:v>6.5</c:v>
                </c:pt>
                <c:pt idx="6224">
                  <c:v>6.5</c:v>
                </c:pt>
                <c:pt idx="6225">
                  <c:v>6.5</c:v>
                </c:pt>
                <c:pt idx="6226">
                  <c:v>6.5</c:v>
                </c:pt>
                <c:pt idx="6227">
                  <c:v>6.5</c:v>
                </c:pt>
                <c:pt idx="6228">
                  <c:v>6.5</c:v>
                </c:pt>
                <c:pt idx="6229">
                  <c:v>6.5</c:v>
                </c:pt>
                <c:pt idx="6230">
                  <c:v>6.5</c:v>
                </c:pt>
                <c:pt idx="6231">
                  <c:v>6.5</c:v>
                </c:pt>
                <c:pt idx="6232">
                  <c:v>6.5</c:v>
                </c:pt>
                <c:pt idx="6233">
                  <c:v>6.5</c:v>
                </c:pt>
                <c:pt idx="6234">
                  <c:v>6.5</c:v>
                </c:pt>
                <c:pt idx="6235">
                  <c:v>6.5</c:v>
                </c:pt>
                <c:pt idx="6236">
                  <c:v>6.5</c:v>
                </c:pt>
                <c:pt idx="6237">
                  <c:v>6.5</c:v>
                </c:pt>
                <c:pt idx="6238">
                  <c:v>6.5</c:v>
                </c:pt>
                <c:pt idx="6239">
                  <c:v>6.5</c:v>
                </c:pt>
                <c:pt idx="6240">
                  <c:v>6.5</c:v>
                </c:pt>
                <c:pt idx="6241">
                  <c:v>6.5</c:v>
                </c:pt>
                <c:pt idx="6242">
                  <c:v>6.5</c:v>
                </c:pt>
                <c:pt idx="6243">
                  <c:v>6.5</c:v>
                </c:pt>
                <c:pt idx="6244">
                  <c:v>6.5</c:v>
                </c:pt>
                <c:pt idx="6245">
                  <c:v>6.5</c:v>
                </c:pt>
                <c:pt idx="6246">
                  <c:v>6.25</c:v>
                </c:pt>
                <c:pt idx="6247">
                  <c:v>6.25</c:v>
                </c:pt>
                <c:pt idx="6248">
                  <c:v>6.25</c:v>
                </c:pt>
                <c:pt idx="6249">
                  <c:v>6.25</c:v>
                </c:pt>
                <c:pt idx="6250">
                  <c:v>6.25</c:v>
                </c:pt>
                <c:pt idx="6251">
                  <c:v>6.25</c:v>
                </c:pt>
                <c:pt idx="6252">
                  <c:v>6.25</c:v>
                </c:pt>
                <c:pt idx="6253">
                  <c:v>6.25</c:v>
                </c:pt>
                <c:pt idx="6254">
                  <c:v>6.25</c:v>
                </c:pt>
                <c:pt idx="6255">
                  <c:v>6.25</c:v>
                </c:pt>
                <c:pt idx="6256">
                  <c:v>6.25</c:v>
                </c:pt>
                <c:pt idx="6257">
                  <c:v>6.25</c:v>
                </c:pt>
                <c:pt idx="6258">
                  <c:v>6.25</c:v>
                </c:pt>
                <c:pt idx="6259">
                  <c:v>6.25</c:v>
                </c:pt>
                <c:pt idx="6260">
                  <c:v>6.25</c:v>
                </c:pt>
                <c:pt idx="6261">
                  <c:v>6.25</c:v>
                </c:pt>
                <c:pt idx="6262">
                  <c:v>6.25</c:v>
                </c:pt>
                <c:pt idx="6263">
                  <c:v>6.25</c:v>
                </c:pt>
                <c:pt idx="6264">
                  <c:v>6.25</c:v>
                </c:pt>
                <c:pt idx="6265">
                  <c:v>6.25</c:v>
                </c:pt>
                <c:pt idx="6266">
                  <c:v>6.25</c:v>
                </c:pt>
                <c:pt idx="6267">
                  <c:v>6.25</c:v>
                </c:pt>
                <c:pt idx="6268">
                  <c:v>6.25</c:v>
                </c:pt>
                <c:pt idx="6269">
                  <c:v>6.25</c:v>
                </c:pt>
                <c:pt idx="6270">
                  <c:v>6.25</c:v>
                </c:pt>
                <c:pt idx="6271">
                  <c:v>6.25</c:v>
                </c:pt>
                <c:pt idx="6272">
                  <c:v>6.25</c:v>
                </c:pt>
                <c:pt idx="6273">
                  <c:v>6.25</c:v>
                </c:pt>
                <c:pt idx="6274">
                  <c:v>6.25</c:v>
                </c:pt>
                <c:pt idx="6275">
                  <c:v>6.25</c:v>
                </c:pt>
                <c:pt idx="6276">
                  <c:v>6.25</c:v>
                </c:pt>
                <c:pt idx="6277">
                  <c:v>6.25</c:v>
                </c:pt>
                <c:pt idx="6278">
                  <c:v>6.25</c:v>
                </c:pt>
                <c:pt idx="6279">
                  <c:v>6.25</c:v>
                </c:pt>
                <c:pt idx="6280">
                  <c:v>6.25</c:v>
                </c:pt>
                <c:pt idx="6281">
                  <c:v>6.25</c:v>
                </c:pt>
                <c:pt idx="6282">
                  <c:v>6.25</c:v>
                </c:pt>
                <c:pt idx="6283">
                  <c:v>6.25</c:v>
                </c:pt>
                <c:pt idx="6284">
                  <c:v>6.25</c:v>
                </c:pt>
                <c:pt idx="6285">
                  <c:v>6.25</c:v>
                </c:pt>
                <c:pt idx="6286">
                  <c:v>6.25</c:v>
                </c:pt>
                <c:pt idx="6287">
                  <c:v>6.25</c:v>
                </c:pt>
                <c:pt idx="6288">
                  <c:v>6.25</c:v>
                </c:pt>
                <c:pt idx="6289">
                  <c:v>6.25</c:v>
                </c:pt>
                <c:pt idx="6290">
                  <c:v>6.25</c:v>
                </c:pt>
                <c:pt idx="6291">
                  <c:v>6.25</c:v>
                </c:pt>
                <c:pt idx="6292">
                  <c:v>6.25</c:v>
                </c:pt>
                <c:pt idx="6293">
                  <c:v>6.25</c:v>
                </c:pt>
                <c:pt idx="6294">
                  <c:v>6.25</c:v>
                </c:pt>
                <c:pt idx="6295">
                  <c:v>6.25</c:v>
                </c:pt>
                <c:pt idx="6296">
                  <c:v>6.25</c:v>
                </c:pt>
                <c:pt idx="6297">
                  <c:v>6.25</c:v>
                </c:pt>
                <c:pt idx="6298">
                  <c:v>6.25</c:v>
                </c:pt>
                <c:pt idx="6299">
                  <c:v>6.25</c:v>
                </c:pt>
                <c:pt idx="6300">
                  <c:v>6.25</c:v>
                </c:pt>
                <c:pt idx="6301">
                  <c:v>6.25</c:v>
                </c:pt>
                <c:pt idx="6302">
                  <c:v>6</c:v>
                </c:pt>
                <c:pt idx="6303">
                  <c:v>6</c:v>
                </c:pt>
                <c:pt idx="6304">
                  <c:v>6</c:v>
                </c:pt>
                <c:pt idx="6305">
                  <c:v>6</c:v>
                </c:pt>
                <c:pt idx="6306">
                  <c:v>6</c:v>
                </c:pt>
                <c:pt idx="6307">
                  <c:v>6</c:v>
                </c:pt>
                <c:pt idx="6308">
                  <c:v>6</c:v>
                </c:pt>
                <c:pt idx="6309">
                  <c:v>6</c:v>
                </c:pt>
                <c:pt idx="6310">
                  <c:v>6</c:v>
                </c:pt>
                <c:pt idx="6311">
                  <c:v>6</c:v>
                </c:pt>
                <c:pt idx="6312">
                  <c:v>6</c:v>
                </c:pt>
                <c:pt idx="6313">
                  <c:v>6</c:v>
                </c:pt>
                <c:pt idx="6314">
                  <c:v>6</c:v>
                </c:pt>
                <c:pt idx="6315">
                  <c:v>6</c:v>
                </c:pt>
                <c:pt idx="6316">
                  <c:v>6</c:v>
                </c:pt>
                <c:pt idx="6317">
                  <c:v>6</c:v>
                </c:pt>
                <c:pt idx="6318">
                  <c:v>6</c:v>
                </c:pt>
                <c:pt idx="6319">
                  <c:v>6</c:v>
                </c:pt>
                <c:pt idx="6320">
                  <c:v>6</c:v>
                </c:pt>
                <c:pt idx="6321">
                  <c:v>6</c:v>
                </c:pt>
                <c:pt idx="6322">
                  <c:v>6</c:v>
                </c:pt>
                <c:pt idx="6323">
                  <c:v>6</c:v>
                </c:pt>
                <c:pt idx="6324">
                  <c:v>6</c:v>
                </c:pt>
                <c:pt idx="6325">
                  <c:v>6</c:v>
                </c:pt>
                <c:pt idx="6326">
                  <c:v>6</c:v>
                </c:pt>
                <c:pt idx="6327">
                  <c:v>6</c:v>
                </c:pt>
                <c:pt idx="6328">
                  <c:v>6</c:v>
                </c:pt>
                <c:pt idx="6329">
                  <c:v>6</c:v>
                </c:pt>
                <c:pt idx="6330">
                  <c:v>6</c:v>
                </c:pt>
                <c:pt idx="6331">
                  <c:v>6</c:v>
                </c:pt>
                <c:pt idx="6332">
                  <c:v>6</c:v>
                </c:pt>
                <c:pt idx="6333">
                  <c:v>6</c:v>
                </c:pt>
                <c:pt idx="6334">
                  <c:v>6</c:v>
                </c:pt>
                <c:pt idx="6335">
                  <c:v>6</c:v>
                </c:pt>
                <c:pt idx="6336">
                  <c:v>6</c:v>
                </c:pt>
                <c:pt idx="6337">
                  <c:v>6</c:v>
                </c:pt>
                <c:pt idx="6338">
                  <c:v>6</c:v>
                </c:pt>
                <c:pt idx="6339">
                  <c:v>6</c:v>
                </c:pt>
                <c:pt idx="6340">
                  <c:v>6</c:v>
                </c:pt>
                <c:pt idx="6341">
                  <c:v>6</c:v>
                </c:pt>
                <c:pt idx="6342">
                  <c:v>6</c:v>
                </c:pt>
                <c:pt idx="6343">
                  <c:v>6</c:v>
                </c:pt>
                <c:pt idx="6344">
                  <c:v>6</c:v>
                </c:pt>
                <c:pt idx="6345">
                  <c:v>6</c:v>
                </c:pt>
                <c:pt idx="6346">
                  <c:v>6</c:v>
                </c:pt>
                <c:pt idx="6347">
                  <c:v>6</c:v>
                </c:pt>
                <c:pt idx="6348">
                  <c:v>6</c:v>
                </c:pt>
                <c:pt idx="6349">
                  <c:v>6</c:v>
                </c:pt>
                <c:pt idx="6350">
                  <c:v>6</c:v>
                </c:pt>
                <c:pt idx="6351">
                  <c:v>6</c:v>
                </c:pt>
                <c:pt idx="6352">
                  <c:v>6</c:v>
                </c:pt>
                <c:pt idx="6353">
                  <c:v>6</c:v>
                </c:pt>
                <c:pt idx="6354">
                  <c:v>6</c:v>
                </c:pt>
                <c:pt idx="6355">
                  <c:v>6</c:v>
                </c:pt>
                <c:pt idx="6356">
                  <c:v>6</c:v>
                </c:pt>
                <c:pt idx="6357">
                  <c:v>6</c:v>
                </c:pt>
                <c:pt idx="6358">
                  <c:v>6</c:v>
                </c:pt>
                <c:pt idx="6359">
                  <c:v>6</c:v>
                </c:pt>
                <c:pt idx="6360">
                  <c:v>6</c:v>
                </c:pt>
                <c:pt idx="6361">
                  <c:v>6</c:v>
                </c:pt>
                <c:pt idx="6362">
                  <c:v>6</c:v>
                </c:pt>
                <c:pt idx="6363">
                  <c:v>6</c:v>
                </c:pt>
                <c:pt idx="6364">
                  <c:v>6</c:v>
                </c:pt>
                <c:pt idx="6365">
                  <c:v>5.75</c:v>
                </c:pt>
                <c:pt idx="6366">
                  <c:v>5.75</c:v>
                </c:pt>
                <c:pt idx="6367">
                  <c:v>5.75</c:v>
                </c:pt>
                <c:pt idx="6368">
                  <c:v>5.75</c:v>
                </c:pt>
                <c:pt idx="6369">
                  <c:v>5.75</c:v>
                </c:pt>
                <c:pt idx="6370">
                  <c:v>5.75</c:v>
                </c:pt>
                <c:pt idx="6371">
                  <c:v>5.75</c:v>
                </c:pt>
                <c:pt idx="6372">
                  <c:v>5.75</c:v>
                </c:pt>
                <c:pt idx="6373">
                  <c:v>5.75</c:v>
                </c:pt>
                <c:pt idx="6374">
                  <c:v>5.75</c:v>
                </c:pt>
                <c:pt idx="6375">
                  <c:v>5.75</c:v>
                </c:pt>
                <c:pt idx="6376">
                  <c:v>5.75</c:v>
                </c:pt>
                <c:pt idx="6377">
                  <c:v>5.75</c:v>
                </c:pt>
                <c:pt idx="6378">
                  <c:v>5.75</c:v>
                </c:pt>
                <c:pt idx="6379">
                  <c:v>5.75</c:v>
                </c:pt>
                <c:pt idx="6380">
                  <c:v>5.75</c:v>
                </c:pt>
                <c:pt idx="6381">
                  <c:v>5.75</c:v>
                </c:pt>
                <c:pt idx="6382">
                  <c:v>5.75</c:v>
                </c:pt>
                <c:pt idx="6383">
                  <c:v>5.75</c:v>
                </c:pt>
                <c:pt idx="6384">
                  <c:v>5.75</c:v>
                </c:pt>
                <c:pt idx="6385">
                  <c:v>5.75</c:v>
                </c:pt>
                <c:pt idx="6386">
                  <c:v>5.75</c:v>
                </c:pt>
                <c:pt idx="6387">
                  <c:v>5.75</c:v>
                </c:pt>
                <c:pt idx="6388">
                  <c:v>5.75</c:v>
                </c:pt>
                <c:pt idx="6389">
                  <c:v>5.75</c:v>
                </c:pt>
                <c:pt idx="6390">
                  <c:v>5.75</c:v>
                </c:pt>
                <c:pt idx="6391">
                  <c:v>5.75</c:v>
                </c:pt>
                <c:pt idx="6392">
                  <c:v>5.75</c:v>
                </c:pt>
                <c:pt idx="6393">
                  <c:v>5.75</c:v>
                </c:pt>
                <c:pt idx="6394">
                  <c:v>5.75</c:v>
                </c:pt>
                <c:pt idx="6395">
                  <c:v>5.75</c:v>
                </c:pt>
                <c:pt idx="6396">
                  <c:v>5.75</c:v>
                </c:pt>
                <c:pt idx="6397">
                  <c:v>5.75</c:v>
                </c:pt>
                <c:pt idx="6398">
                  <c:v>5.75</c:v>
                </c:pt>
                <c:pt idx="6399">
                  <c:v>5.75</c:v>
                </c:pt>
                <c:pt idx="6400">
                  <c:v>5.75</c:v>
                </c:pt>
                <c:pt idx="6401">
                  <c:v>5.75</c:v>
                </c:pt>
                <c:pt idx="6402">
                  <c:v>5.75</c:v>
                </c:pt>
                <c:pt idx="6403">
                  <c:v>5.75</c:v>
                </c:pt>
                <c:pt idx="6404">
                  <c:v>5.75</c:v>
                </c:pt>
                <c:pt idx="6405">
                  <c:v>5.75</c:v>
                </c:pt>
                <c:pt idx="6406">
                  <c:v>5.75</c:v>
                </c:pt>
                <c:pt idx="6407">
                  <c:v>5.75</c:v>
                </c:pt>
                <c:pt idx="6408">
                  <c:v>5.75</c:v>
                </c:pt>
                <c:pt idx="6409">
                  <c:v>5.75</c:v>
                </c:pt>
                <c:pt idx="6410">
                  <c:v>5.75</c:v>
                </c:pt>
                <c:pt idx="6411">
                  <c:v>5.75</c:v>
                </c:pt>
                <c:pt idx="6412">
                  <c:v>5.75</c:v>
                </c:pt>
                <c:pt idx="6413">
                  <c:v>5.75</c:v>
                </c:pt>
                <c:pt idx="6414">
                  <c:v>5.75</c:v>
                </c:pt>
                <c:pt idx="6415">
                  <c:v>5.75</c:v>
                </c:pt>
                <c:pt idx="6416">
                  <c:v>5.75</c:v>
                </c:pt>
                <c:pt idx="6417">
                  <c:v>5.75</c:v>
                </c:pt>
                <c:pt idx="6418">
                  <c:v>5.75</c:v>
                </c:pt>
                <c:pt idx="6419">
                  <c:v>5.75</c:v>
                </c:pt>
                <c:pt idx="6420">
                  <c:v>5.75</c:v>
                </c:pt>
                <c:pt idx="6421">
                  <c:v>5.75</c:v>
                </c:pt>
                <c:pt idx="6422">
                  <c:v>5.75</c:v>
                </c:pt>
                <c:pt idx="6423">
                  <c:v>5.75</c:v>
                </c:pt>
                <c:pt idx="6424">
                  <c:v>5.75</c:v>
                </c:pt>
                <c:pt idx="6425">
                  <c:v>5.75</c:v>
                </c:pt>
                <c:pt idx="6426">
                  <c:v>5.75</c:v>
                </c:pt>
                <c:pt idx="6427">
                  <c:v>5.4</c:v>
                </c:pt>
                <c:pt idx="6428">
                  <c:v>5.4</c:v>
                </c:pt>
                <c:pt idx="6429">
                  <c:v>5.4</c:v>
                </c:pt>
                <c:pt idx="6430">
                  <c:v>5.4</c:v>
                </c:pt>
                <c:pt idx="6431">
                  <c:v>5.4</c:v>
                </c:pt>
                <c:pt idx="6432">
                  <c:v>5.4</c:v>
                </c:pt>
                <c:pt idx="6433">
                  <c:v>5.4</c:v>
                </c:pt>
                <c:pt idx="6434">
                  <c:v>5.4</c:v>
                </c:pt>
                <c:pt idx="6435">
                  <c:v>5.4</c:v>
                </c:pt>
                <c:pt idx="6436">
                  <c:v>5.4</c:v>
                </c:pt>
                <c:pt idx="6437">
                  <c:v>5.4</c:v>
                </c:pt>
                <c:pt idx="6438">
                  <c:v>5.4</c:v>
                </c:pt>
                <c:pt idx="6439">
                  <c:v>5.4</c:v>
                </c:pt>
                <c:pt idx="6440">
                  <c:v>5.4</c:v>
                </c:pt>
                <c:pt idx="6441">
                  <c:v>5.4</c:v>
                </c:pt>
                <c:pt idx="6442">
                  <c:v>5.4</c:v>
                </c:pt>
                <c:pt idx="6443">
                  <c:v>5.4</c:v>
                </c:pt>
                <c:pt idx="6444">
                  <c:v>5.4</c:v>
                </c:pt>
                <c:pt idx="6445">
                  <c:v>5.4</c:v>
                </c:pt>
                <c:pt idx="6446">
                  <c:v>5.4</c:v>
                </c:pt>
                <c:pt idx="6447">
                  <c:v>5.4</c:v>
                </c:pt>
                <c:pt idx="6448">
                  <c:v>5.4</c:v>
                </c:pt>
                <c:pt idx="6449">
                  <c:v>5.4</c:v>
                </c:pt>
                <c:pt idx="6450">
                  <c:v>5.4</c:v>
                </c:pt>
                <c:pt idx="6451">
                  <c:v>5.4</c:v>
                </c:pt>
                <c:pt idx="6452">
                  <c:v>5.4</c:v>
                </c:pt>
                <c:pt idx="6453">
                  <c:v>5.4</c:v>
                </c:pt>
                <c:pt idx="6454">
                  <c:v>5.4</c:v>
                </c:pt>
                <c:pt idx="6455">
                  <c:v>5.4</c:v>
                </c:pt>
                <c:pt idx="6456">
                  <c:v>5.4</c:v>
                </c:pt>
                <c:pt idx="6457">
                  <c:v>5.4</c:v>
                </c:pt>
                <c:pt idx="6458">
                  <c:v>5.4</c:v>
                </c:pt>
                <c:pt idx="6459">
                  <c:v>5.4</c:v>
                </c:pt>
                <c:pt idx="6460">
                  <c:v>5.4</c:v>
                </c:pt>
                <c:pt idx="6461">
                  <c:v>5.4</c:v>
                </c:pt>
                <c:pt idx="6462">
                  <c:v>5.4</c:v>
                </c:pt>
                <c:pt idx="6463">
                  <c:v>5.4</c:v>
                </c:pt>
                <c:pt idx="6464">
                  <c:v>5.4</c:v>
                </c:pt>
                <c:pt idx="6465">
                  <c:v>5.4</c:v>
                </c:pt>
                <c:pt idx="6466">
                  <c:v>5.4</c:v>
                </c:pt>
                <c:pt idx="6467">
                  <c:v>5.4</c:v>
                </c:pt>
                <c:pt idx="6468">
                  <c:v>5.4</c:v>
                </c:pt>
                <c:pt idx="6469">
                  <c:v>5.4</c:v>
                </c:pt>
                <c:pt idx="6470">
                  <c:v>5.4</c:v>
                </c:pt>
                <c:pt idx="6471">
                  <c:v>5.4</c:v>
                </c:pt>
                <c:pt idx="6472">
                  <c:v>5.4</c:v>
                </c:pt>
                <c:pt idx="6473">
                  <c:v>5.4</c:v>
                </c:pt>
                <c:pt idx="6474">
                  <c:v>5.4</c:v>
                </c:pt>
                <c:pt idx="6475">
                  <c:v>5.4</c:v>
                </c:pt>
                <c:pt idx="6476">
                  <c:v>5.4</c:v>
                </c:pt>
                <c:pt idx="6477">
                  <c:v>5.4</c:v>
                </c:pt>
                <c:pt idx="6478">
                  <c:v>5.4</c:v>
                </c:pt>
                <c:pt idx="6479">
                  <c:v>5.4</c:v>
                </c:pt>
                <c:pt idx="6480">
                  <c:v>5.4</c:v>
                </c:pt>
                <c:pt idx="6481">
                  <c:v>5.4</c:v>
                </c:pt>
                <c:pt idx="6482">
                  <c:v>5.4</c:v>
                </c:pt>
                <c:pt idx="6483">
                  <c:v>5.4</c:v>
                </c:pt>
                <c:pt idx="6484">
                  <c:v>5.4</c:v>
                </c:pt>
                <c:pt idx="6485">
                  <c:v>5.15</c:v>
                </c:pt>
                <c:pt idx="6486">
                  <c:v>5.15</c:v>
                </c:pt>
                <c:pt idx="6487">
                  <c:v>5.15</c:v>
                </c:pt>
                <c:pt idx="6488">
                  <c:v>5.15</c:v>
                </c:pt>
                <c:pt idx="6489">
                  <c:v>5.15</c:v>
                </c:pt>
                <c:pt idx="6490">
                  <c:v>5.15</c:v>
                </c:pt>
                <c:pt idx="6491">
                  <c:v>5.15</c:v>
                </c:pt>
                <c:pt idx="6492">
                  <c:v>5.15</c:v>
                </c:pt>
                <c:pt idx="6493">
                  <c:v>5.15</c:v>
                </c:pt>
                <c:pt idx="6494">
                  <c:v>5.15</c:v>
                </c:pt>
                <c:pt idx="6495">
                  <c:v>5.15</c:v>
                </c:pt>
                <c:pt idx="6496">
                  <c:v>5.15</c:v>
                </c:pt>
                <c:pt idx="6497">
                  <c:v>5.15</c:v>
                </c:pt>
                <c:pt idx="6498">
                  <c:v>5.15</c:v>
                </c:pt>
                <c:pt idx="6499">
                  <c:v>5.15</c:v>
                </c:pt>
                <c:pt idx="6500">
                  <c:v>5.15</c:v>
                </c:pt>
                <c:pt idx="6501">
                  <c:v>5.15</c:v>
                </c:pt>
                <c:pt idx="6502">
                  <c:v>5.15</c:v>
                </c:pt>
                <c:pt idx="6503">
                  <c:v>5.15</c:v>
                </c:pt>
                <c:pt idx="6504">
                  <c:v>5.15</c:v>
                </c:pt>
                <c:pt idx="6505">
                  <c:v>5.15</c:v>
                </c:pt>
                <c:pt idx="6506">
                  <c:v>5.15</c:v>
                </c:pt>
                <c:pt idx="6507">
                  <c:v>5.15</c:v>
                </c:pt>
                <c:pt idx="6508">
                  <c:v>5.15</c:v>
                </c:pt>
                <c:pt idx="6509">
                  <c:v>5.15</c:v>
                </c:pt>
                <c:pt idx="6510">
                  <c:v>5.15</c:v>
                </c:pt>
                <c:pt idx="6511">
                  <c:v>5.15</c:v>
                </c:pt>
                <c:pt idx="6512">
                  <c:v>5.15</c:v>
                </c:pt>
                <c:pt idx="6513">
                  <c:v>5.15</c:v>
                </c:pt>
                <c:pt idx="6514">
                  <c:v>5.15</c:v>
                </c:pt>
                <c:pt idx="6515">
                  <c:v>5.15</c:v>
                </c:pt>
                <c:pt idx="6516">
                  <c:v>5.15</c:v>
                </c:pt>
                <c:pt idx="6517">
                  <c:v>5.15</c:v>
                </c:pt>
                <c:pt idx="6518">
                  <c:v>5.15</c:v>
                </c:pt>
                <c:pt idx="6519">
                  <c:v>5.15</c:v>
                </c:pt>
                <c:pt idx="6520">
                  <c:v>5.15</c:v>
                </c:pt>
                <c:pt idx="6521">
                  <c:v>5.15</c:v>
                </c:pt>
                <c:pt idx="6522">
                  <c:v>5.15</c:v>
                </c:pt>
                <c:pt idx="6523">
                  <c:v>5.15</c:v>
                </c:pt>
                <c:pt idx="6524">
                  <c:v>5.15</c:v>
                </c:pt>
                <c:pt idx="6525">
                  <c:v>5.15</c:v>
                </c:pt>
                <c:pt idx="6526">
                  <c:v>5.15</c:v>
                </c:pt>
                <c:pt idx="6527">
                  <c:v>5.15</c:v>
                </c:pt>
                <c:pt idx="6528">
                  <c:v>5.15</c:v>
                </c:pt>
                <c:pt idx="6529">
                  <c:v>5.15</c:v>
                </c:pt>
                <c:pt idx="6530">
                  <c:v>5.15</c:v>
                </c:pt>
                <c:pt idx="6531">
                  <c:v>5.15</c:v>
                </c:pt>
                <c:pt idx="6532">
                  <c:v>5.15</c:v>
                </c:pt>
                <c:pt idx="6533">
                  <c:v>5.15</c:v>
                </c:pt>
                <c:pt idx="6534">
                  <c:v>5.15</c:v>
                </c:pt>
                <c:pt idx="6535">
                  <c:v>5.15</c:v>
                </c:pt>
                <c:pt idx="6536">
                  <c:v>5.15</c:v>
                </c:pt>
                <c:pt idx="6537">
                  <c:v>5.15</c:v>
                </c:pt>
                <c:pt idx="6538">
                  <c:v>5.15</c:v>
                </c:pt>
                <c:pt idx="6539">
                  <c:v>5.15</c:v>
                </c:pt>
                <c:pt idx="6540">
                  <c:v>5.15</c:v>
                </c:pt>
                <c:pt idx="6541">
                  <c:v>5.15</c:v>
                </c:pt>
                <c:pt idx="6542">
                  <c:v>5.15</c:v>
                </c:pt>
                <c:pt idx="6543">
                  <c:v>5.15</c:v>
                </c:pt>
                <c:pt idx="6544">
                  <c:v>5.15</c:v>
                </c:pt>
                <c:pt idx="6545">
                  <c:v>5.15</c:v>
                </c:pt>
                <c:pt idx="6546">
                  <c:v>5.15</c:v>
                </c:pt>
                <c:pt idx="6547">
                  <c:v>5.15</c:v>
                </c:pt>
                <c:pt idx="6548">
                  <c:v>5.15</c:v>
                </c:pt>
                <c:pt idx="6549">
                  <c:v>5.15</c:v>
                </c:pt>
                <c:pt idx="6550">
                  <c:v>5.15</c:v>
                </c:pt>
                <c:pt idx="6551">
                  <c:v>5.15</c:v>
                </c:pt>
                <c:pt idx="6552">
                  <c:v>5.15</c:v>
                </c:pt>
                <c:pt idx="6553">
                  <c:v>5.15</c:v>
                </c:pt>
                <c:pt idx="6554">
                  <c:v>5.15</c:v>
                </c:pt>
                <c:pt idx="6555">
                  <c:v>5.15</c:v>
                </c:pt>
                <c:pt idx="6556">
                  <c:v>5.15</c:v>
                </c:pt>
                <c:pt idx="6557">
                  <c:v>5.15</c:v>
                </c:pt>
                <c:pt idx="6558">
                  <c:v>5.15</c:v>
                </c:pt>
                <c:pt idx="6559">
                  <c:v>5.15</c:v>
                </c:pt>
                <c:pt idx="6560">
                  <c:v>5.15</c:v>
                </c:pt>
                <c:pt idx="6561">
                  <c:v>5.15</c:v>
                </c:pt>
                <c:pt idx="6562">
                  <c:v>5.15</c:v>
                </c:pt>
                <c:pt idx="6563">
                  <c:v>5.15</c:v>
                </c:pt>
                <c:pt idx="6564">
                  <c:v>5.15</c:v>
                </c:pt>
                <c:pt idx="6565">
                  <c:v>5.15</c:v>
                </c:pt>
                <c:pt idx="6566">
                  <c:v>5.15</c:v>
                </c:pt>
                <c:pt idx="6567">
                  <c:v>5.15</c:v>
                </c:pt>
                <c:pt idx="6568">
                  <c:v>5.15</c:v>
                </c:pt>
                <c:pt idx="6569">
                  <c:v>5.15</c:v>
                </c:pt>
                <c:pt idx="6570">
                  <c:v>5.15</c:v>
                </c:pt>
                <c:pt idx="6571">
                  <c:v>5.15</c:v>
                </c:pt>
                <c:pt idx="6572">
                  <c:v>5.15</c:v>
                </c:pt>
                <c:pt idx="6573">
                  <c:v>5.15</c:v>
                </c:pt>
                <c:pt idx="6574">
                  <c:v>5.15</c:v>
                </c:pt>
                <c:pt idx="6575">
                  <c:v>5.15</c:v>
                </c:pt>
                <c:pt idx="6576">
                  <c:v>5.15</c:v>
                </c:pt>
                <c:pt idx="6577">
                  <c:v>5.15</c:v>
                </c:pt>
                <c:pt idx="6578">
                  <c:v>5.15</c:v>
                </c:pt>
                <c:pt idx="6579">
                  <c:v>5.15</c:v>
                </c:pt>
                <c:pt idx="6580">
                  <c:v>5.15</c:v>
                </c:pt>
                <c:pt idx="6581">
                  <c:v>5.15</c:v>
                </c:pt>
                <c:pt idx="6582">
                  <c:v>5.15</c:v>
                </c:pt>
                <c:pt idx="6583">
                  <c:v>5.15</c:v>
                </c:pt>
                <c:pt idx="6584">
                  <c:v>5.15</c:v>
                </c:pt>
                <c:pt idx="6585">
                  <c:v>5.15</c:v>
                </c:pt>
                <c:pt idx="6586">
                  <c:v>5.15</c:v>
                </c:pt>
                <c:pt idx="6587">
                  <c:v>5.15</c:v>
                </c:pt>
                <c:pt idx="6588">
                  <c:v>5.15</c:v>
                </c:pt>
                <c:pt idx="6589">
                  <c:v>5.15</c:v>
                </c:pt>
                <c:pt idx="6590">
                  <c:v>5.15</c:v>
                </c:pt>
                <c:pt idx="6591">
                  <c:v>5.15</c:v>
                </c:pt>
                <c:pt idx="6592">
                  <c:v>5.15</c:v>
                </c:pt>
                <c:pt idx="6593">
                  <c:v>5.15</c:v>
                </c:pt>
                <c:pt idx="6594">
                  <c:v>5.15</c:v>
                </c:pt>
                <c:pt idx="6595">
                  <c:v>5.15</c:v>
                </c:pt>
                <c:pt idx="6596">
                  <c:v>5.15</c:v>
                </c:pt>
                <c:pt idx="6597">
                  <c:v>5.15</c:v>
                </c:pt>
                <c:pt idx="6598">
                  <c:v>5.15</c:v>
                </c:pt>
                <c:pt idx="6599">
                  <c:v>5.15</c:v>
                </c:pt>
                <c:pt idx="6600">
                  <c:v>5.15</c:v>
                </c:pt>
                <c:pt idx="6601">
                  <c:v>5.15</c:v>
                </c:pt>
                <c:pt idx="6602">
                  <c:v>5.15</c:v>
                </c:pt>
                <c:pt idx="6603">
                  <c:v>5.15</c:v>
                </c:pt>
                <c:pt idx="6604">
                  <c:v>5.15</c:v>
                </c:pt>
                <c:pt idx="6605">
                  <c:v>5.15</c:v>
                </c:pt>
                <c:pt idx="6606">
                  <c:v>5.15</c:v>
                </c:pt>
                <c:pt idx="6607">
                  <c:v>5.15</c:v>
                </c:pt>
                <c:pt idx="6608">
                  <c:v>5.15</c:v>
                </c:pt>
                <c:pt idx="6609">
                  <c:v>5.15</c:v>
                </c:pt>
                <c:pt idx="6610">
                  <c:v>5.15</c:v>
                </c:pt>
                <c:pt idx="6611">
                  <c:v>5.15</c:v>
                </c:pt>
                <c:pt idx="6612">
                  <c:v>5.15</c:v>
                </c:pt>
                <c:pt idx="6613">
                  <c:v>5.15</c:v>
                </c:pt>
                <c:pt idx="6614">
                  <c:v>5.15</c:v>
                </c:pt>
                <c:pt idx="6615">
                  <c:v>5.15</c:v>
                </c:pt>
                <c:pt idx="6616">
                  <c:v>5.15</c:v>
                </c:pt>
                <c:pt idx="6617">
                  <c:v>5.15</c:v>
                </c:pt>
                <c:pt idx="6618">
                  <c:v>5.15</c:v>
                </c:pt>
                <c:pt idx="6619">
                  <c:v>5.15</c:v>
                </c:pt>
                <c:pt idx="6620">
                  <c:v>5.15</c:v>
                </c:pt>
                <c:pt idx="6621">
                  <c:v>5.15</c:v>
                </c:pt>
                <c:pt idx="6622">
                  <c:v>5.15</c:v>
                </c:pt>
                <c:pt idx="6623">
                  <c:v>5.15</c:v>
                </c:pt>
                <c:pt idx="6624">
                  <c:v>5.15</c:v>
                </c:pt>
                <c:pt idx="6625">
                  <c:v>5.15</c:v>
                </c:pt>
                <c:pt idx="6626">
                  <c:v>5.15</c:v>
                </c:pt>
                <c:pt idx="6627">
                  <c:v>5.15</c:v>
                </c:pt>
                <c:pt idx="6628">
                  <c:v>5.15</c:v>
                </c:pt>
                <c:pt idx="6629">
                  <c:v>5.15</c:v>
                </c:pt>
                <c:pt idx="6630">
                  <c:v>5.15</c:v>
                </c:pt>
                <c:pt idx="6631">
                  <c:v>5.15</c:v>
                </c:pt>
                <c:pt idx="6632">
                  <c:v>5.15</c:v>
                </c:pt>
                <c:pt idx="6633">
                  <c:v>5.15</c:v>
                </c:pt>
                <c:pt idx="6634">
                  <c:v>5.15</c:v>
                </c:pt>
                <c:pt idx="6635">
                  <c:v>5.15</c:v>
                </c:pt>
                <c:pt idx="6636">
                  <c:v>5.15</c:v>
                </c:pt>
                <c:pt idx="6637">
                  <c:v>5.15</c:v>
                </c:pt>
                <c:pt idx="6638">
                  <c:v>5.15</c:v>
                </c:pt>
                <c:pt idx="6639">
                  <c:v>5.15</c:v>
                </c:pt>
                <c:pt idx="6640">
                  <c:v>5.15</c:v>
                </c:pt>
                <c:pt idx="6641">
                  <c:v>5.15</c:v>
                </c:pt>
                <c:pt idx="6642">
                  <c:v>5.15</c:v>
                </c:pt>
                <c:pt idx="6643">
                  <c:v>5.15</c:v>
                </c:pt>
                <c:pt idx="6644">
                  <c:v>5.15</c:v>
                </c:pt>
                <c:pt idx="6645">
                  <c:v>5.15</c:v>
                </c:pt>
                <c:pt idx="6646">
                  <c:v>5.15</c:v>
                </c:pt>
                <c:pt idx="6647">
                  <c:v>5.15</c:v>
                </c:pt>
                <c:pt idx="6648">
                  <c:v>5.15</c:v>
                </c:pt>
                <c:pt idx="6649">
                  <c:v>5.15</c:v>
                </c:pt>
                <c:pt idx="6650">
                  <c:v>5.15</c:v>
                </c:pt>
                <c:pt idx="6651">
                  <c:v>5.15</c:v>
                </c:pt>
                <c:pt idx="6652">
                  <c:v>5.15</c:v>
                </c:pt>
                <c:pt idx="6653">
                  <c:v>5.15</c:v>
                </c:pt>
                <c:pt idx="6654">
                  <c:v>5.15</c:v>
                </c:pt>
                <c:pt idx="6655">
                  <c:v>5.15</c:v>
                </c:pt>
                <c:pt idx="6656">
                  <c:v>5.15</c:v>
                </c:pt>
                <c:pt idx="6657">
                  <c:v>5.15</c:v>
                </c:pt>
                <c:pt idx="6658">
                  <c:v>5.15</c:v>
                </c:pt>
                <c:pt idx="6659">
                  <c:v>5.15</c:v>
                </c:pt>
                <c:pt idx="6660">
                  <c:v>4.4000000000000004</c:v>
                </c:pt>
                <c:pt idx="6661">
                  <c:v>4.4000000000000004</c:v>
                </c:pt>
                <c:pt idx="6662">
                  <c:v>4.4000000000000004</c:v>
                </c:pt>
                <c:pt idx="6663">
                  <c:v>4.4000000000000004</c:v>
                </c:pt>
                <c:pt idx="6664">
                  <c:v>4.4000000000000004</c:v>
                </c:pt>
                <c:pt idx="6665">
                  <c:v>4.4000000000000004</c:v>
                </c:pt>
                <c:pt idx="6666">
                  <c:v>4.4000000000000004</c:v>
                </c:pt>
                <c:pt idx="6667">
                  <c:v>4.4000000000000004</c:v>
                </c:pt>
                <c:pt idx="6668">
                  <c:v>4.4000000000000004</c:v>
                </c:pt>
                <c:pt idx="6669">
                  <c:v>4.4000000000000004</c:v>
                </c:pt>
                <c:pt idx="6670">
                  <c:v>4.4000000000000004</c:v>
                </c:pt>
                <c:pt idx="6671">
                  <c:v>4.4000000000000004</c:v>
                </c:pt>
                <c:pt idx="6672">
                  <c:v>4.4000000000000004</c:v>
                </c:pt>
                <c:pt idx="6673">
                  <c:v>4.4000000000000004</c:v>
                </c:pt>
                <c:pt idx="6674">
                  <c:v>4.4000000000000004</c:v>
                </c:pt>
                <c:pt idx="6675">
                  <c:v>4.4000000000000004</c:v>
                </c:pt>
                <c:pt idx="6676">
                  <c:v>4.4000000000000004</c:v>
                </c:pt>
                <c:pt idx="6677">
                  <c:v>4.4000000000000004</c:v>
                </c:pt>
                <c:pt idx="6678">
                  <c:v>4.4000000000000004</c:v>
                </c:pt>
                <c:pt idx="6679">
                  <c:v>4.4000000000000004</c:v>
                </c:pt>
                <c:pt idx="6680">
                  <c:v>4.4000000000000004</c:v>
                </c:pt>
                <c:pt idx="6681">
                  <c:v>4.4000000000000004</c:v>
                </c:pt>
                <c:pt idx="6682">
                  <c:v>4.4000000000000004</c:v>
                </c:pt>
                <c:pt idx="6683">
                  <c:v>4.4000000000000004</c:v>
                </c:pt>
                <c:pt idx="6684">
                  <c:v>4.4000000000000004</c:v>
                </c:pt>
                <c:pt idx="6685">
                  <c:v>4.4000000000000004</c:v>
                </c:pt>
                <c:pt idx="6686">
                  <c:v>4.4000000000000004</c:v>
                </c:pt>
                <c:pt idx="6687">
                  <c:v>4.4000000000000004</c:v>
                </c:pt>
                <c:pt idx="6688">
                  <c:v>4.4000000000000004</c:v>
                </c:pt>
                <c:pt idx="6689">
                  <c:v>4.4000000000000004</c:v>
                </c:pt>
                <c:pt idx="6690">
                  <c:v>4.4000000000000004</c:v>
                </c:pt>
                <c:pt idx="6691">
                  <c:v>4.4000000000000004</c:v>
                </c:pt>
                <c:pt idx="6692">
                  <c:v>4.4000000000000004</c:v>
                </c:pt>
                <c:pt idx="6693">
                  <c:v>4.4000000000000004</c:v>
                </c:pt>
                <c:pt idx="6694">
                  <c:v>4.4000000000000004</c:v>
                </c:pt>
                <c:pt idx="6695">
                  <c:v>4.4000000000000004</c:v>
                </c:pt>
                <c:pt idx="6696">
                  <c:v>4.4000000000000004</c:v>
                </c:pt>
                <c:pt idx="6697">
                  <c:v>4.4000000000000004</c:v>
                </c:pt>
                <c:pt idx="6698">
                  <c:v>4.4000000000000004</c:v>
                </c:pt>
                <c:pt idx="6699">
                  <c:v>4.4000000000000004</c:v>
                </c:pt>
                <c:pt idx="6700">
                  <c:v>4.4000000000000004</c:v>
                </c:pt>
                <c:pt idx="6701">
                  <c:v>4.4000000000000004</c:v>
                </c:pt>
                <c:pt idx="6702">
                  <c:v>4.4000000000000004</c:v>
                </c:pt>
                <c:pt idx="6703">
                  <c:v>4.4000000000000004</c:v>
                </c:pt>
                <c:pt idx="6704">
                  <c:v>4.4000000000000004</c:v>
                </c:pt>
                <c:pt idx="6705">
                  <c:v>4.4000000000000004</c:v>
                </c:pt>
                <c:pt idx="6706">
                  <c:v>4.4000000000000004</c:v>
                </c:pt>
                <c:pt idx="6707">
                  <c:v>4.4000000000000004</c:v>
                </c:pt>
                <c:pt idx="6708">
                  <c:v>4.4000000000000004</c:v>
                </c:pt>
                <c:pt idx="6709">
                  <c:v>4.4000000000000004</c:v>
                </c:pt>
                <c:pt idx="6710">
                  <c:v>4.4000000000000004</c:v>
                </c:pt>
                <c:pt idx="6711">
                  <c:v>4.4000000000000004</c:v>
                </c:pt>
                <c:pt idx="6712">
                  <c:v>4.4000000000000004</c:v>
                </c:pt>
                <c:pt idx="6713">
                  <c:v>4.4000000000000004</c:v>
                </c:pt>
                <c:pt idx="6714">
                  <c:v>4.4000000000000004</c:v>
                </c:pt>
                <c:pt idx="6715">
                  <c:v>4.4000000000000004</c:v>
                </c:pt>
                <c:pt idx="6716">
                  <c:v>4</c:v>
                </c:pt>
                <c:pt idx="6717">
                  <c:v>4</c:v>
                </c:pt>
                <c:pt idx="6718">
                  <c:v>4</c:v>
                </c:pt>
                <c:pt idx="6719">
                  <c:v>4</c:v>
                </c:pt>
                <c:pt idx="6720">
                  <c:v>4</c:v>
                </c:pt>
                <c:pt idx="6721">
                  <c:v>4</c:v>
                </c:pt>
                <c:pt idx="6722">
                  <c:v>4</c:v>
                </c:pt>
                <c:pt idx="6723">
                  <c:v>4</c:v>
                </c:pt>
                <c:pt idx="6724">
                  <c:v>4</c:v>
                </c:pt>
                <c:pt idx="6725">
                  <c:v>4</c:v>
                </c:pt>
                <c:pt idx="6726">
                  <c:v>4</c:v>
                </c:pt>
                <c:pt idx="6727">
                  <c:v>4</c:v>
                </c:pt>
                <c:pt idx="6728">
                  <c:v>4</c:v>
                </c:pt>
                <c:pt idx="6729">
                  <c:v>4</c:v>
                </c:pt>
                <c:pt idx="6730">
                  <c:v>4</c:v>
                </c:pt>
                <c:pt idx="6731">
                  <c:v>4</c:v>
                </c:pt>
                <c:pt idx="6732">
                  <c:v>4</c:v>
                </c:pt>
                <c:pt idx="6733">
                  <c:v>4</c:v>
                </c:pt>
                <c:pt idx="6734">
                  <c:v>4</c:v>
                </c:pt>
                <c:pt idx="6735">
                  <c:v>4</c:v>
                </c:pt>
                <c:pt idx="6736">
                  <c:v>4</c:v>
                </c:pt>
                <c:pt idx="6737">
                  <c:v>4</c:v>
                </c:pt>
                <c:pt idx="6738">
                  <c:v>4</c:v>
                </c:pt>
                <c:pt idx="6739">
                  <c:v>4</c:v>
                </c:pt>
                <c:pt idx="6740">
                  <c:v>4</c:v>
                </c:pt>
                <c:pt idx="6741">
                  <c:v>4</c:v>
                </c:pt>
                <c:pt idx="6742">
                  <c:v>4</c:v>
                </c:pt>
                <c:pt idx="6743">
                  <c:v>4</c:v>
                </c:pt>
                <c:pt idx="6744">
                  <c:v>4</c:v>
                </c:pt>
                <c:pt idx="6745">
                  <c:v>4</c:v>
                </c:pt>
                <c:pt idx="6746">
                  <c:v>4</c:v>
                </c:pt>
                <c:pt idx="6747">
                  <c:v>4</c:v>
                </c:pt>
                <c:pt idx="6748">
                  <c:v>4</c:v>
                </c:pt>
                <c:pt idx="6749">
                  <c:v>4</c:v>
                </c:pt>
                <c:pt idx="6750">
                  <c:v>4</c:v>
                </c:pt>
                <c:pt idx="6751">
                  <c:v>4</c:v>
                </c:pt>
                <c:pt idx="6752">
                  <c:v>4</c:v>
                </c:pt>
                <c:pt idx="6753">
                  <c:v>4</c:v>
                </c:pt>
                <c:pt idx="6754">
                  <c:v>4</c:v>
                </c:pt>
                <c:pt idx="6755">
                  <c:v>4</c:v>
                </c:pt>
                <c:pt idx="6756">
                  <c:v>4</c:v>
                </c:pt>
                <c:pt idx="6757">
                  <c:v>4</c:v>
                </c:pt>
                <c:pt idx="6758">
                  <c:v>4</c:v>
                </c:pt>
                <c:pt idx="6759">
                  <c:v>4</c:v>
                </c:pt>
                <c:pt idx="6760">
                  <c:v>4</c:v>
                </c:pt>
                <c:pt idx="6761">
                  <c:v>4</c:v>
                </c:pt>
                <c:pt idx="6762">
                  <c:v>4</c:v>
                </c:pt>
                <c:pt idx="6763">
                  <c:v>4</c:v>
                </c:pt>
                <c:pt idx="6764">
                  <c:v>4</c:v>
                </c:pt>
                <c:pt idx="6765">
                  <c:v>4</c:v>
                </c:pt>
                <c:pt idx="6766">
                  <c:v>4</c:v>
                </c:pt>
                <c:pt idx="6767">
                  <c:v>4</c:v>
                </c:pt>
                <c:pt idx="6768">
                  <c:v>4</c:v>
                </c:pt>
                <c:pt idx="6769">
                  <c:v>4</c:v>
                </c:pt>
                <c:pt idx="6770">
                  <c:v>4</c:v>
                </c:pt>
                <c:pt idx="6771">
                  <c:v>4</c:v>
                </c:pt>
                <c:pt idx="6772">
                  <c:v>4</c:v>
                </c:pt>
                <c:pt idx="6773">
                  <c:v>4</c:v>
                </c:pt>
                <c:pt idx="6774">
                  <c:v>4</c:v>
                </c:pt>
                <c:pt idx="6775">
                  <c:v>4</c:v>
                </c:pt>
                <c:pt idx="6776">
                  <c:v>4</c:v>
                </c:pt>
                <c:pt idx="6777">
                  <c:v>4</c:v>
                </c:pt>
                <c:pt idx="6778">
                  <c:v>4</c:v>
                </c:pt>
                <c:pt idx="6779">
                  <c:v>4</c:v>
                </c:pt>
                <c:pt idx="6780">
                  <c:v>4</c:v>
                </c:pt>
                <c:pt idx="6781">
                  <c:v>4</c:v>
                </c:pt>
                <c:pt idx="6782">
                  <c:v>4</c:v>
                </c:pt>
                <c:pt idx="6783">
                  <c:v>4</c:v>
                </c:pt>
                <c:pt idx="6784">
                  <c:v>4</c:v>
                </c:pt>
                <c:pt idx="6785">
                  <c:v>4</c:v>
                </c:pt>
                <c:pt idx="6786">
                  <c:v>4</c:v>
                </c:pt>
                <c:pt idx="6787">
                  <c:v>4</c:v>
                </c:pt>
                <c:pt idx="6788">
                  <c:v>4</c:v>
                </c:pt>
                <c:pt idx="6789">
                  <c:v>4</c:v>
                </c:pt>
                <c:pt idx="6790">
                  <c:v>4</c:v>
                </c:pt>
                <c:pt idx="6791">
                  <c:v>4</c:v>
                </c:pt>
                <c:pt idx="6792">
                  <c:v>4</c:v>
                </c:pt>
                <c:pt idx="6793">
                  <c:v>4</c:v>
                </c:pt>
                <c:pt idx="6794">
                  <c:v>4</c:v>
                </c:pt>
                <c:pt idx="6795">
                  <c:v>4</c:v>
                </c:pt>
                <c:pt idx="6796">
                  <c:v>4</c:v>
                </c:pt>
                <c:pt idx="6797">
                  <c:v>4</c:v>
                </c:pt>
                <c:pt idx="6798">
                  <c:v>4</c:v>
                </c:pt>
                <c:pt idx="6799">
                  <c:v>4</c:v>
                </c:pt>
                <c:pt idx="6800">
                  <c:v>4</c:v>
                </c:pt>
                <c:pt idx="6801">
                  <c:v>4</c:v>
                </c:pt>
                <c:pt idx="6802">
                  <c:v>4</c:v>
                </c:pt>
                <c:pt idx="6803">
                  <c:v>4</c:v>
                </c:pt>
                <c:pt idx="6804">
                  <c:v>4</c:v>
                </c:pt>
                <c:pt idx="6805">
                  <c:v>4</c:v>
                </c:pt>
                <c:pt idx="6806">
                  <c:v>4</c:v>
                </c:pt>
                <c:pt idx="6807">
                  <c:v>4</c:v>
                </c:pt>
                <c:pt idx="6808">
                  <c:v>4</c:v>
                </c:pt>
                <c:pt idx="6809">
                  <c:v>4</c:v>
                </c:pt>
                <c:pt idx="6810">
                  <c:v>4</c:v>
                </c:pt>
                <c:pt idx="6811">
                  <c:v>4</c:v>
                </c:pt>
                <c:pt idx="6812">
                  <c:v>4</c:v>
                </c:pt>
                <c:pt idx="6813">
                  <c:v>4</c:v>
                </c:pt>
                <c:pt idx="6814">
                  <c:v>4</c:v>
                </c:pt>
                <c:pt idx="6815">
                  <c:v>4</c:v>
                </c:pt>
                <c:pt idx="6816">
                  <c:v>4</c:v>
                </c:pt>
                <c:pt idx="6817">
                  <c:v>4</c:v>
                </c:pt>
                <c:pt idx="6818">
                  <c:v>4</c:v>
                </c:pt>
                <c:pt idx="6819">
                  <c:v>4</c:v>
                </c:pt>
                <c:pt idx="6820">
                  <c:v>4</c:v>
                </c:pt>
                <c:pt idx="6821">
                  <c:v>4</c:v>
                </c:pt>
                <c:pt idx="6822">
                  <c:v>4</c:v>
                </c:pt>
                <c:pt idx="6823">
                  <c:v>4</c:v>
                </c:pt>
                <c:pt idx="6824">
                  <c:v>4</c:v>
                </c:pt>
                <c:pt idx="6825">
                  <c:v>4</c:v>
                </c:pt>
                <c:pt idx="6826">
                  <c:v>4</c:v>
                </c:pt>
                <c:pt idx="6827">
                  <c:v>4</c:v>
                </c:pt>
                <c:pt idx="6828">
                  <c:v>4</c:v>
                </c:pt>
                <c:pt idx="6829">
                  <c:v>4</c:v>
                </c:pt>
                <c:pt idx="6830">
                  <c:v>4</c:v>
                </c:pt>
                <c:pt idx="6831">
                  <c:v>4</c:v>
                </c:pt>
                <c:pt idx="6832">
                  <c:v>4</c:v>
                </c:pt>
                <c:pt idx="6833">
                  <c:v>4</c:v>
                </c:pt>
                <c:pt idx="6834">
                  <c:v>4</c:v>
                </c:pt>
                <c:pt idx="6835">
                  <c:v>4</c:v>
                </c:pt>
                <c:pt idx="6836">
                  <c:v>4</c:v>
                </c:pt>
                <c:pt idx="6837">
                  <c:v>4</c:v>
                </c:pt>
                <c:pt idx="6838">
                  <c:v>4</c:v>
                </c:pt>
                <c:pt idx="6839">
                  <c:v>4</c:v>
                </c:pt>
                <c:pt idx="6840">
                  <c:v>4</c:v>
                </c:pt>
                <c:pt idx="6841">
                  <c:v>4</c:v>
                </c:pt>
                <c:pt idx="6842">
                  <c:v>4</c:v>
                </c:pt>
                <c:pt idx="6843">
                  <c:v>4</c:v>
                </c:pt>
                <c:pt idx="6844">
                  <c:v>4</c:v>
                </c:pt>
                <c:pt idx="6845">
                  <c:v>4</c:v>
                </c:pt>
                <c:pt idx="6846">
                  <c:v>4</c:v>
                </c:pt>
                <c:pt idx="6847">
                  <c:v>4</c:v>
                </c:pt>
                <c:pt idx="6848">
                  <c:v>4</c:v>
                </c:pt>
                <c:pt idx="6849">
                  <c:v>4</c:v>
                </c:pt>
                <c:pt idx="6850">
                  <c:v>4</c:v>
                </c:pt>
                <c:pt idx="6851">
                  <c:v>4</c:v>
                </c:pt>
                <c:pt idx="6852">
                  <c:v>4</c:v>
                </c:pt>
                <c:pt idx="6853">
                  <c:v>4</c:v>
                </c:pt>
                <c:pt idx="6854">
                  <c:v>4</c:v>
                </c:pt>
                <c:pt idx="6855">
                  <c:v>4</c:v>
                </c:pt>
                <c:pt idx="6856">
                  <c:v>4</c:v>
                </c:pt>
                <c:pt idx="6857">
                  <c:v>4</c:v>
                </c:pt>
                <c:pt idx="6858">
                  <c:v>4</c:v>
                </c:pt>
                <c:pt idx="6859">
                  <c:v>4</c:v>
                </c:pt>
                <c:pt idx="6860">
                  <c:v>4</c:v>
                </c:pt>
                <c:pt idx="6861">
                  <c:v>4</c:v>
                </c:pt>
                <c:pt idx="6862">
                  <c:v>4</c:v>
                </c:pt>
                <c:pt idx="6863">
                  <c:v>4</c:v>
                </c:pt>
                <c:pt idx="6864">
                  <c:v>4</c:v>
                </c:pt>
                <c:pt idx="6865">
                  <c:v>4</c:v>
                </c:pt>
                <c:pt idx="6866">
                  <c:v>4</c:v>
                </c:pt>
                <c:pt idx="6867">
                  <c:v>4</c:v>
                </c:pt>
                <c:pt idx="6868">
                  <c:v>4</c:v>
                </c:pt>
                <c:pt idx="6869">
                  <c:v>4</c:v>
                </c:pt>
                <c:pt idx="6870">
                  <c:v>4</c:v>
                </c:pt>
                <c:pt idx="6871">
                  <c:v>4</c:v>
                </c:pt>
                <c:pt idx="6872">
                  <c:v>4</c:v>
                </c:pt>
                <c:pt idx="6873">
                  <c:v>4</c:v>
                </c:pt>
                <c:pt idx="6874">
                  <c:v>4</c:v>
                </c:pt>
                <c:pt idx="6875">
                  <c:v>4</c:v>
                </c:pt>
                <c:pt idx="6876">
                  <c:v>4</c:v>
                </c:pt>
                <c:pt idx="6877">
                  <c:v>4</c:v>
                </c:pt>
                <c:pt idx="6878">
                  <c:v>4</c:v>
                </c:pt>
                <c:pt idx="6879">
                  <c:v>4</c:v>
                </c:pt>
                <c:pt idx="6880">
                  <c:v>4</c:v>
                </c:pt>
                <c:pt idx="6881">
                  <c:v>4</c:v>
                </c:pt>
                <c:pt idx="6882">
                  <c:v>4</c:v>
                </c:pt>
                <c:pt idx="6883">
                  <c:v>4</c:v>
                </c:pt>
                <c:pt idx="6884">
                  <c:v>4</c:v>
                </c:pt>
                <c:pt idx="6885">
                  <c:v>4</c:v>
                </c:pt>
                <c:pt idx="6886">
                  <c:v>4</c:v>
                </c:pt>
                <c:pt idx="6887">
                  <c:v>4</c:v>
                </c:pt>
                <c:pt idx="6888">
                  <c:v>4</c:v>
                </c:pt>
                <c:pt idx="6889">
                  <c:v>4</c:v>
                </c:pt>
                <c:pt idx="6890">
                  <c:v>4</c:v>
                </c:pt>
                <c:pt idx="6891">
                  <c:v>4</c:v>
                </c:pt>
                <c:pt idx="6892">
                  <c:v>4</c:v>
                </c:pt>
                <c:pt idx="6893">
                  <c:v>4</c:v>
                </c:pt>
                <c:pt idx="6894">
                  <c:v>4</c:v>
                </c:pt>
                <c:pt idx="6895">
                  <c:v>4</c:v>
                </c:pt>
                <c:pt idx="6896">
                  <c:v>4</c:v>
                </c:pt>
                <c:pt idx="6897">
                  <c:v>4</c:v>
                </c:pt>
                <c:pt idx="6898">
                  <c:v>4</c:v>
                </c:pt>
                <c:pt idx="6899">
                  <c:v>4</c:v>
                </c:pt>
                <c:pt idx="6900">
                  <c:v>4</c:v>
                </c:pt>
                <c:pt idx="6901">
                  <c:v>4</c:v>
                </c:pt>
                <c:pt idx="6902">
                  <c:v>4</c:v>
                </c:pt>
                <c:pt idx="6903">
                  <c:v>4</c:v>
                </c:pt>
                <c:pt idx="6904">
                  <c:v>4</c:v>
                </c:pt>
                <c:pt idx="6905">
                  <c:v>4</c:v>
                </c:pt>
                <c:pt idx="6906">
                  <c:v>4</c:v>
                </c:pt>
                <c:pt idx="6907">
                  <c:v>4</c:v>
                </c:pt>
                <c:pt idx="6908">
                  <c:v>4</c:v>
                </c:pt>
                <c:pt idx="6909">
                  <c:v>4</c:v>
                </c:pt>
                <c:pt idx="6910">
                  <c:v>4</c:v>
                </c:pt>
                <c:pt idx="6911">
                  <c:v>4</c:v>
                </c:pt>
                <c:pt idx="6912">
                  <c:v>4</c:v>
                </c:pt>
                <c:pt idx="6913">
                  <c:v>4</c:v>
                </c:pt>
                <c:pt idx="6914">
                  <c:v>4</c:v>
                </c:pt>
                <c:pt idx="6915">
                  <c:v>4</c:v>
                </c:pt>
                <c:pt idx="6916">
                  <c:v>4</c:v>
                </c:pt>
                <c:pt idx="6917">
                  <c:v>4</c:v>
                </c:pt>
                <c:pt idx="6918">
                  <c:v>4</c:v>
                </c:pt>
                <c:pt idx="6919">
                  <c:v>4</c:v>
                </c:pt>
                <c:pt idx="6920">
                  <c:v>4</c:v>
                </c:pt>
                <c:pt idx="6921">
                  <c:v>4</c:v>
                </c:pt>
                <c:pt idx="6922">
                  <c:v>4</c:v>
                </c:pt>
                <c:pt idx="6923">
                  <c:v>4</c:v>
                </c:pt>
                <c:pt idx="6924">
                  <c:v>4</c:v>
                </c:pt>
                <c:pt idx="6925">
                  <c:v>4</c:v>
                </c:pt>
                <c:pt idx="6926">
                  <c:v>4</c:v>
                </c:pt>
                <c:pt idx="6927">
                  <c:v>4</c:v>
                </c:pt>
                <c:pt idx="6928">
                  <c:v>4</c:v>
                </c:pt>
                <c:pt idx="6929">
                  <c:v>4</c:v>
                </c:pt>
                <c:pt idx="6930">
                  <c:v>4</c:v>
                </c:pt>
                <c:pt idx="6931">
                  <c:v>4</c:v>
                </c:pt>
                <c:pt idx="6932">
                  <c:v>4</c:v>
                </c:pt>
                <c:pt idx="6933">
                  <c:v>4</c:v>
                </c:pt>
                <c:pt idx="6934">
                  <c:v>4</c:v>
                </c:pt>
                <c:pt idx="6935">
                  <c:v>4</c:v>
                </c:pt>
                <c:pt idx="6936">
                  <c:v>4</c:v>
                </c:pt>
                <c:pt idx="6937">
                  <c:v>4</c:v>
                </c:pt>
                <c:pt idx="6938">
                  <c:v>4</c:v>
                </c:pt>
                <c:pt idx="6939">
                  <c:v>4</c:v>
                </c:pt>
                <c:pt idx="6940">
                  <c:v>4</c:v>
                </c:pt>
                <c:pt idx="6941">
                  <c:v>4</c:v>
                </c:pt>
                <c:pt idx="6942">
                  <c:v>4</c:v>
                </c:pt>
                <c:pt idx="6943">
                  <c:v>4</c:v>
                </c:pt>
                <c:pt idx="6944">
                  <c:v>4</c:v>
                </c:pt>
                <c:pt idx="6945">
                  <c:v>4</c:v>
                </c:pt>
                <c:pt idx="6946">
                  <c:v>4</c:v>
                </c:pt>
                <c:pt idx="6947">
                  <c:v>4</c:v>
                </c:pt>
                <c:pt idx="6948">
                  <c:v>4</c:v>
                </c:pt>
                <c:pt idx="6949">
                  <c:v>4</c:v>
                </c:pt>
                <c:pt idx="6950">
                  <c:v>4</c:v>
                </c:pt>
                <c:pt idx="6951">
                  <c:v>4</c:v>
                </c:pt>
                <c:pt idx="6952">
                  <c:v>4</c:v>
                </c:pt>
                <c:pt idx="6953">
                  <c:v>4</c:v>
                </c:pt>
                <c:pt idx="6954">
                  <c:v>4</c:v>
                </c:pt>
                <c:pt idx="6955">
                  <c:v>4</c:v>
                </c:pt>
                <c:pt idx="6956">
                  <c:v>4</c:v>
                </c:pt>
                <c:pt idx="6957">
                  <c:v>4</c:v>
                </c:pt>
                <c:pt idx="6958">
                  <c:v>4</c:v>
                </c:pt>
                <c:pt idx="6959">
                  <c:v>4</c:v>
                </c:pt>
                <c:pt idx="6960">
                  <c:v>4</c:v>
                </c:pt>
                <c:pt idx="6961">
                  <c:v>4</c:v>
                </c:pt>
                <c:pt idx="6962">
                  <c:v>4</c:v>
                </c:pt>
                <c:pt idx="6963">
                  <c:v>4</c:v>
                </c:pt>
                <c:pt idx="6964">
                  <c:v>4</c:v>
                </c:pt>
                <c:pt idx="6965">
                  <c:v>4</c:v>
                </c:pt>
                <c:pt idx="6966">
                  <c:v>4</c:v>
                </c:pt>
                <c:pt idx="6967">
                  <c:v>4</c:v>
                </c:pt>
                <c:pt idx="6968">
                  <c:v>4</c:v>
                </c:pt>
                <c:pt idx="6969">
                  <c:v>4</c:v>
                </c:pt>
                <c:pt idx="6970">
                  <c:v>4</c:v>
                </c:pt>
                <c:pt idx="6971">
                  <c:v>4</c:v>
                </c:pt>
                <c:pt idx="6972">
                  <c:v>4</c:v>
                </c:pt>
                <c:pt idx="6973">
                  <c:v>4</c:v>
                </c:pt>
                <c:pt idx="6974">
                  <c:v>4</c:v>
                </c:pt>
                <c:pt idx="6975">
                  <c:v>4</c:v>
                </c:pt>
                <c:pt idx="6976">
                  <c:v>4</c:v>
                </c:pt>
                <c:pt idx="6977">
                  <c:v>4</c:v>
                </c:pt>
                <c:pt idx="6978">
                  <c:v>4</c:v>
                </c:pt>
                <c:pt idx="6979">
                  <c:v>4</c:v>
                </c:pt>
                <c:pt idx="6980">
                  <c:v>4</c:v>
                </c:pt>
                <c:pt idx="6981">
                  <c:v>4</c:v>
                </c:pt>
                <c:pt idx="6982">
                  <c:v>4</c:v>
                </c:pt>
                <c:pt idx="6983">
                  <c:v>4</c:v>
                </c:pt>
                <c:pt idx="6984">
                  <c:v>4</c:v>
                </c:pt>
                <c:pt idx="6985">
                  <c:v>4</c:v>
                </c:pt>
                <c:pt idx="6986">
                  <c:v>4</c:v>
                </c:pt>
                <c:pt idx="6987">
                  <c:v>4</c:v>
                </c:pt>
                <c:pt idx="6988">
                  <c:v>4</c:v>
                </c:pt>
                <c:pt idx="6989">
                  <c:v>4</c:v>
                </c:pt>
                <c:pt idx="6990">
                  <c:v>4</c:v>
                </c:pt>
                <c:pt idx="6991">
                  <c:v>4</c:v>
                </c:pt>
                <c:pt idx="6992">
                  <c:v>4</c:v>
                </c:pt>
                <c:pt idx="6993">
                  <c:v>4</c:v>
                </c:pt>
                <c:pt idx="6994">
                  <c:v>4</c:v>
                </c:pt>
                <c:pt idx="6995">
                  <c:v>4</c:v>
                </c:pt>
                <c:pt idx="6996">
                  <c:v>4</c:v>
                </c:pt>
                <c:pt idx="6997">
                  <c:v>4</c:v>
                </c:pt>
                <c:pt idx="6998">
                  <c:v>4</c:v>
                </c:pt>
                <c:pt idx="6999">
                  <c:v>4</c:v>
                </c:pt>
                <c:pt idx="7000">
                  <c:v>4</c:v>
                </c:pt>
                <c:pt idx="7001">
                  <c:v>4</c:v>
                </c:pt>
                <c:pt idx="7002">
                  <c:v>4</c:v>
                </c:pt>
                <c:pt idx="7003">
                  <c:v>4</c:v>
                </c:pt>
                <c:pt idx="7004">
                  <c:v>4</c:v>
                </c:pt>
                <c:pt idx="7005">
                  <c:v>4</c:v>
                </c:pt>
                <c:pt idx="7006">
                  <c:v>4</c:v>
                </c:pt>
                <c:pt idx="7007">
                  <c:v>4</c:v>
                </c:pt>
                <c:pt idx="7008">
                  <c:v>4</c:v>
                </c:pt>
                <c:pt idx="7009">
                  <c:v>4</c:v>
                </c:pt>
                <c:pt idx="7010">
                  <c:v>4</c:v>
                </c:pt>
                <c:pt idx="7011">
                  <c:v>4</c:v>
                </c:pt>
                <c:pt idx="7012">
                  <c:v>4</c:v>
                </c:pt>
                <c:pt idx="7013">
                  <c:v>4</c:v>
                </c:pt>
                <c:pt idx="7014">
                  <c:v>4</c:v>
                </c:pt>
                <c:pt idx="7015">
                  <c:v>4</c:v>
                </c:pt>
                <c:pt idx="7016">
                  <c:v>4</c:v>
                </c:pt>
                <c:pt idx="7017">
                  <c:v>4</c:v>
                </c:pt>
                <c:pt idx="7018">
                  <c:v>4</c:v>
                </c:pt>
                <c:pt idx="7019">
                  <c:v>4</c:v>
                </c:pt>
                <c:pt idx="7020">
                  <c:v>4</c:v>
                </c:pt>
                <c:pt idx="7021">
                  <c:v>4</c:v>
                </c:pt>
                <c:pt idx="7022">
                  <c:v>4</c:v>
                </c:pt>
                <c:pt idx="7023">
                  <c:v>4</c:v>
                </c:pt>
                <c:pt idx="7024">
                  <c:v>4</c:v>
                </c:pt>
                <c:pt idx="7025">
                  <c:v>4</c:v>
                </c:pt>
                <c:pt idx="7026">
                  <c:v>4</c:v>
                </c:pt>
                <c:pt idx="7027">
                  <c:v>4</c:v>
                </c:pt>
                <c:pt idx="7028">
                  <c:v>4</c:v>
                </c:pt>
                <c:pt idx="7029">
                  <c:v>4</c:v>
                </c:pt>
                <c:pt idx="7030">
                  <c:v>4</c:v>
                </c:pt>
                <c:pt idx="7031">
                  <c:v>4</c:v>
                </c:pt>
                <c:pt idx="7032">
                  <c:v>4</c:v>
                </c:pt>
                <c:pt idx="7033">
                  <c:v>4</c:v>
                </c:pt>
                <c:pt idx="7034">
                  <c:v>4</c:v>
                </c:pt>
                <c:pt idx="7035">
                  <c:v>4</c:v>
                </c:pt>
                <c:pt idx="7036">
                  <c:v>4</c:v>
                </c:pt>
                <c:pt idx="7037">
                  <c:v>4</c:v>
                </c:pt>
                <c:pt idx="7038">
                  <c:v>4</c:v>
                </c:pt>
                <c:pt idx="7039">
                  <c:v>4</c:v>
                </c:pt>
                <c:pt idx="7040">
                  <c:v>4</c:v>
                </c:pt>
                <c:pt idx="7041">
                  <c:v>4</c:v>
                </c:pt>
                <c:pt idx="7042">
                  <c:v>4</c:v>
                </c:pt>
                <c:pt idx="7043">
                  <c:v>4</c:v>
                </c:pt>
                <c:pt idx="7044">
                  <c:v>4</c:v>
                </c:pt>
                <c:pt idx="7045">
                  <c:v>4</c:v>
                </c:pt>
                <c:pt idx="7046">
                  <c:v>4</c:v>
                </c:pt>
                <c:pt idx="7047">
                  <c:v>4</c:v>
                </c:pt>
                <c:pt idx="7048">
                  <c:v>4</c:v>
                </c:pt>
                <c:pt idx="7049">
                  <c:v>4</c:v>
                </c:pt>
                <c:pt idx="7050">
                  <c:v>4</c:v>
                </c:pt>
                <c:pt idx="7051">
                  <c:v>4</c:v>
                </c:pt>
                <c:pt idx="7052">
                  <c:v>4</c:v>
                </c:pt>
                <c:pt idx="7053">
                  <c:v>4</c:v>
                </c:pt>
                <c:pt idx="7054">
                  <c:v>4</c:v>
                </c:pt>
                <c:pt idx="7055">
                  <c:v>4</c:v>
                </c:pt>
                <c:pt idx="7056">
                  <c:v>4</c:v>
                </c:pt>
                <c:pt idx="7057">
                  <c:v>4</c:v>
                </c:pt>
                <c:pt idx="7058">
                  <c:v>4</c:v>
                </c:pt>
                <c:pt idx="7059">
                  <c:v>4</c:v>
                </c:pt>
                <c:pt idx="7060">
                  <c:v>4</c:v>
                </c:pt>
                <c:pt idx="7061">
                  <c:v>4</c:v>
                </c:pt>
                <c:pt idx="7062">
                  <c:v>4</c:v>
                </c:pt>
                <c:pt idx="7063">
                  <c:v>4</c:v>
                </c:pt>
                <c:pt idx="7064">
                  <c:v>4</c:v>
                </c:pt>
                <c:pt idx="7065">
                  <c:v>4</c:v>
                </c:pt>
                <c:pt idx="7066">
                  <c:v>4</c:v>
                </c:pt>
                <c:pt idx="7067">
                  <c:v>4</c:v>
                </c:pt>
                <c:pt idx="7068">
                  <c:v>4</c:v>
                </c:pt>
                <c:pt idx="7069">
                  <c:v>4</c:v>
                </c:pt>
                <c:pt idx="7070">
                  <c:v>4</c:v>
                </c:pt>
                <c:pt idx="7071">
                  <c:v>4</c:v>
                </c:pt>
                <c:pt idx="7072">
                  <c:v>4</c:v>
                </c:pt>
                <c:pt idx="7073">
                  <c:v>4</c:v>
                </c:pt>
                <c:pt idx="7074">
                  <c:v>4</c:v>
                </c:pt>
                <c:pt idx="7075">
                  <c:v>4</c:v>
                </c:pt>
                <c:pt idx="7076">
                  <c:v>4</c:v>
                </c:pt>
                <c:pt idx="7077">
                  <c:v>4</c:v>
                </c:pt>
                <c:pt idx="7078">
                  <c:v>4</c:v>
                </c:pt>
                <c:pt idx="7079">
                  <c:v>4</c:v>
                </c:pt>
                <c:pt idx="7080">
                  <c:v>4</c:v>
                </c:pt>
                <c:pt idx="7081">
                  <c:v>4</c:v>
                </c:pt>
                <c:pt idx="7082">
                  <c:v>4</c:v>
                </c:pt>
                <c:pt idx="7083">
                  <c:v>4</c:v>
                </c:pt>
                <c:pt idx="7084">
                  <c:v>4</c:v>
                </c:pt>
                <c:pt idx="7085">
                  <c:v>4</c:v>
                </c:pt>
                <c:pt idx="7086">
                  <c:v>4</c:v>
                </c:pt>
                <c:pt idx="7087">
                  <c:v>4</c:v>
                </c:pt>
                <c:pt idx="7088">
                  <c:v>4</c:v>
                </c:pt>
                <c:pt idx="7089">
                  <c:v>4</c:v>
                </c:pt>
                <c:pt idx="7090">
                  <c:v>4</c:v>
                </c:pt>
                <c:pt idx="7091">
                  <c:v>4</c:v>
                </c:pt>
                <c:pt idx="7092">
                  <c:v>4</c:v>
                </c:pt>
                <c:pt idx="7093">
                  <c:v>4</c:v>
                </c:pt>
                <c:pt idx="7094">
                  <c:v>4</c:v>
                </c:pt>
                <c:pt idx="7095">
                  <c:v>4</c:v>
                </c:pt>
                <c:pt idx="7096">
                  <c:v>4</c:v>
                </c:pt>
                <c:pt idx="7097">
                  <c:v>4</c:v>
                </c:pt>
                <c:pt idx="7098">
                  <c:v>4</c:v>
                </c:pt>
                <c:pt idx="7099">
                  <c:v>4</c:v>
                </c:pt>
                <c:pt idx="7100">
                  <c:v>4</c:v>
                </c:pt>
                <c:pt idx="7101">
                  <c:v>4</c:v>
                </c:pt>
                <c:pt idx="7102">
                  <c:v>4</c:v>
                </c:pt>
                <c:pt idx="7103">
                  <c:v>4</c:v>
                </c:pt>
                <c:pt idx="7104">
                  <c:v>4</c:v>
                </c:pt>
                <c:pt idx="7105">
                  <c:v>4</c:v>
                </c:pt>
                <c:pt idx="7106">
                  <c:v>4</c:v>
                </c:pt>
                <c:pt idx="7107">
                  <c:v>4</c:v>
                </c:pt>
                <c:pt idx="7108">
                  <c:v>4</c:v>
                </c:pt>
                <c:pt idx="7109">
                  <c:v>4</c:v>
                </c:pt>
                <c:pt idx="7110">
                  <c:v>4</c:v>
                </c:pt>
                <c:pt idx="7111">
                  <c:v>4</c:v>
                </c:pt>
                <c:pt idx="7112">
                  <c:v>4</c:v>
                </c:pt>
                <c:pt idx="7113">
                  <c:v>4</c:v>
                </c:pt>
                <c:pt idx="7114">
                  <c:v>4</c:v>
                </c:pt>
                <c:pt idx="7115">
                  <c:v>4</c:v>
                </c:pt>
                <c:pt idx="7116">
                  <c:v>4</c:v>
                </c:pt>
                <c:pt idx="7117">
                  <c:v>4</c:v>
                </c:pt>
                <c:pt idx="7118">
                  <c:v>4</c:v>
                </c:pt>
                <c:pt idx="7119">
                  <c:v>4</c:v>
                </c:pt>
                <c:pt idx="7120">
                  <c:v>4</c:v>
                </c:pt>
                <c:pt idx="7121">
                  <c:v>4</c:v>
                </c:pt>
                <c:pt idx="7122">
                  <c:v>4</c:v>
                </c:pt>
                <c:pt idx="7123">
                  <c:v>4</c:v>
                </c:pt>
                <c:pt idx="7124">
                  <c:v>4</c:v>
                </c:pt>
                <c:pt idx="7125">
                  <c:v>4</c:v>
                </c:pt>
                <c:pt idx="7126">
                  <c:v>4</c:v>
                </c:pt>
                <c:pt idx="7127">
                  <c:v>4</c:v>
                </c:pt>
                <c:pt idx="7128">
                  <c:v>4</c:v>
                </c:pt>
                <c:pt idx="7129">
                  <c:v>4</c:v>
                </c:pt>
                <c:pt idx="7130">
                  <c:v>4</c:v>
                </c:pt>
                <c:pt idx="7131">
                  <c:v>4</c:v>
                </c:pt>
                <c:pt idx="7132">
                  <c:v>4</c:v>
                </c:pt>
                <c:pt idx="7133">
                  <c:v>4</c:v>
                </c:pt>
                <c:pt idx="7134">
                  <c:v>4</c:v>
                </c:pt>
                <c:pt idx="7135">
                  <c:v>4</c:v>
                </c:pt>
                <c:pt idx="7136">
                  <c:v>4</c:v>
                </c:pt>
                <c:pt idx="7137">
                  <c:v>4</c:v>
                </c:pt>
                <c:pt idx="7138">
                  <c:v>4</c:v>
                </c:pt>
                <c:pt idx="7139">
                  <c:v>4</c:v>
                </c:pt>
                <c:pt idx="7140">
                  <c:v>4</c:v>
                </c:pt>
                <c:pt idx="7141">
                  <c:v>4</c:v>
                </c:pt>
                <c:pt idx="7142">
                  <c:v>4</c:v>
                </c:pt>
                <c:pt idx="7143">
                  <c:v>4</c:v>
                </c:pt>
                <c:pt idx="7144">
                  <c:v>4</c:v>
                </c:pt>
                <c:pt idx="7145">
                  <c:v>4</c:v>
                </c:pt>
                <c:pt idx="7146">
                  <c:v>4</c:v>
                </c:pt>
                <c:pt idx="7147">
                  <c:v>4</c:v>
                </c:pt>
                <c:pt idx="7148">
                  <c:v>4</c:v>
                </c:pt>
                <c:pt idx="7149">
                  <c:v>4</c:v>
                </c:pt>
                <c:pt idx="7150">
                  <c:v>4</c:v>
                </c:pt>
                <c:pt idx="7151">
                  <c:v>4</c:v>
                </c:pt>
                <c:pt idx="7152">
                  <c:v>4</c:v>
                </c:pt>
                <c:pt idx="7153">
                  <c:v>4</c:v>
                </c:pt>
                <c:pt idx="7154">
                  <c:v>4</c:v>
                </c:pt>
                <c:pt idx="7155">
                  <c:v>4</c:v>
                </c:pt>
                <c:pt idx="7156">
                  <c:v>4</c:v>
                </c:pt>
                <c:pt idx="7157">
                  <c:v>4</c:v>
                </c:pt>
                <c:pt idx="7158">
                  <c:v>4</c:v>
                </c:pt>
                <c:pt idx="7159">
                  <c:v>4</c:v>
                </c:pt>
                <c:pt idx="7160">
                  <c:v>4</c:v>
                </c:pt>
                <c:pt idx="7161">
                  <c:v>4</c:v>
                </c:pt>
                <c:pt idx="7162">
                  <c:v>4</c:v>
                </c:pt>
                <c:pt idx="7163">
                  <c:v>4</c:v>
                </c:pt>
                <c:pt idx="7164">
                  <c:v>4</c:v>
                </c:pt>
                <c:pt idx="7165">
                  <c:v>4</c:v>
                </c:pt>
                <c:pt idx="7166">
                  <c:v>4</c:v>
                </c:pt>
                <c:pt idx="7167">
                  <c:v>4</c:v>
                </c:pt>
                <c:pt idx="7168">
                  <c:v>4</c:v>
                </c:pt>
                <c:pt idx="7169">
                  <c:v>4</c:v>
                </c:pt>
                <c:pt idx="7170">
                  <c:v>4</c:v>
                </c:pt>
                <c:pt idx="7171">
                  <c:v>4</c:v>
                </c:pt>
                <c:pt idx="7172">
                  <c:v>4</c:v>
                </c:pt>
                <c:pt idx="7173">
                  <c:v>4</c:v>
                </c:pt>
                <c:pt idx="7174">
                  <c:v>4</c:v>
                </c:pt>
                <c:pt idx="7175">
                  <c:v>4</c:v>
                </c:pt>
                <c:pt idx="7176">
                  <c:v>4</c:v>
                </c:pt>
                <c:pt idx="7177">
                  <c:v>4</c:v>
                </c:pt>
                <c:pt idx="7178">
                  <c:v>4</c:v>
                </c:pt>
                <c:pt idx="7179">
                  <c:v>4</c:v>
                </c:pt>
                <c:pt idx="7180">
                  <c:v>4</c:v>
                </c:pt>
                <c:pt idx="7181">
                  <c:v>4</c:v>
                </c:pt>
                <c:pt idx="7182">
                  <c:v>4</c:v>
                </c:pt>
                <c:pt idx="7183">
                  <c:v>4</c:v>
                </c:pt>
                <c:pt idx="7184">
                  <c:v>4</c:v>
                </c:pt>
                <c:pt idx="7185">
                  <c:v>4</c:v>
                </c:pt>
                <c:pt idx="7186">
                  <c:v>4</c:v>
                </c:pt>
                <c:pt idx="7187">
                  <c:v>4</c:v>
                </c:pt>
                <c:pt idx="7188">
                  <c:v>4</c:v>
                </c:pt>
                <c:pt idx="7189">
                  <c:v>4</c:v>
                </c:pt>
                <c:pt idx="7190">
                  <c:v>4</c:v>
                </c:pt>
                <c:pt idx="7191">
                  <c:v>4</c:v>
                </c:pt>
                <c:pt idx="7192">
                  <c:v>4</c:v>
                </c:pt>
                <c:pt idx="7193">
                  <c:v>4</c:v>
                </c:pt>
                <c:pt idx="7194">
                  <c:v>4</c:v>
                </c:pt>
                <c:pt idx="7195">
                  <c:v>4</c:v>
                </c:pt>
                <c:pt idx="7196">
                  <c:v>4</c:v>
                </c:pt>
                <c:pt idx="7197">
                  <c:v>4</c:v>
                </c:pt>
                <c:pt idx="7198">
                  <c:v>4</c:v>
                </c:pt>
                <c:pt idx="7199">
                  <c:v>4</c:v>
                </c:pt>
                <c:pt idx="7200">
                  <c:v>4</c:v>
                </c:pt>
                <c:pt idx="7201">
                  <c:v>4</c:v>
                </c:pt>
                <c:pt idx="7202">
                  <c:v>4</c:v>
                </c:pt>
                <c:pt idx="7203">
                  <c:v>4</c:v>
                </c:pt>
                <c:pt idx="7204">
                  <c:v>4</c:v>
                </c:pt>
                <c:pt idx="7205">
                  <c:v>4</c:v>
                </c:pt>
                <c:pt idx="7206">
                  <c:v>4</c:v>
                </c:pt>
                <c:pt idx="7207">
                  <c:v>4</c:v>
                </c:pt>
                <c:pt idx="7208">
                  <c:v>4</c:v>
                </c:pt>
                <c:pt idx="7209">
                  <c:v>4</c:v>
                </c:pt>
                <c:pt idx="7210">
                  <c:v>4</c:v>
                </c:pt>
                <c:pt idx="7211">
                  <c:v>4</c:v>
                </c:pt>
                <c:pt idx="7212">
                  <c:v>4</c:v>
                </c:pt>
                <c:pt idx="7213">
                  <c:v>4</c:v>
                </c:pt>
                <c:pt idx="7214">
                  <c:v>4</c:v>
                </c:pt>
                <c:pt idx="7215">
                  <c:v>4</c:v>
                </c:pt>
                <c:pt idx="7216">
                  <c:v>4</c:v>
                </c:pt>
                <c:pt idx="7217">
                  <c:v>4</c:v>
                </c:pt>
                <c:pt idx="7218">
                  <c:v>4</c:v>
                </c:pt>
                <c:pt idx="7219">
                  <c:v>4</c:v>
                </c:pt>
                <c:pt idx="7220">
                  <c:v>4</c:v>
                </c:pt>
                <c:pt idx="7221">
                  <c:v>4</c:v>
                </c:pt>
                <c:pt idx="7222">
                  <c:v>4</c:v>
                </c:pt>
                <c:pt idx="7223">
                  <c:v>4</c:v>
                </c:pt>
                <c:pt idx="7224">
                  <c:v>4</c:v>
                </c:pt>
                <c:pt idx="7225">
                  <c:v>4</c:v>
                </c:pt>
                <c:pt idx="7226">
                  <c:v>4</c:v>
                </c:pt>
                <c:pt idx="7227">
                  <c:v>4</c:v>
                </c:pt>
                <c:pt idx="7228">
                  <c:v>4</c:v>
                </c:pt>
                <c:pt idx="7229">
                  <c:v>4</c:v>
                </c:pt>
                <c:pt idx="7230">
                  <c:v>4</c:v>
                </c:pt>
                <c:pt idx="7231">
                  <c:v>4</c:v>
                </c:pt>
                <c:pt idx="7232">
                  <c:v>4</c:v>
                </c:pt>
                <c:pt idx="7233">
                  <c:v>4</c:v>
                </c:pt>
                <c:pt idx="7234">
                  <c:v>4</c:v>
                </c:pt>
                <c:pt idx="7235">
                  <c:v>4</c:v>
                </c:pt>
                <c:pt idx="7236">
                  <c:v>4</c:v>
                </c:pt>
                <c:pt idx="7237">
                  <c:v>4</c:v>
                </c:pt>
                <c:pt idx="7238">
                  <c:v>4</c:v>
                </c:pt>
                <c:pt idx="7239">
                  <c:v>4</c:v>
                </c:pt>
                <c:pt idx="7240">
                  <c:v>4</c:v>
                </c:pt>
                <c:pt idx="7241">
                  <c:v>4</c:v>
                </c:pt>
                <c:pt idx="7242">
                  <c:v>4</c:v>
                </c:pt>
                <c:pt idx="7243">
                  <c:v>4</c:v>
                </c:pt>
                <c:pt idx="7244">
                  <c:v>4</c:v>
                </c:pt>
                <c:pt idx="7245">
                  <c:v>4</c:v>
                </c:pt>
                <c:pt idx="7246">
                  <c:v>4</c:v>
                </c:pt>
                <c:pt idx="7247">
                  <c:v>4</c:v>
                </c:pt>
                <c:pt idx="7248">
                  <c:v>4</c:v>
                </c:pt>
                <c:pt idx="7249">
                  <c:v>4</c:v>
                </c:pt>
                <c:pt idx="7250">
                  <c:v>4</c:v>
                </c:pt>
                <c:pt idx="7251">
                  <c:v>4</c:v>
                </c:pt>
                <c:pt idx="7252">
                  <c:v>4</c:v>
                </c:pt>
                <c:pt idx="7253">
                  <c:v>4</c:v>
                </c:pt>
                <c:pt idx="7254">
                  <c:v>4</c:v>
                </c:pt>
                <c:pt idx="7255">
                  <c:v>4</c:v>
                </c:pt>
                <c:pt idx="7256">
                  <c:v>4</c:v>
                </c:pt>
                <c:pt idx="7257">
                  <c:v>4</c:v>
                </c:pt>
                <c:pt idx="7258">
                  <c:v>4</c:v>
                </c:pt>
                <c:pt idx="7259">
                  <c:v>4</c:v>
                </c:pt>
                <c:pt idx="7260">
                  <c:v>4</c:v>
                </c:pt>
                <c:pt idx="7261">
                  <c:v>4</c:v>
                </c:pt>
                <c:pt idx="7262">
                  <c:v>4</c:v>
                </c:pt>
                <c:pt idx="7263">
                  <c:v>4</c:v>
                </c:pt>
                <c:pt idx="7264">
                  <c:v>4</c:v>
                </c:pt>
                <c:pt idx="7265">
                  <c:v>4</c:v>
                </c:pt>
                <c:pt idx="7266">
                  <c:v>4</c:v>
                </c:pt>
                <c:pt idx="7267">
                  <c:v>4</c:v>
                </c:pt>
                <c:pt idx="7268">
                  <c:v>4</c:v>
                </c:pt>
                <c:pt idx="7269">
                  <c:v>4</c:v>
                </c:pt>
                <c:pt idx="7270">
                  <c:v>4</c:v>
                </c:pt>
                <c:pt idx="7271">
                  <c:v>4</c:v>
                </c:pt>
                <c:pt idx="7272">
                  <c:v>4</c:v>
                </c:pt>
                <c:pt idx="7273">
                  <c:v>4</c:v>
                </c:pt>
                <c:pt idx="7274">
                  <c:v>4</c:v>
                </c:pt>
                <c:pt idx="7275">
                  <c:v>4</c:v>
                </c:pt>
                <c:pt idx="7276">
                  <c:v>4</c:v>
                </c:pt>
                <c:pt idx="7277">
                  <c:v>4</c:v>
                </c:pt>
                <c:pt idx="7278">
                  <c:v>4</c:v>
                </c:pt>
                <c:pt idx="7279">
                  <c:v>4</c:v>
                </c:pt>
                <c:pt idx="7280">
                  <c:v>4</c:v>
                </c:pt>
                <c:pt idx="7281">
                  <c:v>4</c:v>
                </c:pt>
                <c:pt idx="7282">
                  <c:v>4</c:v>
                </c:pt>
                <c:pt idx="7283">
                  <c:v>4</c:v>
                </c:pt>
                <c:pt idx="7284">
                  <c:v>4</c:v>
                </c:pt>
                <c:pt idx="7285">
                  <c:v>4</c:v>
                </c:pt>
                <c:pt idx="7286">
                  <c:v>4</c:v>
                </c:pt>
                <c:pt idx="7287">
                  <c:v>4</c:v>
                </c:pt>
                <c:pt idx="7288">
                  <c:v>4</c:v>
                </c:pt>
                <c:pt idx="7289">
                  <c:v>4</c:v>
                </c:pt>
                <c:pt idx="7290">
                  <c:v>4</c:v>
                </c:pt>
                <c:pt idx="7291">
                  <c:v>4</c:v>
                </c:pt>
                <c:pt idx="7292">
                  <c:v>4</c:v>
                </c:pt>
                <c:pt idx="7293">
                  <c:v>4</c:v>
                </c:pt>
                <c:pt idx="7294">
                  <c:v>4</c:v>
                </c:pt>
                <c:pt idx="7295">
                  <c:v>4</c:v>
                </c:pt>
                <c:pt idx="7296">
                  <c:v>4</c:v>
                </c:pt>
                <c:pt idx="7297">
                  <c:v>4</c:v>
                </c:pt>
                <c:pt idx="7298">
                  <c:v>4</c:v>
                </c:pt>
                <c:pt idx="7299">
                  <c:v>4</c:v>
                </c:pt>
                <c:pt idx="7300">
                  <c:v>4</c:v>
                </c:pt>
                <c:pt idx="7301">
                  <c:v>4</c:v>
                </c:pt>
                <c:pt idx="7302">
                  <c:v>4</c:v>
                </c:pt>
                <c:pt idx="7303">
                  <c:v>4</c:v>
                </c:pt>
                <c:pt idx="7304">
                  <c:v>4</c:v>
                </c:pt>
                <c:pt idx="7305">
                  <c:v>4</c:v>
                </c:pt>
                <c:pt idx="7306">
                  <c:v>4</c:v>
                </c:pt>
                <c:pt idx="7307">
                  <c:v>4</c:v>
                </c:pt>
                <c:pt idx="7308">
                  <c:v>4</c:v>
                </c:pt>
                <c:pt idx="7309">
                  <c:v>4</c:v>
                </c:pt>
                <c:pt idx="7310">
                  <c:v>4</c:v>
                </c:pt>
                <c:pt idx="7311">
                  <c:v>4</c:v>
                </c:pt>
                <c:pt idx="7312">
                  <c:v>4</c:v>
                </c:pt>
                <c:pt idx="7313">
                  <c:v>4</c:v>
                </c:pt>
                <c:pt idx="7314">
                  <c:v>4</c:v>
                </c:pt>
                <c:pt idx="7315">
                  <c:v>4</c:v>
                </c:pt>
                <c:pt idx="7316">
                  <c:v>4</c:v>
                </c:pt>
                <c:pt idx="7317">
                  <c:v>4</c:v>
                </c:pt>
                <c:pt idx="7318">
                  <c:v>4</c:v>
                </c:pt>
                <c:pt idx="7319">
                  <c:v>4</c:v>
                </c:pt>
                <c:pt idx="7320">
                  <c:v>4</c:v>
                </c:pt>
                <c:pt idx="7321">
                  <c:v>4</c:v>
                </c:pt>
                <c:pt idx="7322">
                  <c:v>4</c:v>
                </c:pt>
                <c:pt idx="7323">
                  <c:v>4</c:v>
                </c:pt>
                <c:pt idx="7324">
                  <c:v>4</c:v>
                </c:pt>
                <c:pt idx="7325">
                  <c:v>4</c:v>
                </c:pt>
                <c:pt idx="7326">
                  <c:v>4</c:v>
                </c:pt>
                <c:pt idx="7327">
                  <c:v>4</c:v>
                </c:pt>
                <c:pt idx="7328">
                  <c:v>4</c:v>
                </c:pt>
                <c:pt idx="7329">
                  <c:v>4</c:v>
                </c:pt>
                <c:pt idx="7330">
                  <c:v>4</c:v>
                </c:pt>
                <c:pt idx="7331">
                  <c:v>4</c:v>
                </c:pt>
                <c:pt idx="7332">
                  <c:v>4</c:v>
                </c:pt>
                <c:pt idx="7333">
                  <c:v>4</c:v>
                </c:pt>
                <c:pt idx="7334">
                  <c:v>4</c:v>
                </c:pt>
                <c:pt idx="7335">
                  <c:v>4</c:v>
                </c:pt>
                <c:pt idx="7336">
                  <c:v>4</c:v>
                </c:pt>
                <c:pt idx="7337">
                  <c:v>4</c:v>
                </c:pt>
                <c:pt idx="7338">
                  <c:v>4</c:v>
                </c:pt>
                <c:pt idx="7339">
                  <c:v>4</c:v>
                </c:pt>
                <c:pt idx="7340">
                  <c:v>4</c:v>
                </c:pt>
                <c:pt idx="7341">
                  <c:v>4</c:v>
                </c:pt>
                <c:pt idx="7342">
                  <c:v>4</c:v>
                </c:pt>
                <c:pt idx="7343">
                  <c:v>4</c:v>
                </c:pt>
                <c:pt idx="7344">
                  <c:v>4</c:v>
                </c:pt>
                <c:pt idx="7345">
                  <c:v>4</c:v>
                </c:pt>
                <c:pt idx="7346">
                  <c:v>4</c:v>
                </c:pt>
                <c:pt idx="7347">
                  <c:v>4</c:v>
                </c:pt>
                <c:pt idx="7348">
                  <c:v>4</c:v>
                </c:pt>
                <c:pt idx="7349">
                  <c:v>4</c:v>
                </c:pt>
                <c:pt idx="7350">
                  <c:v>4</c:v>
                </c:pt>
                <c:pt idx="7351">
                  <c:v>4</c:v>
                </c:pt>
                <c:pt idx="7352">
                  <c:v>4</c:v>
                </c:pt>
                <c:pt idx="7353">
                  <c:v>4</c:v>
                </c:pt>
                <c:pt idx="7354">
                  <c:v>4</c:v>
                </c:pt>
                <c:pt idx="7355">
                  <c:v>4</c:v>
                </c:pt>
                <c:pt idx="7356">
                  <c:v>4</c:v>
                </c:pt>
                <c:pt idx="7357">
                  <c:v>4</c:v>
                </c:pt>
                <c:pt idx="7358">
                  <c:v>4</c:v>
                </c:pt>
                <c:pt idx="7359">
                  <c:v>4</c:v>
                </c:pt>
                <c:pt idx="7360">
                  <c:v>4</c:v>
                </c:pt>
                <c:pt idx="7361">
                  <c:v>4</c:v>
                </c:pt>
                <c:pt idx="7362">
                  <c:v>4</c:v>
                </c:pt>
                <c:pt idx="7363">
                  <c:v>4</c:v>
                </c:pt>
                <c:pt idx="7364">
                  <c:v>4</c:v>
                </c:pt>
                <c:pt idx="7365">
                  <c:v>4</c:v>
                </c:pt>
                <c:pt idx="7366">
                  <c:v>4</c:v>
                </c:pt>
                <c:pt idx="7367">
                  <c:v>4</c:v>
                </c:pt>
                <c:pt idx="7368">
                  <c:v>4</c:v>
                </c:pt>
                <c:pt idx="7369">
                  <c:v>4</c:v>
                </c:pt>
                <c:pt idx="7370">
                  <c:v>4</c:v>
                </c:pt>
                <c:pt idx="7371">
                  <c:v>4</c:v>
                </c:pt>
                <c:pt idx="7372">
                  <c:v>4</c:v>
                </c:pt>
                <c:pt idx="7373">
                  <c:v>4</c:v>
                </c:pt>
                <c:pt idx="7374">
                  <c:v>4</c:v>
                </c:pt>
                <c:pt idx="7375">
                  <c:v>4</c:v>
                </c:pt>
                <c:pt idx="7376">
                  <c:v>4</c:v>
                </c:pt>
                <c:pt idx="7377">
                  <c:v>4</c:v>
                </c:pt>
                <c:pt idx="7378">
                  <c:v>4</c:v>
                </c:pt>
                <c:pt idx="7379">
                  <c:v>4</c:v>
                </c:pt>
                <c:pt idx="7380">
                  <c:v>4</c:v>
                </c:pt>
                <c:pt idx="7381">
                  <c:v>4</c:v>
                </c:pt>
                <c:pt idx="7382">
                  <c:v>4</c:v>
                </c:pt>
                <c:pt idx="7383">
                  <c:v>4</c:v>
                </c:pt>
                <c:pt idx="7384">
                  <c:v>4</c:v>
                </c:pt>
                <c:pt idx="7385">
                  <c:v>4</c:v>
                </c:pt>
                <c:pt idx="7386">
                  <c:v>4</c:v>
                </c:pt>
                <c:pt idx="7387">
                  <c:v>4</c:v>
                </c:pt>
                <c:pt idx="7388">
                  <c:v>4</c:v>
                </c:pt>
                <c:pt idx="7389">
                  <c:v>4</c:v>
                </c:pt>
                <c:pt idx="7390">
                  <c:v>4</c:v>
                </c:pt>
                <c:pt idx="7391">
                  <c:v>4</c:v>
                </c:pt>
                <c:pt idx="7392">
                  <c:v>4</c:v>
                </c:pt>
                <c:pt idx="7393">
                  <c:v>4</c:v>
                </c:pt>
                <c:pt idx="7394">
                  <c:v>4</c:v>
                </c:pt>
                <c:pt idx="7395">
                  <c:v>4</c:v>
                </c:pt>
                <c:pt idx="7396">
                  <c:v>4</c:v>
                </c:pt>
                <c:pt idx="7397">
                  <c:v>4</c:v>
                </c:pt>
                <c:pt idx="7398">
                  <c:v>4</c:v>
                </c:pt>
                <c:pt idx="7399">
                  <c:v>4</c:v>
                </c:pt>
                <c:pt idx="7400">
                  <c:v>4</c:v>
                </c:pt>
                <c:pt idx="7401">
                  <c:v>4</c:v>
                </c:pt>
                <c:pt idx="7402">
                  <c:v>4</c:v>
                </c:pt>
                <c:pt idx="7403">
                  <c:v>4</c:v>
                </c:pt>
                <c:pt idx="7404">
                  <c:v>4</c:v>
                </c:pt>
                <c:pt idx="7405">
                  <c:v>4</c:v>
                </c:pt>
                <c:pt idx="7406">
                  <c:v>4</c:v>
                </c:pt>
                <c:pt idx="7407">
                  <c:v>4</c:v>
                </c:pt>
                <c:pt idx="7408">
                  <c:v>4</c:v>
                </c:pt>
                <c:pt idx="7409">
                  <c:v>4</c:v>
                </c:pt>
                <c:pt idx="7410">
                  <c:v>4</c:v>
                </c:pt>
                <c:pt idx="7411">
                  <c:v>4</c:v>
                </c:pt>
                <c:pt idx="7412">
                  <c:v>4</c:v>
                </c:pt>
                <c:pt idx="7413">
                  <c:v>4</c:v>
                </c:pt>
                <c:pt idx="7414">
                  <c:v>4</c:v>
                </c:pt>
                <c:pt idx="7415">
                  <c:v>4</c:v>
                </c:pt>
                <c:pt idx="7416">
                  <c:v>4</c:v>
                </c:pt>
                <c:pt idx="7417">
                  <c:v>4</c:v>
                </c:pt>
                <c:pt idx="7418">
                  <c:v>4</c:v>
                </c:pt>
                <c:pt idx="7419">
                  <c:v>4</c:v>
                </c:pt>
                <c:pt idx="7420">
                  <c:v>4</c:v>
                </c:pt>
                <c:pt idx="7421">
                  <c:v>4</c:v>
                </c:pt>
                <c:pt idx="7422">
                  <c:v>4</c:v>
                </c:pt>
                <c:pt idx="7423">
                  <c:v>4</c:v>
                </c:pt>
                <c:pt idx="7424">
                  <c:v>4</c:v>
                </c:pt>
                <c:pt idx="7425">
                  <c:v>4</c:v>
                </c:pt>
                <c:pt idx="7426">
                  <c:v>4</c:v>
                </c:pt>
                <c:pt idx="7427">
                  <c:v>4</c:v>
                </c:pt>
                <c:pt idx="7428">
                  <c:v>4.4000000000000004</c:v>
                </c:pt>
                <c:pt idx="7429">
                  <c:v>4.4000000000000004</c:v>
                </c:pt>
                <c:pt idx="7430">
                  <c:v>4.4000000000000004</c:v>
                </c:pt>
                <c:pt idx="7431">
                  <c:v>4.4000000000000004</c:v>
                </c:pt>
                <c:pt idx="7432">
                  <c:v>4.4000000000000004</c:v>
                </c:pt>
                <c:pt idx="7433">
                  <c:v>4.4000000000000004</c:v>
                </c:pt>
                <c:pt idx="7434">
                  <c:v>4.4000000000000004</c:v>
                </c:pt>
                <c:pt idx="7435">
                  <c:v>4.4000000000000004</c:v>
                </c:pt>
                <c:pt idx="7436">
                  <c:v>4.4000000000000004</c:v>
                </c:pt>
                <c:pt idx="7437">
                  <c:v>4.4000000000000004</c:v>
                </c:pt>
                <c:pt idx="7438">
                  <c:v>4.4000000000000004</c:v>
                </c:pt>
                <c:pt idx="7439">
                  <c:v>4.4000000000000004</c:v>
                </c:pt>
                <c:pt idx="7440">
                  <c:v>4.4000000000000004</c:v>
                </c:pt>
                <c:pt idx="7441">
                  <c:v>4.4000000000000004</c:v>
                </c:pt>
                <c:pt idx="7442">
                  <c:v>4.4000000000000004</c:v>
                </c:pt>
                <c:pt idx="7443">
                  <c:v>4.4000000000000004</c:v>
                </c:pt>
                <c:pt idx="7444">
                  <c:v>4.4000000000000004</c:v>
                </c:pt>
                <c:pt idx="7445">
                  <c:v>4.4000000000000004</c:v>
                </c:pt>
                <c:pt idx="7446">
                  <c:v>4.4000000000000004</c:v>
                </c:pt>
                <c:pt idx="7447">
                  <c:v>4.4000000000000004</c:v>
                </c:pt>
                <c:pt idx="7448">
                  <c:v>4.4000000000000004</c:v>
                </c:pt>
                <c:pt idx="7449">
                  <c:v>4.4000000000000004</c:v>
                </c:pt>
                <c:pt idx="7450">
                  <c:v>4.4000000000000004</c:v>
                </c:pt>
                <c:pt idx="7451">
                  <c:v>4.4000000000000004</c:v>
                </c:pt>
                <c:pt idx="7452">
                  <c:v>4.4000000000000004</c:v>
                </c:pt>
                <c:pt idx="7453">
                  <c:v>4.4000000000000004</c:v>
                </c:pt>
                <c:pt idx="7454">
                  <c:v>4.4000000000000004</c:v>
                </c:pt>
                <c:pt idx="7455">
                  <c:v>4.4000000000000004</c:v>
                </c:pt>
                <c:pt idx="7456">
                  <c:v>4.4000000000000004</c:v>
                </c:pt>
                <c:pt idx="7457">
                  <c:v>4.4000000000000004</c:v>
                </c:pt>
                <c:pt idx="7458">
                  <c:v>4.4000000000000004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45-4783-91BA-21ED235C2201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1Y Gsec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Sheet1!$J$2:$J$7460</c:f>
              <c:numCache>
                <c:formatCode>m/d/yyyy</c:formatCode>
                <c:ptCount val="7459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  <c:pt idx="30">
                  <c:v>37287</c:v>
                </c:pt>
                <c:pt idx="31">
                  <c:v>37288</c:v>
                </c:pt>
                <c:pt idx="32">
                  <c:v>37289</c:v>
                </c:pt>
                <c:pt idx="33">
                  <c:v>37290</c:v>
                </c:pt>
                <c:pt idx="34">
                  <c:v>37291</c:v>
                </c:pt>
                <c:pt idx="35">
                  <c:v>37292</c:v>
                </c:pt>
                <c:pt idx="36">
                  <c:v>37293</c:v>
                </c:pt>
                <c:pt idx="37">
                  <c:v>37294</c:v>
                </c:pt>
                <c:pt idx="38">
                  <c:v>37295</c:v>
                </c:pt>
                <c:pt idx="39">
                  <c:v>37296</c:v>
                </c:pt>
                <c:pt idx="40">
                  <c:v>37297</c:v>
                </c:pt>
                <c:pt idx="41">
                  <c:v>37298</c:v>
                </c:pt>
                <c:pt idx="42">
                  <c:v>37299</c:v>
                </c:pt>
                <c:pt idx="43">
                  <c:v>37300</c:v>
                </c:pt>
                <c:pt idx="44">
                  <c:v>37301</c:v>
                </c:pt>
                <c:pt idx="45">
                  <c:v>37302</c:v>
                </c:pt>
                <c:pt idx="46">
                  <c:v>37303</c:v>
                </c:pt>
                <c:pt idx="47">
                  <c:v>37304</c:v>
                </c:pt>
                <c:pt idx="48">
                  <c:v>37305</c:v>
                </c:pt>
                <c:pt idx="49">
                  <c:v>37306</c:v>
                </c:pt>
                <c:pt idx="50">
                  <c:v>37307</c:v>
                </c:pt>
                <c:pt idx="51">
                  <c:v>37308</c:v>
                </c:pt>
                <c:pt idx="52">
                  <c:v>37309</c:v>
                </c:pt>
                <c:pt idx="53">
                  <c:v>37310</c:v>
                </c:pt>
                <c:pt idx="54">
                  <c:v>37311</c:v>
                </c:pt>
                <c:pt idx="55">
                  <c:v>37312</c:v>
                </c:pt>
                <c:pt idx="56">
                  <c:v>37313</c:v>
                </c:pt>
                <c:pt idx="57">
                  <c:v>37314</c:v>
                </c:pt>
                <c:pt idx="58">
                  <c:v>37315</c:v>
                </c:pt>
                <c:pt idx="59">
                  <c:v>37316</c:v>
                </c:pt>
                <c:pt idx="60">
                  <c:v>37317</c:v>
                </c:pt>
                <c:pt idx="61">
                  <c:v>37318</c:v>
                </c:pt>
                <c:pt idx="62">
                  <c:v>37319</c:v>
                </c:pt>
                <c:pt idx="63">
                  <c:v>37320</c:v>
                </c:pt>
                <c:pt idx="64">
                  <c:v>37321</c:v>
                </c:pt>
                <c:pt idx="65">
                  <c:v>37322</c:v>
                </c:pt>
                <c:pt idx="66">
                  <c:v>37323</c:v>
                </c:pt>
                <c:pt idx="67">
                  <c:v>37324</c:v>
                </c:pt>
                <c:pt idx="68">
                  <c:v>37325</c:v>
                </c:pt>
                <c:pt idx="69">
                  <c:v>37326</c:v>
                </c:pt>
                <c:pt idx="70">
                  <c:v>37327</c:v>
                </c:pt>
                <c:pt idx="71">
                  <c:v>37328</c:v>
                </c:pt>
                <c:pt idx="72">
                  <c:v>37329</c:v>
                </c:pt>
                <c:pt idx="73">
                  <c:v>37330</c:v>
                </c:pt>
                <c:pt idx="74">
                  <c:v>37331</c:v>
                </c:pt>
                <c:pt idx="75">
                  <c:v>37332</c:v>
                </c:pt>
                <c:pt idx="76">
                  <c:v>37333</c:v>
                </c:pt>
                <c:pt idx="77">
                  <c:v>37334</c:v>
                </c:pt>
                <c:pt idx="78">
                  <c:v>37335</c:v>
                </c:pt>
                <c:pt idx="79">
                  <c:v>37336</c:v>
                </c:pt>
                <c:pt idx="80">
                  <c:v>37337</c:v>
                </c:pt>
                <c:pt idx="81">
                  <c:v>37338</c:v>
                </c:pt>
                <c:pt idx="82">
                  <c:v>37339</c:v>
                </c:pt>
                <c:pt idx="83">
                  <c:v>37340</c:v>
                </c:pt>
                <c:pt idx="84">
                  <c:v>37341</c:v>
                </c:pt>
                <c:pt idx="85">
                  <c:v>37342</c:v>
                </c:pt>
                <c:pt idx="86">
                  <c:v>37343</c:v>
                </c:pt>
                <c:pt idx="87">
                  <c:v>37344</c:v>
                </c:pt>
                <c:pt idx="88">
                  <c:v>37345</c:v>
                </c:pt>
                <c:pt idx="89">
                  <c:v>37346</c:v>
                </c:pt>
                <c:pt idx="90">
                  <c:v>37347</c:v>
                </c:pt>
                <c:pt idx="91">
                  <c:v>37348</c:v>
                </c:pt>
                <c:pt idx="92">
                  <c:v>37349</c:v>
                </c:pt>
                <c:pt idx="93">
                  <c:v>37350</c:v>
                </c:pt>
                <c:pt idx="94">
                  <c:v>37351</c:v>
                </c:pt>
                <c:pt idx="95">
                  <c:v>37352</c:v>
                </c:pt>
                <c:pt idx="96">
                  <c:v>37353</c:v>
                </c:pt>
                <c:pt idx="97">
                  <c:v>37354</c:v>
                </c:pt>
                <c:pt idx="98">
                  <c:v>37355</c:v>
                </c:pt>
                <c:pt idx="99">
                  <c:v>37356</c:v>
                </c:pt>
                <c:pt idx="100">
                  <c:v>37357</c:v>
                </c:pt>
                <c:pt idx="101">
                  <c:v>37358</c:v>
                </c:pt>
                <c:pt idx="102">
                  <c:v>37359</c:v>
                </c:pt>
                <c:pt idx="103">
                  <c:v>37360</c:v>
                </c:pt>
                <c:pt idx="104">
                  <c:v>37361</c:v>
                </c:pt>
                <c:pt idx="105">
                  <c:v>37362</c:v>
                </c:pt>
                <c:pt idx="106">
                  <c:v>37363</c:v>
                </c:pt>
                <c:pt idx="107">
                  <c:v>37364</c:v>
                </c:pt>
                <c:pt idx="108">
                  <c:v>37365</c:v>
                </c:pt>
                <c:pt idx="109">
                  <c:v>37366</c:v>
                </c:pt>
                <c:pt idx="110">
                  <c:v>37367</c:v>
                </c:pt>
                <c:pt idx="111">
                  <c:v>37368</c:v>
                </c:pt>
                <c:pt idx="112">
                  <c:v>37369</c:v>
                </c:pt>
                <c:pt idx="113">
                  <c:v>37370</c:v>
                </c:pt>
                <c:pt idx="114">
                  <c:v>37371</c:v>
                </c:pt>
                <c:pt idx="115">
                  <c:v>37372</c:v>
                </c:pt>
                <c:pt idx="116">
                  <c:v>37373</c:v>
                </c:pt>
                <c:pt idx="117">
                  <c:v>37374</c:v>
                </c:pt>
                <c:pt idx="118">
                  <c:v>37375</c:v>
                </c:pt>
                <c:pt idx="119">
                  <c:v>37376</c:v>
                </c:pt>
                <c:pt idx="120">
                  <c:v>37377</c:v>
                </c:pt>
                <c:pt idx="121">
                  <c:v>37378</c:v>
                </c:pt>
                <c:pt idx="122">
                  <c:v>37379</c:v>
                </c:pt>
                <c:pt idx="123">
                  <c:v>37380</c:v>
                </c:pt>
                <c:pt idx="124">
                  <c:v>37381</c:v>
                </c:pt>
                <c:pt idx="125">
                  <c:v>37382</c:v>
                </c:pt>
                <c:pt idx="126">
                  <c:v>37383</c:v>
                </c:pt>
                <c:pt idx="127">
                  <c:v>37384</c:v>
                </c:pt>
                <c:pt idx="128">
                  <c:v>37385</c:v>
                </c:pt>
                <c:pt idx="129">
                  <c:v>37386</c:v>
                </c:pt>
                <c:pt idx="130">
                  <c:v>37387</c:v>
                </c:pt>
                <c:pt idx="131">
                  <c:v>37388</c:v>
                </c:pt>
                <c:pt idx="132">
                  <c:v>37389</c:v>
                </c:pt>
                <c:pt idx="133">
                  <c:v>37390</c:v>
                </c:pt>
                <c:pt idx="134">
                  <c:v>37391</c:v>
                </c:pt>
                <c:pt idx="135">
                  <c:v>37392</c:v>
                </c:pt>
                <c:pt idx="136">
                  <c:v>37393</c:v>
                </c:pt>
                <c:pt idx="137">
                  <c:v>37394</c:v>
                </c:pt>
                <c:pt idx="138">
                  <c:v>37395</c:v>
                </c:pt>
                <c:pt idx="139">
                  <c:v>37396</c:v>
                </c:pt>
                <c:pt idx="140">
                  <c:v>37397</c:v>
                </c:pt>
                <c:pt idx="141">
                  <c:v>37398</c:v>
                </c:pt>
                <c:pt idx="142">
                  <c:v>37399</c:v>
                </c:pt>
                <c:pt idx="143">
                  <c:v>37400</c:v>
                </c:pt>
                <c:pt idx="144">
                  <c:v>37401</c:v>
                </c:pt>
                <c:pt idx="145">
                  <c:v>37402</c:v>
                </c:pt>
                <c:pt idx="146">
                  <c:v>37403</c:v>
                </c:pt>
                <c:pt idx="147">
                  <c:v>37404</c:v>
                </c:pt>
                <c:pt idx="148">
                  <c:v>37405</c:v>
                </c:pt>
                <c:pt idx="149">
                  <c:v>37406</c:v>
                </c:pt>
                <c:pt idx="150">
                  <c:v>37407</c:v>
                </c:pt>
                <c:pt idx="151">
                  <c:v>37408</c:v>
                </c:pt>
                <c:pt idx="152">
                  <c:v>37409</c:v>
                </c:pt>
                <c:pt idx="153">
                  <c:v>37410</c:v>
                </c:pt>
                <c:pt idx="154">
                  <c:v>37411</c:v>
                </c:pt>
                <c:pt idx="155">
                  <c:v>37412</c:v>
                </c:pt>
                <c:pt idx="156">
                  <c:v>37413</c:v>
                </c:pt>
                <c:pt idx="157">
                  <c:v>37414</c:v>
                </c:pt>
                <c:pt idx="158">
                  <c:v>37415</c:v>
                </c:pt>
                <c:pt idx="159">
                  <c:v>37416</c:v>
                </c:pt>
                <c:pt idx="160">
                  <c:v>37417</c:v>
                </c:pt>
                <c:pt idx="161">
                  <c:v>37418</c:v>
                </c:pt>
                <c:pt idx="162">
                  <c:v>37419</c:v>
                </c:pt>
                <c:pt idx="163">
                  <c:v>37420</c:v>
                </c:pt>
                <c:pt idx="164">
                  <c:v>37421</c:v>
                </c:pt>
                <c:pt idx="165">
                  <c:v>37422</c:v>
                </c:pt>
                <c:pt idx="166">
                  <c:v>37423</c:v>
                </c:pt>
                <c:pt idx="167">
                  <c:v>37424</c:v>
                </c:pt>
                <c:pt idx="168">
                  <c:v>37425</c:v>
                </c:pt>
                <c:pt idx="169">
                  <c:v>37426</c:v>
                </c:pt>
                <c:pt idx="170">
                  <c:v>37427</c:v>
                </c:pt>
                <c:pt idx="171">
                  <c:v>37428</c:v>
                </c:pt>
                <c:pt idx="172">
                  <c:v>37429</c:v>
                </c:pt>
                <c:pt idx="173">
                  <c:v>37430</c:v>
                </c:pt>
                <c:pt idx="174">
                  <c:v>37431</c:v>
                </c:pt>
                <c:pt idx="175">
                  <c:v>37432</c:v>
                </c:pt>
                <c:pt idx="176">
                  <c:v>37433</c:v>
                </c:pt>
                <c:pt idx="177">
                  <c:v>37434</c:v>
                </c:pt>
                <c:pt idx="178">
                  <c:v>37435</c:v>
                </c:pt>
                <c:pt idx="179">
                  <c:v>37436</c:v>
                </c:pt>
                <c:pt idx="180">
                  <c:v>37437</c:v>
                </c:pt>
                <c:pt idx="181">
                  <c:v>37438</c:v>
                </c:pt>
                <c:pt idx="182">
                  <c:v>37439</c:v>
                </c:pt>
                <c:pt idx="183">
                  <c:v>37440</c:v>
                </c:pt>
                <c:pt idx="184">
                  <c:v>37441</c:v>
                </c:pt>
                <c:pt idx="185">
                  <c:v>37442</c:v>
                </c:pt>
                <c:pt idx="186">
                  <c:v>37443</c:v>
                </c:pt>
                <c:pt idx="187">
                  <c:v>37444</c:v>
                </c:pt>
                <c:pt idx="188">
                  <c:v>37445</c:v>
                </c:pt>
                <c:pt idx="189">
                  <c:v>37446</c:v>
                </c:pt>
                <c:pt idx="190">
                  <c:v>37447</c:v>
                </c:pt>
                <c:pt idx="191">
                  <c:v>37448</c:v>
                </c:pt>
                <c:pt idx="192">
                  <c:v>37449</c:v>
                </c:pt>
                <c:pt idx="193">
                  <c:v>37450</c:v>
                </c:pt>
                <c:pt idx="194">
                  <c:v>37451</c:v>
                </c:pt>
                <c:pt idx="195">
                  <c:v>37452</c:v>
                </c:pt>
                <c:pt idx="196">
                  <c:v>37453</c:v>
                </c:pt>
                <c:pt idx="197">
                  <c:v>37454</c:v>
                </c:pt>
                <c:pt idx="198">
                  <c:v>37455</c:v>
                </c:pt>
                <c:pt idx="199">
                  <c:v>37456</c:v>
                </c:pt>
                <c:pt idx="200">
                  <c:v>37457</c:v>
                </c:pt>
                <c:pt idx="201">
                  <c:v>37458</c:v>
                </c:pt>
                <c:pt idx="202">
                  <c:v>37459</c:v>
                </c:pt>
                <c:pt idx="203">
                  <c:v>37460</c:v>
                </c:pt>
                <c:pt idx="204">
                  <c:v>37461</c:v>
                </c:pt>
                <c:pt idx="205">
                  <c:v>37462</c:v>
                </c:pt>
                <c:pt idx="206">
                  <c:v>37463</c:v>
                </c:pt>
                <c:pt idx="207">
                  <c:v>37464</c:v>
                </c:pt>
                <c:pt idx="208">
                  <c:v>37465</c:v>
                </c:pt>
                <c:pt idx="209">
                  <c:v>37466</c:v>
                </c:pt>
                <c:pt idx="210">
                  <c:v>37467</c:v>
                </c:pt>
                <c:pt idx="211">
                  <c:v>37468</c:v>
                </c:pt>
                <c:pt idx="212">
                  <c:v>37469</c:v>
                </c:pt>
                <c:pt idx="213">
                  <c:v>37470</c:v>
                </c:pt>
                <c:pt idx="214">
                  <c:v>37471</c:v>
                </c:pt>
                <c:pt idx="215">
                  <c:v>37472</c:v>
                </c:pt>
                <c:pt idx="216">
                  <c:v>37473</c:v>
                </c:pt>
                <c:pt idx="217">
                  <c:v>37474</c:v>
                </c:pt>
                <c:pt idx="218">
                  <c:v>37475</c:v>
                </c:pt>
                <c:pt idx="219">
                  <c:v>37476</c:v>
                </c:pt>
                <c:pt idx="220">
                  <c:v>37477</c:v>
                </c:pt>
                <c:pt idx="221">
                  <c:v>37478</c:v>
                </c:pt>
                <c:pt idx="222">
                  <c:v>37479</c:v>
                </c:pt>
                <c:pt idx="223">
                  <c:v>37480</c:v>
                </c:pt>
                <c:pt idx="224">
                  <c:v>37481</c:v>
                </c:pt>
                <c:pt idx="225">
                  <c:v>37482</c:v>
                </c:pt>
                <c:pt idx="226">
                  <c:v>37483</c:v>
                </c:pt>
                <c:pt idx="227">
                  <c:v>37484</c:v>
                </c:pt>
                <c:pt idx="228">
                  <c:v>37485</c:v>
                </c:pt>
                <c:pt idx="229">
                  <c:v>37486</c:v>
                </c:pt>
                <c:pt idx="230">
                  <c:v>37487</c:v>
                </c:pt>
                <c:pt idx="231">
                  <c:v>37488</c:v>
                </c:pt>
                <c:pt idx="232">
                  <c:v>37489</c:v>
                </c:pt>
                <c:pt idx="233">
                  <c:v>37490</c:v>
                </c:pt>
                <c:pt idx="234">
                  <c:v>37491</c:v>
                </c:pt>
                <c:pt idx="235">
                  <c:v>37492</c:v>
                </c:pt>
                <c:pt idx="236">
                  <c:v>37493</c:v>
                </c:pt>
                <c:pt idx="237">
                  <c:v>37494</c:v>
                </c:pt>
                <c:pt idx="238">
                  <c:v>37495</c:v>
                </c:pt>
                <c:pt idx="239">
                  <c:v>37496</c:v>
                </c:pt>
                <c:pt idx="240">
                  <c:v>37497</c:v>
                </c:pt>
                <c:pt idx="241">
                  <c:v>37498</c:v>
                </c:pt>
                <c:pt idx="242">
                  <c:v>37499</c:v>
                </c:pt>
                <c:pt idx="243">
                  <c:v>37500</c:v>
                </c:pt>
                <c:pt idx="244">
                  <c:v>37501</c:v>
                </c:pt>
                <c:pt idx="245">
                  <c:v>37502</c:v>
                </c:pt>
                <c:pt idx="246">
                  <c:v>37503</c:v>
                </c:pt>
                <c:pt idx="247">
                  <c:v>37504</c:v>
                </c:pt>
                <c:pt idx="248">
                  <c:v>37505</c:v>
                </c:pt>
                <c:pt idx="249">
                  <c:v>37506</c:v>
                </c:pt>
                <c:pt idx="250">
                  <c:v>37507</c:v>
                </c:pt>
                <c:pt idx="251">
                  <c:v>37508</c:v>
                </c:pt>
                <c:pt idx="252">
                  <c:v>37509</c:v>
                </c:pt>
                <c:pt idx="253">
                  <c:v>37510</c:v>
                </c:pt>
                <c:pt idx="254">
                  <c:v>37511</c:v>
                </c:pt>
                <c:pt idx="255">
                  <c:v>37512</c:v>
                </c:pt>
                <c:pt idx="256">
                  <c:v>37513</c:v>
                </c:pt>
                <c:pt idx="257">
                  <c:v>37514</c:v>
                </c:pt>
                <c:pt idx="258">
                  <c:v>37515</c:v>
                </c:pt>
                <c:pt idx="259">
                  <c:v>37516</c:v>
                </c:pt>
                <c:pt idx="260">
                  <c:v>37517</c:v>
                </c:pt>
                <c:pt idx="261">
                  <c:v>37518</c:v>
                </c:pt>
                <c:pt idx="262">
                  <c:v>37519</c:v>
                </c:pt>
                <c:pt idx="263">
                  <c:v>37520</c:v>
                </c:pt>
                <c:pt idx="264">
                  <c:v>37521</c:v>
                </c:pt>
                <c:pt idx="265">
                  <c:v>37522</c:v>
                </c:pt>
                <c:pt idx="266">
                  <c:v>37523</c:v>
                </c:pt>
                <c:pt idx="267">
                  <c:v>37524</c:v>
                </c:pt>
                <c:pt idx="268">
                  <c:v>37525</c:v>
                </c:pt>
                <c:pt idx="269">
                  <c:v>37526</c:v>
                </c:pt>
                <c:pt idx="270">
                  <c:v>37527</c:v>
                </c:pt>
                <c:pt idx="271">
                  <c:v>37528</c:v>
                </c:pt>
                <c:pt idx="272">
                  <c:v>37529</c:v>
                </c:pt>
                <c:pt idx="273">
                  <c:v>37530</c:v>
                </c:pt>
                <c:pt idx="274">
                  <c:v>37531</c:v>
                </c:pt>
                <c:pt idx="275">
                  <c:v>37532</c:v>
                </c:pt>
                <c:pt idx="276">
                  <c:v>37533</c:v>
                </c:pt>
                <c:pt idx="277">
                  <c:v>37534</c:v>
                </c:pt>
                <c:pt idx="278">
                  <c:v>37535</c:v>
                </c:pt>
                <c:pt idx="279">
                  <c:v>37536</c:v>
                </c:pt>
                <c:pt idx="280">
                  <c:v>37537</c:v>
                </c:pt>
                <c:pt idx="281">
                  <c:v>37538</c:v>
                </c:pt>
                <c:pt idx="282">
                  <c:v>37539</c:v>
                </c:pt>
                <c:pt idx="283">
                  <c:v>37540</c:v>
                </c:pt>
                <c:pt idx="284">
                  <c:v>37541</c:v>
                </c:pt>
                <c:pt idx="285">
                  <c:v>37542</c:v>
                </c:pt>
                <c:pt idx="286">
                  <c:v>37543</c:v>
                </c:pt>
                <c:pt idx="287">
                  <c:v>37544</c:v>
                </c:pt>
                <c:pt idx="288">
                  <c:v>37545</c:v>
                </c:pt>
                <c:pt idx="289">
                  <c:v>37546</c:v>
                </c:pt>
                <c:pt idx="290">
                  <c:v>37547</c:v>
                </c:pt>
                <c:pt idx="291">
                  <c:v>37548</c:v>
                </c:pt>
                <c:pt idx="292">
                  <c:v>37549</c:v>
                </c:pt>
                <c:pt idx="293">
                  <c:v>37550</c:v>
                </c:pt>
                <c:pt idx="294">
                  <c:v>37551</c:v>
                </c:pt>
                <c:pt idx="295">
                  <c:v>37552</c:v>
                </c:pt>
                <c:pt idx="296">
                  <c:v>37553</c:v>
                </c:pt>
                <c:pt idx="297">
                  <c:v>37554</c:v>
                </c:pt>
                <c:pt idx="298">
                  <c:v>37555</c:v>
                </c:pt>
                <c:pt idx="299">
                  <c:v>37556</c:v>
                </c:pt>
                <c:pt idx="300">
                  <c:v>37557</c:v>
                </c:pt>
                <c:pt idx="301">
                  <c:v>37558</c:v>
                </c:pt>
                <c:pt idx="302">
                  <c:v>37559</c:v>
                </c:pt>
                <c:pt idx="303">
                  <c:v>37560</c:v>
                </c:pt>
                <c:pt idx="304">
                  <c:v>37561</c:v>
                </c:pt>
                <c:pt idx="305">
                  <c:v>37562</c:v>
                </c:pt>
                <c:pt idx="306">
                  <c:v>37563</c:v>
                </c:pt>
                <c:pt idx="307">
                  <c:v>37564</c:v>
                </c:pt>
                <c:pt idx="308">
                  <c:v>37565</c:v>
                </c:pt>
                <c:pt idx="309">
                  <c:v>37566</c:v>
                </c:pt>
                <c:pt idx="310">
                  <c:v>37567</c:v>
                </c:pt>
                <c:pt idx="311">
                  <c:v>37568</c:v>
                </c:pt>
                <c:pt idx="312">
                  <c:v>37569</c:v>
                </c:pt>
                <c:pt idx="313">
                  <c:v>37570</c:v>
                </c:pt>
                <c:pt idx="314">
                  <c:v>37571</c:v>
                </c:pt>
                <c:pt idx="315">
                  <c:v>37572</c:v>
                </c:pt>
                <c:pt idx="316">
                  <c:v>37573</c:v>
                </c:pt>
                <c:pt idx="317">
                  <c:v>37574</c:v>
                </c:pt>
                <c:pt idx="318">
                  <c:v>37575</c:v>
                </c:pt>
                <c:pt idx="319">
                  <c:v>37576</c:v>
                </c:pt>
                <c:pt idx="320">
                  <c:v>37577</c:v>
                </c:pt>
                <c:pt idx="321">
                  <c:v>37578</c:v>
                </c:pt>
                <c:pt idx="322">
                  <c:v>37579</c:v>
                </c:pt>
                <c:pt idx="323">
                  <c:v>37580</c:v>
                </c:pt>
                <c:pt idx="324">
                  <c:v>37581</c:v>
                </c:pt>
                <c:pt idx="325">
                  <c:v>37582</c:v>
                </c:pt>
                <c:pt idx="326">
                  <c:v>37583</c:v>
                </c:pt>
                <c:pt idx="327">
                  <c:v>37584</c:v>
                </c:pt>
                <c:pt idx="328">
                  <c:v>37585</c:v>
                </c:pt>
                <c:pt idx="329">
                  <c:v>37586</c:v>
                </c:pt>
                <c:pt idx="330">
                  <c:v>37587</c:v>
                </c:pt>
                <c:pt idx="331">
                  <c:v>37588</c:v>
                </c:pt>
                <c:pt idx="332">
                  <c:v>37589</c:v>
                </c:pt>
                <c:pt idx="333">
                  <c:v>37590</c:v>
                </c:pt>
                <c:pt idx="334">
                  <c:v>37591</c:v>
                </c:pt>
                <c:pt idx="335">
                  <c:v>37592</c:v>
                </c:pt>
                <c:pt idx="336">
                  <c:v>37593</c:v>
                </c:pt>
                <c:pt idx="337">
                  <c:v>37594</c:v>
                </c:pt>
                <c:pt idx="338">
                  <c:v>37595</c:v>
                </c:pt>
                <c:pt idx="339">
                  <c:v>37596</c:v>
                </c:pt>
                <c:pt idx="340">
                  <c:v>37597</c:v>
                </c:pt>
                <c:pt idx="341">
                  <c:v>37598</c:v>
                </c:pt>
                <c:pt idx="342">
                  <c:v>37599</c:v>
                </c:pt>
                <c:pt idx="343">
                  <c:v>37600</c:v>
                </c:pt>
                <c:pt idx="344">
                  <c:v>37601</c:v>
                </c:pt>
                <c:pt idx="345">
                  <c:v>37602</c:v>
                </c:pt>
                <c:pt idx="346">
                  <c:v>37603</c:v>
                </c:pt>
                <c:pt idx="347">
                  <c:v>37604</c:v>
                </c:pt>
                <c:pt idx="348">
                  <c:v>37605</c:v>
                </c:pt>
                <c:pt idx="349">
                  <c:v>37606</c:v>
                </c:pt>
                <c:pt idx="350">
                  <c:v>37607</c:v>
                </c:pt>
                <c:pt idx="351">
                  <c:v>37608</c:v>
                </c:pt>
                <c:pt idx="352">
                  <c:v>37609</c:v>
                </c:pt>
                <c:pt idx="353">
                  <c:v>37610</c:v>
                </c:pt>
                <c:pt idx="354">
                  <c:v>37611</c:v>
                </c:pt>
                <c:pt idx="355">
                  <c:v>37612</c:v>
                </c:pt>
                <c:pt idx="356">
                  <c:v>37613</c:v>
                </c:pt>
                <c:pt idx="357">
                  <c:v>37614</c:v>
                </c:pt>
                <c:pt idx="358">
                  <c:v>37615</c:v>
                </c:pt>
                <c:pt idx="359">
                  <c:v>37616</c:v>
                </c:pt>
                <c:pt idx="360">
                  <c:v>37617</c:v>
                </c:pt>
                <c:pt idx="361">
                  <c:v>37618</c:v>
                </c:pt>
                <c:pt idx="362">
                  <c:v>37619</c:v>
                </c:pt>
                <c:pt idx="363">
                  <c:v>37620</c:v>
                </c:pt>
                <c:pt idx="364">
                  <c:v>37621</c:v>
                </c:pt>
                <c:pt idx="365">
                  <c:v>37622</c:v>
                </c:pt>
                <c:pt idx="366">
                  <c:v>37623</c:v>
                </c:pt>
                <c:pt idx="367">
                  <c:v>37624</c:v>
                </c:pt>
                <c:pt idx="368">
                  <c:v>37625</c:v>
                </c:pt>
                <c:pt idx="369">
                  <c:v>37626</c:v>
                </c:pt>
                <c:pt idx="370">
                  <c:v>37627</c:v>
                </c:pt>
                <c:pt idx="371">
                  <c:v>37628</c:v>
                </c:pt>
                <c:pt idx="372">
                  <c:v>37629</c:v>
                </c:pt>
                <c:pt idx="373">
                  <c:v>37630</c:v>
                </c:pt>
                <c:pt idx="374">
                  <c:v>37631</c:v>
                </c:pt>
                <c:pt idx="375">
                  <c:v>37632</c:v>
                </c:pt>
                <c:pt idx="376">
                  <c:v>37633</c:v>
                </c:pt>
                <c:pt idx="377">
                  <c:v>37634</c:v>
                </c:pt>
                <c:pt idx="378">
                  <c:v>37635</c:v>
                </c:pt>
                <c:pt idx="379">
                  <c:v>37636</c:v>
                </c:pt>
                <c:pt idx="380">
                  <c:v>37637</c:v>
                </c:pt>
                <c:pt idx="381">
                  <c:v>37638</c:v>
                </c:pt>
                <c:pt idx="382">
                  <c:v>37639</c:v>
                </c:pt>
                <c:pt idx="383">
                  <c:v>37640</c:v>
                </c:pt>
                <c:pt idx="384">
                  <c:v>37641</c:v>
                </c:pt>
                <c:pt idx="385">
                  <c:v>37642</c:v>
                </c:pt>
                <c:pt idx="386">
                  <c:v>37643</c:v>
                </c:pt>
                <c:pt idx="387">
                  <c:v>37644</c:v>
                </c:pt>
                <c:pt idx="388">
                  <c:v>37645</c:v>
                </c:pt>
                <c:pt idx="389">
                  <c:v>37646</c:v>
                </c:pt>
                <c:pt idx="390">
                  <c:v>37647</c:v>
                </c:pt>
                <c:pt idx="391">
                  <c:v>37648</c:v>
                </c:pt>
                <c:pt idx="392">
                  <c:v>37649</c:v>
                </c:pt>
                <c:pt idx="393">
                  <c:v>37650</c:v>
                </c:pt>
                <c:pt idx="394">
                  <c:v>37651</c:v>
                </c:pt>
                <c:pt idx="395">
                  <c:v>37652</c:v>
                </c:pt>
                <c:pt idx="396">
                  <c:v>37653</c:v>
                </c:pt>
                <c:pt idx="397">
                  <c:v>37654</c:v>
                </c:pt>
                <c:pt idx="398">
                  <c:v>37655</c:v>
                </c:pt>
                <c:pt idx="399">
                  <c:v>37656</c:v>
                </c:pt>
                <c:pt idx="400">
                  <c:v>37657</c:v>
                </c:pt>
                <c:pt idx="401">
                  <c:v>37658</c:v>
                </c:pt>
                <c:pt idx="402">
                  <c:v>37659</c:v>
                </c:pt>
                <c:pt idx="403">
                  <c:v>37660</c:v>
                </c:pt>
                <c:pt idx="404">
                  <c:v>37661</c:v>
                </c:pt>
                <c:pt idx="405">
                  <c:v>37662</c:v>
                </c:pt>
                <c:pt idx="406">
                  <c:v>37663</c:v>
                </c:pt>
                <c:pt idx="407">
                  <c:v>37664</c:v>
                </c:pt>
                <c:pt idx="408">
                  <c:v>37665</c:v>
                </c:pt>
                <c:pt idx="409">
                  <c:v>37666</c:v>
                </c:pt>
                <c:pt idx="410">
                  <c:v>37667</c:v>
                </c:pt>
                <c:pt idx="411">
                  <c:v>37668</c:v>
                </c:pt>
                <c:pt idx="412">
                  <c:v>37669</c:v>
                </c:pt>
                <c:pt idx="413">
                  <c:v>37670</c:v>
                </c:pt>
                <c:pt idx="414">
                  <c:v>37671</c:v>
                </c:pt>
                <c:pt idx="415">
                  <c:v>37672</c:v>
                </c:pt>
                <c:pt idx="416">
                  <c:v>37673</c:v>
                </c:pt>
                <c:pt idx="417">
                  <c:v>37674</c:v>
                </c:pt>
                <c:pt idx="418">
                  <c:v>37675</c:v>
                </c:pt>
                <c:pt idx="419">
                  <c:v>37676</c:v>
                </c:pt>
                <c:pt idx="420">
                  <c:v>37677</c:v>
                </c:pt>
                <c:pt idx="421">
                  <c:v>37678</c:v>
                </c:pt>
                <c:pt idx="422">
                  <c:v>37679</c:v>
                </c:pt>
                <c:pt idx="423">
                  <c:v>37680</c:v>
                </c:pt>
                <c:pt idx="424">
                  <c:v>37681</c:v>
                </c:pt>
                <c:pt idx="425">
                  <c:v>37682</c:v>
                </c:pt>
                <c:pt idx="426">
                  <c:v>37683</c:v>
                </c:pt>
                <c:pt idx="427">
                  <c:v>37684</c:v>
                </c:pt>
                <c:pt idx="428">
                  <c:v>37685</c:v>
                </c:pt>
                <c:pt idx="429">
                  <c:v>37686</c:v>
                </c:pt>
                <c:pt idx="430">
                  <c:v>37687</c:v>
                </c:pt>
                <c:pt idx="431">
                  <c:v>37688</c:v>
                </c:pt>
                <c:pt idx="432">
                  <c:v>37689</c:v>
                </c:pt>
                <c:pt idx="433">
                  <c:v>37690</c:v>
                </c:pt>
                <c:pt idx="434">
                  <c:v>37691</c:v>
                </c:pt>
                <c:pt idx="435">
                  <c:v>37692</c:v>
                </c:pt>
                <c:pt idx="436">
                  <c:v>37693</c:v>
                </c:pt>
                <c:pt idx="437">
                  <c:v>37694</c:v>
                </c:pt>
                <c:pt idx="438">
                  <c:v>37695</c:v>
                </c:pt>
                <c:pt idx="439">
                  <c:v>37696</c:v>
                </c:pt>
                <c:pt idx="440">
                  <c:v>37697</c:v>
                </c:pt>
                <c:pt idx="441">
                  <c:v>37698</c:v>
                </c:pt>
                <c:pt idx="442">
                  <c:v>37699</c:v>
                </c:pt>
                <c:pt idx="443">
                  <c:v>37700</c:v>
                </c:pt>
                <c:pt idx="444">
                  <c:v>37701</c:v>
                </c:pt>
                <c:pt idx="445">
                  <c:v>37702</c:v>
                </c:pt>
                <c:pt idx="446">
                  <c:v>37703</c:v>
                </c:pt>
                <c:pt idx="447">
                  <c:v>37704</c:v>
                </c:pt>
                <c:pt idx="448">
                  <c:v>37705</c:v>
                </c:pt>
                <c:pt idx="449">
                  <c:v>37706</c:v>
                </c:pt>
                <c:pt idx="450">
                  <c:v>37707</c:v>
                </c:pt>
                <c:pt idx="451">
                  <c:v>37708</c:v>
                </c:pt>
                <c:pt idx="452">
                  <c:v>37709</c:v>
                </c:pt>
                <c:pt idx="453">
                  <c:v>37710</c:v>
                </c:pt>
                <c:pt idx="454">
                  <c:v>37711</c:v>
                </c:pt>
                <c:pt idx="455">
                  <c:v>37712</c:v>
                </c:pt>
                <c:pt idx="456">
                  <c:v>37713</c:v>
                </c:pt>
                <c:pt idx="457">
                  <c:v>37714</c:v>
                </c:pt>
                <c:pt idx="458">
                  <c:v>37715</c:v>
                </c:pt>
                <c:pt idx="459">
                  <c:v>37716</c:v>
                </c:pt>
                <c:pt idx="460">
                  <c:v>37717</c:v>
                </c:pt>
                <c:pt idx="461">
                  <c:v>37718</c:v>
                </c:pt>
                <c:pt idx="462">
                  <c:v>37719</c:v>
                </c:pt>
                <c:pt idx="463">
                  <c:v>37720</c:v>
                </c:pt>
                <c:pt idx="464">
                  <c:v>37721</c:v>
                </c:pt>
                <c:pt idx="465">
                  <c:v>37722</c:v>
                </c:pt>
                <c:pt idx="466">
                  <c:v>37723</c:v>
                </c:pt>
                <c:pt idx="467">
                  <c:v>37724</c:v>
                </c:pt>
                <c:pt idx="468">
                  <c:v>37725</c:v>
                </c:pt>
                <c:pt idx="469">
                  <c:v>37726</c:v>
                </c:pt>
                <c:pt idx="470">
                  <c:v>37727</c:v>
                </c:pt>
                <c:pt idx="471">
                  <c:v>37728</c:v>
                </c:pt>
                <c:pt idx="472">
                  <c:v>37729</c:v>
                </c:pt>
                <c:pt idx="473">
                  <c:v>37730</c:v>
                </c:pt>
                <c:pt idx="474">
                  <c:v>37731</c:v>
                </c:pt>
                <c:pt idx="475">
                  <c:v>37732</c:v>
                </c:pt>
                <c:pt idx="476">
                  <c:v>37733</c:v>
                </c:pt>
                <c:pt idx="477">
                  <c:v>37734</c:v>
                </c:pt>
                <c:pt idx="478">
                  <c:v>37735</c:v>
                </c:pt>
                <c:pt idx="479">
                  <c:v>37736</c:v>
                </c:pt>
                <c:pt idx="480">
                  <c:v>37737</c:v>
                </c:pt>
                <c:pt idx="481">
                  <c:v>37738</c:v>
                </c:pt>
                <c:pt idx="482">
                  <c:v>37739</c:v>
                </c:pt>
                <c:pt idx="483">
                  <c:v>37740</c:v>
                </c:pt>
                <c:pt idx="484">
                  <c:v>37741</c:v>
                </c:pt>
                <c:pt idx="485">
                  <c:v>37742</c:v>
                </c:pt>
                <c:pt idx="486">
                  <c:v>37743</c:v>
                </c:pt>
                <c:pt idx="487">
                  <c:v>37744</c:v>
                </c:pt>
                <c:pt idx="488">
                  <c:v>37745</c:v>
                </c:pt>
                <c:pt idx="489">
                  <c:v>37746</c:v>
                </c:pt>
                <c:pt idx="490">
                  <c:v>37747</c:v>
                </c:pt>
                <c:pt idx="491">
                  <c:v>37748</c:v>
                </c:pt>
                <c:pt idx="492">
                  <c:v>37749</c:v>
                </c:pt>
                <c:pt idx="493">
                  <c:v>37750</c:v>
                </c:pt>
                <c:pt idx="494">
                  <c:v>37751</c:v>
                </c:pt>
                <c:pt idx="495">
                  <c:v>37752</c:v>
                </c:pt>
                <c:pt idx="496">
                  <c:v>37753</c:v>
                </c:pt>
                <c:pt idx="497">
                  <c:v>37754</c:v>
                </c:pt>
                <c:pt idx="498">
                  <c:v>37755</c:v>
                </c:pt>
                <c:pt idx="499">
                  <c:v>37756</c:v>
                </c:pt>
                <c:pt idx="500">
                  <c:v>37757</c:v>
                </c:pt>
                <c:pt idx="501">
                  <c:v>37758</c:v>
                </c:pt>
                <c:pt idx="502">
                  <c:v>37759</c:v>
                </c:pt>
                <c:pt idx="503">
                  <c:v>37760</c:v>
                </c:pt>
                <c:pt idx="504">
                  <c:v>37761</c:v>
                </c:pt>
                <c:pt idx="505">
                  <c:v>37762</c:v>
                </c:pt>
                <c:pt idx="506">
                  <c:v>37763</c:v>
                </c:pt>
                <c:pt idx="507">
                  <c:v>37764</c:v>
                </c:pt>
                <c:pt idx="508">
                  <c:v>37765</c:v>
                </c:pt>
                <c:pt idx="509">
                  <c:v>37766</c:v>
                </c:pt>
                <c:pt idx="510">
                  <c:v>37767</c:v>
                </c:pt>
                <c:pt idx="511">
                  <c:v>37768</c:v>
                </c:pt>
                <c:pt idx="512">
                  <c:v>37769</c:v>
                </c:pt>
                <c:pt idx="513">
                  <c:v>37770</c:v>
                </c:pt>
                <c:pt idx="514">
                  <c:v>37771</c:v>
                </c:pt>
                <c:pt idx="515">
                  <c:v>37772</c:v>
                </c:pt>
                <c:pt idx="516">
                  <c:v>37773</c:v>
                </c:pt>
                <c:pt idx="517">
                  <c:v>37774</c:v>
                </c:pt>
                <c:pt idx="518">
                  <c:v>37775</c:v>
                </c:pt>
                <c:pt idx="519">
                  <c:v>37776</c:v>
                </c:pt>
                <c:pt idx="520">
                  <c:v>37777</c:v>
                </c:pt>
                <c:pt idx="521">
                  <c:v>37778</c:v>
                </c:pt>
                <c:pt idx="522">
                  <c:v>37779</c:v>
                </c:pt>
                <c:pt idx="523">
                  <c:v>37780</c:v>
                </c:pt>
                <c:pt idx="524">
                  <c:v>37781</c:v>
                </c:pt>
                <c:pt idx="525">
                  <c:v>37782</c:v>
                </c:pt>
                <c:pt idx="526">
                  <c:v>37783</c:v>
                </c:pt>
                <c:pt idx="527">
                  <c:v>37784</c:v>
                </c:pt>
                <c:pt idx="528">
                  <c:v>37785</c:v>
                </c:pt>
                <c:pt idx="529">
                  <c:v>37786</c:v>
                </c:pt>
                <c:pt idx="530">
                  <c:v>37787</c:v>
                </c:pt>
                <c:pt idx="531">
                  <c:v>37788</c:v>
                </c:pt>
                <c:pt idx="532">
                  <c:v>37789</c:v>
                </c:pt>
                <c:pt idx="533">
                  <c:v>37790</c:v>
                </c:pt>
                <c:pt idx="534">
                  <c:v>37791</c:v>
                </c:pt>
                <c:pt idx="535">
                  <c:v>37792</c:v>
                </c:pt>
                <c:pt idx="536">
                  <c:v>37793</c:v>
                </c:pt>
                <c:pt idx="537">
                  <c:v>37794</c:v>
                </c:pt>
                <c:pt idx="538">
                  <c:v>37795</c:v>
                </c:pt>
                <c:pt idx="539">
                  <c:v>37796</c:v>
                </c:pt>
                <c:pt idx="540">
                  <c:v>37797</c:v>
                </c:pt>
                <c:pt idx="541">
                  <c:v>37798</c:v>
                </c:pt>
                <c:pt idx="542">
                  <c:v>37799</c:v>
                </c:pt>
                <c:pt idx="543">
                  <c:v>37800</c:v>
                </c:pt>
                <c:pt idx="544">
                  <c:v>37801</c:v>
                </c:pt>
                <c:pt idx="545">
                  <c:v>37802</c:v>
                </c:pt>
                <c:pt idx="546">
                  <c:v>37803</c:v>
                </c:pt>
                <c:pt idx="547">
                  <c:v>37804</c:v>
                </c:pt>
                <c:pt idx="548">
                  <c:v>37805</c:v>
                </c:pt>
                <c:pt idx="549">
                  <c:v>37806</c:v>
                </c:pt>
                <c:pt idx="550">
                  <c:v>37807</c:v>
                </c:pt>
                <c:pt idx="551">
                  <c:v>37808</c:v>
                </c:pt>
                <c:pt idx="552">
                  <c:v>37809</c:v>
                </c:pt>
                <c:pt idx="553">
                  <c:v>37810</c:v>
                </c:pt>
                <c:pt idx="554">
                  <c:v>37811</c:v>
                </c:pt>
                <c:pt idx="555">
                  <c:v>37812</c:v>
                </c:pt>
                <c:pt idx="556">
                  <c:v>37813</c:v>
                </c:pt>
                <c:pt idx="557">
                  <c:v>37814</c:v>
                </c:pt>
                <c:pt idx="558">
                  <c:v>37815</c:v>
                </c:pt>
                <c:pt idx="559">
                  <c:v>37816</c:v>
                </c:pt>
                <c:pt idx="560">
                  <c:v>37817</c:v>
                </c:pt>
                <c:pt idx="561">
                  <c:v>37818</c:v>
                </c:pt>
                <c:pt idx="562">
                  <c:v>37819</c:v>
                </c:pt>
                <c:pt idx="563">
                  <c:v>37820</c:v>
                </c:pt>
                <c:pt idx="564">
                  <c:v>37821</c:v>
                </c:pt>
                <c:pt idx="565">
                  <c:v>37822</c:v>
                </c:pt>
                <c:pt idx="566">
                  <c:v>37823</c:v>
                </c:pt>
                <c:pt idx="567">
                  <c:v>37824</c:v>
                </c:pt>
                <c:pt idx="568">
                  <c:v>37825</c:v>
                </c:pt>
                <c:pt idx="569">
                  <c:v>37826</c:v>
                </c:pt>
                <c:pt idx="570">
                  <c:v>37827</c:v>
                </c:pt>
                <c:pt idx="571">
                  <c:v>37828</c:v>
                </c:pt>
                <c:pt idx="572">
                  <c:v>37829</c:v>
                </c:pt>
                <c:pt idx="573">
                  <c:v>37830</c:v>
                </c:pt>
                <c:pt idx="574">
                  <c:v>37831</c:v>
                </c:pt>
                <c:pt idx="575">
                  <c:v>37832</c:v>
                </c:pt>
                <c:pt idx="576">
                  <c:v>37833</c:v>
                </c:pt>
                <c:pt idx="577">
                  <c:v>37834</c:v>
                </c:pt>
                <c:pt idx="578">
                  <c:v>37835</c:v>
                </c:pt>
                <c:pt idx="579">
                  <c:v>37836</c:v>
                </c:pt>
                <c:pt idx="580">
                  <c:v>37837</c:v>
                </c:pt>
                <c:pt idx="581">
                  <c:v>37838</c:v>
                </c:pt>
                <c:pt idx="582">
                  <c:v>37839</c:v>
                </c:pt>
                <c:pt idx="583">
                  <c:v>37840</c:v>
                </c:pt>
                <c:pt idx="584">
                  <c:v>37841</c:v>
                </c:pt>
                <c:pt idx="585">
                  <c:v>37842</c:v>
                </c:pt>
                <c:pt idx="586">
                  <c:v>37843</c:v>
                </c:pt>
                <c:pt idx="587">
                  <c:v>37844</c:v>
                </c:pt>
                <c:pt idx="588">
                  <c:v>37845</c:v>
                </c:pt>
                <c:pt idx="589">
                  <c:v>37846</c:v>
                </c:pt>
                <c:pt idx="590">
                  <c:v>37847</c:v>
                </c:pt>
                <c:pt idx="591">
                  <c:v>37848</c:v>
                </c:pt>
                <c:pt idx="592">
                  <c:v>37849</c:v>
                </c:pt>
                <c:pt idx="593">
                  <c:v>37850</c:v>
                </c:pt>
                <c:pt idx="594">
                  <c:v>37851</c:v>
                </c:pt>
                <c:pt idx="595">
                  <c:v>37852</c:v>
                </c:pt>
                <c:pt idx="596">
                  <c:v>37853</c:v>
                </c:pt>
                <c:pt idx="597">
                  <c:v>37854</c:v>
                </c:pt>
                <c:pt idx="598">
                  <c:v>37855</c:v>
                </c:pt>
                <c:pt idx="599">
                  <c:v>37856</c:v>
                </c:pt>
                <c:pt idx="600">
                  <c:v>37857</c:v>
                </c:pt>
                <c:pt idx="601">
                  <c:v>37858</c:v>
                </c:pt>
                <c:pt idx="602">
                  <c:v>37859</c:v>
                </c:pt>
                <c:pt idx="603">
                  <c:v>37860</c:v>
                </c:pt>
                <c:pt idx="604">
                  <c:v>37861</c:v>
                </c:pt>
                <c:pt idx="605">
                  <c:v>37862</c:v>
                </c:pt>
                <c:pt idx="606">
                  <c:v>37863</c:v>
                </c:pt>
                <c:pt idx="607">
                  <c:v>37864</c:v>
                </c:pt>
                <c:pt idx="608">
                  <c:v>37865</c:v>
                </c:pt>
                <c:pt idx="609">
                  <c:v>37866</c:v>
                </c:pt>
                <c:pt idx="610">
                  <c:v>37867</c:v>
                </c:pt>
                <c:pt idx="611">
                  <c:v>37868</c:v>
                </c:pt>
                <c:pt idx="612">
                  <c:v>37869</c:v>
                </c:pt>
                <c:pt idx="613">
                  <c:v>37870</c:v>
                </c:pt>
                <c:pt idx="614">
                  <c:v>37871</c:v>
                </c:pt>
                <c:pt idx="615">
                  <c:v>37872</c:v>
                </c:pt>
                <c:pt idx="616">
                  <c:v>37873</c:v>
                </c:pt>
                <c:pt idx="617">
                  <c:v>37874</c:v>
                </c:pt>
                <c:pt idx="618">
                  <c:v>37875</c:v>
                </c:pt>
                <c:pt idx="619">
                  <c:v>37876</c:v>
                </c:pt>
                <c:pt idx="620">
                  <c:v>37877</c:v>
                </c:pt>
                <c:pt idx="621">
                  <c:v>37878</c:v>
                </c:pt>
                <c:pt idx="622">
                  <c:v>37879</c:v>
                </c:pt>
                <c:pt idx="623">
                  <c:v>37880</c:v>
                </c:pt>
                <c:pt idx="624">
                  <c:v>37881</c:v>
                </c:pt>
                <c:pt idx="625">
                  <c:v>37882</c:v>
                </c:pt>
                <c:pt idx="626">
                  <c:v>37883</c:v>
                </c:pt>
                <c:pt idx="627">
                  <c:v>37884</c:v>
                </c:pt>
                <c:pt idx="628">
                  <c:v>37885</c:v>
                </c:pt>
                <c:pt idx="629">
                  <c:v>37886</c:v>
                </c:pt>
                <c:pt idx="630">
                  <c:v>37887</c:v>
                </c:pt>
                <c:pt idx="631">
                  <c:v>37888</c:v>
                </c:pt>
                <c:pt idx="632">
                  <c:v>37889</c:v>
                </c:pt>
                <c:pt idx="633">
                  <c:v>37890</c:v>
                </c:pt>
                <c:pt idx="634">
                  <c:v>37891</c:v>
                </c:pt>
                <c:pt idx="635">
                  <c:v>37892</c:v>
                </c:pt>
                <c:pt idx="636">
                  <c:v>37893</c:v>
                </c:pt>
                <c:pt idx="637">
                  <c:v>37894</c:v>
                </c:pt>
                <c:pt idx="638">
                  <c:v>37895</c:v>
                </c:pt>
                <c:pt idx="639">
                  <c:v>37896</c:v>
                </c:pt>
                <c:pt idx="640">
                  <c:v>37897</c:v>
                </c:pt>
                <c:pt idx="641">
                  <c:v>37898</c:v>
                </c:pt>
                <c:pt idx="642">
                  <c:v>37899</c:v>
                </c:pt>
                <c:pt idx="643">
                  <c:v>37900</c:v>
                </c:pt>
                <c:pt idx="644">
                  <c:v>37901</c:v>
                </c:pt>
                <c:pt idx="645">
                  <c:v>37902</c:v>
                </c:pt>
                <c:pt idx="646">
                  <c:v>37903</c:v>
                </c:pt>
                <c:pt idx="647">
                  <c:v>37904</c:v>
                </c:pt>
                <c:pt idx="648">
                  <c:v>37905</c:v>
                </c:pt>
                <c:pt idx="649">
                  <c:v>37906</c:v>
                </c:pt>
                <c:pt idx="650">
                  <c:v>37907</c:v>
                </c:pt>
                <c:pt idx="651">
                  <c:v>37908</c:v>
                </c:pt>
                <c:pt idx="652">
                  <c:v>37909</c:v>
                </c:pt>
                <c:pt idx="653">
                  <c:v>37910</c:v>
                </c:pt>
                <c:pt idx="654">
                  <c:v>37911</c:v>
                </c:pt>
                <c:pt idx="655">
                  <c:v>37912</c:v>
                </c:pt>
                <c:pt idx="656">
                  <c:v>37913</c:v>
                </c:pt>
                <c:pt idx="657">
                  <c:v>37914</c:v>
                </c:pt>
                <c:pt idx="658">
                  <c:v>37915</c:v>
                </c:pt>
                <c:pt idx="659">
                  <c:v>37916</c:v>
                </c:pt>
                <c:pt idx="660">
                  <c:v>37917</c:v>
                </c:pt>
                <c:pt idx="661">
                  <c:v>37918</c:v>
                </c:pt>
                <c:pt idx="662">
                  <c:v>37919</c:v>
                </c:pt>
                <c:pt idx="663">
                  <c:v>37920</c:v>
                </c:pt>
                <c:pt idx="664">
                  <c:v>37921</c:v>
                </c:pt>
                <c:pt idx="665">
                  <c:v>37922</c:v>
                </c:pt>
                <c:pt idx="666">
                  <c:v>37923</c:v>
                </c:pt>
                <c:pt idx="667">
                  <c:v>37924</c:v>
                </c:pt>
                <c:pt idx="668">
                  <c:v>37925</c:v>
                </c:pt>
                <c:pt idx="669">
                  <c:v>37926</c:v>
                </c:pt>
                <c:pt idx="670">
                  <c:v>37927</c:v>
                </c:pt>
                <c:pt idx="671">
                  <c:v>37928</c:v>
                </c:pt>
                <c:pt idx="672">
                  <c:v>37929</c:v>
                </c:pt>
                <c:pt idx="673">
                  <c:v>37930</c:v>
                </c:pt>
                <c:pt idx="674">
                  <c:v>37931</c:v>
                </c:pt>
                <c:pt idx="675">
                  <c:v>37932</c:v>
                </c:pt>
                <c:pt idx="676">
                  <c:v>37933</c:v>
                </c:pt>
                <c:pt idx="677">
                  <c:v>37934</c:v>
                </c:pt>
                <c:pt idx="678">
                  <c:v>37935</c:v>
                </c:pt>
                <c:pt idx="679">
                  <c:v>37936</c:v>
                </c:pt>
                <c:pt idx="680">
                  <c:v>37937</c:v>
                </c:pt>
                <c:pt idx="681">
                  <c:v>37938</c:v>
                </c:pt>
                <c:pt idx="682">
                  <c:v>37939</c:v>
                </c:pt>
                <c:pt idx="683">
                  <c:v>37940</c:v>
                </c:pt>
                <c:pt idx="684">
                  <c:v>37941</c:v>
                </c:pt>
                <c:pt idx="685">
                  <c:v>37942</c:v>
                </c:pt>
                <c:pt idx="686">
                  <c:v>37943</c:v>
                </c:pt>
                <c:pt idx="687">
                  <c:v>37944</c:v>
                </c:pt>
                <c:pt idx="688">
                  <c:v>37945</c:v>
                </c:pt>
                <c:pt idx="689">
                  <c:v>37946</c:v>
                </c:pt>
                <c:pt idx="690">
                  <c:v>37947</c:v>
                </c:pt>
                <c:pt idx="691">
                  <c:v>37948</c:v>
                </c:pt>
                <c:pt idx="692">
                  <c:v>37949</c:v>
                </c:pt>
                <c:pt idx="693">
                  <c:v>37950</c:v>
                </c:pt>
                <c:pt idx="694">
                  <c:v>37951</c:v>
                </c:pt>
                <c:pt idx="695">
                  <c:v>37952</c:v>
                </c:pt>
                <c:pt idx="696">
                  <c:v>37953</c:v>
                </c:pt>
                <c:pt idx="697">
                  <c:v>37954</c:v>
                </c:pt>
                <c:pt idx="698">
                  <c:v>37955</c:v>
                </c:pt>
                <c:pt idx="699">
                  <c:v>37956</c:v>
                </c:pt>
                <c:pt idx="700">
                  <c:v>37957</c:v>
                </c:pt>
                <c:pt idx="701">
                  <c:v>37958</c:v>
                </c:pt>
                <c:pt idx="702">
                  <c:v>37959</c:v>
                </c:pt>
                <c:pt idx="703">
                  <c:v>37960</c:v>
                </c:pt>
                <c:pt idx="704">
                  <c:v>37961</c:v>
                </c:pt>
                <c:pt idx="705">
                  <c:v>37962</c:v>
                </c:pt>
                <c:pt idx="706">
                  <c:v>37963</c:v>
                </c:pt>
                <c:pt idx="707">
                  <c:v>37964</c:v>
                </c:pt>
                <c:pt idx="708">
                  <c:v>37965</c:v>
                </c:pt>
                <c:pt idx="709">
                  <c:v>37966</c:v>
                </c:pt>
                <c:pt idx="710">
                  <c:v>37967</c:v>
                </c:pt>
                <c:pt idx="711">
                  <c:v>37968</c:v>
                </c:pt>
                <c:pt idx="712">
                  <c:v>37969</c:v>
                </c:pt>
                <c:pt idx="713">
                  <c:v>37970</c:v>
                </c:pt>
                <c:pt idx="714">
                  <c:v>37971</c:v>
                </c:pt>
                <c:pt idx="715">
                  <c:v>37972</c:v>
                </c:pt>
                <c:pt idx="716">
                  <c:v>37973</c:v>
                </c:pt>
                <c:pt idx="717">
                  <c:v>37974</c:v>
                </c:pt>
                <c:pt idx="718">
                  <c:v>37975</c:v>
                </c:pt>
                <c:pt idx="719">
                  <c:v>37976</c:v>
                </c:pt>
                <c:pt idx="720">
                  <c:v>37977</c:v>
                </c:pt>
                <c:pt idx="721">
                  <c:v>37978</c:v>
                </c:pt>
                <c:pt idx="722">
                  <c:v>37979</c:v>
                </c:pt>
                <c:pt idx="723">
                  <c:v>37980</c:v>
                </c:pt>
                <c:pt idx="724">
                  <c:v>37981</c:v>
                </c:pt>
                <c:pt idx="725">
                  <c:v>37982</c:v>
                </c:pt>
                <c:pt idx="726">
                  <c:v>37983</c:v>
                </c:pt>
                <c:pt idx="727">
                  <c:v>37984</c:v>
                </c:pt>
                <c:pt idx="728">
                  <c:v>37985</c:v>
                </c:pt>
                <c:pt idx="729">
                  <c:v>37986</c:v>
                </c:pt>
                <c:pt idx="730">
                  <c:v>37987</c:v>
                </c:pt>
                <c:pt idx="731">
                  <c:v>37988</c:v>
                </c:pt>
                <c:pt idx="732">
                  <c:v>37989</c:v>
                </c:pt>
                <c:pt idx="733">
                  <c:v>37990</c:v>
                </c:pt>
                <c:pt idx="734">
                  <c:v>37991</c:v>
                </c:pt>
                <c:pt idx="735">
                  <c:v>37992</c:v>
                </c:pt>
                <c:pt idx="736">
                  <c:v>37993</c:v>
                </c:pt>
                <c:pt idx="737">
                  <c:v>37994</c:v>
                </c:pt>
                <c:pt idx="738">
                  <c:v>37995</c:v>
                </c:pt>
                <c:pt idx="739">
                  <c:v>37996</c:v>
                </c:pt>
                <c:pt idx="740">
                  <c:v>37997</c:v>
                </c:pt>
                <c:pt idx="741">
                  <c:v>37998</c:v>
                </c:pt>
                <c:pt idx="742">
                  <c:v>37999</c:v>
                </c:pt>
                <c:pt idx="743">
                  <c:v>38000</c:v>
                </c:pt>
                <c:pt idx="744">
                  <c:v>38001</c:v>
                </c:pt>
                <c:pt idx="745">
                  <c:v>38002</c:v>
                </c:pt>
                <c:pt idx="746">
                  <c:v>38003</c:v>
                </c:pt>
                <c:pt idx="747">
                  <c:v>38004</c:v>
                </c:pt>
                <c:pt idx="748">
                  <c:v>38005</c:v>
                </c:pt>
                <c:pt idx="749">
                  <c:v>38006</c:v>
                </c:pt>
                <c:pt idx="750">
                  <c:v>38007</c:v>
                </c:pt>
                <c:pt idx="751">
                  <c:v>38008</c:v>
                </c:pt>
                <c:pt idx="752">
                  <c:v>38009</c:v>
                </c:pt>
                <c:pt idx="753">
                  <c:v>38010</c:v>
                </c:pt>
                <c:pt idx="754">
                  <c:v>38011</c:v>
                </c:pt>
                <c:pt idx="755">
                  <c:v>38012</c:v>
                </c:pt>
                <c:pt idx="756">
                  <c:v>38013</c:v>
                </c:pt>
                <c:pt idx="757">
                  <c:v>38014</c:v>
                </c:pt>
                <c:pt idx="758">
                  <c:v>38015</c:v>
                </c:pt>
                <c:pt idx="759">
                  <c:v>38016</c:v>
                </c:pt>
                <c:pt idx="760">
                  <c:v>38017</c:v>
                </c:pt>
                <c:pt idx="761">
                  <c:v>38018</c:v>
                </c:pt>
                <c:pt idx="762">
                  <c:v>38019</c:v>
                </c:pt>
                <c:pt idx="763">
                  <c:v>38020</c:v>
                </c:pt>
                <c:pt idx="764">
                  <c:v>38021</c:v>
                </c:pt>
                <c:pt idx="765">
                  <c:v>38022</c:v>
                </c:pt>
                <c:pt idx="766">
                  <c:v>38023</c:v>
                </c:pt>
                <c:pt idx="767">
                  <c:v>38024</c:v>
                </c:pt>
                <c:pt idx="768">
                  <c:v>38025</c:v>
                </c:pt>
                <c:pt idx="769">
                  <c:v>38026</c:v>
                </c:pt>
                <c:pt idx="770">
                  <c:v>38027</c:v>
                </c:pt>
                <c:pt idx="771">
                  <c:v>38028</c:v>
                </c:pt>
                <c:pt idx="772">
                  <c:v>38029</c:v>
                </c:pt>
                <c:pt idx="773">
                  <c:v>38030</c:v>
                </c:pt>
                <c:pt idx="774">
                  <c:v>38031</c:v>
                </c:pt>
                <c:pt idx="775">
                  <c:v>38032</c:v>
                </c:pt>
                <c:pt idx="776">
                  <c:v>38033</c:v>
                </c:pt>
                <c:pt idx="777">
                  <c:v>38034</c:v>
                </c:pt>
                <c:pt idx="778">
                  <c:v>38035</c:v>
                </c:pt>
                <c:pt idx="779">
                  <c:v>38036</c:v>
                </c:pt>
                <c:pt idx="780">
                  <c:v>38037</c:v>
                </c:pt>
                <c:pt idx="781">
                  <c:v>38038</c:v>
                </c:pt>
                <c:pt idx="782">
                  <c:v>38039</c:v>
                </c:pt>
                <c:pt idx="783">
                  <c:v>38040</c:v>
                </c:pt>
                <c:pt idx="784">
                  <c:v>38041</c:v>
                </c:pt>
                <c:pt idx="785">
                  <c:v>38042</c:v>
                </c:pt>
                <c:pt idx="786">
                  <c:v>38043</c:v>
                </c:pt>
                <c:pt idx="787">
                  <c:v>38044</c:v>
                </c:pt>
                <c:pt idx="788">
                  <c:v>38045</c:v>
                </c:pt>
                <c:pt idx="789">
                  <c:v>38046</c:v>
                </c:pt>
                <c:pt idx="790">
                  <c:v>38047</c:v>
                </c:pt>
                <c:pt idx="791">
                  <c:v>38048</c:v>
                </c:pt>
                <c:pt idx="792">
                  <c:v>38049</c:v>
                </c:pt>
                <c:pt idx="793">
                  <c:v>38050</c:v>
                </c:pt>
                <c:pt idx="794">
                  <c:v>38051</c:v>
                </c:pt>
                <c:pt idx="795">
                  <c:v>38052</c:v>
                </c:pt>
                <c:pt idx="796">
                  <c:v>38053</c:v>
                </c:pt>
                <c:pt idx="797">
                  <c:v>38054</c:v>
                </c:pt>
                <c:pt idx="798">
                  <c:v>38055</c:v>
                </c:pt>
                <c:pt idx="799">
                  <c:v>38056</c:v>
                </c:pt>
                <c:pt idx="800">
                  <c:v>38057</c:v>
                </c:pt>
                <c:pt idx="801">
                  <c:v>38058</c:v>
                </c:pt>
                <c:pt idx="802">
                  <c:v>38059</c:v>
                </c:pt>
                <c:pt idx="803">
                  <c:v>38060</c:v>
                </c:pt>
                <c:pt idx="804">
                  <c:v>38061</c:v>
                </c:pt>
                <c:pt idx="805">
                  <c:v>38062</c:v>
                </c:pt>
                <c:pt idx="806">
                  <c:v>38063</c:v>
                </c:pt>
                <c:pt idx="807">
                  <c:v>38064</c:v>
                </c:pt>
                <c:pt idx="808">
                  <c:v>38065</c:v>
                </c:pt>
                <c:pt idx="809">
                  <c:v>38066</c:v>
                </c:pt>
                <c:pt idx="810">
                  <c:v>38067</c:v>
                </c:pt>
                <c:pt idx="811">
                  <c:v>38068</c:v>
                </c:pt>
                <c:pt idx="812">
                  <c:v>38069</c:v>
                </c:pt>
                <c:pt idx="813">
                  <c:v>38070</c:v>
                </c:pt>
                <c:pt idx="814">
                  <c:v>38071</c:v>
                </c:pt>
                <c:pt idx="815">
                  <c:v>38072</c:v>
                </c:pt>
                <c:pt idx="816">
                  <c:v>38073</c:v>
                </c:pt>
                <c:pt idx="817">
                  <c:v>38074</c:v>
                </c:pt>
                <c:pt idx="818">
                  <c:v>38075</c:v>
                </c:pt>
                <c:pt idx="819">
                  <c:v>38076</c:v>
                </c:pt>
                <c:pt idx="820">
                  <c:v>38077</c:v>
                </c:pt>
                <c:pt idx="821">
                  <c:v>38078</c:v>
                </c:pt>
                <c:pt idx="822">
                  <c:v>38079</c:v>
                </c:pt>
                <c:pt idx="823">
                  <c:v>38080</c:v>
                </c:pt>
                <c:pt idx="824">
                  <c:v>38081</c:v>
                </c:pt>
                <c:pt idx="825">
                  <c:v>38082</c:v>
                </c:pt>
                <c:pt idx="826">
                  <c:v>38083</c:v>
                </c:pt>
                <c:pt idx="827">
                  <c:v>38084</c:v>
                </c:pt>
                <c:pt idx="828">
                  <c:v>38085</c:v>
                </c:pt>
                <c:pt idx="829">
                  <c:v>38086</c:v>
                </c:pt>
                <c:pt idx="830">
                  <c:v>38087</c:v>
                </c:pt>
                <c:pt idx="831">
                  <c:v>38088</c:v>
                </c:pt>
                <c:pt idx="832">
                  <c:v>38089</c:v>
                </c:pt>
                <c:pt idx="833">
                  <c:v>38090</c:v>
                </c:pt>
                <c:pt idx="834">
                  <c:v>38091</c:v>
                </c:pt>
                <c:pt idx="835">
                  <c:v>38092</c:v>
                </c:pt>
                <c:pt idx="836">
                  <c:v>38093</c:v>
                </c:pt>
                <c:pt idx="837">
                  <c:v>38094</c:v>
                </c:pt>
                <c:pt idx="838">
                  <c:v>38095</c:v>
                </c:pt>
                <c:pt idx="839">
                  <c:v>38096</c:v>
                </c:pt>
                <c:pt idx="840">
                  <c:v>38097</c:v>
                </c:pt>
                <c:pt idx="841">
                  <c:v>38098</c:v>
                </c:pt>
                <c:pt idx="842">
                  <c:v>38099</c:v>
                </c:pt>
                <c:pt idx="843">
                  <c:v>38100</c:v>
                </c:pt>
                <c:pt idx="844">
                  <c:v>38101</c:v>
                </c:pt>
                <c:pt idx="845">
                  <c:v>38102</c:v>
                </c:pt>
                <c:pt idx="846">
                  <c:v>38103</c:v>
                </c:pt>
                <c:pt idx="847">
                  <c:v>38104</c:v>
                </c:pt>
                <c:pt idx="848">
                  <c:v>38105</c:v>
                </c:pt>
                <c:pt idx="849">
                  <c:v>38106</c:v>
                </c:pt>
                <c:pt idx="850">
                  <c:v>38107</c:v>
                </c:pt>
                <c:pt idx="851">
                  <c:v>38108</c:v>
                </c:pt>
                <c:pt idx="852">
                  <c:v>38109</c:v>
                </c:pt>
                <c:pt idx="853">
                  <c:v>38110</c:v>
                </c:pt>
                <c:pt idx="854">
                  <c:v>38111</c:v>
                </c:pt>
                <c:pt idx="855">
                  <c:v>38112</c:v>
                </c:pt>
                <c:pt idx="856">
                  <c:v>38113</c:v>
                </c:pt>
                <c:pt idx="857">
                  <c:v>38114</c:v>
                </c:pt>
                <c:pt idx="858">
                  <c:v>38115</c:v>
                </c:pt>
                <c:pt idx="859">
                  <c:v>38116</c:v>
                </c:pt>
                <c:pt idx="860">
                  <c:v>38117</c:v>
                </c:pt>
                <c:pt idx="861">
                  <c:v>38118</c:v>
                </c:pt>
                <c:pt idx="862">
                  <c:v>38119</c:v>
                </c:pt>
                <c:pt idx="863">
                  <c:v>38120</c:v>
                </c:pt>
                <c:pt idx="864">
                  <c:v>38121</c:v>
                </c:pt>
                <c:pt idx="865">
                  <c:v>38122</c:v>
                </c:pt>
                <c:pt idx="866">
                  <c:v>38123</c:v>
                </c:pt>
                <c:pt idx="867">
                  <c:v>38124</c:v>
                </c:pt>
                <c:pt idx="868">
                  <c:v>38125</c:v>
                </c:pt>
                <c:pt idx="869">
                  <c:v>38126</c:v>
                </c:pt>
                <c:pt idx="870">
                  <c:v>38127</c:v>
                </c:pt>
                <c:pt idx="871">
                  <c:v>38128</c:v>
                </c:pt>
                <c:pt idx="872">
                  <c:v>38129</c:v>
                </c:pt>
                <c:pt idx="873">
                  <c:v>38130</c:v>
                </c:pt>
                <c:pt idx="874">
                  <c:v>38131</c:v>
                </c:pt>
                <c:pt idx="875">
                  <c:v>38132</c:v>
                </c:pt>
                <c:pt idx="876">
                  <c:v>38133</c:v>
                </c:pt>
                <c:pt idx="877">
                  <c:v>38134</c:v>
                </c:pt>
                <c:pt idx="878">
                  <c:v>38135</c:v>
                </c:pt>
                <c:pt idx="879">
                  <c:v>38136</c:v>
                </c:pt>
                <c:pt idx="880">
                  <c:v>38137</c:v>
                </c:pt>
                <c:pt idx="881">
                  <c:v>38138</c:v>
                </c:pt>
                <c:pt idx="882">
                  <c:v>38139</c:v>
                </c:pt>
                <c:pt idx="883">
                  <c:v>38140</c:v>
                </c:pt>
                <c:pt idx="884">
                  <c:v>38141</c:v>
                </c:pt>
                <c:pt idx="885">
                  <c:v>38142</c:v>
                </c:pt>
                <c:pt idx="886">
                  <c:v>38143</c:v>
                </c:pt>
                <c:pt idx="887">
                  <c:v>38144</c:v>
                </c:pt>
                <c:pt idx="888">
                  <c:v>38145</c:v>
                </c:pt>
                <c:pt idx="889">
                  <c:v>38146</c:v>
                </c:pt>
                <c:pt idx="890">
                  <c:v>38147</c:v>
                </c:pt>
                <c:pt idx="891">
                  <c:v>38148</c:v>
                </c:pt>
                <c:pt idx="892">
                  <c:v>38149</c:v>
                </c:pt>
                <c:pt idx="893">
                  <c:v>38150</c:v>
                </c:pt>
                <c:pt idx="894">
                  <c:v>38151</c:v>
                </c:pt>
                <c:pt idx="895">
                  <c:v>38152</c:v>
                </c:pt>
                <c:pt idx="896">
                  <c:v>38153</c:v>
                </c:pt>
                <c:pt idx="897">
                  <c:v>38154</c:v>
                </c:pt>
                <c:pt idx="898">
                  <c:v>38155</c:v>
                </c:pt>
                <c:pt idx="899">
                  <c:v>38156</c:v>
                </c:pt>
                <c:pt idx="900">
                  <c:v>38157</c:v>
                </c:pt>
                <c:pt idx="901">
                  <c:v>38158</c:v>
                </c:pt>
                <c:pt idx="902">
                  <c:v>38159</c:v>
                </c:pt>
                <c:pt idx="903">
                  <c:v>38160</c:v>
                </c:pt>
                <c:pt idx="904">
                  <c:v>38161</c:v>
                </c:pt>
                <c:pt idx="905">
                  <c:v>38162</c:v>
                </c:pt>
                <c:pt idx="906">
                  <c:v>38163</c:v>
                </c:pt>
                <c:pt idx="907">
                  <c:v>38164</c:v>
                </c:pt>
                <c:pt idx="908">
                  <c:v>38165</c:v>
                </c:pt>
                <c:pt idx="909">
                  <c:v>38166</c:v>
                </c:pt>
                <c:pt idx="910">
                  <c:v>38167</c:v>
                </c:pt>
                <c:pt idx="911">
                  <c:v>38168</c:v>
                </c:pt>
                <c:pt idx="912">
                  <c:v>38169</c:v>
                </c:pt>
                <c:pt idx="913">
                  <c:v>38170</c:v>
                </c:pt>
                <c:pt idx="914">
                  <c:v>38171</c:v>
                </c:pt>
                <c:pt idx="915">
                  <c:v>38172</c:v>
                </c:pt>
                <c:pt idx="916">
                  <c:v>38173</c:v>
                </c:pt>
                <c:pt idx="917">
                  <c:v>38174</c:v>
                </c:pt>
                <c:pt idx="918">
                  <c:v>38175</c:v>
                </c:pt>
                <c:pt idx="919">
                  <c:v>38176</c:v>
                </c:pt>
                <c:pt idx="920">
                  <c:v>38177</c:v>
                </c:pt>
                <c:pt idx="921">
                  <c:v>38178</c:v>
                </c:pt>
                <c:pt idx="922">
                  <c:v>38179</c:v>
                </c:pt>
                <c:pt idx="923">
                  <c:v>38180</c:v>
                </c:pt>
                <c:pt idx="924">
                  <c:v>38181</c:v>
                </c:pt>
                <c:pt idx="925">
                  <c:v>38182</c:v>
                </c:pt>
                <c:pt idx="926">
                  <c:v>38183</c:v>
                </c:pt>
                <c:pt idx="927">
                  <c:v>38184</c:v>
                </c:pt>
                <c:pt idx="928">
                  <c:v>38185</c:v>
                </c:pt>
                <c:pt idx="929">
                  <c:v>38186</c:v>
                </c:pt>
                <c:pt idx="930">
                  <c:v>38187</c:v>
                </c:pt>
                <c:pt idx="931">
                  <c:v>38188</c:v>
                </c:pt>
                <c:pt idx="932">
                  <c:v>38189</c:v>
                </c:pt>
                <c:pt idx="933">
                  <c:v>38190</c:v>
                </c:pt>
                <c:pt idx="934">
                  <c:v>38191</c:v>
                </c:pt>
                <c:pt idx="935">
                  <c:v>38192</c:v>
                </c:pt>
                <c:pt idx="936">
                  <c:v>38193</c:v>
                </c:pt>
                <c:pt idx="937">
                  <c:v>38194</c:v>
                </c:pt>
                <c:pt idx="938">
                  <c:v>38195</c:v>
                </c:pt>
                <c:pt idx="939">
                  <c:v>38196</c:v>
                </c:pt>
                <c:pt idx="940">
                  <c:v>38197</c:v>
                </c:pt>
                <c:pt idx="941">
                  <c:v>38198</c:v>
                </c:pt>
                <c:pt idx="942">
                  <c:v>38199</c:v>
                </c:pt>
                <c:pt idx="943">
                  <c:v>38200</c:v>
                </c:pt>
                <c:pt idx="944">
                  <c:v>38201</c:v>
                </c:pt>
                <c:pt idx="945">
                  <c:v>38202</c:v>
                </c:pt>
                <c:pt idx="946">
                  <c:v>38203</c:v>
                </c:pt>
                <c:pt idx="947">
                  <c:v>38204</c:v>
                </c:pt>
                <c:pt idx="948">
                  <c:v>38205</c:v>
                </c:pt>
                <c:pt idx="949">
                  <c:v>38206</c:v>
                </c:pt>
                <c:pt idx="950">
                  <c:v>38207</c:v>
                </c:pt>
                <c:pt idx="951">
                  <c:v>38208</c:v>
                </c:pt>
                <c:pt idx="952">
                  <c:v>38209</c:v>
                </c:pt>
                <c:pt idx="953">
                  <c:v>38210</c:v>
                </c:pt>
                <c:pt idx="954">
                  <c:v>38211</c:v>
                </c:pt>
                <c:pt idx="955">
                  <c:v>38212</c:v>
                </c:pt>
                <c:pt idx="956">
                  <c:v>38213</c:v>
                </c:pt>
                <c:pt idx="957">
                  <c:v>38214</c:v>
                </c:pt>
                <c:pt idx="958">
                  <c:v>38215</c:v>
                </c:pt>
                <c:pt idx="959">
                  <c:v>38216</c:v>
                </c:pt>
                <c:pt idx="960">
                  <c:v>38217</c:v>
                </c:pt>
                <c:pt idx="961">
                  <c:v>38218</c:v>
                </c:pt>
                <c:pt idx="962">
                  <c:v>38219</c:v>
                </c:pt>
                <c:pt idx="963">
                  <c:v>38220</c:v>
                </c:pt>
                <c:pt idx="964">
                  <c:v>38221</c:v>
                </c:pt>
                <c:pt idx="965">
                  <c:v>38222</c:v>
                </c:pt>
                <c:pt idx="966">
                  <c:v>38223</c:v>
                </c:pt>
                <c:pt idx="967">
                  <c:v>38224</c:v>
                </c:pt>
                <c:pt idx="968">
                  <c:v>38225</c:v>
                </c:pt>
                <c:pt idx="969">
                  <c:v>38226</c:v>
                </c:pt>
                <c:pt idx="970">
                  <c:v>38227</c:v>
                </c:pt>
                <c:pt idx="971">
                  <c:v>38228</c:v>
                </c:pt>
                <c:pt idx="972">
                  <c:v>38229</c:v>
                </c:pt>
                <c:pt idx="973">
                  <c:v>38230</c:v>
                </c:pt>
                <c:pt idx="974">
                  <c:v>38231</c:v>
                </c:pt>
                <c:pt idx="975">
                  <c:v>38232</c:v>
                </c:pt>
                <c:pt idx="976">
                  <c:v>38233</c:v>
                </c:pt>
                <c:pt idx="977">
                  <c:v>38234</c:v>
                </c:pt>
                <c:pt idx="978">
                  <c:v>38235</c:v>
                </c:pt>
                <c:pt idx="979">
                  <c:v>38236</c:v>
                </c:pt>
                <c:pt idx="980">
                  <c:v>38237</c:v>
                </c:pt>
                <c:pt idx="981">
                  <c:v>38238</c:v>
                </c:pt>
                <c:pt idx="982">
                  <c:v>38239</c:v>
                </c:pt>
                <c:pt idx="983">
                  <c:v>38240</c:v>
                </c:pt>
                <c:pt idx="984">
                  <c:v>38241</c:v>
                </c:pt>
                <c:pt idx="985">
                  <c:v>38242</c:v>
                </c:pt>
                <c:pt idx="986">
                  <c:v>38243</c:v>
                </c:pt>
                <c:pt idx="987">
                  <c:v>38244</c:v>
                </c:pt>
                <c:pt idx="988">
                  <c:v>38245</c:v>
                </c:pt>
                <c:pt idx="989">
                  <c:v>38246</c:v>
                </c:pt>
                <c:pt idx="990">
                  <c:v>38247</c:v>
                </c:pt>
                <c:pt idx="991">
                  <c:v>38248</c:v>
                </c:pt>
                <c:pt idx="992">
                  <c:v>38249</c:v>
                </c:pt>
                <c:pt idx="993">
                  <c:v>38250</c:v>
                </c:pt>
                <c:pt idx="994">
                  <c:v>38251</c:v>
                </c:pt>
                <c:pt idx="995">
                  <c:v>38252</c:v>
                </c:pt>
                <c:pt idx="996">
                  <c:v>38253</c:v>
                </c:pt>
                <c:pt idx="997">
                  <c:v>38254</c:v>
                </c:pt>
                <c:pt idx="998">
                  <c:v>38255</c:v>
                </c:pt>
                <c:pt idx="999">
                  <c:v>38256</c:v>
                </c:pt>
                <c:pt idx="1000">
                  <c:v>38257</c:v>
                </c:pt>
                <c:pt idx="1001">
                  <c:v>38258</c:v>
                </c:pt>
                <c:pt idx="1002">
                  <c:v>38259</c:v>
                </c:pt>
                <c:pt idx="1003">
                  <c:v>38260</c:v>
                </c:pt>
                <c:pt idx="1004">
                  <c:v>38261</c:v>
                </c:pt>
                <c:pt idx="1005">
                  <c:v>38262</c:v>
                </c:pt>
                <c:pt idx="1006">
                  <c:v>38263</c:v>
                </c:pt>
                <c:pt idx="1007">
                  <c:v>38264</c:v>
                </c:pt>
                <c:pt idx="1008">
                  <c:v>38265</c:v>
                </c:pt>
                <c:pt idx="1009">
                  <c:v>38266</c:v>
                </c:pt>
                <c:pt idx="1010">
                  <c:v>38267</c:v>
                </c:pt>
                <c:pt idx="1011">
                  <c:v>38268</c:v>
                </c:pt>
                <c:pt idx="1012">
                  <c:v>38269</c:v>
                </c:pt>
                <c:pt idx="1013">
                  <c:v>38270</c:v>
                </c:pt>
                <c:pt idx="1014">
                  <c:v>38271</c:v>
                </c:pt>
                <c:pt idx="1015">
                  <c:v>38272</c:v>
                </c:pt>
                <c:pt idx="1016">
                  <c:v>38273</c:v>
                </c:pt>
                <c:pt idx="1017">
                  <c:v>38274</c:v>
                </c:pt>
                <c:pt idx="1018">
                  <c:v>38275</c:v>
                </c:pt>
                <c:pt idx="1019">
                  <c:v>38276</c:v>
                </c:pt>
                <c:pt idx="1020">
                  <c:v>38277</c:v>
                </c:pt>
                <c:pt idx="1021">
                  <c:v>38278</c:v>
                </c:pt>
                <c:pt idx="1022">
                  <c:v>38279</c:v>
                </c:pt>
                <c:pt idx="1023">
                  <c:v>38280</c:v>
                </c:pt>
                <c:pt idx="1024">
                  <c:v>38281</c:v>
                </c:pt>
                <c:pt idx="1025">
                  <c:v>38282</c:v>
                </c:pt>
                <c:pt idx="1026">
                  <c:v>38283</c:v>
                </c:pt>
                <c:pt idx="1027">
                  <c:v>38284</c:v>
                </c:pt>
                <c:pt idx="1028">
                  <c:v>38285</c:v>
                </c:pt>
                <c:pt idx="1029">
                  <c:v>38286</c:v>
                </c:pt>
                <c:pt idx="1030">
                  <c:v>38287</c:v>
                </c:pt>
                <c:pt idx="1031">
                  <c:v>38288</c:v>
                </c:pt>
                <c:pt idx="1032">
                  <c:v>38289</c:v>
                </c:pt>
                <c:pt idx="1033">
                  <c:v>38290</c:v>
                </c:pt>
                <c:pt idx="1034">
                  <c:v>38291</c:v>
                </c:pt>
                <c:pt idx="1035">
                  <c:v>38292</c:v>
                </c:pt>
                <c:pt idx="1036">
                  <c:v>38293</c:v>
                </c:pt>
                <c:pt idx="1037">
                  <c:v>38294</c:v>
                </c:pt>
                <c:pt idx="1038">
                  <c:v>38295</c:v>
                </c:pt>
                <c:pt idx="1039">
                  <c:v>38296</c:v>
                </c:pt>
                <c:pt idx="1040">
                  <c:v>38297</c:v>
                </c:pt>
                <c:pt idx="1041">
                  <c:v>38298</c:v>
                </c:pt>
                <c:pt idx="1042">
                  <c:v>38299</c:v>
                </c:pt>
                <c:pt idx="1043">
                  <c:v>38300</c:v>
                </c:pt>
                <c:pt idx="1044">
                  <c:v>38301</c:v>
                </c:pt>
                <c:pt idx="1045">
                  <c:v>38302</c:v>
                </c:pt>
                <c:pt idx="1046">
                  <c:v>38303</c:v>
                </c:pt>
                <c:pt idx="1047">
                  <c:v>38304</c:v>
                </c:pt>
                <c:pt idx="1048">
                  <c:v>38305</c:v>
                </c:pt>
                <c:pt idx="1049">
                  <c:v>38306</c:v>
                </c:pt>
                <c:pt idx="1050">
                  <c:v>38307</c:v>
                </c:pt>
                <c:pt idx="1051">
                  <c:v>38308</c:v>
                </c:pt>
                <c:pt idx="1052">
                  <c:v>38309</c:v>
                </c:pt>
                <c:pt idx="1053">
                  <c:v>38310</c:v>
                </c:pt>
                <c:pt idx="1054">
                  <c:v>38311</c:v>
                </c:pt>
                <c:pt idx="1055">
                  <c:v>38312</c:v>
                </c:pt>
                <c:pt idx="1056">
                  <c:v>38313</c:v>
                </c:pt>
                <c:pt idx="1057">
                  <c:v>38314</c:v>
                </c:pt>
                <c:pt idx="1058">
                  <c:v>38315</c:v>
                </c:pt>
                <c:pt idx="1059">
                  <c:v>38316</c:v>
                </c:pt>
                <c:pt idx="1060">
                  <c:v>38317</c:v>
                </c:pt>
                <c:pt idx="1061">
                  <c:v>38318</c:v>
                </c:pt>
                <c:pt idx="1062">
                  <c:v>38319</c:v>
                </c:pt>
                <c:pt idx="1063">
                  <c:v>38320</c:v>
                </c:pt>
                <c:pt idx="1064">
                  <c:v>38321</c:v>
                </c:pt>
                <c:pt idx="1065">
                  <c:v>38322</c:v>
                </c:pt>
                <c:pt idx="1066">
                  <c:v>38323</c:v>
                </c:pt>
                <c:pt idx="1067">
                  <c:v>38324</c:v>
                </c:pt>
                <c:pt idx="1068">
                  <c:v>38325</c:v>
                </c:pt>
                <c:pt idx="1069">
                  <c:v>38326</c:v>
                </c:pt>
                <c:pt idx="1070">
                  <c:v>38327</c:v>
                </c:pt>
                <c:pt idx="1071">
                  <c:v>38328</c:v>
                </c:pt>
                <c:pt idx="1072">
                  <c:v>38329</c:v>
                </c:pt>
                <c:pt idx="1073">
                  <c:v>38330</c:v>
                </c:pt>
                <c:pt idx="1074">
                  <c:v>38331</c:v>
                </c:pt>
                <c:pt idx="1075">
                  <c:v>38332</c:v>
                </c:pt>
                <c:pt idx="1076">
                  <c:v>38333</c:v>
                </c:pt>
                <c:pt idx="1077">
                  <c:v>38334</c:v>
                </c:pt>
                <c:pt idx="1078">
                  <c:v>38335</c:v>
                </c:pt>
                <c:pt idx="1079">
                  <c:v>38336</c:v>
                </c:pt>
                <c:pt idx="1080">
                  <c:v>38337</c:v>
                </c:pt>
                <c:pt idx="1081">
                  <c:v>38338</c:v>
                </c:pt>
                <c:pt idx="1082">
                  <c:v>38339</c:v>
                </c:pt>
                <c:pt idx="1083">
                  <c:v>38340</c:v>
                </c:pt>
                <c:pt idx="1084">
                  <c:v>38341</c:v>
                </c:pt>
                <c:pt idx="1085">
                  <c:v>38342</c:v>
                </c:pt>
                <c:pt idx="1086">
                  <c:v>38343</c:v>
                </c:pt>
                <c:pt idx="1087">
                  <c:v>38344</c:v>
                </c:pt>
                <c:pt idx="1088">
                  <c:v>38345</c:v>
                </c:pt>
                <c:pt idx="1089">
                  <c:v>38346</c:v>
                </c:pt>
                <c:pt idx="1090">
                  <c:v>38347</c:v>
                </c:pt>
                <c:pt idx="1091">
                  <c:v>38348</c:v>
                </c:pt>
                <c:pt idx="1092">
                  <c:v>38349</c:v>
                </c:pt>
                <c:pt idx="1093">
                  <c:v>38350</c:v>
                </c:pt>
                <c:pt idx="1094">
                  <c:v>38351</c:v>
                </c:pt>
                <c:pt idx="1095">
                  <c:v>38352</c:v>
                </c:pt>
                <c:pt idx="1096">
                  <c:v>38353</c:v>
                </c:pt>
                <c:pt idx="1097">
                  <c:v>38354</c:v>
                </c:pt>
                <c:pt idx="1098">
                  <c:v>38355</c:v>
                </c:pt>
                <c:pt idx="1099">
                  <c:v>38356</c:v>
                </c:pt>
                <c:pt idx="1100">
                  <c:v>38357</c:v>
                </c:pt>
                <c:pt idx="1101">
                  <c:v>38358</c:v>
                </c:pt>
                <c:pt idx="1102">
                  <c:v>38359</c:v>
                </c:pt>
                <c:pt idx="1103">
                  <c:v>38360</c:v>
                </c:pt>
                <c:pt idx="1104">
                  <c:v>38361</c:v>
                </c:pt>
                <c:pt idx="1105">
                  <c:v>38362</c:v>
                </c:pt>
                <c:pt idx="1106">
                  <c:v>38363</c:v>
                </c:pt>
                <c:pt idx="1107">
                  <c:v>38364</c:v>
                </c:pt>
                <c:pt idx="1108">
                  <c:v>38365</c:v>
                </c:pt>
                <c:pt idx="1109">
                  <c:v>38366</c:v>
                </c:pt>
                <c:pt idx="1110">
                  <c:v>38367</c:v>
                </c:pt>
                <c:pt idx="1111">
                  <c:v>38368</c:v>
                </c:pt>
                <c:pt idx="1112">
                  <c:v>38369</c:v>
                </c:pt>
                <c:pt idx="1113">
                  <c:v>38370</c:v>
                </c:pt>
                <c:pt idx="1114">
                  <c:v>38371</c:v>
                </c:pt>
                <c:pt idx="1115">
                  <c:v>38372</c:v>
                </c:pt>
                <c:pt idx="1116">
                  <c:v>38373</c:v>
                </c:pt>
                <c:pt idx="1117">
                  <c:v>38374</c:v>
                </c:pt>
                <c:pt idx="1118">
                  <c:v>38375</c:v>
                </c:pt>
                <c:pt idx="1119">
                  <c:v>38376</c:v>
                </c:pt>
                <c:pt idx="1120">
                  <c:v>38377</c:v>
                </c:pt>
                <c:pt idx="1121">
                  <c:v>38378</c:v>
                </c:pt>
                <c:pt idx="1122">
                  <c:v>38379</c:v>
                </c:pt>
                <c:pt idx="1123">
                  <c:v>38380</c:v>
                </c:pt>
                <c:pt idx="1124">
                  <c:v>38381</c:v>
                </c:pt>
                <c:pt idx="1125">
                  <c:v>38382</c:v>
                </c:pt>
                <c:pt idx="1126">
                  <c:v>38383</c:v>
                </c:pt>
                <c:pt idx="1127">
                  <c:v>38384</c:v>
                </c:pt>
                <c:pt idx="1128">
                  <c:v>38385</c:v>
                </c:pt>
                <c:pt idx="1129">
                  <c:v>38386</c:v>
                </c:pt>
                <c:pt idx="1130">
                  <c:v>38387</c:v>
                </c:pt>
                <c:pt idx="1131">
                  <c:v>38388</c:v>
                </c:pt>
                <c:pt idx="1132">
                  <c:v>38389</c:v>
                </c:pt>
                <c:pt idx="1133">
                  <c:v>38390</c:v>
                </c:pt>
                <c:pt idx="1134">
                  <c:v>38391</c:v>
                </c:pt>
                <c:pt idx="1135">
                  <c:v>38392</c:v>
                </c:pt>
                <c:pt idx="1136">
                  <c:v>38393</c:v>
                </c:pt>
                <c:pt idx="1137">
                  <c:v>38394</c:v>
                </c:pt>
                <c:pt idx="1138">
                  <c:v>38395</c:v>
                </c:pt>
                <c:pt idx="1139">
                  <c:v>38396</c:v>
                </c:pt>
                <c:pt idx="1140">
                  <c:v>38397</c:v>
                </c:pt>
                <c:pt idx="1141">
                  <c:v>38398</c:v>
                </c:pt>
                <c:pt idx="1142">
                  <c:v>38399</c:v>
                </c:pt>
                <c:pt idx="1143">
                  <c:v>38400</c:v>
                </c:pt>
                <c:pt idx="1144">
                  <c:v>38401</c:v>
                </c:pt>
                <c:pt idx="1145">
                  <c:v>38402</c:v>
                </c:pt>
                <c:pt idx="1146">
                  <c:v>38403</c:v>
                </c:pt>
                <c:pt idx="1147">
                  <c:v>38404</c:v>
                </c:pt>
                <c:pt idx="1148">
                  <c:v>38405</c:v>
                </c:pt>
                <c:pt idx="1149">
                  <c:v>38406</c:v>
                </c:pt>
                <c:pt idx="1150">
                  <c:v>38407</c:v>
                </c:pt>
                <c:pt idx="1151">
                  <c:v>38408</c:v>
                </c:pt>
                <c:pt idx="1152">
                  <c:v>38409</c:v>
                </c:pt>
                <c:pt idx="1153">
                  <c:v>38410</c:v>
                </c:pt>
                <c:pt idx="1154">
                  <c:v>38411</c:v>
                </c:pt>
                <c:pt idx="1155">
                  <c:v>38412</c:v>
                </c:pt>
                <c:pt idx="1156">
                  <c:v>38413</c:v>
                </c:pt>
                <c:pt idx="1157">
                  <c:v>38414</c:v>
                </c:pt>
                <c:pt idx="1158">
                  <c:v>38415</c:v>
                </c:pt>
                <c:pt idx="1159">
                  <c:v>38416</c:v>
                </c:pt>
                <c:pt idx="1160">
                  <c:v>38417</c:v>
                </c:pt>
                <c:pt idx="1161">
                  <c:v>38418</c:v>
                </c:pt>
                <c:pt idx="1162">
                  <c:v>38419</c:v>
                </c:pt>
                <c:pt idx="1163">
                  <c:v>38420</c:v>
                </c:pt>
                <c:pt idx="1164">
                  <c:v>38421</c:v>
                </c:pt>
                <c:pt idx="1165">
                  <c:v>38422</c:v>
                </c:pt>
                <c:pt idx="1166">
                  <c:v>38423</c:v>
                </c:pt>
                <c:pt idx="1167">
                  <c:v>38424</c:v>
                </c:pt>
                <c:pt idx="1168">
                  <c:v>38425</c:v>
                </c:pt>
                <c:pt idx="1169">
                  <c:v>38426</c:v>
                </c:pt>
                <c:pt idx="1170">
                  <c:v>38427</c:v>
                </c:pt>
                <c:pt idx="1171">
                  <c:v>38428</c:v>
                </c:pt>
                <c:pt idx="1172">
                  <c:v>38429</c:v>
                </c:pt>
                <c:pt idx="1173">
                  <c:v>38430</c:v>
                </c:pt>
                <c:pt idx="1174">
                  <c:v>38431</c:v>
                </c:pt>
                <c:pt idx="1175">
                  <c:v>38432</c:v>
                </c:pt>
                <c:pt idx="1176">
                  <c:v>38433</c:v>
                </c:pt>
                <c:pt idx="1177">
                  <c:v>38434</c:v>
                </c:pt>
                <c:pt idx="1178">
                  <c:v>38435</c:v>
                </c:pt>
                <c:pt idx="1179">
                  <c:v>38436</c:v>
                </c:pt>
                <c:pt idx="1180">
                  <c:v>38437</c:v>
                </c:pt>
                <c:pt idx="1181">
                  <c:v>38438</c:v>
                </c:pt>
                <c:pt idx="1182">
                  <c:v>38439</c:v>
                </c:pt>
                <c:pt idx="1183">
                  <c:v>38440</c:v>
                </c:pt>
                <c:pt idx="1184">
                  <c:v>38441</c:v>
                </c:pt>
                <c:pt idx="1185">
                  <c:v>38442</c:v>
                </c:pt>
                <c:pt idx="1186">
                  <c:v>38443</c:v>
                </c:pt>
                <c:pt idx="1187">
                  <c:v>38444</c:v>
                </c:pt>
                <c:pt idx="1188">
                  <c:v>38445</c:v>
                </c:pt>
                <c:pt idx="1189">
                  <c:v>38446</c:v>
                </c:pt>
                <c:pt idx="1190">
                  <c:v>38447</c:v>
                </c:pt>
                <c:pt idx="1191">
                  <c:v>38448</c:v>
                </c:pt>
                <c:pt idx="1192">
                  <c:v>38449</c:v>
                </c:pt>
                <c:pt idx="1193">
                  <c:v>38450</c:v>
                </c:pt>
                <c:pt idx="1194">
                  <c:v>38451</c:v>
                </c:pt>
                <c:pt idx="1195">
                  <c:v>38452</c:v>
                </c:pt>
                <c:pt idx="1196">
                  <c:v>38453</c:v>
                </c:pt>
                <c:pt idx="1197">
                  <c:v>38454</c:v>
                </c:pt>
                <c:pt idx="1198">
                  <c:v>38455</c:v>
                </c:pt>
                <c:pt idx="1199">
                  <c:v>38456</c:v>
                </c:pt>
                <c:pt idx="1200">
                  <c:v>38457</c:v>
                </c:pt>
                <c:pt idx="1201">
                  <c:v>38458</c:v>
                </c:pt>
                <c:pt idx="1202">
                  <c:v>38459</c:v>
                </c:pt>
                <c:pt idx="1203">
                  <c:v>38460</c:v>
                </c:pt>
                <c:pt idx="1204">
                  <c:v>38461</c:v>
                </c:pt>
                <c:pt idx="1205">
                  <c:v>38462</c:v>
                </c:pt>
                <c:pt idx="1206">
                  <c:v>38463</c:v>
                </c:pt>
                <c:pt idx="1207">
                  <c:v>38464</c:v>
                </c:pt>
                <c:pt idx="1208">
                  <c:v>38465</c:v>
                </c:pt>
                <c:pt idx="1209">
                  <c:v>38466</c:v>
                </c:pt>
                <c:pt idx="1210">
                  <c:v>38467</c:v>
                </c:pt>
                <c:pt idx="1211">
                  <c:v>38468</c:v>
                </c:pt>
                <c:pt idx="1212">
                  <c:v>38469</c:v>
                </c:pt>
                <c:pt idx="1213">
                  <c:v>38470</c:v>
                </c:pt>
                <c:pt idx="1214">
                  <c:v>38471</c:v>
                </c:pt>
                <c:pt idx="1215">
                  <c:v>38472</c:v>
                </c:pt>
                <c:pt idx="1216">
                  <c:v>38473</c:v>
                </c:pt>
                <c:pt idx="1217">
                  <c:v>38474</c:v>
                </c:pt>
                <c:pt idx="1218">
                  <c:v>38475</c:v>
                </c:pt>
                <c:pt idx="1219">
                  <c:v>38476</c:v>
                </c:pt>
                <c:pt idx="1220">
                  <c:v>38477</c:v>
                </c:pt>
                <c:pt idx="1221">
                  <c:v>38478</c:v>
                </c:pt>
                <c:pt idx="1222">
                  <c:v>38479</c:v>
                </c:pt>
                <c:pt idx="1223">
                  <c:v>38480</c:v>
                </c:pt>
                <c:pt idx="1224">
                  <c:v>38481</c:v>
                </c:pt>
                <c:pt idx="1225">
                  <c:v>38482</c:v>
                </c:pt>
                <c:pt idx="1226">
                  <c:v>38483</c:v>
                </c:pt>
                <c:pt idx="1227">
                  <c:v>38484</c:v>
                </c:pt>
                <c:pt idx="1228">
                  <c:v>38485</c:v>
                </c:pt>
                <c:pt idx="1229">
                  <c:v>38486</c:v>
                </c:pt>
                <c:pt idx="1230">
                  <c:v>38487</c:v>
                </c:pt>
                <c:pt idx="1231">
                  <c:v>38488</c:v>
                </c:pt>
                <c:pt idx="1232">
                  <c:v>38489</c:v>
                </c:pt>
                <c:pt idx="1233">
                  <c:v>38490</c:v>
                </c:pt>
                <c:pt idx="1234">
                  <c:v>38491</c:v>
                </c:pt>
                <c:pt idx="1235">
                  <c:v>38492</c:v>
                </c:pt>
                <c:pt idx="1236">
                  <c:v>38493</c:v>
                </c:pt>
                <c:pt idx="1237">
                  <c:v>38494</c:v>
                </c:pt>
                <c:pt idx="1238">
                  <c:v>38495</c:v>
                </c:pt>
                <c:pt idx="1239">
                  <c:v>38496</c:v>
                </c:pt>
                <c:pt idx="1240">
                  <c:v>38497</c:v>
                </c:pt>
                <c:pt idx="1241">
                  <c:v>38498</c:v>
                </c:pt>
                <c:pt idx="1242">
                  <c:v>38499</c:v>
                </c:pt>
                <c:pt idx="1243">
                  <c:v>38500</c:v>
                </c:pt>
                <c:pt idx="1244">
                  <c:v>38501</c:v>
                </c:pt>
                <c:pt idx="1245">
                  <c:v>38502</c:v>
                </c:pt>
                <c:pt idx="1246">
                  <c:v>38503</c:v>
                </c:pt>
                <c:pt idx="1247">
                  <c:v>38504</c:v>
                </c:pt>
                <c:pt idx="1248">
                  <c:v>38505</c:v>
                </c:pt>
                <c:pt idx="1249">
                  <c:v>38506</c:v>
                </c:pt>
                <c:pt idx="1250">
                  <c:v>38507</c:v>
                </c:pt>
                <c:pt idx="1251">
                  <c:v>38508</c:v>
                </c:pt>
                <c:pt idx="1252">
                  <c:v>38509</c:v>
                </c:pt>
                <c:pt idx="1253">
                  <c:v>38510</c:v>
                </c:pt>
                <c:pt idx="1254">
                  <c:v>38511</c:v>
                </c:pt>
                <c:pt idx="1255">
                  <c:v>38512</c:v>
                </c:pt>
                <c:pt idx="1256">
                  <c:v>38513</c:v>
                </c:pt>
                <c:pt idx="1257">
                  <c:v>38514</c:v>
                </c:pt>
                <c:pt idx="1258">
                  <c:v>38515</c:v>
                </c:pt>
                <c:pt idx="1259">
                  <c:v>38516</c:v>
                </c:pt>
                <c:pt idx="1260">
                  <c:v>38517</c:v>
                </c:pt>
                <c:pt idx="1261">
                  <c:v>38518</c:v>
                </c:pt>
                <c:pt idx="1262">
                  <c:v>38519</c:v>
                </c:pt>
                <c:pt idx="1263">
                  <c:v>38520</c:v>
                </c:pt>
                <c:pt idx="1264">
                  <c:v>38521</c:v>
                </c:pt>
                <c:pt idx="1265">
                  <c:v>38522</c:v>
                </c:pt>
                <c:pt idx="1266">
                  <c:v>38523</c:v>
                </c:pt>
                <c:pt idx="1267">
                  <c:v>38524</c:v>
                </c:pt>
                <c:pt idx="1268">
                  <c:v>38525</c:v>
                </c:pt>
                <c:pt idx="1269">
                  <c:v>38526</c:v>
                </c:pt>
                <c:pt idx="1270">
                  <c:v>38527</c:v>
                </c:pt>
                <c:pt idx="1271">
                  <c:v>38528</c:v>
                </c:pt>
                <c:pt idx="1272">
                  <c:v>38529</c:v>
                </c:pt>
                <c:pt idx="1273">
                  <c:v>38530</c:v>
                </c:pt>
                <c:pt idx="1274">
                  <c:v>38531</c:v>
                </c:pt>
                <c:pt idx="1275">
                  <c:v>38532</c:v>
                </c:pt>
                <c:pt idx="1276">
                  <c:v>38533</c:v>
                </c:pt>
                <c:pt idx="1277">
                  <c:v>38534</c:v>
                </c:pt>
                <c:pt idx="1278">
                  <c:v>38535</c:v>
                </c:pt>
                <c:pt idx="1279">
                  <c:v>38536</c:v>
                </c:pt>
                <c:pt idx="1280">
                  <c:v>38537</c:v>
                </c:pt>
                <c:pt idx="1281">
                  <c:v>38538</c:v>
                </c:pt>
                <c:pt idx="1282">
                  <c:v>38539</c:v>
                </c:pt>
                <c:pt idx="1283">
                  <c:v>38540</c:v>
                </c:pt>
                <c:pt idx="1284">
                  <c:v>38541</c:v>
                </c:pt>
                <c:pt idx="1285">
                  <c:v>38542</c:v>
                </c:pt>
                <c:pt idx="1286">
                  <c:v>38543</c:v>
                </c:pt>
                <c:pt idx="1287">
                  <c:v>38544</c:v>
                </c:pt>
                <c:pt idx="1288">
                  <c:v>38545</c:v>
                </c:pt>
                <c:pt idx="1289">
                  <c:v>38546</c:v>
                </c:pt>
                <c:pt idx="1290">
                  <c:v>38547</c:v>
                </c:pt>
                <c:pt idx="1291">
                  <c:v>38548</c:v>
                </c:pt>
                <c:pt idx="1292">
                  <c:v>38549</c:v>
                </c:pt>
                <c:pt idx="1293">
                  <c:v>38550</c:v>
                </c:pt>
                <c:pt idx="1294">
                  <c:v>38551</c:v>
                </c:pt>
                <c:pt idx="1295">
                  <c:v>38552</c:v>
                </c:pt>
                <c:pt idx="1296">
                  <c:v>38553</c:v>
                </c:pt>
                <c:pt idx="1297">
                  <c:v>38554</c:v>
                </c:pt>
                <c:pt idx="1298">
                  <c:v>38555</c:v>
                </c:pt>
                <c:pt idx="1299">
                  <c:v>38556</c:v>
                </c:pt>
                <c:pt idx="1300">
                  <c:v>38557</c:v>
                </c:pt>
                <c:pt idx="1301">
                  <c:v>38558</c:v>
                </c:pt>
                <c:pt idx="1302">
                  <c:v>38559</c:v>
                </c:pt>
                <c:pt idx="1303">
                  <c:v>38560</c:v>
                </c:pt>
                <c:pt idx="1304">
                  <c:v>38561</c:v>
                </c:pt>
                <c:pt idx="1305">
                  <c:v>38562</c:v>
                </c:pt>
                <c:pt idx="1306">
                  <c:v>38563</c:v>
                </c:pt>
                <c:pt idx="1307">
                  <c:v>38564</c:v>
                </c:pt>
                <c:pt idx="1308">
                  <c:v>38565</c:v>
                </c:pt>
                <c:pt idx="1309">
                  <c:v>38566</c:v>
                </c:pt>
                <c:pt idx="1310">
                  <c:v>38567</c:v>
                </c:pt>
                <c:pt idx="1311">
                  <c:v>38568</c:v>
                </c:pt>
                <c:pt idx="1312">
                  <c:v>38569</c:v>
                </c:pt>
                <c:pt idx="1313">
                  <c:v>38570</c:v>
                </c:pt>
                <c:pt idx="1314">
                  <c:v>38571</c:v>
                </c:pt>
                <c:pt idx="1315">
                  <c:v>38572</c:v>
                </c:pt>
                <c:pt idx="1316">
                  <c:v>38573</c:v>
                </c:pt>
                <c:pt idx="1317">
                  <c:v>38574</c:v>
                </c:pt>
                <c:pt idx="1318">
                  <c:v>38575</c:v>
                </c:pt>
                <c:pt idx="1319">
                  <c:v>38576</c:v>
                </c:pt>
                <c:pt idx="1320">
                  <c:v>38577</c:v>
                </c:pt>
                <c:pt idx="1321">
                  <c:v>38578</c:v>
                </c:pt>
                <c:pt idx="1322">
                  <c:v>38579</c:v>
                </c:pt>
                <c:pt idx="1323">
                  <c:v>38580</c:v>
                </c:pt>
                <c:pt idx="1324">
                  <c:v>38581</c:v>
                </c:pt>
                <c:pt idx="1325">
                  <c:v>38582</c:v>
                </c:pt>
                <c:pt idx="1326">
                  <c:v>38583</c:v>
                </c:pt>
                <c:pt idx="1327">
                  <c:v>38584</c:v>
                </c:pt>
                <c:pt idx="1328">
                  <c:v>38585</c:v>
                </c:pt>
                <c:pt idx="1329">
                  <c:v>38586</c:v>
                </c:pt>
                <c:pt idx="1330">
                  <c:v>38587</c:v>
                </c:pt>
                <c:pt idx="1331">
                  <c:v>38588</c:v>
                </c:pt>
                <c:pt idx="1332">
                  <c:v>38589</c:v>
                </c:pt>
                <c:pt idx="1333">
                  <c:v>38590</c:v>
                </c:pt>
                <c:pt idx="1334">
                  <c:v>38591</c:v>
                </c:pt>
                <c:pt idx="1335">
                  <c:v>38592</c:v>
                </c:pt>
                <c:pt idx="1336">
                  <c:v>38593</c:v>
                </c:pt>
                <c:pt idx="1337">
                  <c:v>38594</c:v>
                </c:pt>
                <c:pt idx="1338">
                  <c:v>38595</c:v>
                </c:pt>
                <c:pt idx="1339">
                  <c:v>38596</c:v>
                </c:pt>
                <c:pt idx="1340">
                  <c:v>38597</c:v>
                </c:pt>
                <c:pt idx="1341">
                  <c:v>38598</c:v>
                </c:pt>
                <c:pt idx="1342">
                  <c:v>38599</c:v>
                </c:pt>
                <c:pt idx="1343">
                  <c:v>38600</c:v>
                </c:pt>
                <c:pt idx="1344">
                  <c:v>38601</c:v>
                </c:pt>
                <c:pt idx="1345">
                  <c:v>38602</c:v>
                </c:pt>
                <c:pt idx="1346">
                  <c:v>38603</c:v>
                </c:pt>
                <c:pt idx="1347">
                  <c:v>38604</c:v>
                </c:pt>
                <c:pt idx="1348">
                  <c:v>38605</c:v>
                </c:pt>
                <c:pt idx="1349">
                  <c:v>38606</c:v>
                </c:pt>
                <c:pt idx="1350">
                  <c:v>38607</c:v>
                </c:pt>
                <c:pt idx="1351">
                  <c:v>38608</c:v>
                </c:pt>
                <c:pt idx="1352">
                  <c:v>38609</c:v>
                </c:pt>
                <c:pt idx="1353">
                  <c:v>38610</c:v>
                </c:pt>
                <c:pt idx="1354">
                  <c:v>38611</c:v>
                </c:pt>
                <c:pt idx="1355">
                  <c:v>38612</c:v>
                </c:pt>
                <c:pt idx="1356">
                  <c:v>38613</c:v>
                </c:pt>
                <c:pt idx="1357">
                  <c:v>38614</c:v>
                </c:pt>
                <c:pt idx="1358">
                  <c:v>38615</c:v>
                </c:pt>
                <c:pt idx="1359">
                  <c:v>38616</c:v>
                </c:pt>
                <c:pt idx="1360">
                  <c:v>38617</c:v>
                </c:pt>
                <c:pt idx="1361">
                  <c:v>38618</c:v>
                </c:pt>
                <c:pt idx="1362">
                  <c:v>38619</c:v>
                </c:pt>
                <c:pt idx="1363">
                  <c:v>38620</c:v>
                </c:pt>
                <c:pt idx="1364">
                  <c:v>38621</c:v>
                </c:pt>
                <c:pt idx="1365">
                  <c:v>38622</c:v>
                </c:pt>
                <c:pt idx="1366">
                  <c:v>38623</c:v>
                </c:pt>
                <c:pt idx="1367">
                  <c:v>38624</c:v>
                </c:pt>
                <c:pt idx="1368">
                  <c:v>38625</c:v>
                </c:pt>
                <c:pt idx="1369">
                  <c:v>38626</c:v>
                </c:pt>
                <c:pt idx="1370">
                  <c:v>38627</c:v>
                </c:pt>
                <c:pt idx="1371">
                  <c:v>38628</c:v>
                </c:pt>
                <c:pt idx="1372">
                  <c:v>38629</c:v>
                </c:pt>
                <c:pt idx="1373">
                  <c:v>38630</c:v>
                </c:pt>
                <c:pt idx="1374">
                  <c:v>38631</c:v>
                </c:pt>
                <c:pt idx="1375">
                  <c:v>38632</c:v>
                </c:pt>
                <c:pt idx="1376">
                  <c:v>38633</c:v>
                </c:pt>
                <c:pt idx="1377">
                  <c:v>38634</c:v>
                </c:pt>
                <c:pt idx="1378">
                  <c:v>38635</c:v>
                </c:pt>
                <c:pt idx="1379">
                  <c:v>38636</c:v>
                </c:pt>
                <c:pt idx="1380">
                  <c:v>38637</c:v>
                </c:pt>
                <c:pt idx="1381">
                  <c:v>38638</c:v>
                </c:pt>
                <c:pt idx="1382">
                  <c:v>38639</c:v>
                </c:pt>
                <c:pt idx="1383">
                  <c:v>38640</c:v>
                </c:pt>
                <c:pt idx="1384">
                  <c:v>38641</c:v>
                </c:pt>
                <c:pt idx="1385">
                  <c:v>38642</c:v>
                </c:pt>
                <c:pt idx="1386">
                  <c:v>38643</c:v>
                </c:pt>
                <c:pt idx="1387">
                  <c:v>38644</c:v>
                </c:pt>
                <c:pt idx="1388">
                  <c:v>38645</c:v>
                </c:pt>
                <c:pt idx="1389">
                  <c:v>38646</c:v>
                </c:pt>
                <c:pt idx="1390">
                  <c:v>38647</c:v>
                </c:pt>
                <c:pt idx="1391">
                  <c:v>38648</c:v>
                </c:pt>
                <c:pt idx="1392">
                  <c:v>38649</c:v>
                </c:pt>
                <c:pt idx="1393">
                  <c:v>38650</c:v>
                </c:pt>
                <c:pt idx="1394">
                  <c:v>38651</c:v>
                </c:pt>
                <c:pt idx="1395">
                  <c:v>38652</c:v>
                </c:pt>
                <c:pt idx="1396">
                  <c:v>38653</c:v>
                </c:pt>
                <c:pt idx="1397">
                  <c:v>38654</c:v>
                </c:pt>
                <c:pt idx="1398">
                  <c:v>38655</c:v>
                </c:pt>
                <c:pt idx="1399">
                  <c:v>38656</c:v>
                </c:pt>
                <c:pt idx="1400">
                  <c:v>38657</c:v>
                </c:pt>
                <c:pt idx="1401">
                  <c:v>38658</c:v>
                </c:pt>
                <c:pt idx="1402">
                  <c:v>38659</c:v>
                </c:pt>
                <c:pt idx="1403">
                  <c:v>38660</c:v>
                </c:pt>
                <c:pt idx="1404">
                  <c:v>38661</c:v>
                </c:pt>
                <c:pt idx="1405">
                  <c:v>38662</c:v>
                </c:pt>
                <c:pt idx="1406">
                  <c:v>38663</c:v>
                </c:pt>
                <c:pt idx="1407">
                  <c:v>38664</c:v>
                </c:pt>
                <c:pt idx="1408">
                  <c:v>38665</c:v>
                </c:pt>
                <c:pt idx="1409">
                  <c:v>38666</c:v>
                </c:pt>
                <c:pt idx="1410">
                  <c:v>38667</c:v>
                </c:pt>
                <c:pt idx="1411">
                  <c:v>38668</c:v>
                </c:pt>
                <c:pt idx="1412">
                  <c:v>38669</c:v>
                </c:pt>
                <c:pt idx="1413">
                  <c:v>38670</c:v>
                </c:pt>
                <c:pt idx="1414">
                  <c:v>38671</c:v>
                </c:pt>
                <c:pt idx="1415">
                  <c:v>38672</c:v>
                </c:pt>
                <c:pt idx="1416">
                  <c:v>38673</c:v>
                </c:pt>
                <c:pt idx="1417">
                  <c:v>38674</c:v>
                </c:pt>
                <c:pt idx="1418">
                  <c:v>38675</c:v>
                </c:pt>
                <c:pt idx="1419">
                  <c:v>38676</c:v>
                </c:pt>
                <c:pt idx="1420">
                  <c:v>38677</c:v>
                </c:pt>
                <c:pt idx="1421">
                  <c:v>38678</c:v>
                </c:pt>
                <c:pt idx="1422">
                  <c:v>38679</c:v>
                </c:pt>
                <c:pt idx="1423">
                  <c:v>38680</c:v>
                </c:pt>
                <c:pt idx="1424">
                  <c:v>38681</c:v>
                </c:pt>
                <c:pt idx="1425">
                  <c:v>38682</c:v>
                </c:pt>
                <c:pt idx="1426">
                  <c:v>38683</c:v>
                </c:pt>
                <c:pt idx="1427">
                  <c:v>38684</c:v>
                </c:pt>
                <c:pt idx="1428">
                  <c:v>38685</c:v>
                </c:pt>
                <c:pt idx="1429">
                  <c:v>38686</c:v>
                </c:pt>
                <c:pt idx="1430">
                  <c:v>38687</c:v>
                </c:pt>
                <c:pt idx="1431">
                  <c:v>38688</c:v>
                </c:pt>
                <c:pt idx="1432">
                  <c:v>38689</c:v>
                </c:pt>
                <c:pt idx="1433">
                  <c:v>38690</c:v>
                </c:pt>
                <c:pt idx="1434">
                  <c:v>38691</c:v>
                </c:pt>
                <c:pt idx="1435">
                  <c:v>38692</c:v>
                </c:pt>
                <c:pt idx="1436">
                  <c:v>38693</c:v>
                </c:pt>
                <c:pt idx="1437">
                  <c:v>38694</c:v>
                </c:pt>
                <c:pt idx="1438">
                  <c:v>38695</c:v>
                </c:pt>
                <c:pt idx="1439">
                  <c:v>38696</c:v>
                </c:pt>
                <c:pt idx="1440">
                  <c:v>38697</c:v>
                </c:pt>
                <c:pt idx="1441">
                  <c:v>38698</c:v>
                </c:pt>
                <c:pt idx="1442">
                  <c:v>38699</c:v>
                </c:pt>
                <c:pt idx="1443">
                  <c:v>38700</c:v>
                </c:pt>
                <c:pt idx="1444">
                  <c:v>38701</c:v>
                </c:pt>
                <c:pt idx="1445">
                  <c:v>38702</c:v>
                </c:pt>
                <c:pt idx="1446">
                  <c:v>38703</c:v>
                </c:pt>
                <c:pt idx="1447">
                  <c:v>38704</c:v>
                </c:pt>
                <c:pt idx="1448">
                  <c:v>38705</c:v>
                </c:pt>
                <c:pt idx="1449">
                  <c:v>38706</c:v>
                </c:pt>
                <c:pt idx="1450">
                  <c:v>38707</c:v>
                </c:pt>
                <c:pt idx="1451">
                  <c:v>38708</c:v>
                </c:pt>
                <c:pt idx="1452">
                  <c:v>38709</c:v>
                </c:pt>
                <c:pt idx="1453">
                  <c:v>38710</c:v>
                </c:pt>
                <c:pt idx="1454">
                  <c:v>38711</c:v>
                </c:pt>
                <c:pt idx="1455">
                  <c:v>38712</c:v>
                </c:pt>
                <c:pt idx="1456">
                  <c:v>38713</c:v>
                </c:pt>
                <c:pt idx="1457">
                  <c:v>38714</c:v>
                </c:pt>
                <c:pt idx="1458">
                  <c:v>38715</c:v>
                </c:pt>
                <c:pt idx="1459">
                  <c:v>38716</c:v>
                </c:pt>
                <c:pt idx="1460">
                  <c:v>38717</c:v>
                </c:pt>
                <c:pt idx="1461">
                  <c:v>38718</c:v>
                </c:pt>
                <c:pt idx="1462">
                  <c:v>38719</c:v>
                </c:pt>
                <c:pt idx="1463">
                  <c:v>38720</c:v>
                </c:pt>
                <c:pt idx="1464">
                  <c:v>38721</c:v>
                </c:pt>
                <c:pt idx="1465">
                  <c:v>38722</c:v>
                </c:pt>
                <c:pt idx="1466">
                  <c:v>38723</c:v>
                </c:pt>
                <c:pt idx="1467">
                  <c:v>38724</c:v>
                </c:pt>
                <c:pt idx="1468">
                  <c:v>38725</c:v>
                </c:pt>
                <c:pt idx="1469">
                  <c:v>38726</c:v>
                </c:pt>
                <c:pt idx="1470">
                  <c:v>38727</c:v>
                </c:pt>
                <c:pt idx="1471">
                  <c:v>38728</c:v>
                </c:pt>
                <c:pt idx="1472">
                  <c:v>38729</c:v>
                </c:pt>
                <c:pt idx="1473">
                  <c:v>38730</c:v>
                </c:pt>
                <c:pt idx="1474">
                  <c:v>38731</c:v>
                </c:pt>
                <c:pt idx="1475">
                  <c:v>38732</c:v>
                </c:pt>
                <c:pt idx="1476">
                  <c:v>38733</c:v>
                </c:pt>
                <c:pt idx="1477">
                  <c:v>38734</c:v>
                </c:pt>
                <c:pt idx="1478">
                  <c:v>38735</c:v>
                </c:pt>
                <c:pt idx="1479">
                  <c:v>38736</c:v>
                </c:pt>
                <c:pt idx="1480">
                  <c:v>38737</c:v>
                </c:pt>
                <c:pt idx="1481">
                  <c:v>38738</c:v>
                </c:pt>
                <c:pt idx="1482">
                  <c:v>38739</c:v>
                </c:pt>
                <c:pt idx="1483">
                  <c:v>38740</c:v>
                </c:pt>
                <c:pt idx="1484">
                  <c:v>38741</c:v>
                </c:pt>
                <c:pt idx="1485">
                  <c:v>38742</c:v>
                </c:pt>
                <c:pt idx="1486">
                  <c:v>38743</c:v>
                </c:pt>
                <c:pt idx="1487">
                  <c:v>38744</c:v>
                </c:pt>
                <c:pt idx="1488">
                  <c:v>38745</c:v>
                </c:pt>
                <c:pt idx="1489">
                  <c:v>38746</c:v>
                </c:pt>
                <c:pt idx="1490">
                  <c:v>38747</c:v>
                </c:pt>
                <c:pt idx="1491">
                  <c:v>38748</c:v>
                </c:pt>
                <c:pt idx="1492">
                  <c:v>38749</c:v>
                </c:pt>
                <c:pt idx="1493">
                  <c:v>38750</c:v>
                </c:pt>
                <c:pt idx="1494">
                  <c:v>38751</c:v>
                </c:pt>
                <c:pt idx="1495">
                  <c:v>38752</c:v>
                </c:pt>
                <c:pt idx="1496">
                  <c:v>38753</c:v>
                </c:pt>
                <c:pt idx="1497">
                  <c:v>38754</c:v>
                </c:pt>
                <c:pt idx="1498">
                  <c:v>38755</c:v>
                </c:pt>
                <c:pt idx="1499">
                  <c:v>38756</c:v>
                </c:pt>
                <c:pt idx="1500">
                  <c:v>38757</c:v>
                </c:pt>
                <c:pt idx="1501">
                  <c:v>38758</c:v>
                </c:pt>
                <c:pt idx="1502">
                  <c:v>38759</c:v>
                </c:pt>
                <c:pt idx="1503">
                  <c:v>38760</c:v>
                </c:pt>
                <c:pt idx="1504">
                  <c:v>38761</c:v>
                </c:pt>
                <c:pt idx="1505">
                  <c:v>38762</c:v>
                </c:pt>
                <c:pt idx="1506">
                  <c:v>38763</c:v>
                </c:pt>
                <c:pt idx="1507">
                  <c:v>38764</c:v>
                </c:pt>
                <c:pt idx="1508">
                  <c:v>38765</c:v>
                </c:pt>
                <c:pt idx="1509">
                  <c:v>38766</c:v>
                </c:pt>
                <c:pt idx="1510">
                  <c:v>38767</c:v>
                </c:pt>
                <c:pt idx="1511">
                  <c:v>38768</c:v>
                </c:pt>
                <c:pt idx="1512">
                  <c:v>38769</c:v>
                </c:pt>
                <c:pt idx="1513">
                  <c:v>38770</c:v>
                </c:pt>
                <c:pt idx="1514">
                  <c:v>38771</c:v>
                </c:pt>
                <c:pt idx="1515">
                  <c:v>38772</c:v>
                </c:pt>
                <c:pt idx="1516">
                  <c:v>38773</c:v>
                </c:pt>
                <c:pt idx="1517">
                  <c:v>38774</c:v>
                </c:pt>
                <c:pt idx="1518">
                  <c:v>38775</c:v>
                </c:pt>
                <c:pt idx="1519">
                  <c:v>38776</c:v>
                </c:pt>
                <c:pt idx="1520">
                  <c:v>38777</c:v>
                </c:pt>
                <c:pt idx="1521">
                  <c:v>38778</c:v>
                </c:pt>
                <c:pt idx="1522">
                  <c:v>38779</c:v>
                </c:pt>
                <c:pt idx="1523">
                  <c:v>38780</c:v>
                </c:pt>
                <c:pt idx="1524">
                  <c:v>38781</c:v>
                </c:pt>
                <c:pt idx="1525">
                  <c:v>38782</c:v>
                </c:pt>
                <c:pt idx="1526">
                  <c:v>38783</c:v>
                </c:pt>
                <c:pt idx="1527">
                  <c:v>38784</c:v>
                </c:pt>
                <c:pt idx="1528">
                  <c:v>38785</c:v>
                </c:pt>
                <c:pt idx="1529">
                  <c:v>38786</c:v>
                </c:pt>
                <c:pt idx="1530">
                  <c:v>38787</c:v>
                </c:pt>
                <c:pt idx="1531">
                  <c:v>38788</c:v>
                </c:pt>
                <c:pt idx="1532">
                  <c:v>38789</c:v>
                </c:pt>
                <c:pt idx="1533">
                  <c:v>38790</c:v>
                </c:pt>
                <c:pt idx="1534">
                  <c:v>38791</c:v>
                </c:pt>
                <c:pt idx="1535">
                  <c:v>38792</c:v>
                </c:pt>
                <c:pt idx="1536">
                  <c:v>38793</c:v>
                </c:pt>
                <c:pt idx="1537">
                  <c:v>38794</c:v>
                </c:pt>
                <c:pt idx="1538">
                  <c:v>38795</c:v>
                </c:pt>
                <c:pt idx="1539">
                  <c:v>38796</c:v>
                </c:pt>
                <c:pt idx="1540">
                  <c:v>38797</c:v>
                </c:pt>
                <c:pt idx="1541">
                  <c:v>38798</c:v>
                </c:pt>
                <c:pt idx="1542">
                  <c:v>38799</c:v>
                </c:pt>
                <c:pt idx="1543">
                  <c:v>38800</c:v>
                </c:pt>
                <c:pt idx="1544">
                  <c:v>38801</c:v>
                </c:pt>
                <c:pt idx="1545">
                  <c:v>38802</c:v>
                </c:pt>
                <c:pt idx="1546">
                  <c:v>38803</c:v>
                </c:pt>
                <c:pt idx="1547">
                  <c:v>38804</c:v>
                </c:pt>
                <c:pt idx="1548">
                  <c:v>38805</c:v>
                </c:pt>
                <c:pt idx="1549">
                  <c:v>38806</c:v>
                </c:pt>
                <c:pt idx="1550">
                  <c:v>38807</c:v>
                </c:pt>
                <c:pt idx="1551">
                  <c:v>38808</c:v>
                </c:pt>
                <c:pt idx="1552">
                  <c:v>38809</c:v>
                </c:pt>
                <c:pt idx="1553">
                  <c:v>38810</c:v>
                </c:pt>
                <c:pt idx="1554">
                  <c:v>38811</c:v>
                </c:pt>
                <c:pt idx="1555">
                  <c:v>38812</c:v>
                </c:pt>
                <c:pt idx="1556">
                  <c:v>38813</c:v>
                </c:pt>
                <c:pt idx="1557">
                  <c:v>38814</c:v>
                </c:pt>
                <c:pt idx="1558">
                  <c:v>38815</c:v>
                </c:pt>
                <c:pt idx="1559">
                  <c:v>38816</c:v>
                </c:pt>
                <c:pt idx="1560">
                  <c:v>38817</c:v>
                </c:pt>
                <c:pt idx="1561">
                  <c:v>38818</c:v>
                </c:pt>
                <c:pt idx="1562">
                  <c:v>38819</c:v>
                </c:pt>
                <c:pt idx="1563">
                  <c:v>38820</c:v>
                </c:pt>
                <c:pt idx="1564">
                  <c:v>38821</c:v>
                </c:pt>
                <c:pt idx="1565">
                  <c:v>38822</c:v>
                </c:pt>
                <c:pt idx="1566">
                  <c:v>38823</c:v>
                </c:pt>
                <c:pt idx="1567">
                  <c:v>38824</c:v>
                </c:pt>
                <c:pt idx="1568">
                  <c:v>38825</c:v>
                </c:pt>
                <c:pt idx="1569">
                  <c:v>38826</c:v>
                </c:pt>
                <c:pt idx="1570">
                  <c:v>38827</c:v>
                </c:pt>
                <c:pt idx="1571">
                  <c:v>38828</c:v>
                </c:pt>
                <c:pt idx="1572">
                  <c:v>38829</c:v>
                </c:pt>
                <c:pt idx="1573">
                  <c:v>38830</c:v>
                </c:pt>
                <c:pt idx="1574">
                  <c:v>38831</c:v>
                </c:pt>
                <c:pt idx="1575">
                  <c:v>38832</c:v>
                </c:pt>
                <c:pt idx="1576">
                  <c:v>38833</c:v>
                </c:pt>
                <c:pt idx="1577">
                  <c:v>38834</c:v>
                </c:pt>
                <c:pt idx="1578">
                  <c:v>38835</c:v>
                </c:pt>
                <c:pt idx="1579">
                  <c:v>38836</c:v>
                </c:pt>
                <c:pt idx="1580">
                  <c:v>38837</c:v>
                </c:pt>
                <c:pt idx="1581">
                  <c:v>38838</c:v>
                </c:pt>
                <c:pt idx="1582">
                  <c:v>38839</c:v>
                </c:pt>
                <c:pt idx="1583">
                  <c:v>38840</c:v>
                </c:pt>
                <c:pt idx="1584">
                  <c:v>38841</c:v>
                </c:pt>
                <c:pt idx="1585">
                  <c:v>38842</c:v>
                </c:pt>
                <c:pt idx="1586">
                  <c:v>38843</c:v>
                </c:pt>
                <c:pt idx="1587">
                  <c:v>38844</c:v>
                </c:pt>
                <c:pt idx="1588">
                  <c:v>38845</c:v>
                </c:pt>
                <c:pt idx="1589">
                  <c:v>38846</c:v>
                </c:pt>
                <c:pt idx="1590">
                  <c:v>38847</c:v>
                </c:pt>
                <c:pt idx="1591">
                  <c:v>38848</c:v>
                </c:pt>
                <c:pt idx="1592">
                  <c:v>38849</c:v>
                </c:pt>
                <c:pt idx="1593">
                  <c:v>38850</c:v>
                </c:pt>
                <c:pt idx="1594">
                  <c:v>38851</c:v>
                </c:pt>
                <c:pt idx="1595">
                  <c:v>38852</c:v>
                </c:pt>
                <c:pt idx="1596">
                  <c:v>38853</c:v>
                </c:pt>
                <c:pt idx="1597">
                  <c:v>38854</c:v>
                </c:pt>
                <c:pt idx="1598">
                  <c:v>38855</c:v>
                </c:pt>
                <c:pt idx="1599">
                  <c:v>38856</c:v>
                </c:pt>
                <c:pt idx="1600">
                  <c:v>38857</c:v>
                </c:pt>
                <c:pt idx="1601">
                  <c:v>38858</c:v>
                </c:pt>
                <c:pt idx="1602">
                  <c:v>38859</c:v>
                </c:pt>
                <c:pt idx="1603">
                  <c:v>38860</c:v>
                </c:pt>
                <c:pt idx="1604">
                  <c:v>38861</c:v>
                </c:pt>
                <c:pt idx="1605">
                  <c:v>38862</c:v>
                </c:pt>
                <c:pt idx="1606">
                  <c:v>38863</c:v>
                </c:pt>
                <c:pt idx="1607">
                  <c:v>38864</c:v>
                </c:pt>
                <c:pt idx="1608">
                  <c:v>38865</c:v>
                </c:pt>
                <c:pt idx="1609">
                  <c:v>38866</c:v>
                </c:pt>
                <c:pt idx="1610">
                  <c:v>38867</c:v>
                </c:pt>
                <c:pt idx="1611">
                  <c:v>38868</c:v>
                </c:pt>
                <c:pt idx="1612">
                  <c:v>38869</c:v>
                </c:pt>
                <c:pt idx="1613">
                  <c:v>38870</c:v>
                </c:pt>
                <c:pt idx="1614">
                  <c:v>38871</c:v>
                </c:pt>
                <c:pt idx="1615">
                  <c:v>38872</c:v>
                </c:pt>
                <c:pt idx="1616">
                  <c:v>38873</c:v>
                </c:pt>
                <c:pt idx="1617">
                  <c:v>38874</c:v>
                </c:pt>
                <c:pt idx="1618">
                  <c:v>38875</c:v>
                </c:pt>
                <c:pt idx="1619">
                  <c:v>38876</c:v>
                </c:pt>
                <c:pt idx="1620">
                  <c:v>38877</c:v>
                </c:pt>
                <c:pt idx="1621">
                  <c:v>38878</c:v>
                </c:pt>
                <c:pt idx="1622">
                  <c:v>38879</c:v>
                </c:pt>
                <c:pt idx="1623">
                  <c:v>38880</c:v>
                </c:pt>
                <c:pt idx="1624">
                  <c:v>38881</c:v>
                </c:pt>
                <c:pt idx="1625">
                  <c:v>38882</c:v>
                </c:pt>
                <c:pt idx="1626">
                  <c:v>38883</c:v>
                </c:pt>
                <c:pt idx="1627">
                  <c:v>38884</c:v>
                </c:pt>
                <c:pt idx="1628">
                  <c:v>38885</c:v>
                </c:pt>
                <c:pt idx="1629">
                  <c:v>38886</c:v>
                </c:pt>
                <c:pt idx="1630">
                  <c:v>38887</c:v>
                </c:pt>
                <c:pt idx="1631">
                  <c:v>38888</c:v>
                </c:pt>
                <c:pt idx="1632">
                  <c:v>38889</c:v>
                </c:pt>
                <c:pt idx="1633">
                  <c:v>38890</c:v>
                </c:pt>
                <c:pt idx="1634">
                  <c:v>38891</c:v>
                </c:pt>
                <c:pt idx="1635">
                  <c:v>38892</c:v>
                </c:pt>
                <c:pt idx="1636">
                  <c:v>38893</c:v>
                </c:pt>
                <c:pt idx="1637">
                  <c:v>38894</c:v>
                </c:pt>
                <c:pt idx="1638">
                  <c:v>38895</c:v>
                </c:pt>
                <c:pt idx="1639">
                  <c:v>38896</c:v>
                </c:pt>
                <c:pt idx="1640">
                  <c:v>38897</c:v>
                </c:pt>
                <c:pt idx="1641">
                  <c:v>38898</c:v>
                </c:pt>
                <c:pt idx="1642">
                  <c:v>38899</c:v>
                </c:pt>
                <c:pt idx="1643">
                  <c:v>38900</c:v>
                </c:pt>
                <c:pt idx="1644">
                  <c:v>38901</c:v>
                </c:pt>
                <c:pt idx="1645">
                  <c:v>38902</c:v>
                </c:pt>
                <c:pt idx="1646">
                  <c:v>38903</c:v>
                </c:pt>
                <c:pt idx="1647">
                  <c:v>38904</c:v>
                </c:pt>
                <c:pt idx="1648">
                  <c:v>38905</c:v>
                </c:pt>
                <c:pt idx="1649">
                  <c:v>38906</c:v>
                </c:pt>
                <c:pt idx="1650">
                  <c:v>38907</c:v>
                </c:pt>
                <c:pt idx="1651">
                  <c:v>38908</c:v>
                </c:pt>
                <c:pt idx="1652">
                  <c:v>38909</c:v>
                </c:pt>
                <c:pt idx="1653">
                  <c:v>38910</c:v>
                </c:pt>
                <c:pt idx="1654">
                  <c:v>38911</c:v>
                </c:pt>
                <c:pt idx="1655">
                  <c:v>38912</c:v>
                </c:pt>
                <c:pt idx="1656">
                  <c:v>38913</c:v>
                </c:pt>
                <c:pt idx="1657">
                  <c:v>38914</c:v>
                </c:pt>
                <c:pt idx="1658">
                  <c:v>38915</c:v>
                </c:pt>
                <c:pt idx="1659">
                  <c:v>38916</c:v>
                </c:pt>
                <c:pt idx="1660">
                  <c:v>38917</c:v>
                </c:pt>
                <c:pt idx="1661">
                  <c:v>38918</c:v>
                </c:pt>
                <c:pt idx="1662">
                  <c:v>38919</c:v>
                </c:pt>
                <c:pt idx="1663">
                  <c:v>38920</c:v>
                </c:pt>
                <c:pt idx="1664">
                  <c:v>38921</c:v>
                </c:pt>
                <c:pt idx="1665">
                  <c:v>38922</c:v>
                </c:pt>
                <c:pt idx="1666">
                  <c:v>38923</c:v>
                </c:pt>
                <c:pt idx="1667">
                  <c:v>38924</c:v>
                </c:pt>
                <c:pt idx="1668">
                  <c:v>38925</c:v>
                </c:pt>
                <c:pt idx="1669">
                  <c:v>38926</c:v>
                </c:pt>
                <c:pt idx="1670">
                  <c:v>38927</c:v>
                </c:pt>
                <c:pt idx="1671">
                  <c:v>38928</c:v>
                </c:pt>
                <c:pt idx="1672">
                  <c:v>38929</c:v>
                </c:pt>
                <c:pt idx="1673">
                  <c:v>38930</c:v>
                </c:pt>
                <c:pt idx="1674">
                  <c:v>38931</c:v>
                </c:pt>
                <c:pt idx="1675">
                  <c:v>38932</c:v>
                </c:pt>
                <c:pt idx="1676">
                  <c:v>38933</c:v>
                </c:pt>
                <c:pt idx="1677">
                  <c:v>38934</c:v>
                </c:pt>
                <c:pt idx="1678">
                  <c:v>38935</c:v>
                </c:pt>
                <c:pt idx="1679">
                  <c:v>38936</c:v>
                </c:pt>
                <c:pt idx="1680">
                  <c:v>38937</c:v>
                </c:pt>
                <c:pt idx="1681">
                  <c:v>38938</c:v>
                </c:pt>
                <c:pt idx="1682">
                  <c:v>38939</c:v>
                </c:pt>
                <c:pt idx="1683">
                  <c:v>38940</c:v>
                </c:pt>
                <c:pt idx="1684">
                  <c:v>38941</c:v>
                </c:pt>
                <c:pt idx="1685">
                  <c:v>38942</c:v>
                </c:pt>
                <c:pt idx="1686">
                  <c:v>38943</c:v>
                </c:pt>
                <c:pt idx="1687">
                  <c:v>38944</c:v>
                </c:pt>
                <c:pt idx="1688">
                  <c:v>38945</c:v>
                </c:pt>
                <c:pt idx="1689">
                  <c:v>38946</c:v>
                </c:pt>
                <c:pt idx="1690">
                  <c:v>38947</c:v>
                </c:pt>
                <c:pt idx="1691">
                  <c:v>38948</c:v>
                </c:pt>
                <c:pt idx="1692">
                  <c:v>38949</c:v>
                </c:pt>
                <c:pt idx="1693">
                  <c:v>38950</c:v>
                </c:pt>
                <c:pt idx="1694">
                  <c:v>38951</c:v>
                </c:pt>
                <c:pt idx="1695">
                  <c:v>38952</c:v>
                </c:pt>
                <c:pt idx="1696">
                  <c:v>38953</c:v>
                </c:pt>
                <c:pt idx="1697">
                  <c:v>38954</c:v>
                </c:pt>
                <c:pt idx="1698">
                  <c:v>38955</c:v>
                </c:pt>
                <c:pt idx="1699">
                  <c:v>38956</c:v>
                </c:pt>
                <c:pt idx="1700">
                  <c:v>38957</c:v>
                </c:pt>
                <c:pt idx="1701">
                  <c:v>38958</c:v>
                </c:pt>
                <c:pt idx="1702">
                  <c:v>38959</c:v>
                </c:pt>
                <c:pt idx="1703">
                  <c:v>38960</c:v>
                </c:pt>
                <c:pt idx="1704">
                  <c:v>38961</c:v>
                </c:pt>
                <c:pt idx="1705">
                  <c:v>38962</c:v>
                </c:pt>
                <c:pt idx="1706">
                  <c:v>38963</c:v>
                </c:pt>
                <c:pt idx="1707">
                  <c:v>38964</c:v>
                </c:pt>
                <c:pt idx="1708">
                  <c:v>38965</c:v>
                </c:pt>
                <c:pt idx="1709">
                  <c:v>38966</c:v>
                </c:pt>
                <c:pt idx="1710">
                  <c:v>38967</c:v>
                </c:pt>
                <c:pt idx="1711">
                  <c:v>38968</c:v>
                </c:pt>
                <c:pt idx="1712">
                  <c:v>38969</c:v>
                </c:pt>
                <c:pt idx="1713">
                  <c:v>38970</c:v>
                </c:pt>
                <c:pt idx="1714">
                  <c:v>38971</c:v>
                </c:pt>
                <c:pt idx="1715">
                  <c:v>38972</c:v>
                </c:pt>
                <c:pt idx="1716">
                  <c:v>38973</c:v>
                </c:pt>
                <c:pt idx="1717">
                  <c:v>38974</c:v>
                </c:pt>
                <c:pt idx="1718">
                  <c:v>38975</c:v>
                </c:pt>
                <c:pt idx="1719">
                  <c:v>38976</c:v>
                </c:pt>
                <c:pt idx="1720">
                  <c:v>38977</c:v>
                </c:pt>
                <c:pt idx="1721">
                  <c:v>38978</c:v>
                </c:pt>
                <c:pt idx="1722">
                  <c:v>38979</c:v>
                </c:pt>
                <c:pt idx="1723">
                  <c:v>38980</c:v>
                </c:pt>
                <c:pt idx="1724">
                  <c:v>38981</c:v>
                </c:pt>
                <c:pt idx="1725">
                  <c:v>38982</c:v>
                </c:pt>
                <c:pt idx="1726">
                  <c:v>38983</c:v>
                </c:pt>
                <c:pt idx="1727">
                  <c:v>38984</c:v>
                </c:pt>
                <c:pt idx="1728">
                  <c:v>38985</c:v>
                </c:pt>
                <c:pt idx="1729">
                  <c:v>38986</c:v>
                </c:pt>
                <c:pt idx="1730">
                  <c:v>38987</c:v>
                </c:pt>
                <c:pt idx="1731">
                  <c:v>38988</c:v>
                </c:pt>
                <c:pt idx="1732">
                  <c:v>38989</c:v>
                </c:pt>
                <c:pt idx="1733">
                  <c:v>38990</c:v>
                </c:pt>
                <c:pt idx="1734">
                  <c:v>38991</c:v>
                </c:pt>
                <c:pt idx="1735">
                  <c:v>38992</c:v>
                </c:pt>
                <c:pt idx="1736">
                  <c:v>38993</c:v>
                </c:pt>
                <c:pt idx="1737">
                  <c:v>38994</c:v>
                </c:pt>
                <c:pt idx="1738">
                  <c:v>38995</c:v>
                </c:pt>
                <c:pt idx="1739">
                  <c:v>38996</c:v>
                </c:pt>
                <c:pt idx="1740">
                  <c:v>38997</c:v>
                </c:pt>
                <c:pt idx="1741">
                  <c:v>38998</c:v>
                </c:pt>
                <c:pt idx="1742">
                  <c:v>38999</c:v>
                </c:pt>
                <c:pt idx="1743">
                  <c:v>39000</c:v>
                </c:pt>
                <c:pt idx="1744">
                  <c:v>39001</c:v>
                </c:pt>
                <c:pt idx="1745">
                  <c:v>39002</c:v>
                </c:pt>
                <c:pt idx="1746">
                  <c:v>39003</c:v>
                </c:pt>
                <c:pt idx="1747">
                  <c:v>39004</c:v>
                </c:pt>
                <c:pt idx="1748">
                  <c:v>39005</c:v>
                </c:pt>
                <c:pt idx="1749">
                  <c:v>39006</c:v>
                </c:pt>
                <c:pt idx="1750">
                  <c:v>39007</c:v>
                </c:pt>
                <c:pt idx="1751">
                  <c:v>39008</c:v>
                </c:pt>
                <c:pt idx="1752">
                  <c:v>39009</c:v>
                </c:pt>
                <c:pt idx="1753">
                  <c:v>39010</c:v>
                </c:pt>
                <c:pt idx="1754">
                  <c:v>39011</c:v>
                </c:pt>
                <c:pt idx="1755">
                  <c:v>39012</c:v>
                </c:pt>
                <c:pt idx="1756">
                  <c:v>39013</c:v>
                </c:pt>
                <c:pt idx="1757">
                  <c:v>39014</c:v>
                </c:pt>
                <c:pt idx="1758">
                  <c:v>39015</c:v>
                </c:pt>
                <c:pt idx="1759">
                  <c:v>39016</c:v>
                </c:pt>
                <c:pt idx="1760">
                  <c:v>39017</c:v>
                </c:pt>
                <c:pt idx="1761">
                  <c:v>39018</c:v>
                </c:pt>
                <c:pt idx="1762">
                  <c:v>39019</c:v>
                </c:pt>
                <c:pt idx="1763">
                  <c:v>39020</c:v>
                </c:pt>
                <c:pt idx="1764">
                  <c:v>39021</c:v>
                </c:pt>
                <c:pt idx="1765">
                  <c:v>39022</c:v>
                </c:pt>
                <c:pt idx="1766">
                  <c:v>39023</c:v>
                </c:pt>
                <c:pt idx="1767">
                  <c:v>39024</c:v>
                </c:pt>
                <c:pt idx="1768">
                  <c:v>39025</c:v>
                </c:pt>
                <c:pt idx="1769">
                  <c:v>39026</c:v>
                </c:pt>
                <c:pt idx="1770">
                  <c:v>39027</c:v>
                </c:pt>
                <c:pt idx="1771">
                  <c:v>39028</c:v>
                </c:pt>
                <c:pt idx="1772">
                  <c:v>39029</c:v>
                </c:pt>
                <c:pt idx="1773">
                  <c:v>39030</c:v>
                </c:pt>
                <c:pt idx="1774">
                  <c:v>39031</c:v>
                </c:pt>
                <c:pt idx="1775">
                  <c:v>39032</c:v>
                </c:pt>
                <c:pt idx="1776">
                  <c:v>39033</c:v>
                </c:pt>
                <c:pt idx="1777">
                  <c:v>39034</c:v>
                </c:pt>
                <c:pt idx="1778">
                  <c:v>39035</c:v>
                </c:pt>
                <c:pt idx="1779">
                  <c:v>39036</c:v>
                </c:pt>
                <c:pt idx="1780">
                  <c:v>39037</c:v>
                </c:pt>
                <c:pt idx="1781">
                  <c:v>39038</c:v>
                </c:pt>
                <c:pt idx="1782">
                  <c:v>39039</c:v>
                </c:pt>
                <c:pt idx="1783">
                  <c:v>39040</c:v>
                </c:pt>
                <c:pt idx="1784">
                  <c:v>39041</c:v>
                </c:pt>
                <c:pt idx="1785">
                  <c:v>39042</c:v>
                </c:pt>
                <c:pt idx="1786">
                  <c:v>39043</c:v>
                </c:pt>
                <c:pt idx="1787">
                  <c:v>39044</c:v>
                </c:pt>
                <c:pt idx="1788">
                  <c:v>39045</c:v>
                </c:pt>
                <c:pt idx="1789">
                  <c:v>39046</c:v>
                </c:pt>
                <c:pt idx="1790">
                  <c:v>39047</c:v>
                </c:pt>
                <c:pt idx="1791">
                  <c:v>39048</c:v>
                </c:pt>
                <c:pt idx="1792">
                  <c:v>39049</c:v>
                </c:pt>
                <c:pt idx="1793">
                  <c:v>39050</c:v>
                </c:pt>
                <c:pt idx="1794">
                  <c:v>39051</c:v>
                </c:pt>
                <c:pt idx="1795">
                  <c:v>39052</c:v>
                </c:pt>
                <c:pt idx="1796">
                  <c:v>39053</c:v>
                </c:pt>
                <c:pt idx="1797">
                  <c:v>39054</c:v>
                </c:pt>
                <c:pt idx="1798">
                  <c:v>39055</c:v>
                </c:pt>
                <c:pt idx="1799">
                  <c:v>39056</c:v>
                </c:pt>
                <c:pt idx="1800">
                  <c:v>39057</c:v>
                </c:pt>
                <c:pt idx="1801">
                  <c:v>39058</c:v>
                </c:pt>
                <c:pt idx="1802">
                  <c:v>39059</c:v>
                </c:pt>
                <c:pt idx="1803">
                  <c:v>39060</c:v>
                </c:pt>
                <c:pt idx="1804">
                  <c:v>39061</c:v>
                </c:pt>
                <c:pt idx="1805">
                  <c:v>39062</c:v>
                </c:pt>
                <c:pt idx="1806">
                  <c:v>39063</c:v>
                </c:pt>
                <c:pt idx="1807">
                  <c:v>39064</c:v>
                </c:pt>
                <c:pt idx="1808">
                  <c:v>39065</c:v>
                </c:pt>
                <c:pt idx="1809">
                  <c:v>39066</c:v>
                </c:pt>
                <c:pt idx="1810">
                  <c:v>39067</c:v>
                </c:pt>
                <c:pt idx="1811">
                  <c:v>39068</c:v>
                </c:pt>
                <c:pt idx="1812">
                  <c:v>39069</c:v>
                </c:pt>
                <c:pt idx="1813">
                  <c:v>39070</c:v>
                </c:pt>
                <c:pt idx="1814">
                  <c:v>39071</c:v>
                </c:pt>
                <c:pt idx="1815">
                  <c:v>39072</c:v>
                </c:pt>
                <c:pt idx="1816">
                  <c:v>39073</c:v>
                </c:pt>
                <c:pt idx="1817">
                  <c:v>39074</c:v>
                </c:pt>
                <c:pt idx="1818">
                  <c:v>39075</c:v>
                </c:pt>
                <c:pt idx="1819">
                  <c:v>39076</c:v>
                </c:pt>
                <c:pt idx="1820">
                  <c:v>39077</c:v>
                </c:pt>
                <c:pt idx="1821">
                  <c:v>39078</c:v>
                </c:pt>
                <c:pt idx="1822">
                  <c:v>39079</c:v>
                </c:pt>
                <c:pt idx="1823">
                  <c:v>39080</c:v>
                </c:pt>
                <c:pt idx="1824">
                  <c:v>39081</c:v>
                </c:pt>
                <c:pt idx="1825">
                  <c:v>39082</c:v>
                </c:pt>
                <c:pt idx="1826">
                  <c:v>39083</c:v>
                </c:pt>
                <c:pt idx="1827">
                  <c:v>39084</c:v>
                </c:pt>
                <c:pt idx="1828">
                  <c:v>39085</c:v>
                </c:pt>
                <c:pt idx="1829">
                  <c:v>39086</c:v>
                </c:pt>
                <c:pt idx="1830">
                  <c:v>39087</c:v>
                </c:pt>
                <c:pt idx="1831">
                  <c:v>39088</c:v>
                </c:pt>
                <c:pt idx="1832">
                  <c:v>39089</c:v>
                </c:pt>
                <c:pt idx="1833">
                  <c:v>39090</c:v>
                </c:pt>
                <c:pt idx="1834">
                  <c:v>39091</c:v>
                </c:pt>
                <c:pt idx="1835">
                  <c:v>39092</c:v>
                </c:pt>
                <c:pt idx="1836">
                  <c:v>39093</c:v>
                </c:pt>
                <c:pt idx="1837">
                  <c:v>39094</c:v>
                </c:pt>
                <c:pt idx="1838">
                  <c:v>39095</c:v>
                </c:pt>
                <c:pt idx="1839">
                  <c:v>39096</c:v>
                </c:pt>
                <c:pt idx="1840">
                  <c:v>39097</c:v>
                </c:pt>
                <c:pt idx="1841">
                  <c:v>39098</c:v>
                </c:pt>
                <c:pt idx="1842">
                  <c:v>39099</c:v>
                </c:pt>
                <c:pt idx="1843">
                  <c:v>39100</c:v>
                </c:pt>
                <c:pt idx="1844">
                  <c:v>39101</c:v>
                </c:pt>
                <c:pt idx="1845">
                  <c:v>39102</c:v>
                </c:pt>
                <c:pt idx="1846">
                  <c:v>39103</c:v>
                </c:pt>
                <c:pt idx="1847">
                  <c:v>39104</c:v>
                </c:pt>
                <c:pt idx="1848">
                  <c:v>39105</c:v>
                </c:pt>
                <c:pt idx="1849">
                  <c:v>39106</c:v>
                </c:pt>
                <c:pt idx="1850">
                  <c:v>39107</c:v>
                </c:pt>
                <c:pt idx="1851">
                  <c:v>39108</c:v>
                </c:pt>
                <c:pt idx="1852">
                  <c:v>39109</c:v>
                </c:pt>
                <c:pt idx="1853">
                  <c:v>39110</c:v>
                </c:pt>
                <c:pt idx="1854">
                  <c:v>39111</c:v>
                </c:pt>
                <c:pt idx="1855">
                  <c:v>39112</c:v>
                </c:pt>
                <c:pt idx="1856">
                  <c:v>39113</c:v>
                </c:pt>
                <c:pt idx="1857">
                  <c:v>39114</c:v>
                </c:pt>
                <c:pt idx="1858">
                  <c:v>39115</c:v>
                </c:pt>
                <c:pt idx="1859">
                  <c:v>39116</c:v>
                </c:pt>
                <c:pt idx="1860">
                  <c:v>39117</c:v>
                </c:pt>
                <c:pt idx="1861">
                  <c:v>39118</c:v>
                </c:pt>
                <c:pt idx="1862">
                  <c:v>39119</c:v>
                </c:pt>
                <c:pt idx="1863">
                  <c:v>39120</c:v>
                </c:pt>
                <c:pt idx="1864">
                  <c:v>39121</c:v>
                </c:pt>
                <c:pt idx="1865">
                  <c:v>39122</c:v>
                </c:pt>
                <c:pt idx="1866">
                  <c:v>39123</c:v>
                </c:pt>
                <c:pt idx="1867">
                  <c:v>39124</c:v>
                </c:pt>
                <c:pt idx="1868">
                  <c:v>39125</c:v>
                </c:pt>
                <c:pt idx="1869">
                  <c:v>39126</c:v>
                </c:pt>
                <c:pt idx="1870">
                  <c:v>39127</c:v>
                </c:pt>
                <c:pt idx="1871">
                  <c:v>39128</c:v>
                </c:pt>
                <c:pt idx="1872">
                  <c:v>39129</c:v>
                </c:pt>
                <c:pt idx="1873">
                  <c:v>39130</c:v>
                </c:pt>
                <c:pt idx="1874">
                  <c:v>39131</c:v>
                </c:pt>
                <c:pt idx="1875">
                  <c:v>39132</c:v>
                </c:pt>
                <c:pt idx="1876">
                  <c:v>39133</c:v>
                </c:pt>
                <c:pt idx="1877">
                  <c:v>39134</c:v>
                </c:pt>
                <c:pt idx="1878">
                  <c:v>39135</c:v>
                </c:pt>
                <c:pt idx="1879">
                  <c:v>39136</c:v>
                </c:pt>
                <c:pt idx="1880">
                  <c:v>39137</c:v>
                </c:pt>
                <c:pt idx="1881">
                  <c:v>39138</c:v>
                </c:pt>
                <c:pt idx="1882">
                  <c:v>39139</c:v>
                </c:pt>
                <c:pt idx="1883">
                  <c:v>39140</c:v>
                </c:pt>
                <c:pt idx="1884">
                  <c:v>39141</c:v>
                </c:pt>
                <c:pt idx="1885">
                  <c:v>39142</c:v>
                </c:pt>
                <c:pt idx="1886">
                  <c:v>39143</c:v>
                </c:pt>
                <c:pt idx="1887">
                  <c:v>39144</c:v>
                </c:pt>
                <c:pt idx="1888">
                  <c:v>39145</c:v>
                </c:pt>
                <c:pt idx="1889">
                  <c:v>39146</c:v>
                </c:pt>
                <c:pt idx="1890">
                  <c:v>39147</c:v>
                </c:pt>
                <c:pt idx="1891">
                  <c:v>39148</c:v>
                </c:pt>
                <c:pt idx="1892">
                  <c:v>39149</c:v>
                </c:pt>
                <c:pt idx="1893">
                  <c:v>39150</c:v>
                </c:pt>
                <c:pt idx="1894">
                  <c:v>39151</c:v>
                </c:pt>
                <c:pt idx="1895">
                  <c:v>39152</c:v>
                </c:pt>
                <c:pt idx="1896">
                  <c:v>39153</c:v>
                </c:pt>
                <c:pt idx="1897">
                  <c:v>39154</c:v>
                </c:pt>
                <c:pt idx="1898">
                  <c:v>39155</c:v>
                </c:pt>
                <c:pt idx="1899">
                  <c:v>39156</c:v>
                </c:pt>
                <c:pt idx="1900">
                  <c:v>39157</c:v>
                </c:pt>
                <c:pt idx="1901">
                  <c:v>39158</c:v>
                </c:pt>
                <c:pt idx="1902">
                  <c:v>39159</c:v>
                </c:pt>
                <c:pt idx="1903">
                  <c:v>39160</c:v>
                </c:pt>
                <c:pt idx="1904">
                  <c:v>39161</c:v>
                </c:pt>
                <c:pt idx="1905">
                  <c:v>39162</c:v>
                </c:pt>
                <c:pt idx="1906">
                  <c:v>39163</c:v>
                </c:pt>
                <c:pt idx="1907">
                  <c:v>39164</c:v>
                </c:pt>
                <c:pt idx="1908">
                  <c:v>39165</c:v>
                </c:pt>
                <c:pt idx="1909">
                  <c:v>39166</c:v>
                </c:pt>
                <c:pt idx="1910">
                  <c:v>39167</c:v>
                </c:pt>
                <c:pt idx="1911">
                  <c:v>39168</c:v>
                </c:pt>
                <c:pt idx="1912">
                  <c:v>39169</c:v>
                </c:pt>
                <c:pt idx="1913">
                  <c:v>39170</c:v>
                </c:pt>
                <c:pt idx="1914">
                  <c:v>39171</c:v>
                </c:pt>
                <c:pt idx="1915">
                  <c:v>39172</c:v>
                </c:pt>
                <c:pt idx="1916">
                  <c:v>39173</c:v>
                </c:pt>
                <c:pt idx="1917">
                  <c:v>39174</c:v>
                </c:pt>
                <c:pt idx="1918">
                  <c:v>39175</c:v>
                </c:pt>
                <c:pt idx="1919">
                  <c:v>39176</c:v>
                </c:pt>
                <c:pt idx="1920">
                  <c:v>39177</c:v>
                </c:pt>
                <c:pt idx="1921">
                  <c:v>39178</c:v>
                </c:pt>
                <c:pt idx="1922">
                  <c:v>39179</c:v>
                </c:pt>
                <c:pt idx="1923">
                  <c:v>39180</c:v>
                </c:pt>
                <c:pt idx="1924">
                  <c:v>39181</c:v>
                </c:pt>
                <c:pt idx="1925">
                  <c:v>39182</c:v>
                </c:pt>
                <c:pt idx="1926">
                  <c:v>39183</c:v>
                </c:pt>
                <c:pt idx="1927">
                  <c:v>39184</c:v>
                </c:pt>
                <c:pt idx="1928">
                  <c:v>39185</c:v>
                </c:pt>
                <c:pt idx="1929">
                  <c:v>39186</c:v>
                </c:pt>
                <c:pt idx="1930">
                  <c:v>39187</c:v>
                </c:pt>
                <c:pt idx="1931">
                  <c:v>39188</c:v>
                </c:pt>
                <c:pt idx="1932">
                  <c:v>39189</c:v>
                </c:pt>
                <c:pt idx="1933">
                  <c:v>39190</c:v>
                </c:pt>
                <c:pt idx="1934">
                  <c:v>39191</c:v>
                </c:pt>
                <c:pt idx="1935">
                  <c:v>39192</c:v>
                </c:pt>
                <c:pt idx="1936">
                  <c:v>39193</c:v>
                </c:pt>
                <c:pt idx="1937">
                  <c:v>39194</c:v>
                </c:pt>
                <c:pt idx="1938">
                  <c:v>39195</c:v>
                </c:pt>
                <c:pt idx="1939">
                  <c:v>39196</c:v>
                </c:pt>
                <c:pt idx="1940">
                  <c:v>39197</c:v>
                </c:pt>
                <c:pt idx="1941">
                  <c:v>39198</c:v>
                </c:pt>
                <c:pt idx="1942">
                  <c:v>39199</c:v>
                </c:pt>
                <c:pt idx="1943">
                  <c:v>39200</c:v>
                </c:pt>
                <c:pt idx="1944">
                  <c:v>39201</c:v>
                </c:pt>
                <c:pt idx="1945">
                  <c:v>39202</c:v>
                </c:pt>
                <c:pt idx="1946">
                  <c:v>39203</c:v>
                </c:pt>
                <c:pt idx="1947">
                  <c:v>39204</c:v>
                </c:pt>
                <c:pt idx="1948">
                  <c:v>39205</c:v>
                </c:pt>
                <c:pt idx="1949">
                  <c:v>39206</c:v>
                </c:pt>
                <c:pt idx="1950">
                  <c:v>39207</c:v>
                </c:pt>
                <c:pt idx="1951">
                  <c:v>39208</c:v>
                </c:pt>
                <c:pt idx="1952">
                  <c:v>39209</c:v>
                </c:pt>
                <c:pt idx="1953">
                  <c:v>39210</c:v>
                </c:pt>
                <c:pt idx="1954">
                  <c:v>39211</c:v>
                </c:pt>
                <c:pt idx="1955">
                  <c:v>39212</c:v>
                </c:pt>
                <c:pt idx="1956">
                  <c:v>39213</c:v>
                </c:pt>
                <c:pt idx="1957">
                  <c:v>39214</c:v>
                </c:pt>
                <c:pt idx="1958">
                  <c:v>39215</c:v>
                </c:pt>
                <c:pt idx="1959">
                  <c:v>39216</c:v>
                </c:pt>
                <c:pt idx="1960">
                  <c:v>39217</c:v>
                </c:pt>
                <c:pt idx="1961">
                  <c:v>39218</c:v>
                </c:pt>
                <c:pt idx="1962">
                  <c:v>39219</c:v>
                </c:pt>
                <c:pt idx="1963">
                  <c:v>39220</c:v>
                </c:pt>
                <c:pt idx="1964">
                  <c:v>39221</c:v>
                </c:pt>
                <c:pt idx="1965">
                  <c:v>39222</c:v>
                </c:pt>
                <c:pt idx="1966">
                  <c:v>39223</c:v>
                </c:pt>
                <c:pt idx="1967">
                  <c:v>39224</c:v>
                </c:pt>
                <c:pt idx="1968">
                  <c:v>39225</c:v>
                </c:pt>
                <c:pt idx="1969">
                  <c:v>39226</c:v>
                </c:pt>
                <c:pt idx="1970">
                  <c:v>39227</c:v>
                </c:pt>
                <c:pt idx="1971">
                  <c:v>39228</c:v>
                </c:pt>
                <c:pt idx="1972">
                  <c:v>39229</c:v>
                </c:pt>
                <c:pt idx="1973">
                  <c:v>39230</c:v>
                </c:pt>
                <c:pt idx="1974">
                  <c:v>39231</c:v>
                </c:pt>
                <c:pt idx="1975">
                  <c:v>39232</c:v>
                </c:pt>
                <c:pt idx="1976">
                  <c:v>39233</c:v>
                </c:pt>
                <c:pt idx="1977">
                  <c:v>39234</c:v>
                </c:pt>
                <c:pt idx="1978">
                  <c:v>39235</c:v>
                </c:pt>
                <c:pt idx="1979">
                  <c:v>39236</c:v>
                </c:pt>
                <c:pt idx="1980">
                  <c:v>39237</c:v>
                </c:pt>
                <c:pt idx="1981">
                  <c:v>39238</c:v>
                </c:pt>
                <c:pt idx="1982">
                  <c:v>39239</c:v>
                </c:pt>
                <c:pt idx="1983">
                  <c:v>39240</c:v>
                </c:pt>
                <c:pt idx="1984">
                  <c:v>39241</c:v>
                </c:pt>
                <c:pt idx="1985">
                  <c:v>39242</c:v>
                </c:pt>
                <c:pt idx="1986">
                  <c:v>39243</c:v>
                </c:pt>
                <c:pt idx="1987">
                  <c:v>39244</c:v>
                </c:pt>
                <c:pt idx="1988">
                  <c:v>39245</c:v>
                </c:pt>
                <c:pt idx="1989">
                  <c:v>39246</c:v>
                </c:pt>
                <c:pt idx="1990">
                  <c:v>39247</c:v>
                </c:pt>
                <c:pt idx="1991">
                  <c:v>39248</c:v>
                </c:pt>
                <c:pt idx="1992">
                  <c:v>39249</c:v>
                </c:pt>
                <c:pt idx="1993">
                  <c:v>39250</c:v>
                </c:pt>
                <c:pt idx="1994">
                  <c:v>39251</c:v>
                </c:pt>
                <c:pt idx="1995">
                  <c:v>39252</c:v>
                </c:pt>
                <c:pt idx="1996">
                  <c:v>39253</c:v>
                </c:pt>
                <c:pt idx="1997">
                  <c:v>39254</c:v>
                </c:pt>
                <c:pt idx="1998">
                  <c:v>39255</c:v>
                </c:pt>
                <c:pt idx="1999">
                  <c:v>39256</c:v>
                </c:pt>
                <c:pt idx="2000">
                  <c:v>39257</c:v>
                </c:pt>
                <c:pt idx="2001">
                  <c:v>39258</c:v>
                </c:pt>
                <c:pt idx="2002">
                  <c:v>39259</c:v>
                </c:pt>
                <c:pt idx="2003">
                  <c:v>39260</c:v>
                </c:pt>
                <c:pt idx="2004">
                  <c:v>39261</c:v>
                </c:pt>
                <c:pt idx="2005">
                  <c:v>39262</c:v>
                </c:pt>
                <c:pt idx="2006">
                  <c:v>39263</c:v>
                </c:pt>
                <c:pt idx="2007">
                  <c:v>39264</c:v>
                </c:pt>
                <c:pt idx="2008">
                  <c:v>39265</c:v>
                </c:pt>
                <c:pt idx="2009">
                  <c:v>39266</c:v>
                </c:pt>
                <c:pt idx="2010">
                  <c:v>39267</c:v>
                </c:pt>
                <c:pt idx="2011">
                  <c:v>39268</c:v>
                </c:pt>
                <c:pt idx="2012">
                  <c:v>39269</c:v>
                </c:pt>
                <c:pt idx="2013">
                  <c:v>39270</c:v>
                </c:pt>
                <c:pt idx="2014">
                  <c:v>39271</c:v>
                </c:pt>
                <c:pt idx="2015">
                  <c:v>39272</c:v>
                </c:pt>
                <c:pt idx="2016">
                  <c:v>39273</c:v>
                </c:pt>
                <c:pt idx="2017">
                  <c:v>39274</c:v>
                </c:pt>
                <c:pt idx="2018">
                  <c:v>39275</c:v>
                </c:pt>
                <c:pt idx="2019">
                  <c:v>39276</c:v>
                </c:pt>
                <c:pt idx="2020">
                  <c:v>39277</c:v>
                </c:pt>
                <c:pt idx="2021">
                  <c:v>39278</c:v>
                </c:pt>
                <c:pt idx="2022">
                  <c:v>39279</c:v>
                </c:pt>
                <c:pt idx="2023">
                  <c:v>39280</c:v>
                </c:pt>
                <c:pt idx="2024">
                  <c:v>39281</c:v>
                </c:pt>
                <c:pt idx="2025">
                  <c:v>39282</c:v>
                </c:pt>
                <c:pt idx="2026">
                  <c:v>39283</c:v>
                </c:pt>
                <c:pt idx="2027">
                  <c:v>39284</c:v>
                </c:pt>
                <c:pt idx="2028">
                  <c:v>39285</c:v>
                </c:pt>
                <c:pt idx="2029">
                  <c:v>39286</c:v>
                </c:pt>
                <c:pt idx="2030">
                  <c:v>39287</c:v>
                </c:pt>
                <c:pt idx="2031">
                  <c:v>39288</c:v>
                </c:pt>
                <c:pt idx="2032">
                  <c:v>39289</c:v>
                </c:pt>
                <c:pt idx="2033">
                  <c:v>39290</c:v>
                </c:pt>
                <c:pt idx="2034">
                  <c:v>39291</c:v>
                </c:pt>
                <c:pt idx="2035">
                  <c:v>39292</c:v>
                </c:pt>
                <c:pt idx="2036">
                  <c:v>39293</c:v>
                </c:pt>
                <c:pt idx="2037">
                  <c:v>39294</c:v>
                </c:pt>
                <c:pt idx="2038">
                  <c:v>39295</c:v>
                </c:pt>
                <c:pt idx="2039">
                  <c:v>39296</c:v>
                </c:pt>
                <c:pt idx="2040">
                  <c:v>39297</c:v>
                </c:pt>
                <c:pt idx="2041">
                  <c:v>39298</c:v>
                </c:pt>
                <c:pt idx="2042">
                  <c:v>39299</c:v>
                </c:pt>
                <c:pt idx="2043">
                  <c:v>39300</c:v>
                </c:pt>
                <c:pt idx="2044">
                  <c:v>39301</c:v>
                </c:pt>
                <c:pt idx="2045">
                  <c:v>39302</c:v>
                </c:pt>
                <c:pt idx="2046">
                  <c:v>39303</c:v>
                </c:pt>
                <c:pt idx="2047">
                  <c:v>39304</c:v>
                </c:pt>
                <c:pt idx="2048">
                  <c:v>39305</c:v>
                </c:pt>
                <c:pt idx="2049">
                  <c:v>39306</c:v>
                </c:pt>
                <c:pt idx="2050">
                  <c:v>39307</c:v>
                </c:pt>
                <c:pt idx="2051">
                  <c:v>39308</c:v>
                </c:pt>
                <c:pt idx="2052">
                  <c:v>39309</c:v>
                </c:pt>
                <c:pt idx="2053">
                  <c:v>39310</c:v>
                </c:pt>
                <c:pt idx="2054">
                  <c:v>39311</c:v>
                </c:pt>
                <c:pt idx="2055">
                  <c:v>39312</c:v>
                </c:pt>
                <c:pt idx="2056">
                  <c:v>39313</c:v>
                </c:pt>
                <c:pt idx="2057">
                  <c:v>39314</c:v>
                </c:pt>
                <c:pt idx="2058">
                  <c:v>39315</c:v>
                </c:pt>
                <c:pt idx="2059">
                  <c:v>39316</c:v>
                </c:pt>
                <c:pt idx="2060">
                  <c:v>39317</c:v>
                </c:pt>
                <c:pt idx="2061">
                  <c:v>39318</c:v>
                </c:pt>
                <c:pt idx="2062">
                  <c:v>39319</c:v>
                </c:pt>
                <c:pt idx="2063">
                  <c:v>39320</c:v>
                </c:pt>
                <c:pt idx="2064">
                  <c:v>39321</c:v>
                </c:pt>
                <c:pt idx="2065">
                  <c:v>39322</c:v>
                </c:pt>
                <c:pt idx="2066">
                  <c:v>39323</c:v>
                </c:pt>
                <c:pt idx="2067">
                  <c:v>39324</c:v>
                </c:pt>
                <c:pt idx="2068">
                  <c:v>39325</c:v>
                </c:pt>
                <c:pt idx="2069">
                  <c:v>39326</c:v>
                </c:pt>
                <c:pt idx="2070">
                  <c:v>39327</c:v>
                </c:pt>
                <c:pt idx="2071">
                  <c:v>39328</c:v>
                </c:pt>
                <c:pt idx="2072">
                  <c:v>39329</c:v>
                </c:pt>
                <c:pt idx="2073">
                  <c:v>39330</c:v>
                </c:pt>
                <c:pt idx="2074">
                  <c:v>39331</c:v>
                </c:pt>
                <c:pt idx="2075">
                  <c:v>39332</c:v>
                </c:pt>
                <c:pt idx="2076">
                  <c:v>39333</c:v>
                </c:pt>
                <c:pt idx="2077">
                  <c:v>39334</c:v>
                </c:pt>
                <c:pt idx="2078">
                  <c:v>39335</c:v>
                </c:pt>
                <c:pt idx="2079">
                  <c:v>39336</c:v>
                </c:pt>
                <c:pt idx="2080">
                  <c:v>39337</c:v>
                </c:pt>
                <c:pt idx="2081">
                  <c:v>39338</c:v>
                </c:pt>
                <c:pt idx="2082">
                  <c:v>39339</c:v>
                </c:pt>
                <c:pt idx="2083">
                  <c:v>39340</c:v>
                </c:pt>
                <c:pt idx="2084">
                  <c:v>39341</c:v>
                </c:pt>
                <c:pt idx="2085">
                  <c:v>39342</c:v>
                </c:pt>
                <c:pt idx="2086">
                  <c:v>39343</c:v>
                </c:pt>
                <c:pt idx="2087">
                  <c:v>39344</c:v>
                </c:pt>
                <c:pt idx="2088">
                  <c:v>39345</c:v>
                </c:pt>
                <c:pt idx="2089">
                  <c:v>39346</c:v>
                </c:pt>
                <c:pt idx="2090">
                  <c:v>39347</c:v>
                </c:pt>
                <c:pt idx="2091">
                  <c:v>39348</c:v>
                </c:pt>
                <c:pt idx="2092">
                  <c:v>39349</c:v>
                </c:pt>
                <c:pt idx="2093">
                  <c:v>39350</c:v>
                </c:pt>
                <c:pt idx="2094">
                  <c:v>39351</c:v>
                </c:pt>
                <c:pt idx="2095">
                  <c:v>39352</c:v>
                </c:pt>
                <c:pt idx="2096">
                  <c:v>39353</c:v>
                </c:pt>
                <c:pt idx="2097">
                  <c:v>39354</c:v>
                </c:pt>
                <c:pt idx="2098">
                  <c:v>39355</c:v>
                </c:pt>
                <c:pt idx="2099">
                  <c:v>39356</c:v>
                </c:pt>
                <c:pt idx="2100">
                  <c:v>39357</c:v>
                </c:pt>
                <c:pt idx="2101">
                  <c:v>39358</c:v>
                </c:pt>
                <c:pt idx="2102">
                  <c:v>39359</c:v>
                </c:pt>
                <c:pt idx="2103">
                  <c:v>39360</c:v>
                </c:pt>
                <c:pt idx="2104">
                  <c:v>39361</c:v>
                </c:pt>
                <c:pt idx="2105">
                  <c:v>39362</c:v>
                </c:pt>
                <c:pt idx="2106">
                  <c:v>39363</c:v>
                </c:pt>
                <c:pt idx="2107">
                  <c:v>39364</c:v>
                </c:pt>
                <c:pt idx="2108">
                  <c:v>39365</c:v>
                </c:pt>
                <c:pt idx="2109">
                  <c:v>39366</c:v>
                </c:pt>
                <c:pt idx="2110">
                  <c:v>39367</c:v>
                </c:pt>
                <c:pt idx="2111">
                  <c:v>39368</c:v>
                </c:pt>
                <c:pt idx="2112">
                  <c:v>39369</c:v>
                </c:pt>
                <c:pt idx="2113">
                  <c:v>39370</c:v>
                </c:pt>
                <c:pt idx="2114">
                  <c:v>39371</c:v>
                </c:pt>
                <c:pt idx="2115">
                  <c:v>39372</c:v>
                </c:pt>
                <c:pt idx="2116">
                  <c:v>39373</c:v>
                </c:pt>
                <c:pt idx="2117">
                  <c:v>39374</c:v>
                </c:pt>
                <c:pt idx="2118">
                  <c:v>39375</c:v>
                </c:pt>
                <c:pt idx="2119">
                  <c:v>39376</c:v>
                </c:pt>
                <c:pt idx="2120">
                  <c:v>39377</c:v>
                </c:pt>
                <c:pt idx="2121">
                  <c:v>39378</c:v>
                </c:pt>
                <c:pt idx="2122">
                  <c:v>39379</c:v>
                </c:pt>
                <c:pt idx="2123">
                  <c:v>39380</c:v>
                </c:pt>
                <c:pt idx="2124">
                  <c:v>39381</c:v>
                </c:pt>
                <c:pt idx="2125">
                  <c:v>39382</c:v>
                </c:pt>
                <c:pt idx="2126">
                  <c:v>39383</c:v>
                </c:pt>
                <c:pt idx="2127">
                  <c:v>39384</c:v>
                </c:pt>
                <c:pt idx="2128">
                  <c:v>39385</c:v>
                </c:pt>
                <c:pt idx="2129">
                  <c:v>39386</c:v>
                </c:pt>
                <c:pt idx="2130">
                  <c:v>39387</c:v>
                </c:pt>
                <c:pt idx="2131">
                  <c:v>39388</c:v>
                </c:pt>
                <c:pt idx="2132">
                  <c:v>39389</c:v>
                </c:pt>
                <c:pt idx="2133">
                  <c:v>39390</c:v>
                </c:pt>
                <c:pt idx="2134">
                  <c:v>39391</c:v>
                </c:pt>
                <c:pt idx="2135">
                  <c:v>39392</c:v>
                </c:pt>
                <c:pt idx="2136">
                  <c:v>39393</c:v>
                </c:pt>
                <c:pt idx="2137">
                  <c:v>39394</c:v>
                </c:pt>
                <c:pt idx="2138">
                  <c:v>39395</c:v>
                </c:pt>
                <c:pt idx="2139">
                  <c:v>39396</c:v>
                </c:pt>
                <c:pt idx="2140">
                  <c:v>39397</c:v>
                </c:pt>
                <c:pt idx="2141">
                  <c:v>39398</c:v>
                </c:pt>
                <c:pt idx="2142">
                  <c:v>39399</c:v>
                </c:pt>
                <c:pt idx="2143">
                  <c:v>39400</c:v>
                </c:pt>
                <c:pt idx="2144">
                  <c:v>39401</c:v>
                </c:pt>
                <c:pt idx="2145">
                  <c:v>39402</c:v>
                </c:pt>
                <c:pt idx="2146">
                  <c:v>39403</c:v>
                </c:pt>
                <c:pt idx="2147">
                  <c:v>39404</c:v>
                </c:pt>
                <c:pt idx="2148">
                  <c:v>39405</c:v>
                </c:pt>
                <c:pt idx="2149">
                  <c:v>39406</c:v>
                </c:pt>
                <c:pt idx="2150">
                  <c:v>39407</c:v>
                </c:pt>
                <c:pt idx="2151">
                  <c:v>39408</c:v>
                </c:pt>
                <c:pt idx="2152">
                  <c:v>39409</c:v>
                </c:pt>
                <c:pt idx="2153">
                  <c:v>39410</c:v>
                </c:pt>
                <c:pt idx="2154">
                  <c:v>39411</c:v>
                </c:pt>
                <c:pt idx="2155">
                  <c:v>39412</c:v>
                </c:pt>
                <c:pt idx="2156">
                  <c:v>39413</c:v>
                </c:pt>
                <c:pt idx="2157">
                  <c:v>39414</c:v>
                </c:pt>
                <c:pt idx="2158">
                  <c:v>39415</c:v>
                </c:pt>
                <c:pt idx="2159">
                  <c:v>39416</c:v>
                </c:pt>
                <c:pt idx="2160">
                  <c:v>39417</c:v>
                </c:pt>
                <c:pt idx="2161">
                  <c:v>39418</c:v>
                </c:pt>
                <c:pt idx="2162">
                  <c:v>39419</c:v>
                </c:pt>
                <c:pt idx="2163">
                  <c:v>39420</c:v>
                </c:pt>
                <c:pt idx="2164">
                  <c:v>39421</c:v>
                </c:pt>
                <c:pt idx="2165">
                  <c:v>39422</c:v>
                </c:pt>
                <c:pt idx="2166">
                  <c:v>39423</c:v>
                </c:pt>
                <c:pt idx="2167">
                  <c:v>39424</c:v>
                </c:pt>
                <c:pt idx="2168">
                  <c:v>39425</c:v>
                </c:pt>
                <c:pt idx="2169">
                  <c:v>39426</c:v>
                </c:pt>
                <c:pt idx="2170">
                  <c:v>39427</c:v>
                </c:pt>
                <c:pt idx="2171">
                  <c:v>39428</c:v>
                </c:pt>
                <c:pt idx="2172">
                  <c:v>39429</c:v>
                </c:pt>
                <c:pt idx="2173">
                  <c:v>39430</c:v>
                </c:pt>
                <c:pt idx="2174">
                  <c:v>39431</c:v>
                </c:pt>
                <c:pt idx="2175">
                  <c:v>39432</c:v>
                </c:pt>
                <c:pt idx="2176">
                  <c:v>39433</c:v>
                </c:pt>
                <c:pt idx="2177">
                  <c:v>39434</c:v>
                </c:pt>
                <c:pt idx="2178">
                  <c:v>39435</c:v>
                </c:pt>
                <c:pt idx="2179">
                  <c:v>39436</c:v>
                </c:pt>
                <c:pt idx="2180">
                  <c:v>39437</c:v>
                </c:pt>
                <c:pt idx="2181">
                  <c:v>39438</c:v>
                </c:pt>
                <c:pt idx="2182">
                  <c:v>39439</c:v>
                </c:pt>
                <c:pt idx="2183">
                  <c:v>39440</c:v>
                </c:pt>
                <c:pt idx="2184">
                  <c:v>39441</c:v>
                </c:pt>
                <c:pt idx="2185">
                  <c:v>39442</c:v>
                </c:pt>
                <c:pt idx="2186">
                  <c:v>39443</c:v>
                </c:pt>
                <c:pt idx="2187">
                  <c:v>39444</c:v>
                </c:pt>
                <c:pt idx="2188">
                  <c:v>39445</c:v>
                </c:pt>
                <c:pt idx="2189">
                  <c:v>39446</c:v>
                </c:pt>
                <c:pt idx="2190">
                  <c:v>39447</c:v>
                </c:pt>
                <c:pt idx="2191">
                  <c:v>39448</c:v>
                </c:pt>
                <c:pt idx="2192">
                  <c:v>39449</c:v>
                </c:pt>
                <c:pt idx="2193">
                  <c:v>39450</c:v>
                </c:pt>
                <c:pt idx="2194">
                  <c:v>39451</c:v>
                </c:pt>
                <c:pt idx="2195">
                  <c:v>39452</c:v>
                </c:pt>
                <c:pt idx="2196">
                  <c:v>39453</c:v>
                </c:pt>
                <c:pt idx="2197">
                  <c:v>39454</c:v>
                </c:pt>
                <c:pt idx="2198">
                  <c:v>39455</c:v>
                </c:pt>
                <c:pt idx="2199">
                  <c:v>39456</c:v>
                </c:pt>
                <c:pt idx="2200">
                  <c:v>39457</c:v>
                </c:pt>
                <c:pt idx="2201">
                  <c:v>39458</c:v>
                </c:pt>
                <c:pt idx="2202">
                  <c:v>39459</c:v>
                </c:pt>
                <c:pt idx="2203">
                  <c:v>39460</c:v>
                </c:pt>
                <c:pt idx="2204">
                  <c:v>39461</c:v>
                </c:pt>
                <c:pt idx="2205">
                  <c:v>39462</c:v>
                </c:pt>
                <c:pt idx="2206">
                  <c:v>39463</c:v>
                </c:pt>
                <c:pt idx="2207">
                  <c:v>39464</c:v>
                </c:pt>
                <c:pt idx="2208">
                  <c:v>39465</c:v>
                </c:pt>
                <c:pt idx="2209">
                  <c:v>39466</c:v>
                </c:pt>
                <c:pt idx="2210">
                  <c:v>39467</c:v>
                </c:pt>
                <c:pt idx="2211">
                  <c:v>39468</c:v>
                </c:pt>
                <c:pt idx="2212">
                  <c:v>39469</c:v>
                </c:pt>
                <c:pt idx="2213">
                  <c:v>39470</c:v>
                </c:pt>
                <c:pt idx="2214">
                  <c:v>39471</c:v>
                </c:pt>
                <c:pt idx="2215">
                  <c:v>39472</c:v>
                </c:pt>
                <c:pt idx="2216">
                  <c:v>39473</c:v>
                </c:pt>
                <c:pt idx="2217">
                  <c:v>39474</c:v>
                </c:pt>
                <c:pt idx="2218">
                  <c:v>39475</c:v>
                </c:pt>
                <c:pt idx="2219">
                  <c:v>39476</c:v>
                </c:pt>
                <c:pt idx="2220">
                  <c:v>39477</c:v>
                </c:pt>
                <c:pt idx="2221">
                  <c:v>39478</c:v>
                </c:pt>
                <c:pt idx="2222">
                  <c:v>39479</c:v>
                </c:pt>
                <c:pt idx="2223">
                  <c:v>39480</c:v>
                </c:pt>
                <c:pt idx="2224">
                  <c:v>39481</c:v>
                </c:pt>
                <c:pt idx="2225">
                  <c:v>39482</c:v>
                </c:pt>
                <c:pt idx="2226">
                  <c:v>39483</c:v>
                </c:pt>
                <c:pt idx="2227">
                  <c:v>39484</c:v>
                </c:pt>
                <c:pt idx="2228">
                  <c:v>39485</c:v>
                </c:pt>
                <c:pt idx="2229">
                  <c:v>39486</c:v>
                </c:pt>
                <c:pt idx="2230">
                  <c:v>39487</c:v>
                </c:pt>
                <c:pt idx="2231">
                  <c:v>39488</c:v>
                </c:pt>
                <c:pt idx="2232">
                  <c:v>39489</c:v>
                </c:pt>
                <c:pt idx="2233">
                  <c:v>39490</c:v>
                </c:pt>
                <c:pt idx="2234">
                  <c:v>39491</c:v>
                </c:pt>
                <c:pt idx="2235">
                  <c:v>39492</c:v>
                </c:pt>
                <c:pt idx="2236">
                  <c:v>39493</c:v>
                </c:pt>
                <c:pt idx="2237">
                  <c:v>39494</c:v>
                </c:pt>
                <c:pt idx="2238">
                  <c:v>39495</c:v>
                </c:pt>
                <c:pt idx="2239">
                  <c:v>39496</c:v>
                </c:pt>
                <c:pt idx="2240">
                  <c:v>39497</c:v>
                </c:pt>
                <c:pt idx="2241">
                  <c:v>39498</c:v>
                </c:pt>
                <c:pt idx="2242">
                  <c:v>39499</c:v>
                </c:pt>
                <c:pt idx="2243">
                  <c:v>39500</c:v>
                </c:pt>
                <c:pt idx="2244">
                  <c:v>39501</c:v>
                </c:pt>
                <c:pt idx="2245">
                  <c:v>39502</c:v>
                </c:pt>
                <c:pt idx="2246">
                  <c:v>39503</c:v>
                </c:pt>
                <c:pt idx="2247">
                  <c:v>39504</c:v>
                </c:pt>
                <c:pt idx="2248">
                  <c:v>39505</c:v>
                </c:pt>
                <c:pt idx="2249">
                  <c:v>39506</c:v>
                </c:pt>
                <c:pt idx="2250">
                  <c:v>39507</c:v>
                </c:pt>
                <c:pt idx="2251">
                  <c:v>39508</c:v>
                </c:pt>
                <c:pt idx="2252">
                  <c:v>39509</c:v>
                </c:pt>
                <c:pt idx="2253">
                  <c:v>39510</c:v>
                </c:pt>
                <c:pt idx="2254">
                  <c:v>39511</c:v>
                </c:pt>
                <c:pt idx="2255">
                  <c:v>39512</c:v>
                </c:pt>
                <c:pt idx="2256">
                  <c:v>39513</c:v>
                </c:pt>
                <c:pt idx="2257">
                  <c:v>39514</c:v>
                </c:pt>
                <c:pt idx="2258">
                  <c:v>39515</c:v>
                </c:pt>
                <c:pt idx="2259">
                  <c:v>39516</c:v>
                </c:pt>
                <c:pt idx="2260">
                  <c:v>39517</c:v>
                </c:pt>
                <c:pt idx="2261">
                  <c:v>39518</c:v>
                </c:pt>
                <c:pt idx="2262">
                  <c:v>39519</c:v>
                </c:pt>
                <c:pt idx="2263">
                  <c:v>39520</c:v>
                </c:pt>
                <c:pt idx="2264">
                  <c:v>39521</c:v>
                </c:pt>
                <c:pt idx="2265">
                  <c:v>39522</c:v>
                </c:pt>
                <c:pt idx="2266">
                  <c:v>39523</c:v>
                </c:pt>
                <c:pt idx="2267">
                  <c:v>39524</c:v>
                </c:pt>
                <c:pt idx="2268">
                  <c:v>39525</c:v>
                </c:pt>
                <c:pt idx="2269">
                  <c:v>39526</c:v>
                </c:pt>
                <c:pt idx="2270">
                  <c:v>39527</c:v>
                </c:pt>
                <c:pt idx="2271">
                  <c:v>39528</c:v>
                </c:pt>
                <c:pt idx="2272">
                  <c:v>39529</c:v>
                </c:pt>
                <c:pt idx="2273">
                  <c:v>39530</c:v>
                </c:pt>
                <c:pt idx="2274">
                  <c:v>39531</c:v>
                </c:pt>
                <c:pt idx="2275">
                  <c:v>39532</c:v>
                </c:pt>
                <c:pt idx="2276">
                  <c:v>39533</c:v>
                </c:pt>
                <c:pt idx="2277">
                  <c:v>39534</c:v>
                </c:pt>
                <c:pt idx="2278">
                  <c:v>39535</c:v>
                </c:pt>
                <c:pt idx="2279">
                  <c:v>39536</c:v>
                </c:pt>
                <c:pt idx="2280">
                  <c:v>39537</c:v>
                </c:pt>
                <c:pt idx="2281">
                  <c:v>39538</c:v>
                </c:pt>
                <c:pt idx="2282">
                  <c:v>39539</c:v>
                </c:pt>
                <c:pt idx="2283">
                  <c:v>39540</c:v>
                </c:pt>
                <c:pt idx="2284">
                  <c:v>39541</c:v>
                </c:pt>
                <c:pt idx="2285">
                  <c:v>39542</c:v>
                </c:pt>
                <c:pt idx="2286">
                  <c:v>39543</c:v>
                </c:pt>
                <c:pt idx="2287">
                  <c:v>39544</c:v>
                </c:pt>
                <c:pt idx="2288">
                  <c:v>39545</c:v>
                </c:pt>
                <c:pt idx="2289">
                  <c:v>39546</c:v>
                </c:pt>
                <c:pt idx="2290">
                  <c:v>39547</c:v>
                </c:pt>
                <c:pt idx="2291">
                  <c:v>39548</c:v>
                </c:pt>
                <c:pt idx="2292">
                  <c:v>39549</c:v>
                </c:pt>
                <c:pt idx="2293">
                  <c:v>39550</c:v>
                </c:pt>
                <c:pt idx="2294">
                  <c:v>39551</c:v>
                </c:pt>
                <c:pt idx="2295">
                  <c:v>39552</c:v>
                </c:pt>
                <c:pt idx="2296">
                  <c:v>39553</c:v>
                </c:pt>
                <c:pt idx="2297">
                  <c:v>39554</c:v>
                </c:pt>
                <c:pt idx="2298">
                  <c:v>39555</c:v>
                </c:pt>
                <c:pt idx="2299">
                  <c:v>39556</c:v>
                </c:pt>
                <c:pt idx="2300">
                  <c:v>39557</c:v>
                </c:pt>
                <c:pt idx="2301">
                  <c:v>39558</c:v>
                </c:pt>
                <c:pt idx="2302">
                  <c:v>39559</c:v>
                </c:pt>
                <c:pt idx="2303">
                  <c:v>39560</c:v>
                </c:pt>
                <c:pt idx="2304">
                  <c:v>39561</c:v>
                </c:pt>
                <c:pt idx="2305">
                  <c:v>39562</c:v>
                </c:pt>
                <c:pt idx="2306">
                  <c:v>39563</c:v>
                </c:pt>
                <c:pt idx="2307">
                  <c:v>39564</c:v>
                </c:pt>
                <c:pt idx="2308">
                  <c:v>39565</c:v>
                </c:pt>
                <c:pt idx="2309">
                  <c:v>39566</c:v>
                </c:pt>
                <c:pt idx="2310">
                  <c:v>39567</c:v>
                </c:pt>
                <c:pt idx="2311">
                  <c:v>39568</c:v>
                </c:pt>
                <c:pt idx="2312">
                  <c:v>39569</c:v>
                </c:pt>
                <c:pt idx="2313">
                  <c:v>39570</c:v>
                </c:pt>
                <c:pt idx="2314">
                  <c:v>39571</c:v>
                </c:pt>
                <c:pt idx="2315">
                  <c:v>39572</c:v>
                </c:pt>
                <c:pt idx="2316">
                  <c:v>39573</c:v>
                </c:pt>
                <c:pt idx="2317">
                  <c:v>39574</c:v>
                </c:pt>
                <c:pt idx="2318">
                  <c:v>39575</c:v>
                </c:pt>
                <c:pt idx="2319">
                  <c:v>39576</c:v>
                </c:pt>
                <c:pt idx="2320">
                  <c:v>39577</c:v>
                </c:pt>
                <c:pt idx="2321">
                  <c:v>39578</c:v>
                </c:pt>
                <c:pt idx="2322">
                  <c:v>39579</c:v>
                </c:pt>
                <c:pt idx="2323">
                  <c:v>39580</c:v>
                </c:pt>
                <c:pt idx="2324">
                  <c:v>39581</c:v>
                </c:pt>
                <c:pt idx="2325">
                  <c:v>39582</c:v>
                </c:pt>
                <c:pt idx="2326">
                  <c:v>39583</c:v>
                </c:pt>
                <c:pt idx="2327">
                  <c:v>39584</c:v>
                </c:pt>
                <c:pt idx="2328">
                  <c:v>39585</c:v>
                </c:pt>
                <c:pt idx="2329">
                  <c:v>39586</c:v>
                </c:pt>
                <c:pt idx="2330">
                  <c:v>39587</c:v>
                </c:pt>
                <c:pt idx="2331">
                  <c:v>39588</c:v>
                </c:pt>
                <c:pt idx="2332">
                  <c:v>39589</c:v>
                </c:pt>
                <c:pt idx="2333">
                  <c:v>39590</c:v>
                </c:pt>
                <c:pt idx="2334">
                  <c:v>39591</c:v>
                </c:pt>
                <c:pt idx="2335">
                  <c:v>39592</c:v>
                </c:pt>
                <c:pt idx="2336">
                  <c:v>39593</c:v>
                </c:pt>
                <c:pt idx="2337">
                  <c:v>39594</c:v>
                </c:pt>
                <c:pt idx="2338">
                  <c:v>39595</c:v>
                </c:pt>
                <c:pt idx="2339">
                  <c:v>39596</c:v>
                </c:pt>
                <c:pt idx="2340">
                  <c:v>39597</c:v>
                </c:pt>
                <c:pt idx="2341">
                  <c:v>39598</c:v>
                </c:pt>
                <c:pt idx="2342">
                  <c:v>39599</c:v>
                </c:pt>
                <c:pt idx="2343">
                  <c:v>39600</c:v>
                </c:pt>
                <c:pt idx="2344">
                  <c:v>39601</c:v>
                </c:pt>
                <c:pt idx="2345">
                  <c:v>39602</c:v>
                </c:pt>
                <c:pt idx="2346">
                  <c:v>39603</c:v>
                </c:pt>
                <c:pt idx="2347">
                  <c:v>39604</c:v>
                </c:pt>
                <c:pt idx="2348">
                  <c:v>39605</c:v>
                </c:pt>
                <c:pt idx="2349">
                  <c:v>39606</c:v>
                </c:pt>
                <c:pt idx="2350">
                  <c:v>39607</c:v>
                </c:pt>
                <c:pt idx="2351">
                  <c:v>39608</c:v>
                </c:pt>
                <c:pt idx="2352">
                  <c:v>39609</c:v>
                </c:pt>
                <c:pt idx="2353">
                  <c:v>39610</c:v>
                </c:pt>
                <c:pt idx="2354">
                  <c:v>39611</c:v>
                </c:pt>
                <c:pt idx="2355">
                  <c:v>39612</c:v>
                </c:pt>
                <c:pt idx="2356">
                  <c:v>39613</c:v>
                </c:pt>
                <c:pt idx="2357">
                  <c:v>39614</c:v>
                </c:pt>
                <c:pt idx="2358">
                  <c:v>39615</c:v>
                </c:pt>
                <c:pt idx="2359">
                  <c:v>39616</c:v>
                </c:pt>
                <c:pt idx="2360">
                  <c:v>39617</c:v>
                </c:pt>
                <c:pt idx="2361">
                  <c:v>39618</c:v>
                </c:pt>
                <c:pt idx="2362">
                  <c:v>39619</c:v>
                </c:pt>
                <c:pt idx="2363">
                  <c:v>39620</c:v>
                </c:pt>
                <c:pt idx="2364">
                  <c:v>39621</c:v>
                </c:pt>
                <c:pt idx="2365">
                  <c:v>39622</c:v>
                </c:pt>
                <c:pt idx="2366">
                  <c:v>39623</c:v>
                </c:pt>
                <c:pt idx="2367">
                  <c:v>39624</c:v>
                </c:pt>
                <c:pt idx="2368">
                  <c:v>39625</c:v>
                </c:pt>
                <c:pt idx="2369">
                  <c:v>39626</c:v>
                </c:pt>
                <c:pt idx="2370">
                  <c:v>39627</c:v>
                </c:pt>
                <c:pt idx="2371">
                  <c:v>39628</c:v>
                </c:pt>
                <c:pt idx="2372">
                  <c:v>39629</c:v>
                </c:pt>
                <c:pt idx="2373">
                  <c:v>39630</c:v>
                </c:pt>
                <c:pt idx="2374">
                  <c:v>39631</c:v>
                </c:pt>
                <c:pt idx="2375">
                  <c:v>39632</c:v>
                </c:pt>
                <c:pt idx="2376">
                  <c:v>39633</c:v>
                </c:pt>
                <c:pt idx="2377">
                  <c:v>39634</c:v>
                </c:pt>
                <c:pt idx="2378">
                  <c:v>39635</c:v>
                </c:pt>
                <c:pt idx="2379">
                  <c:v>39636</c:v>
                </c:pt>
                <c:pt idx="2380">
                  <c:v>39637</c:v>
                </c:pt>
                <c:pt idx="2381">
                  <c:v>39638</c:v>
                </c:pt>
                <c:pt idx="2382">
                  <c:v>39639</c:v>
                </c:pt>
                <c:pt idx="2383">
                  <c:v>39640</c:v>
                </c:pt>
                <c:pt idx="2384">
                  <c:v>39641</c:v>
                </c:pt>
                <c:pt idx="2385">
                  <c:v>39642</c:v>
                </c:pt>
                <c:pt idx="2386">
                  <c:v>39643</c:v>
                </c:pt>
                <c:pt idx="2387">
                  <c:v>39644</c:v>
                </c:pt>
                <c:pt idx="2388">
                  <c:v>39645</c:v>
                </c:pt>
                <c:pt idx="2389">
                  <c:v>39646</c:v>
                </c:pt>
                <c:pt idx="2390">
                  <c:v>39647</c:v>
                </c:pt>
                <c:pt idx="2391">
                  <c:v>39648</c:v>
                </c:pt>
                <c:pt idx="2392">
                  <c:v>39649</c:v>
                </c:pt>
                <c:pt idx="2393">
                  <c:v>39650</c:v>
                </c:pt>
                <c:pt idx="2394">
                  <c:v>39651</c:v>
                </c:pt>
                <c:pt idx="2395">
                  <c:v>39652</c:v>
                </c:pt>
                <c:pt idx="2396">
                  <c:v>39653</c:v>
                </c:pt>
                <c:pt idx="2397">
                  <c:v>39654</c:v>
                </c:pt>
                <c:pt idx="2398">
                  <c:v>39655</c:v>
                </c:pt>
                <c:pt idx="2399">
                  <c:v>39656</c:v>
                </c:pt>
                <c:pt idx="2400">
                  <c:v>39657</c:v>
                </c:pt>
                <c:pt idx="2401">
                  <c:v>39658</c:v>
                </c:pt>
                <c:pt idx="2402">
                  <c:v>39659</c:v>
                </c:pt>
                <c:pt idx="2403">
                  <c:v>39660</c:v>
                </c:pt>
                <c:pt idx="2404">
                  <c:v>39661</c:v>
                </c:pt>
                <c:pt idx="2405">
                  <c:v>39662</c:v>
                </c:pt>
                <c:pt idx="2406">
                  <c:v>39663</c:v>
                </c:pt>
                <c:pt idx="2407">
                  <c:v>39664</c:v>
                </c:pt>
                <c:pt idx="2408">
                  <c:v>39665</c:v>
                </c:pt>
                <c:pt idx="2409">
                  <c:v>39666</c:v>
                </c:pt>
                <c:pt idx="2410">
                  <c:v>39667</c:v>
                </c:pt>
                <c:pt idx="2411">
                  <c:v>39668</c:v>
                </c:pt>
                <c:pt idx="2412">
                  <c:v>39669</c:v>
                </c:pt>
                <c:pt idx="2413">
                  <c:v>39670</c:v>
                </c:pt>
                <c:pt idx="2414">
                  <c:v>39671</c:v>
                </c:pt>
                <c:pt idx="2415">
                  <c:v>39672</c:v>
                </c:pt>
                <c:pt idx="2416">
                  <c:v>39673</c:v>
                </c:pt>
                <c:pt idx="2417">
                  <c:v>39674</c:v>
                </c:pt>
                <c:pt idx="2418">
                  <c:v>39675</c:v>
                </c:pt>
                <c:pt idx="2419">
                  <c:v>39676</c:v>
                </c:pt>
                <c:pt idx="2420">
                  <c:v>39677</c:v>
                </c:pt>
                <c:pt idx="2421">
                  <c:v>39678</c:v>
                </c:pt>
                <c:pt idx="2422">
                  <c:v>39679</c:v>
                </c:pt>
                <c:pt idx="2423">
                  <c:v>39680</c:v>
                </c:pt>
                <c:pt idx="2424">
                  <c:v>39681</c:v>
                </c:pt>
                <c:pt idx="2425">
                  <c:v>39682</c:v>
                </c:pt>
                <c:pt idx="2426">
                  <c:v>39683</c:v>
                </c:pt>
                <c:pt idx="2427">
                  <c:v>39684</c:v>
                </c:pt>
                <c:pt idx="2428">
                  <c:v>39685</c:v>
                </c:pt>
                <c:pt idx="2429">
                  <c:v>39686</c:v>
                </c:pt>
                <c:pt idx="2430">
                  <c:v>39687</c:v>
                </c:pt>
                <c:pt idx="2431">
                  <c:v>39688</c:v>
                </c:pt>
                <c:pt idx="2432">
                  <c:v>39689</c:v>
                </c:pt>
                <c:pt idx="2433">
                  <c:v>39690</c:v>
                </c:pt>
                <c:pt idx="2434">
                  <c:v>39691</c:v>
                </c:pt>
                <c:pt idx="2435">
                  <c:v>39692</c:v>
                </c:pt>
                <c:pt idx="2436">
                  <c:v>39693</c:v>
                </c:pt>
                <c:pt idx="2437">
                  <c:v>39694</c:v>
                </c:pt>
                <c:pt idx="2438">
                  <c:v>39695</c:v>
                </c:pt>
                <c:pt idx="2439">
                  <c:v>39696</c:v>
                </c:pt>
                <c:pt idx="2440">
                  <c:v>39697</c:v>
                </c:pt>
                <c:pt idx="2441">
                  <c:v>39698</c:v>
                </c:pt>
                <c:pt idx="2442">
                  <c:v>39699</c:v>
                </c:pt>
                <c:pt idx="2443">
                  <c:v>39700</c:v>
                </c:pt>
                <c:pt idx="2444">
                  <c:v>39701</c:v>
                </c:pt>
                <c:pt idx="2445">
                  <c:v>39702</c:v>
                </c:pt>
                <c:pt idx="2446">
                  <c:v>39703</c:v>
                </c:pt>
                <c:pt idx="2447">
                  <c:v>39704</c:v>
                </c:pt>
                <c:pt idx="2448">
                  <c:v>39705</c:v>
                </c:pt>
                <c:pt idx="2449">
                  <c:v>39706</c:v>
                </c:pt>
                <c:pt idx="2450">
                  <c:v>39707</c:v>
                </c:pt>
                <c:pt idx="2451">
                  <c:v>39708</c:v>
                </c:pt>
                <c:pt idx="2452">
                  <c:v>39709</c:v>
                </c:pt>
                <c:pt idx="2453">
                  <c:v>39710</c:v>
                </c:pt>
                <c:pt idx="2454">
                  <c:v>39711</c:v>
                </c:pt>
                <c:pt idx="2455">
                  <c:v>39712</c:v>
                </c:pt>
                <c:pt idx="2456">
                  <c:v>39713</c:v>
                </c:pt>
                <c:pt idx="2457">
                  <c:v>39714</c:v>
                </c:pt>
                <c:pt idx="2458">
                  <c:v>39715</c:v>
                </c:pt>
                <c:pt idx="2459">
                  <c:v>39716</c:v>
                </c:pt>
                <c:pt idx="2460">
                  <c:v>39717</c:v>
                </c:pt>
                <c:pt idx="2461">
                  <c:v>39718</c:v>
                </c:pt>
                <c:pt idx="2462">
                  <c:v>39719</c:v>
                </c:pt>
                <c:pt idx="2463">
                  <c:v>39720</c:v>
                </c:pt>
                <c:pt idx="2464">
                  <c:v>39721</c:v>
                </c:pt>
                <c:pt idx="2465">
                  <c:v>39722</c:v>
                </c:pt>
                <c:pt idx="2466">
                  <c:v>39723</c:v>
                </c:pt>
                <c:pt idx="2467">
                  <c:v>39724</c:v>
                </c:pt>
                <c:pt idx="2468">
                  <c:v>39725</c:v>
                </c:pt>
                <c:pt idx="2469">
                  <c:v>39726</c:v>
                </c:pt>
                <c:pt idx="2470">
                  <c:v>39727</c:v>
                </c:pt>
                <c:pt idx="2471">
                  <c:v>39728</c:v>
                </c:pt>
                <c:pt idx="2472">
                  <c:v>39729</c:v>
                </c:pt>
                <c:pt idx="2473">
                  <c:v>39730</c:v>
                </c:pt>
                <c:pt idx="2474">
                  <c:v>39731</c:v>
                </c:pt>
                <c:pt idx="2475">
                  <c:v>39732</c:v>
                </c:pt>
                <c:pt idx="2476">
                  <c:v>39733</c:v>
                </c:pt>
                <c:pt idx="2477">
                  <c:v>39734</c:v>
                </c:pt>
                <c:pt idx="2478">
                  <c:v>39735</c:v>
                </c:pt>
                <c:pt idx="2479">
                  <c:v>39736</c:v>
                </c:pt>
                <c:pt idx="2480">
                  <c:v>39737</c:v>
                </c:pt>
                <c:pt idx="2481">
                  <c:v>39738</c:v>
                </c:pt>
                <c:pt idx="2482">
                  <c:v>39739</c:v>
                </c:pt>
                <c:pt idx="2483">
                  <c:v>39740</c:v>
                </c:pt>
                <c:pt idx="2484">
                  <c:v>39741</c:v>
                </c:pt>
                <c:pt idx="2485">
                  <c:v>39742</c:v>
                </c:pt>
                <c:pt idx="2486">
                  <c:v>39743</c:v>
                </c:pt>
                <c:pt idx="2487">
                  <c:v>39744</c:v>
                </c:pt>
                <c:pt idx="2488">
                  <c:v>39745</c:v>
                </c:pt>
                <c:pt idx="2489">
                  <c:v>39746</c:v>
                </c:pt>
                <c:pt idx="2490">
                  <c:v>39747</c:v>
                </c:pt>
                <c:pt idx="2491">
                  <c:v>39748</c:v>
                </c:pt>
                <c:pt idx="2492">
                  <c:v>39749</c:v>
                </c:pt>
                <c:pt idx="2493">
                  <c:v>39750</c:v>
                </c:pt>
                <c:pt idx="2494">
                  <c:v>39751</c:v>
                </c:pt>
                <c:pt idx="2495">
                  <c:v>39752</c:v>
                </c:pt>
                <c:pt idx="2496">
                  <c:v>39753</c:v>
                </c:pt>
                <c:pt idx="2497">
                  <c:v>39754</c:v>
                </c:pt>
                <c:pt idx="2498">
                  <c:v>39755</c:v>
                </c:pt>
                <c:pt idx="2499">
                  <c:v>39756</c:v>
                </c:pt>
                <c:pt idx="2500">
                  <c:v>39757</c:v>
                </c:pt>
                <c:pt idx="2501">
                  <c:v>39758</c:v>
                </c:pt>
                <c:pt idx="2502">
                  <c:v>39759</c:v>
                </c:pt>
                <c:pt idx="2503">
                  <c:v>39760</c:v>
                </c:pt>
                <c:pt idx="2504">
                  <c:v>39761</c:v>
                </c:pt>
                <c:pt idx="2505">
                  <c:v>39762</c:v>
                </c:pt>
                <c:pt idx="2506">
                  <c:v>39763</c:v>
                </c:pt>
                <c:pt idx="2507">
                  <c:v>39764</c:v>
                </c:pt>
                <c:pt idx="2508">
                  <c:v>39765</c:v>
                </c:pt>
                <c:pt idx="2509">
                  <c:v>39766</c:v>
                </c:pt>
                <c:pt idx="2510">
                  <c:v>39767</c:v>
                </c:pt>
                <c:pt idx="2511">
                  <c:v>39768</c:v>
                </c:pt>
                <c:pt idx="2512">
                  <c:v>39769</c:v>
                </c:pt>
                <c:pt idx="2513">
                  <c:v>39770</c:v>
                </c:pt>
                <c:pt idx="2514">
                  <c:v>39771</c:v>
                </c:pt>
                <c:pt idx="2515">
                  <c:v>39772</c:v>
                </c:pt>
                <c:pt idx="2516">
                  <c:v>39773</c:v>
                </c:pt>
                <c:pt idx="2517">
                  <c:v>39774</c:v>
                </c:pt>
                <c:pt idx="2518">
                  <c:v>39775</c:v>
                </c:pt>
                <c:pt idx="2519">
                  <c:v>39776</c:v>
                </c:pt>
                <c:pt idx="2520">
                  <c:v>39777</c:v>
                </c:pt>
                <c:pt idx="2521">
                  <c:v>39778</c:v>
                </c:pt>
                <c:pt idx="2522">
                  <c:v>39779</c:v>
                </c:pt>
                <c:pt idx="2523">
                  <c:v>39780</c:v>
                </c:pt>
                <c:pt idx="2524">
                  <c:v>39781</c:v>
                </c:pt>
                <c:pt idx="2525">
                  <c:v>39782</c:v>
                </c:pt>
                <c:pt idx="2526">
                  <c:v>39783</c:v>
                </c:pt>
                <c:pt idx="2527">
                  <c:v>39784</c:v>
                </c:pt>
                <c:pt idx="2528">
                  <c:v>39785</c:v>
                </c:pt>
                <c:pt idx="2529">
                  <c:v>39786</c:v>
                </c:pt>
                <c:pt idx="2530">
                  <c:v>39787</c:v>
                </c:pt>
                <c:pt idx="2531">
                  <c:v>39788</c:v>
                </c:pt>
                <c:pt idx="2532">
                  <c:v>39789</c:v>
                </c:pt>
                <c:pt idx="2533">
                  <c:v>39790</c:v>
                </c:pt>
                <c:pt idx="2534">
                  <c:v>39791</c:v>
                </c:pt>
                <c:pt idx="2535">
                  <c:v>39792</c:v>
                </c:pt>
                <c:pt idx="2536">
                  <c:v>39793</c:v>
                </c:pt>
                <c:pt idx="2537">
                  <c:v>39794</c:v>
                </c:pt>
                <c:pt idx="2538">
                  <c:v>39795</c:v>
                </c:pt>
                <c:pt idx="2539">
                  <c:v>39796</c:v>
                </c:pt>
                <c:pt idx="2540">
                  <c:v>39797</c:v>
                </c:pt>
                <c:pt idx="2541">
                  <c:v>39798</c:v>
                </c:pt>
                <c:pt idx="2542">
                  <c:v>39799</c:v>
                </c:pt>
                <c:pt idx="2543">
                  <c:v>39800</c:v>
                </c:pt>
                <c:pt idx="2544">
                  <c:v>39801</c:v>
                </c:pt>
                <c:pt idx="2545">
                  <c:v>39802</c:v>
                </c:pt>
                <c:pt idx="2546">
                  <c:v>39803</c:v>
                </c:pt>
                <c:pt idx="2547">
                  <c:v>39804</c:v>
                </c:pt>
                <c:pt idx="2548">
                  <c:v>39805</c:v>
                </c:pt>
                <c:pt idx="2549">
                  <c:v>39806</c:v>
                </c:pt>
                <c:pt idx="2550">
                  <c:v>39807</c:v>
                </c:pt>
                <c:pt idx="2551">
                  <c:v>39808</c:v>
                </c:pt>
                <c:pt idx="2552">
                  <c:v>39809</c:v>
                </c:pt>
                <c:pt idx="2553">
                  <c:v>39810</c:v>
                </c:pt>
                <c:pt idx="2554">
                  <c:v>39811</c:v>
                </c:pt>
                <c:pt idx="2555">
                  <c:v>39812</c:v>
                </c:pt>
                <c:pt idx="2556">
                  <c:v>39813</c:v>
                </c:pt>
                <c:pt idx="2557">
                  <c:v>39814</c:v>
                </c:pt>
                <c:pt idx="2558">
                  <c:v>39815</c:v>
                </c:pt>
                <c:pt idx="2559">
                  <c:v>39816</c:v>
                </c:pt>
                <c:pt idx="2560">
                  <c:v>39817</c:v>
                </c:pt>
                <c:pt idx="2561">
                  <c:v>39818</c:v>
                </c:pt>
                <c:pt idx="2562">
                  <c:v>39819</c:v>
                </c:pt>
                <c:pt idx="2563">
                  <c:v>39820</c:v>
                </c:pt>
                <c:pt idx="2564">
                  <c:v>39821</c:v>
                </c:pt>
                <c:pt idx="2565">
                  <c:v>39822</c:v>
                </c:pt>
                <c:pt idx="2566">
                  <c:v>39823</c:v>
                </c:pt>
                <c:pt idx="2567">
                  <c:v>39824</c:v>
                </c:pt>
                <c:pt idx="2568">
                  <c:v>39825</c:v>
                </c:pt>
                <c:pt idx="2569">
                  <c:v>39826</c:v>
                </c:pt>
                <c:pt idx="2570">
                  <c:v>39827</c:v>
                </c:pt>
                <c:pt idx="2571">
                  <c:v>39828</c:v>
                </c:pt>
                <c:pt idx="2572">
                  <c:v>39829</c:v>
                </c:pt>
                <c:pt idx="2573">
                  <c:v>39830</c:v>
                </c:pt>
                <c:pt idx="2574">
                  <c:v>39831</c:v>
                </c:pt>
                <c:pt idx="2575">
                  <c:v>39832</c:v>
                </c:pt>
                <c:pt idx="2576">
                  <c:v>39833</c:v>
                </c:pt>
                <c:pt idx="2577">
                  <c:v>39834</c:v>
                </c:pt>
                <c:pt idx="2578">
                  <c:v>39835</c:v>
                </c:pt>
                <c:pt idx="2579">
                  <c:v>39836</c:v>
                </c:pt>
                <c:pt idx="2580">
                  <c:v>39837</c:v>
                </c:pt>
                <c:pt idx="2581">
                  <c:v>39838</c:v>
                </c:pt>
                <c:pt idx="2582">
                  <c:v>39839</c:v>
                </c:pt>
                <c:pt idx="2583">
                  <c:v>39840</c:v>
                </c:pt>
                <c:pt idx="2584">
                  <c:v>39841</c:v>
                </c:pt>
                <c:pt idx="2585">
                  <c:v>39842</c:v>
                </c:pt>
                <c:pt idx="2586">
                  <c:v>39843</c:v>
                </c:pt>
                <c:pt idx="2587">
                  <c:v>39844</c:v>
                </c:pt>
                <c:pt idx="2588">
                  <c:v>39845</c:v>
                </c:pt>
                <c:pt idx="2589">
                  <c:v>39846</c:v>
                </c:pt>
                <c:pt idx="2590">
                  <c:v>39847</c:v>
                </c:pt>
                <c:pt idx="2591">
                  <c:v>39848</c:v>
                </c:pt>
                <c:pt idx="2592">
                  <c:v>39849</c:v>
                </c:pt>
                <c:pt idx="2593">
                  <c:v>39850</c:v>
                </c:pt>
                <c:pt idx="2594">
                  <c:v>39851</c:v>
                </c:pt>
                <c:pt idx="2595">
                  <c:v>39852</c:v>
                </c:pt>
                <c:pt idx="2596">
                  <c:v>39853</c:v>
                </c:pt>
                <c:pt idx="2597">
                  <c:v>39854</c:v>
                </c:pt>
                <c:pt idx="2598">
                  <c:v>39855</c:v>
                </c:pt>
                <c:pt idx="2599">
                  <c:v>39856</c:v>
                </c:pt>
                <c:pt idx="2600">
                  <c:v>39857</c:v>
                </c:pt>
                <c:pt idx="2601">
                  <c:v>39858</c:v>
                </c:pt>
                <c:pt idx="2602">
                  <c:v>39859</c:v>
                </c:pt>
                <c:pt idx="2603">
                  <c:v>39860</c:v>
                </c:pt>
                <c:pt idx="2604">
                  <c:v>39861</c:v>
                </c:pt>
                <c:pt idx="2605">
                  <c:v>39862</c:v>
                </c:pt>
                <c:pt idx="2606">
                  <c:v>39863</c:v>
                </c:pt>
                <c:pt idx="2607">
                  <c:v>39864</c:v>
                </c:pt>
                <c:pt idx="2608">
                  <c:v>39865</c:v>
                </c:pt>
                <c:pt idx="2609">
                  <c:v>39866</c:v>
                </c:pt>
                <c:pt idx="2610">
                  <c:v>39867</c:v>
                </c:pt>
                <c:pt idx="2611">
                  <c:v>39868</c:v>
                </c:pt>
                <c:pt idx="2612">
                  <c:v>39869</c:v>
                </c:pt>
                <c:pt idx="2613">
                  <c:v>39870</c:v>
                </c:pt>
                <c:pt idx="2614">
                  <c:v>39871</c:v>
                </c:pt>
                <c:pt idx="2615">
                  <c:v>39872</c:v>
                </c:pt>
                <c:pt idx="2616">
                  <c:v>39873</c:v>
                </c:pt>
                <c:pt idx="2617">
                  <c:v>39874</c:v>
                </c:pt>
                <c:pt idx="2618">
                  <c:v>39875</c:v>
                </c:pt>
                <c:pt idx="2619">
                  <c:v>39876</c:v>
                </c:pt>
                <c:pt idx="2620">
                  <c:v>39877</c:v>
                </c:pt>
                <c:pt idx="2621">
                  <c:v>39878</c:v>
                </c:pt>
                <c:pt idx="2622">
                  <c:v>39879</c:v>
                </c:pt>
                <c:pt idx="2623">
                  <c:v>39880</c:v>
                </c:pt>
                <c:pt idx="2624">
                  <c:v>39881</c:v>
                </c:pt>
                <c:pt idx="2625">
                  <c:v>39882</c:v>
                </c:pt>
                <c:pt idx="2626">
                  <c:v>39883</c:v>
                </c:pt>
                <c:pt idx="2627">
                  <c:v>39884</c:v>
                </c:pt>
                <c:pt idx="2628">
                  <c:v>39885</c:v>
                </c:pt>
                <c:pt idx="2629">
                  <c:v>39886</c:v>
                </c:pt>
                <c:pt idx="2630">
                  <c:v>39887</c:v>
                </c:pt>
                <c:pt idx="2631">
                  <c:v>39888</c:v>
                </c:pt>
                <c:pt idx="2632">
                  <c:v>39889</c:v>
                </c:pt>
                <c:pt idx="2633">
                  <c:v>39890</c:v>
                </c:pt>
                <c:pt idx="2634">
                  <c:v>39891</c:v>
                </c:pt>
                <c:pt idx="2635">
                  <c:v>39892</c:v>
                </c:pt>
                <c:pt idx="2636">
                  <c:v>39893</c:v>
                </c:pt>
                <c:pt idx="2637">
                  <c:v>39894</c:v>
                </c:pt>
                <c:pt idx="2638">
                  <c:v>39895</c:v>
                </c:pt>
                <c:pt idx="2639">
                  <c:v>39896</c:v>
                </c:pt>
                <c:pt idx="2640">
                  <c:v>39897</c:v>
                </c:pt>
                <c:pt idx="2641">
                  <c:v>39898</c:v>
                </c:pt>
                <c:pt idx="2642">
                  <c:v>39899</c:v>
                </c:pt>
                <c:pt idx="2643">
                  <c:v>39900</c:v>
                </c:pt>
                <c:pt idx="2644">
                  <c:v>39901</c:v>
                </c:pt>
                <c:pt idx="2645">
                  <c:v>39902</c:v>
                </c:pt>
                <c:pt idx="2646">
                  <c:v>39903</c:v>
                </c:pt>
                <c:pt idx="2647">
                  <c:v>39904</c:v>
                </c:pt>
                <c:pt idx="2648">
                  <c:v>39905</c:v>
                </c:pt>
                <c:pt idx="2649">
                  <c:v>39906</c:v>
                </c:pt>
                <c:pt idx="2650">
                  <c:v>39907</c:v>
                </c:pt>
                <c:pt idx="2651">
                  <c:v>39908</c:v>
                </c:pt>
                <c:pt idx="2652">
                  <c:v>39909</c:v>
                </c:pt>
                <c:pt idx="2653">
                  <c:v>39910</c:v>
                </c:pt>
                <c:pt idx="2654">
                  <c:v>39911</c:v>
                </c:pt>
                <c:pt idx="2655">
                  <c:v>39912</c:v>
                </c:pt>
                <c:pt idx="2656">
                  <c:v>39913</c:v>
                </c:pt>
                <c:pt idx="2657">
                  <c:v>39914</c:v>
                </c:pt>
                <c:pt idx="2658">
                  <c:v>39915</c:v>
                </c:pt>
                <c:pt idx="2659">
                  <c:v>39916</c:v>
                </c:pt>
                <c:pt idx="2660">
                  <c:v>39917</c:v>
                </c:pt>
                <c:pt idx="2661">
                  <c:v>39918</c:v>
                </c:pt>
                <c:pt idx="2662">
                  <c:v>39919</c:v>
                </c:pt>
                <c:pt idx="2663">
                  <c:v>39920</c:v>
                </c:pt>
                <c:pt idx="2664">
                  <c:v>39921</c:v>
                </c:pt>
                <c:pt idx="2665">
                  <c:v>39922</c:v>
                </c:pt>
                <c:pt idx="2666">
                  <c:v>39923</c:v>
                </c:pt>
                <c:pt idx="2667">
                  <c:v>39924</c:v>
                </c:pt>
                <c:pt idx="2668">
                  <c:v>39925</c:v>
                </c:pt>
                <c:pt idx="2669">
                  <c:v>39926</c:v>
                </c:pt>
                <c:pt idx="2670">
                  <c:v>39927</c:v>
                </c:pt>
                <c:pt idx="2671">
                  <c:v>39928</c:v>
                </c:pt>
                <c:pt idx="2672">
                  <c:v>39929</c:v>
                </c:pt>
                <c:pt idx="2673">
                  <c:v>39930</c:v>
                </c:pt>
                <c:pt idx="2674">
                  <c:v>39931</c:v>
                </c:pt>
                <c:pt idx="2675">
                  <c:v>39932</c:v>
                </c:pt>
                <c:pt idx="2676">
                  <c:v>39933</c:v>
                </c:pt>
                <c:pt idx="2677">
                  <c:v>39934</c:v>
                </c:pt>
                <c:pt idx="2678">
                  <c:v>39935</c:v>
                </c:pt>
                <c:pt idx="2679">
                  <c:v>39936</c:v>
                </c:pt>
                <c:pt idx="2680">
                  <c:v>39937</c:v>
                </c:pt>
                <c:pt idx="2681">
                  <c:v>39938</c:v>
                </c:pt>
                <c:pt idx="2682">
                  <c:v>39939</c:v>
                </c:pt>
                <c:pt idx="2683">
                  <c:v>39940</c:v>
                </c:pt>
                <c:pt idx="2684">
                  <c:v>39941</c:v>
                </c:pt>
                <c:pt idx="2685">
                  <c:v>39942</c:v>
                </c:pt>
                <c:pt idx="2686">
                  <c:v>39943</c:v>
                </c:pt>
                <c:pt idx="2687">
                  <c:v>39944</c:v>
                </c:pt>
                <c:pt idx="2688">
                  <c:v>39945</c:v>
                </c:pt>
                <c:pt idx="2689">
                  <c:v>39946</c:v>
                </c:pt>
                <c:pt idx="2690">
                  <c:v>39947</c:v>
                </c:pt>
                <c:pt idx="2691">
                  <c:v>39948</c:v>
                </c:pt>
                <c:pt idx="2692">
                  <c:v>39949</c:v>
                </c:pt>
                <c:pt idx="2693">
                  <c:v>39950</c:v>
                </c:pt>
                <c:pt idx="2694">
                  <c:v>39951</c:v>
                </c:pt>
                <c:pt idx="2695">
                  <c:v>39952</c:v>
                </c:pt>
                <c:pt idx="2696">
                  <c:v>39953</c:v>
                </c:pt>
                <c:pt idx="2697">
                  <c:v>39954</c:v>
                </c:pt>
                <c:pt idx="2698">
                  <c:v>39955</c:v>
                </c:pt>
                <c:pt idx="2699">
                  <c:v>39956</c:v>
                </c:pt>
                <c:pt idx="2700">
                  <c:v>39957</c:v>
                </c:pt>
                <c:pt idx="2701">
                  <c:v>39958</c:v>
                </c:pt>
                <c:pt idx="2702">
                  <c:v>39959</c:v>
                </c:pt>
                <c:pt idx="2703">
                  <c:v>39960</c:v>
                </c:pt>
                <c:pt idx="2704">
                  <c:v>39961</c:v>
                </c:pt>
                <c:pt idx="2705">
                  <c:v>39962</c:v>
                </c:pt>
                <c:pt idx="2706">
                  <c:v>39963</c:v>
                </c:pt>
                <c:pt idx="2707">
                  <c:v>39964</c:v>
                </c:pt>
                <c:pt idx="2708">
                  <c:v>39965</c:v>
                </c:pt>
                <c:pt idx="2709">
                  <c:v>39966</c:v>
                </c:pt>
                <c:pt idx="2710">
                  <c:v>39967</c:v>
                </c:pt>
                <c:pt idx="2711">
                  <c:v>39968</c:v>
                </c:pt>
                <c:pt idx="2712">
                  <c:v>39969</c:v>
                </c:pt>
                <c:pt idx="2713">
                  <c:v>39970</c:v>
                </c:pt>
                <c:pt idx="2714">
                  <c:v>39971</c:v>
                </c:pt>
                <c:pt idx="2715">
                  <c:v>39972</c:v>
                </c:pt>
                <c:pt idx="2716">
                  <c:v>39973</c:v>
                </c:pt>
                <c:pt idx="2717">
                  <c:v>39974</c:v>
                </c:pt>
                <c:pt idx="2718">
                  <c:v>39975</c:v>
                </c:pt>
                <c:pt idx="2719">
                  <c:v>39976</c:v>
                </c:pt>
                <c:pt idx="2720">
                  <c:v>39977</c:v>
                </c:pt>
                <c:pt idx="2721">
                  <c:v>39978</c:v>
                </c:pt>
                <c:pt idx="2722">
                  <c:v>39979</c:v>
                </c:pt>
                <c:pt idx="2723">
                  <c:v>39980</c:v>
                </c:pt>
                <c:pt idx="2724">
                  <c:v>39981</c:v>
                </c:pt>
                <c:pt idx="2725">
                  <c:v>39982</c:v>
                </c:pt>
                <c:pt idx="2726">
                  <c:v>39983</c:v>
                </c:pt>
                <c:pt idx="2727">
                  <c:v>39984</c:v>
                </c:pt>
                <c:pt idx="2728">
                  <c:v>39985</c:v>
                </c:pt>
                <c:pt idx="2729">
                  <c:v>39986</c:v>
                </c:pt>
                <c:pt idx="2730">
                  <c:v>39987</c:v>
                </c:pt>
                <c:pt idx="2731">
                  <c:v>39988</c:v>
                </c:pt>
                <c:pt idx="2732">
                  <c:v>39989</c:v>
                </c:pt>
                <c:pt idx="2733">
                  <c:v>39990</c:v>
                </c:pt>
                <c:pt idx="2734">
                  <c:v>39991</c:v>
                </c:pt>
                <c:pt idx="2735">
                  <c:v>39992</c:v>
                </c:pt>
                <c:pt idx="2736">
                  <c:v>39993</c:v>
                </c:pt>
                <c:pt idx="2737">
                  <c:v>39994</c:v>
                </c:pt>
                <c:pt idx="2738">
                  <c:v>39995</c:v>
                </c:pt>
                <c:pt idx="2739">
                  <c:v>39996</c:v>
                </c:pt>
                <c:pt idx="2740">
                  <c:v>39997</c:v>
                </c:pt>
                <c:pt idx="2741">
                  <c:v>39998</c:v>
                </c:pt>
                <c:pt idx="2742">
                  <c:v>39999</c:v>
                </c:pt>
                <c:pt idx="2743">
                  <c:v>40000</c:v>
                </c:pt>
                <c:pt idx="2744">
                  <c:v>40001</c:v>
                </c:pt>
                <c:pt idx="2745">
                  <c:v>40002</c:v>
                </c:pt>
                <c:pt idx="2746">
                  <c:v>40003</c:v>
                </c:pt>
                <c:pt idx="2747">
                  <c:v>40004</c:v>
                </c:pt>
                <c:pt idx="2748">
                  <c:v>40005</c:v>
                </c:pt>
                <c:pt idx="2749">
                  <c:v>40006</c:v>
                </c:pt>
                <c:pt idx="2750">
                  <c:v>40007</c:v>
                </c:pt>
                <c:pt idx="2751">
                  <c:v>40008</c:v>
                </c:pt>
                <c:pt idx="2752">
                  <c:v>40009</c:v>
                </c:pt>
                <c:pt idx="2753">
                  <c:v>40010</c:v>
                </c:pt>
                <c:pt idx="2754">
                  <c:v>40011</c:v>
                </c:pt>
                <c:pt idx="2755">
                  <c:v>40012</c:v>
                </c:pt>
                <c:pt idx="2756">
                  <c:v>40013</c:v>
                </c:pt>
                <c:pt idx="2757">
                  <c:v>40014</c:v>
                </c:pt>
                <c:pt idx="2758">
                  <c:v>40015</c:v>
                </c:pt>
                <c:pt idx="2759">
                  <c:v>40016</c:v>
                </c:pt>
                <c:pt idx="2760">
                  <c:v>40017</c:v>
                </c:pt>
                <c:pt idx="2761">
                  <c:v>40018</c:v>
                </c:pt>
                <c:pt idx="2762">
                  <c:v>40019</c:v>
                </c:pt>
                <c:pt idx="2763">
                  <c:v>40020</c:v>
                </c:pt>
                <c:pt idx="2764">
                  <c:v>40021</c:v>
                </c:pt>
                <c:pt idx="2765">
                  <c:v>40022</c:v>
                </c:pt>
                <c:pt idx="2766">
                  <c:v>40023</c:v>
                </c:pt>
                <c:pt idx="2767">
                  <c:v>40024</c:v>
                </c:pt>
                <c:pt idx="2768">
                  <c:v>40025</c:v>
                </c:pt>
                <c:pt idx="2769">
                  <c:v>40026</c:v>
                </c:pt>
                <c:pt idx="2770">
                  <c:v>40027</c:v>
                </c:pt>
                <c:pt idx="2771">
                  <c:v>40028</c:v>
                </c:pt>
                <c:pt idx="2772">
                  <c:v>40029</c:v>
                </c:pt>
                <c:pt idx="2773">
                  <c:v>40030</c:v>
                </c:pt>
                <c:pt idx="2774">
                  <c:v>40031</c:v>
                </c:pt>
                <c:pt idx="2775">
                  <c:v>40032</c:v>
                </c:pt>
                <c:pt idx="2776">
                  <c:v>40033</c:v>
                </c:pt>
                <c:pt idx="2777">
                  <c:v>40034</c:v>
                </c:pt>
                <c:pt idx="2778">
                  <c:v>40035</c:v>
                </c:pt>
                <c:pt idx="2779">
                  <c:v>40036</c:v>
                </c:pt>
                <c:pt idx="2780">
                  <c:v>40037</c:v>
                </c:pt>
                <c:pt idx="2781">
                  <c:v>40038</c:v>
                </c:pt>
                <c:pt idx="2782">
                  <c:v>40039</c:v>
                </c:pt>
                <c:pt idx="2783">
                  <c:v>40040</c:v>
                </c:pt>
                <c:pt idx="2784">
                  <c:v>40041</c:v>
                </c:pt>
                <c:pt idx="2785">
                  <c:v>40042</c:v>
                </c:pt>
                <c:pt idx="2786">
                  <c:v>40043</c:v>
                </c:pt>
                <c:pt idx="2787">
                  <c:v>40044</c:v>
                </c:pt>
                <c:pt idx="2788">
                  <c:v>40045</c:v>
                </c:pt>
                <c:pt idx="2789">
                  <c:v>40046</c:v>
                </c:pt>
                <c:pt idx="2790">
                  <c:v>40047</c:v>
                </c:pt>
                <c:pt idx="2791">
                  <c:v>40048</c:v>
                </c:pt>
                <c:pt idx="2792">
                  <c:v>40049</c:v>
                </c:pt>
                <c:pt idx="2793">
                  <c:v>40050</c:v>
                </c:pt>
                <c:pt idx="2794">
                  <c:v>40051</c:v>
                </c:pt>
                <c:pt idx="2795">
                  <c:v>40052</c:v>
                </c:pt>
                <c:pt idx="2796">
                  <c:v>40053</c:v>
                </c:pt>
                <c:pt idx="2797">
                  <c:v>40054</c:v>
                </c:pt>
                <c:pt idx="2798">
                  <c:v>40055</c:v>
                </c:pt>
                <c:pt idx="2799">
                  <c:v>40056</c:v>
                </c:pt>
                <c:pt idx="2800">
                  <c:v>40057</c:v>
                </c:pt>
                <c:pt idx="2801">
                  <c:v>40058</c:v>
                </c:pt>
                <c:pt idx="2802">
                  <c:v>40059</c:v>
                </c:pt>
                <c:pt idx="2803">
                  <c:v>40060</c:v>
                </c:pt>
                <c:pt idx="2804">
                  <c:v>40061</c:v>
                </c:pt>
                <c:pt idx="2805">
                  <c:v>40062</c:v>
                </c:pt>
                <c:pt idx="2806">
                  <c:v>40063</c:v>
                </c:pt>
                <c:pt idx="2807">
                  <c:v>40064</c:v>
                </c:pt>
                <c:pt idx="2808">
                  <c:v>40065</c:v>
                </c:pt>
                <c:pt idx="2809">
                  <c:v>40066</c:v>
                </c:pt>
                <c:pt idx="2810">
                  <c:v>40067</c:v>
                </c:pt>
                <c:pt idx="2811">
                  <c:v>40068</c:v>
                </c:pt>
                <c:pt idx="2812">
                  <c:v>40069</c:v>
                </c:pt>
                <c:pt idx="2813">
                  <c:v>40070</c:v>
                </c:pt>
                <c:pt idx="2814">
                  <c:v>40071</c:v>
                </c:pt>
                <c:pt idx="2815">
                  <c:v>40072</c:v>
                </c:pt>
                <c:pt idx="2816">
                  <c:v>40073</c:v>
                </c:pt>
                <c:pt idx="2817">
                  <c:v>40074</c:v>
                </c:pt>
                <c:pt idx="2818">
                  <c:v>40075</c:v>
                </c:pt>
                <c:pt idx="2819">
                  <c:v>40076</c:v>
                </c:pt>
                <c:pt idx="2820">
                  <c:v>40077</c:v>
                </c:pt>
                <c:pt idx="2821">
                  <c:v>40078</c:v>
                </c:pt>
                <c:pt idx="2822">
                  <c:v>40079</c:v>
                </c:pt>
                <c:pt idx="2823">
                  <c:v>40080</c:v>
                </c:pt>
                <c:pt idx="2824">
                  <c:v>40081</c:v>
                </c:pt>
                <c:pt idx="2825">
                  <c:v>40082</c:v>
                </c:pt>
                <c:pt idx="2826">
                  <c:v>40083</c:v>
                </c:pt>
                <c:pt idx="2827">
                  <c:v>40084</c:v>
                </c:pt>
                <c:pt idx="2828">
                  <c:v>40085</c:v>
                </c:pt>
                <c:pt idx="2829">
                  <c:v>40086</c:v>
                </c:pt>
                <c:pt idx="2830">
                  <c:v>40087</c:v>
                </c:pt>
                <c:pt idx="2831">
                  <c:v>40088</c:v>
                </c:pt>
                <c:pt idx="2832">
                  <c:v>40089</c:v>
                </c:pt>
                <c:pt idx="2833">
                  <c:v>40090</c:v>
                </c:pt>
                <c:pt idx="2834">
                  <c:v>40091</c:v>
                </c:pt>
                <c:pt idx="2835">
                  <c:v>40092</c:v>
                </c:pt>
                <c:pt idx="2836">
                  <c:v>40093</c:v>
                </c:pt>
                <c:pt idx="2837">
                  <c:v>40094</c:v>
                </c:pt>
                <c:pt idx="2838">
                  <c:v>40095</c:v>
                </c:pt>
                <c:pt idx="2839">
                  <c:v>40096</c:v>
                </c:pt>
                <c:pt idx="2840">
                  <c:v>40097</c:v>
                </c:pt>
                <c:pt idx="2841">
                  <c:v>40098</c:v>
                </c:pt>
                <c:pt idx="2842">
                  <c:v>40099</c:v>
                </c:pt>
                <c:pt idx="2843">
                  <c:v>40100</c:v>
                </c:pt>
                <c:pt idx="2844">
                  <c:v>40101</c:v>
                </c:pt>
                <c:pt idx="2845">
                  <c:v>40102</c:v>
                </c:pt>
                <c:pt idx="2846">
                  <c:v>40103</c:v>
                </c:pt>
                <c:pt idx="2847">
                  <c:v>40104</c:v>
                </c:pt>
                <c:pt idx="2848">
                  <c:v>40105</c:v>
                </c:pt>
                <c:pt idx="2849">
                  <c:v>40106</c:v>
                </c:pt>
                <c:pt idx="2850">
                  <c:v>40107</c:v>
                </c:pt>
                <c:pt idx="2851">
                  <c:v>40108</c:v>
                </c:pt>
                <c:pt idx="2852">
                  <c:v>40109</c:v>
                </c:pt>
                <c:pt idx="2853">
                  <c:v>40110</c:v>
                </c:pt>
                <c:pt idx="2854">
                  <c:v>40111</c:v>
                </c:pt>
                <c:pt idx="2855">
                  <c:v>40112</c:v>
                </c:pt>
                <c:pt idx="2856">
                  <c:v>40113</c:v>
                </c:pt>
                <c:pt idx="2857">
                  <c:v>40114</c:v>
                </c:pt>
                <c:pt idx="2858">
                  <c:v>40115</c:v>
                </c:pt>
                <c:pt idx="2859">
                  <c:v>40116</c:v>
                </c:pt>
                <c:pt idx="2860">
                  <c:v>40117</c:v>
                </c:pt>
                <c:pt idx="2861">
                  <c:v>40118</c:v>
                </c:pt>
                <c:pt idx="2862">
                  <c:v>40119</c:v>
                </c:pt>
                <c:pt idx="2863">
                  <c:v>40120</c:v>
                </c:pt>
                <c:pt idx="2864">
                  <c:v>40121</c:v>
                </c:pt>
                <c:pt idx="2865">
                  <c:v>40122</c:v>
                </c:pt>
                <c:pt idx="2866">
                  <c:v>40123</c:v>
                </c:pt>
                <c:pt idx="2867">
                  <c:v>40124</c:v>
                </c:pt>
                <c:pt idx="2868">
                  <c:v>40125</c:v>
                </c:pt>
                <c:pt idx="2869">
                  <c:v>40126</c:v>
                </c:pt>
                <c:pt idx="2870">
                  <c:v>40127</c:v>
                </c:pt>
                <c:pt idx="2871">
                  <c:v>40128</c:v>
                </c:pt>
                <c:pt idx="2872">
                  <c:v>40129</c:v>
                </c:pt>
                <c:pt idx="2873">
                  <c:v>40130</c:v>
                </c:pt>
                <c:pt idx="2874">
                  <c:v>40131</c:v>
                </c:pt>
                <c:pt idx="2875">
                  <c:v>40132</c:v>
                </c:pt>
                <c:pt idx="2876">
                  <c:v>40133</c:v>
                </c:pt>
                <c:pt idx="2877">
                  <c:v>40134</c:v>
                </c:pt>
                <c:pt idx="2878">
                  <c:v>40135</c:v>
                </c:pt>
                <c:pt idx="2879">
                  <c:v>40136</c:v>
                </c:pt>
                <c:pt idx="2880">
                  <c:v>40137</c:v>
                </c:pt>
                <c:pt idx="2881">
                  <c:v>40138</c:v>
                </c:pt>
                <c:pt idx="2882">
                  <c:v>40139</c:v>
                </c:pt>
                <c:pt idx="2883">
                  <c:v>40140</c:v>
                </c:pt>
                <c:pt idx="2884">
                  <c:v>40141</c:v>
                </c:pt>
                <c:pt idx="2885">
                  <c:v>40142</c:v>
                </c:pt>
                <c:pt idx="2886">
                  <c:v>40143</c:v>
                </c:pt>
                <c:pt idx="2887">
                  <c:v>40144</c:v>
                </c:pt>
                <c:pt idx="2888">
                  <c:v>40145</c:v>
                </c:pt>
                <c:pt idx="2889">
                  <c:v>40146</c:v>
                </c:pt>
                <c:pt idx="2890">
                  <c:v>40147</c:v>
                </c:pt>
                <c:pt idx="2891">
                  <c:v>40148</c:v>
                </c:pt>
                <c:pt idx="2892">
                  <c:v>40149</c:v>
                </c:pt>
                <c:pt idx="2893">
                  <c:v>40150</c:v>
                </c:pt>
                <c:pt idx="2894">
                  <c:v>40151</c:v>
                </c:pt>
                <c:pt idx="2895">
                  <c:v>40152</c:v>
                </c:pt>
                <c:pt idx="2896">
                  <c:v>40153</c:v>
                </c:pt>
                <c:pt idx="2897">
                  <c:v>40154</c:v>
                </c:pt>
                <c:pt idx="2898">
                  <c:v>40155</c:v>
                </c:pt>
                <c:pt idx="2899">
                  <c:v>40156</c:v>
                </c:pt>
                <c:pt idx="2900">
                  <c:v>40157</c:v>
                </c:pt>
                <c:pt idx="2901">
                  <c:v>40158</c:v>
                </c:pt>
                <c:pt idx="2902">
                  <c:v>40159</c:v>
                </c:pt>
                <c:pt idx="2903">
                  <c:v>40160</c:v>
                </c:pt>
                <c:pt idx="2904">
                  <c:v>40161</c:v>
                </c:pt>
                <c:pt idx="2905">
                  <c:v>40162</c:v>
                </c:pt>
                <c:pt idx="2906">
                  <c:v>40163</c:v>
                </c:pt>
                <c:pt idx="2907">
                  <c:v>40164</c:v>
                </c:pt>
                <c:pt idx="2908">
                  <c:v>40165</c:v>
                </c:pt>
                <c:pt idx="2909">
                  <c:v>40166</c:v>
                </c:pt>
                <c:pt idx="2910">
                  <c:v>40167</c:v>
                </c:pt>
                <c:pt idx="2911">
                  <c:v>40168</c:v>
                </c:pt>
                <c:pt idx="2912">
                  <c:v>40169</c:v>
                </c:pt>
                <c:pt idx="2913">
                  <c:v>40170</c:v>
                </c:pt>
                <c:pt idx="2914">
                  <c:v>40171</c:v>
                </c:pt>
                <c:pt idx="2915">
                  <c:v>40172</c:v>
                </c:pt>
                <c:pt idx="2916">
                  <c:v>40173</c:v>
                </c:pt>
                <c:pt idx="2917">
                  <c:v>40174</c:v>
                </c:pt>
                <c:pt idx="2918">
                  <c:v>40175</c:v>
                </c:pt>
                <c:pt idx="2919">
                  <c:v>40176</c:v>
                </c:pt>
                <c:pt idx="2920">
                  <c:v>40177</c:v>
                </c:pt>
                <c:pt idx="2921">
                  <c:v>40178</c:v>
                </c:pt>
                <c:pt idx="2922">
                  <c:v>40179</c:v>
                </c:pt>
                <c:pt idx="2923">
                  <c:v>40180</c:v>
                </c:pt>
                <c:pt idx="2924">
                  <c:v>40181</c:v>
                </c:pt>
                <c:pt idx="2925">
                  <c:v>40182</c:v>
                </c:pt>
                <c:pt idx="2926">
                  <c:v>40183</c:v>
                </c:pt>
                <c:pt idx="2927">
                  <c:v>40184</c:v>
                </c:pt>
                <c:pt idx="2928">
                  <c:v>40185</c:v>
                </c:pt>
                <c:pt idx="2929">
                  <c:v>40186</c:v>
                </c:pt>
                <c:pt idx="2930">
                  <c:v>40187</c:v>
                </c:pt>
                <c:pt idx="2931">
                  <c:v>40188</c:v>
                </c:pt>
                <c:pt idx="2932">
                  <c:v>40189</c:v>
                </c:pt>
                <c:pt idx="2933">
                  <c:v>40190</c:v>
                </c:pt>
                <c:pt idx="2934">
                  <c:v>40191</c:v>
                </c:pt>
                <c:pt idx="2935">
                  <c:v>40192</c:v>
                </c:pt>
                <c:pt idx="2936">
                  <c:v>40193</c:v>
                </c:pt>
                <c:pt idx="2937">
                  <c:v>40194</c:v>
                </c:pt>
                <c:pt idx="2938">
                  <c:v>40195</c:v>
                </c:pt>
                <c:pt idx="2939">
                  <c:v>40196</c:v>
                </c:pt>
                <c:pt idx="2940">
                  <c:v>40197</c:v>
                </c:pt>
                <c:pt idx="2941">
                  <c:v>40198</c:v>
                </c:pt>
                <c:pt idx="2942">
                  <c:v>40199</c:v>
                </c:pt>
                <c:pt idx="2943">
                  <c:v>40200</c:v>
                </c:pt>
                <c:pt idx="2944">
                  <c:v>40201</c:v>
                </c:pt>
                <c:pt idx="2945">
                  <c:v>40202</c:v>
                </c:pt>
                <c:pt idx="2946">
                  <c:v>40203</c:v>
                </c:pt>
                <c:pt idx="2947">
                  <c:v>40204</c:v>
                </c:pt>
                <c:pt idx="2948">
                  <c:v>40205</c:v>
                </c:pt>
                <c:pt idx="2949">
                  <c:v>40206</c:v>
                </c:pt>
                <c:pt idx="2950">
                  <c:v>40207</c:v>
                </c:pt>
                <c:pt idx="2951">
                  <c:v>40208</c:v>
                </c:pt>
                <c:pt idx="2952">
                  <c:v>40209</c:v>
                </c:pt>
                <c:pt idx="2953">
                  <c:v>40210</c:v>
                </c:pt>
                <c:pt idx="2954">
                  <c:v>40211</c:v>
                </c:pt>
                <c:pt idx="2955">
                  <c:v>40212</c:v>
                </c:pt>
                <c:pt idx="2956">
                  <c:v>40213</c:v>
                </c:pt>
                <c:pt idx="2957">
                  <c:v>40214</c:v>
                </c:pt>
                <c:pt idx="2958">
                  <c:v>40215</c:v>
                </c:pt>
                <c:pt idx="2959">
                  <c:v>40216</c:v>
                </c:pt>
                <c:pt idx="2960">
                  <c:v>40217</c:v>
                </c:pt>
                <c:pt idx="2961">
                  <c:v>40218</c:v>
                </c:pt>
                <c:pt idx="2962">
                  <c:v>40219</c:v>
                </c:pt>
                <c:pt idx="2963">
                  <c:v>40220</c:v>
                </c:pt>
                <c:pt idx="2964">
                  <c:v>40221</c:v>
                </c:pt>
                <c:pt idx="2965">
                  <c:v>40222</c:v>
                </c:pt>
                <c:pt idx="2966">
                  <c:v>40223</c:v>
                </c:pt>
                <c:pt idx="2967">
                  <c:v>40224</c:v>
                </c:pt>
                <c:pt idx="2968">
                  <c:v>40225</c:v>
                </c:pt>
                <c:pt idx="2969">
                  <c:v>40226</c:v>
                </c:pt>
                <c:pt idx="2970">
                  <c:v>40227</c:v>
                </c:pt>
                <c:pt idx="2971">
                  <c:v>40228</c:v>
                </c:pt>
                <c:pt idx="2972">
                  <c:v>40229</c:v>
                </c:pt>
                <c:pt idx="2973">
                  <c:v>40230</c:v>
                </c:pt>
                <c:pt idx="2974">
                  <c:v>40231</c:v>
                </c:pt>
                <c:pt idx="2975">
                  <c:v>40232</c:v>
                </c:pt>
                <c:pt idx="2976">
                  <c:v>40233</c:v>
                </c:pt>
                <c:pt idx="2977">
                  <c:v>40234</c:v>
                </c:pt>
                <c:pt idx="2978">
                  <c:v>40235</c:v>
                </c:pt>
                <c:pt idx="2979">
                  <c:v>40236</c:v>
                </c:pt>
                <c:pt idx="2980">
                  <c:v>40237</c:v>
                </c:pt>
                <c:pt idx="2981">
                  <c:v>40238</c:v>
                </c:pt>
                <c:pt idx="2982">
                  <c:v>40239</c:v>
                </c:pt>
                <c:pt idx="2983">
                  <c:v>40240</c:v>
                </c:pt>
                <c:pt idx="2984">
                  <c:v>40241</c:v>
                </c:pt>
                <c:pt idx="2985">
                  <c:v>40242</c:v>
                </c:pt>
                <c:pt idx="2986">
                  <c:v>40243</c:v>
                </c:pt>
                <c:pt idx="2987">
                  <c:v>40244</c:v>
                </c:pt>
                <c:pt idx="2988">
                  <c:v>40245</c:v>
                </c:pt>
                <c:pt idx="2989">
                  <c:v>40246</c:v>
                </c:pt>
                <c:pt idx="2990">
                  <c:v>40247</c:v>
                </c:pt>
                <c:pt idx="2991">
                  <c:v>40248</c:v>
                </c:pt>
                <c:pt idx="2992">
                  <c:v>40249</c:v>
                </c:pt>
                <c:pt idx="2993">
                  <c:v>40250</c:v>
                </c:pt>
                <c:pt idx="2994">
                  <c:v>40251</c:v>
                </c:pt>
                <c:pt idx="2995">
                  <c:v>40252</c:v>
                </c:pt>
                <c:pt idx="2996">
                  <c:v>40253</c:v>
                </c:pt>
                <c:pt idx="2997">
                  <c:v>40254</c:v>
                </c:pt>
                <c:pt idx="2998">
                  <c:v>40255</c:v>
                </c:pt>
                <c:pt idx="2999">
                  <c:v>40256</c:v>
                </c:pt>
                <c:pt idx="3000">
                  <c:v>40257</c:v>
                </c:pt>
                <c:pt idx="3001">
                  <c:v>40258</c:v>
                </c:pt>
                <c:pt idx="3002">
                  <c:v>40259</c:v>
                </c:pt>
                <c:pt idx="3003">
                  <c:v>40260</c:v>
                </c:pt>
                <c:pt idx="3004">
                  <c:v>40261</c:v>
                </c:pt>
                <c:pt idx="3005">
                  <c:v>40262</c:v>
                </c:pt>
                <c:pt idx="3006">
                  <c:v>40263</c:v>
                </c:pt>
                <c:pt idx="3007">
                  <c:v>40264</c:v>
                </c:pt>
                <c:pt idx="3008">
                  <c:v>40265</c:v>
                </c:pt>
                <c:pt idx="3009">
                  <c:v>40266</c:v>
                </c:pt>
                <c:pt idx="3010">
                  <c:v>40267</c:v>
                </c:pt>
                <c:pt idx="3011">
                  <c:v>40268</c:v>
                </c:pt>
                <c:pt idx="3012">
                  <c:v>40269</c:v>
                </c:pt>
                <c:pt idx="3013">
                  <c:v>40270</c:v>
                </c:pt>
                <c:pt idx="3014">
                  <c:v>40271</c:v>
                </c:pt>
                <c:pt idx="3015">
                  <c:v>40272</c:v>
                </c:pt>
                <c:pt idx="3016">
                  <c:v>40273</c:v>
                </c:pt>
                <c:pt idx="3017">
                  <c:v>40274</c:v>
                </c:pt>
                <c:pt idx="3018">
                  <c:v>40275</c:v>
                </c:pt>
                <c:pt idx="3019">
                  <c:v>40276</c:v>
                </c:pt>
                <c:pt idx="3020">
                  <c:v>40277</c:v>
                </c:pt>
                <c:pt idx="3021">
                  <c:v>40278</c:v>
                </c:pt>
                <c:pt idx="3022">
                  <c:v>40279</c:v>
                </c:pt>
                <c:pt idx="3023">
                  <c:v>40280</c:v>
                </c:pt>
                <c:pt idx="3024">
                  <c:v>40281</c:v>
                </c:pt>
                <c:pt idx="3025">
                  <c:v>40282</c:v>
                </c:pt>
                <c:pt idx="3026">
                  <c:v>40283</c:v>
                </c:pt>
                <c:pt idx="3027">
                  <c:v>40284</c:v>
                </c:pt>
                <c:pt idx="3028">
                  <c:v>40285</c:v>
                </c:pt>
                <c:pt idx="3029">
                  <c:v>40286</c:v>
                </c:pt>
                <c:pt idx="3030">
                  <c:v>40287</c:v>
                </c:pt>
                <c:pt idx="3031">
                  <c:v>40288</c:v>
                </c:pt>
                <c:pt idx="3032">
                  <c:v>40289</c:v>
                </c:pt>
                <c:pt idx="3033">
                  <c:v>40290</c:v>
                </c:pt>
                <c:pt idx="3034">
                  <c:v>40291</c:v>
                </c:pt>
                <c:pt idx="3035">
                  <c:v>40292</c:v>
                </c:pt>
                <c:pt idx="3036">
                  <c:v>40293</c:v>
                </c:pt>
                <c:pt idx="3037">
                  <c:v>40294</c:v>
                </c:pt>
                <c:pt idx="3038">
                  <c:v>40295</c:v>
                </c:pt>
                <c:pt idx="3039">
                  <c:v>40296</c:v>
                </c:pt>
                <c:pt idx="3040">
                  <c:v>40297</c:v>
                </c:pt>
                <c:pt idx="3041">
                  <c:v>40298</c:v>
                </c:pt>
                <c:pt idx="3042">
                  <c:v>40299</c:v>
                </c:pt>
                <c:pt idx="3043">
                  <c:v>40300</c:v>
                </c:pt>
                <c:pt idx="3044">
                  <c:v>40301</c:v>
                </c:pt>
                <c:pt idx="3045">
                  <c:v>40302</c:v>
                </c:pt>
                <c:pt idx="3046">
                  <c:v>40303</c:v>
                </c:pt>
                <c:pt idx="3047">
                  <c:v>40304</c:v>
                </c:pt>
                <c:pt idx="3048">
                  <c:v>40305</c:v>
                </c:pt>
                <c:pt idx="3049">
                  <c:v>40306</c:v>
                </c:pt>
                <c:pt idx="3050">
                  <c:v>40307</c:v>
                </c:pt>
                <c:pt idx="3051">
                  <c:v>40308</c:v>
                </c:pt>
                <c:pt idx="3052">
                  <c:v>40309</c:v>
                </c:pt>
                <c:pt idx="3053">
                  <c:v>40310</c:v>
                </c:pt>
                <c:pt idx="3054">
                  <c:v>40311</c:v>
                </c:pt>
                <c:pt idx="3055">
                  <c:v>40312</c:v>
                </c:pt>
                <c:pt idx="3056">
                  <c:v>40313</c:v>
                </c:pt>
                <c:pt idx="3057">
                  <c:v>40314</c:v>
                </c:pt>
                <c:pt idx="3058">
                  <c:v>40315</c:v>
                </c:pt>
                <c:pt idx="3059">
                  <c:v>40316</c:v>
                </c:pt>
                <c:pt idx="3060">
                  <c:v>40317</c:v>
                </c:pt>
                <c:pt idx="3061">
                  <c:v>40318</c:v>
                </c:pt>
                <c:pt idx="3062">
                  <c:v>40319</c:v>
                </c:pt>
                <c:pt idx="3063">
                  <c:v>40320</c:v>
                </c:pt>
                <c:pt idx="3064">
                  <c:v>40321</c:v>
                </c:pt>
                <c:pt idx="3065">
                  <c:v>40322</c:v>
                </c:pt>
                <c:pt idx="3066">
                  <c:v>40323</c:v>
                </c:pt>
                <c:pt idx="3067">
                  <c:v>40324</c:v>
                </c:pt>
                <c:pt idx="3068">
                  <c:v>40325</c:v>
                </c:pt>
                <c:pt idx="3069">
                  <c:v>40326</c:v>
                </c:pt>
                <c:pt idx="3070">
                  <c:v>40327</c:v>
                </c:pt>
                <c:pt idx="3071">
                  <c:v>40328</c:v>
                </c:pt>
                <c:pt idx="3072">
                  <c:v>40329</c:v>
                </c:pt>
                <c:pt idx="3073">
                  <c:v>40330</c:v>
                </c:pt>
                <c:pt idx="3074">
                  <c:v>40331</c:v>
                </c:pt>
                <c:pt idx="3075">
                  <c:v>40332</c:v>
                </c:pt>
                <c:pt idx="3076">
                  <c:v>40333</c:v>
                </c:pt>
                <c:pt idx="3077">
                  <c:v>40334</c:v>
                </c:pt>
                <c:pt idx="3078">
                  <c:v>40335</c:v>
                </c:pt>
                <c:pt idx="3079">
                  <c:v>40336</c:v>
                </c:pt>
                <c:pt idx="3080">
                  <c:v>40337</c:v>
                </c:pt>
                <c:pt idx="3081">
                  <c:v>40338</c:v>
                </c:pt>
                <c:pt idx="3082">
                  <c:v>40339</c:v>
                </c:pt>
                <c:pt idx="3083">
                  <c:v>40340</c:v>
                </c:pt>
                <c:pt idx="3084">
                  <c:v>40341</c:v>
                </c:pt>
                <c:pt idx="3085">
                  <c:v>40342</c:v>
                </c:pt>
                <c:pt idx="3086">
                  <c:v>40343</c:v>
                </c:pt>
                <c:pt idx="3087">
                  <c:v>40344</c:v>
                </c:pt>
                <c:pt idx="3088">
                  <c:v>40345</c:v>
                </c:pt>
                <c:pt idx="3089">
                  <c:v>40346</c:v>
                </c:pt>
                <c:pt idx="3090">
                  <c:v>40347</c:v>
                </c:pt>
                <c:pt idx="3091">
                  <c:v>40348</c:v>
                </c:pt>
                <c:pt idx="3092">
                  <c:v>40349</c:v>
                </c:pt>
                <c:pt idx="3093">
                  <c:v>40350</c:v>
                </c:pt>
                <c:pt idx="3094">
                  <c:v>40351</c:v>
                </c:pt>
                <c:pt idx="3095">
                  <c:v>40352</c:v>
                </c:pt>
                <c:pt idx="3096">
                  <c:v>40353</c:v>
                </c:pt>
                <c:pt idx="3097">
                  <c:v>40354</c:v>
                </c:pt>
                <c:pt idx="3098">
                  <c:v>40355</c:v>
                </c:pt>
                <c:pt idx="3099">
                  <c:v>40356</c:v>
                </c:pt>
                <c:pt idx="3100">
                  <c:v>40357</c:v>
                </c:pt>
                <c:pt idx="3101">
                  <c:v>40358</c:v>
                </c:pt>
                <c:pt idx="3102">
                  <c:v>40359</c:v>
                </c:pt>
                <c:pt idx="3103">
                  <c:v>40360</c:v>
                </c:pt>
                <c:pt idx="3104">
                  <c:v>40361</c:v>
                </c:pt>
                <c:pt idx="3105">
                  <c:v>40362</c:v>
                </c:pt>
                <c:pt idx="3106">
                  <c:v>40363</c:v>
                </c:pt>
                <c:pt idx="3107">
                  <c:v>40364</c:v>
                </c:pt>
                <c:pt idx="3108">
                  <c:v>40365</c:v>
                </c:pt>
                <c:pt idx="3109">
                  <c:v>40366</c:v>
                </c:pt>
                <c:pt idx="3110">
                  <c:v>40367</c:v>
                </c:pt>
                <c:pt idx="3111">
                  <c:v>40368</c:v>
                </c:pt>
                <c:pt idx="3112">
                  <c:v>40369</c:v>
                </c:pt>
                <c:pt idx="3113">
                  <c:v>40370</c:v>
                </c:pt>
                <c:pt idx="3114">
                  <c:v>40371</c:v>
                </c:pt>
                <c:pt idx="3115">
                  <c:v>40372</c:v>
                </c:pt>
                <c:pt idx="3116">
                  <c:v>40373</c:v>
                </c:pt>
                <c:pt idx="3117">
                  <c:v>40374</c:v>
                </c:pt>
                <c:pt idx="3118">
                  <c:v>40375</c:v>
                </c:pt>
                <c:pt idx="3119">
                  <c:v>40376</c:v>
                </c:pt>
                <c:pt idx="3120">
                  <c:v>40377</c:v>
                </c:pt>
                <c:pt idx="3121">
                  <c:v>40378</c:v>
                </c:pt>
                <c:pt idx="3122">
                  <c:v>40379</c:v>
                </c:pt>
                <c:pt idx="3123">
                  <c:v>40380</c:v>
                </c:pt>
                <c:pt idx="3124">
                  <c:v>40381</c:v>
                </c:pt>
                <c:pt idx="3125">
                  <c:v>40382</c:v>
                </c:pt>
                <c:pt idx="3126">
                  <c:v>40383</c:v>
                </c:pt>
                <c:pt idx="3127">
                  <c:v>40384</c:v>
                </c:pt>
                <c:pt idx="3128">
                  <c:v>40385</c:v>
                </c:pt>
                <c:pt idx="3129">
                  <c:v>40386</c:v>
                </c:pt>
                <c:pt idx="3130">
                  <c:v>40387</c:v>
                </c:pt>
                <c:pt idx="3131">
                  <c:v>40388</c:v>
                </c:pt>
                <c:pt idx="3132">
                  <c:v>40389</c:v>
                </c:pt>
                <c:pt idx="3133">
                  <c:v>40390</c:v>
                </c:pt>
                <c:pt idx="3134">
                  <c:v>40391</c:v>
                </c:pt>
                <c:pt idx="3135">
                  <c:v>40392</c:v>
                </c:pt>
                <c:pt idx="3136">
                  <c:v>40393</c:v>
                </c:pt>
                <c:pt idx="3137">
                  <c:v>40394</c:v>
                </c:pt>
                <c:pt idx="3138">
                  <c:v>40395</c:v>
                </c:pt>
                <c:pt idx="3139">
                  <c:v>40396</c:v>
                </c:pt>
                <c:pt idx="3140">
                  <c:v>40397</c:v>
                </c:pt>
                <c:pt idx="3141">
                  <c:v>40398</c:v>
                </c:pt>
                <c:pt idx="3142">
                  <c:v>40399</c:v>
                </c:pt>
                <c:pt idx="3143">
                  <c:v>40400</c:v>
                </c:pt>
                <c:pt idx="3144">
                  <c:v>40401</c:v>
                </c:pt>
                <c:pt idx="3145">
                  <c:v>40402</c:v>
                </c:pt>
                <c:pt idx="3146">
                  <c:v>40403</c:v>
                </c:pt>
                <c:pt idx="3147">
                  <c:v>40404</c:v>
                </c:pt>
                <c:pt idx="3148">
                  <c:v>40405</c:v>
                </c:pt>
                <c:pt idx="3149">
                  <c:v>40406</c:v>
                </c:pt>
                <c:pt idx="3150">
                  <c:v>40407</c:v>
                </c:pt>
                <c:pt idx="3151">
                  <c:v>40408</c:v>
                </c:pt>
                <c:pt idx="3152">
                  <c:v>40409</c:v>
                </c:pt>
                <c:pt idx="3153">
                  <c:v>40410</c:v>
                </c:pt>
                <c:pt idx="3154">
                  <c:v>40411</c:v>
                </c:pt>
                <c:pt idx="3155">
                  <c:v>40412</c:v>
                </c:pt>
                <c:pt idx="3156">
                  <c:v>40413</c:v>
                </c:pt>
                <c:pt idx="3157">
                  <c:v>40414</c:v>
                </c:pt>
                <c:pt idx="3158">
                  <c:v>40415</c:v>
                </c:pt>
                <c:pt idx="3159">
                  <c:v>40416</c:v>
                </c:pt>
                <c:pt idx="3160">
                  <c:v>40417</c:v>
                </c:pt>
                <c:pt idx="3161">
                  <c:v>40418</c:v>
                </c:pt>
                <c:pt idx="3162">
                  <c:v>40419</c:v>
                </c:pt>
                <c:pt idx="3163">
                  <c:v>40420</c:v>
                </c:pt>
                <c:pt idx="3164">
                  <c:v>40421</c:v>
                </c:pt>
                <c:pt idx="3165">
                  <c:v>40422</c:v>
                </c:pt>
                <c:pt idx="3166">
                  <c:v>40423</c:v>
                </c:pt>
                <c:pt idx="3167">
                  <c:v>40424</c:v>
                </c:pt>
                <c:pt idx="3168">
                  <c:v>40425</c:v>
                </c:pt>
                <c:pt idx="3169">
                  <c:v>40426</c:v>
                </c:pt>
                <c:pt idx="3170">
                  <c:v>40427</c:v>
                </c:pt>
                <c:pt idx="3171">
                  <c:v>40428</c:v>
                </c:pt>
                <c:pt idx="3172">
                  <c:v>40429</c:v>
                </c:pt>
                <c:pt idx="3173">
                  <c:v>40430</c:v>
                </c:pt>
                <c:pt idx="3174">
                  <c:v>40431</c:v>
                </c:pt>
                <c:pt idx="3175">
                  <c:v>40432</c:v>
                </c:pt>
                <c:pt idx="3176">
                  <c:v>40433</c:v>
                </c:pt>
                <c:pt idx="3177">
                  <c:v>40434</c:v>
                </c:pt>
                <c:pt idx="3178">
                  <c:v>40435</c:v>
                </c:pt>
                <c:pt idx="3179">
                  <c:v>40436</c:v>
                </c:pt>
                <c:pt idx="3180">
                  <c:v>40437</c:v>
                </c:pt>
                <c:pt idx="3181">
                  <c:v>40438</c:v>
                </c:pt>
                <c:pt idx="3182">
                  <c:v>40439</c:v>
                </c:pt>
                <c:pt idx="3183">
                  <c:v>40440</c:v>
                </c:pt>
                <c:pt idx="3184">
                  <c:v>40441</c:v>
                </c:pt>
                <c:pt idx="3185">
                  <c:v>40442</c:v>
                </c:pt>
                <c:pt idx="3186">
                  <c:v>40443</c:v>
                </c:pt>
                <c:pt idx="3187">
                  <c:v>40444</c:v>
                </c:pt>
                <c:pt idx="3188">
                  <c:v>40445</c:v>
                </c:pt>
                <c:pt idx="3189">
                  <c:v>40446</c:v>
                </c:pt>
                <c:pt idx="3190">
                  <c:v>40447</c:v>
                </c:pt>
                <c:pt idx="3191">
                  <c:v>40448</c:v>
                </c:pt>
                <c:pt idx="3192">
                  <c:v>40449</c:v>
                </c:pt>
                <c:pt idx="3193">
                  <c:v>40450</c:v>
                </c:pt>
                <c:pt idx="3194">
                  <c:v>40451</c:v>
                </c:pt>
                <c:pt idx="3195">
                  <c:v>40452</c:v>
                </c:pt>
                <c:pt idx="3196">
                  <c:v>40453</c:v>
                </c:pt>
                <c:pt idx="3197">
                  <c:v>40454</c:v>
                </c:pt>
                <c:pt idx="3198">
                  <c:v>40455</c:v>
                </c:pt>
                <c:pt idx="3199">
                  <c:v>40456</c:v>
                </c:pt>
                <c:pt idx="3200">
                  <c:v>40457</c:v>
                </c:pt>
                <c:pt idx="3201">
                  <c:v>40458</c:v>
                </c:pt>
                <c:pt idx="3202">
                  <c:v>40459</c:v>
                </c:pt>
                <c:pt idx="3203">
                  <c:v>40460</c:v>
                </c:pt>
                <c:pt idx="3204">
                  <c:v>40461</c:v>
                </c:pt>
                <c:pt idx="3205">
                  <c:v>40462</c:v>
                </c:pt>
                <c:pt idx="3206">
                  <c:v>40463</c:v>
                </c:pt>
                <c:pt idx="3207">
                  <c:v>40464</c:v>
                </c:pt>
                <c:pt idx="3208">
                  <c:v>40465</c:v>
                </c:pt>
                <c:pt idx="3209">
                  <c:v>40466</c:v>
                </c:pt>
                <c:pt idx="3210">
                  <c:v>40467</c:v>
                </c:pt>
                <c:pt idx="3211">
                  <c:v>40468</c:v>
                </c:pt>
                <c:pt idx="3212">
                  <c:v>40469</c:v>
                </c:pt>
                <c:pt idx="3213">
                  <c:v>40470</c:v>
                </c:pt>
                <c:pt idx="3214">
                  <c:v>40471</c:v>
                </c:pt>
                <c:pt idx="3215">
                  <c:v>40472</c:v>
                </c:pt>
                <c:pt idx="3216">
                  <c:v>40473</c:v>
                </c:pt>
                <c:pt idx="3217">
                  <c:v>40474</c:v>
                </c:pt>
                <c:pt idx="3218">
                  <c:v>40475</c:v>
                </c:pt>
                <c:pt idx="3219">
                  <c:v>40476</c:v>
                </c:pt>
                <c:pt idx="3220">
                  <c:v>40477</c:v>
                </c:pt>
                <c:pt idx="3221">
                  <c:v>40478</c:v>
                </c:pt>
                <c:pt idx="3222">
                  <c:v>40479</c:v>
                </c:pt>
                <c:pt idx="3223">
                  <c:v>40480</c:v>
                </c:pt>
                <c:pt idx="3224">
                  <c:v>40481</c:v>
                </c:pt>
                <c:pt idx="3225">
                  <c:v>40482</c:v>
                </c:pt>
                <c:pt idx="3226">
                  <c:v>40483</c:v>
                </c:pt>
                <c:pt idx="3227">
                  <c:v>40484</c:v>
                </c:pt>
                <c:pt idx="3228">
                  <c:v>40485</c:v>
                </c:pt>
                <c:pt idx="3229">
                  <c:v>40486</c:v>
                </c:pt>
                <c:pt idx="3230">
                  <c:v>40487</c:v>
                </c:pt>
                <c:pt idx="3231">
                  <c:v>40488</c:v>
                </c:pt>
                <c:pt idx="3232">
                  <c:v>40489</c:v>
                </c:pt>
                <c:pt idx="3233">
                  <c:v>40490</c:v>
                </c:pt>
                <c:pt idx="3234">
                  <c:v>40491</c:v>
                </c:pt>
                <c:pt idx="3235">
                  <c:v>40492</c:v>
                </c:pt>
                <c:pt idx="3236">
                  <c:v>40493</c:v>
                </c:pt>
                <c:pt idx="3237">
                  <c:v>40494</c:v>
                </c:pt>
                <c:pt idx="3238">
                  <c:v>40495</c:v>
                </c:pt>
                <c:pt idx="3239">
                  <c:v>40496</c:v>
                </c:pt>
                <c:pt idx="3240">
                  <c:v>40497</c:v>
                </c:pt>
                <c:pt idx="3241">
                  <c:v>40498</c:v>
                </c:pt>
                <c:pt idx="3242">
                  <c:v>40499</c:v>
                </c:pt>
                <c:pt idx="3243">
                  <c:v>40500</c:v>
                </c:pt>
                <c:pt idx="3244">
                  <c:v>40501</c:v>
                </c:pt>
                <c:pt idx="3245">
                  <c:v>40502</c:v>
                </c:pt>
                <c:pt idx="3246">
                  <c:v>40503</c:v>
                </c:pt>
                <c:pt idx="3247">
                  <c:v>40504</c:v>
                </c:pt>
                <c:pt idx="3248">
                  <c:v>40505</c:v>
                </c:pt>
                <c:pt idx="3249">
                  <c:v>40506</c:v>
                </c:pt>
                <c:pt idx="3250">
                  <c:v>40507</c:v>
                </c:pt>
                <c:pt idx="3251">
                  <c:v>40508</c:v>
                </c:pt>
                <c:pt idx="3252">
                  <c:v>40509</c:v>
                </c:pt>
                <c:pt idx="3253">
                  <c:v>40510</c:v>
                </c:pt>
                <c:pt idx="3254">
                  <c:v>40511</c:v>
                </c:pt>
                <c:pt idx="3255">
                  <c:v>40512</c:v>
                </c:pt>
                <c:pt idx="3256">
                  <c:v>40513</c:v>
                </c:pt>
                <c:pt idx="3257">
                  <c:v>40514</c:v>
                </c:pt>
                <c:pt idx="3258">
                  <c:v>40515</c:v>
                </c:pt>
                <c:pt idx="3259">
                  <c:v>40516</c:v>
                </c:pt>
                <c:pt idx="3260">
                  <c:v>40517</c:v>
                </c:pt>
                <c:pt idx="3261">
                  <c:v>40518</c:v>
                </c:pt>
                <c:pt idx="3262">
                  <c:v>40519</c:v>
                </c:pt>
                <c:pt idx="3263">
                  <c:v>40520</c:v>
                </c:pt>
                <c:pt idx="3264">
                  <c:v>40521</c:v>
                </c:pt>
                <c:pt idx="3265">
                  <c:v>40522</c:v>
                </c:pt>
                <c:pt idx="3266">
                  <c:v>40523</c:v>
                </c:pt>
                <c:pt idx="3267">
                  <c:v>40524</c:v>
                </c:pt>
                <c:pt idx="3268">
                  <c:v>40525</c:v>
                </c:pt>
                <c:pt idx="3269">
                  <c:v>40526</c:v>
                </c:pt>
                <c:pt idx="3270">
                  <c:v>40527</c:v>
                </c:pt>
                <c:pt idx="3271">
                  <c:v>40528</c:v>
                </c:pt>
                <c:pt idx="3272">
                  <c:v>40529</c:v>
                </c:pt>
                <c:pt idx="3273">
                  <c:v>40530</c:v>
                </c:pt>
                <c:pt idx="3274">
                  <c:v>40531</c:v>
                </c:pt>
                <c:pt idx="3275">
                  <c:v>40532</c:v>
                </c:pt>
                <c:pt idx="3276">
                  <c:v>40533</c:v>
                </c:pt>
                <c:pt idx="3277">
                  <c:v>40534</c:v>
                </c:pt>
                <c:pt idx="3278">
                  <c:v>40535</c:v>
                </c:pt>
                <c:pt idx="3279">
                  <c:v>40536</c:v>
                </c:pt>
                <c:pt idx="3280">
                  <c:v>40537</c:v>
                </c:pt>
                <c:pt idx="3281">
                  <c:v>40538</c:v>
                </c:pt>
                <c:pt idx="3282">
                  <c:v>40539</c:v>
                </c:pt>
                <c:pt idx="3283">
                  <c:v>40540</c:v>
                </c:pt>
                <c:pt idx="3284">
                  <c:v>40541</c:v>
                </c:pt>
                <c:pt idx="3285">
                  <c:v>40542</c:v>
                </c:pt>
                <c:pt idx="3286">
                  <c:v>40543</c:v>
                </c:pt>
                <c:pt idx="3287">
                  <c:v>40544</c:v>
                </c:pt>
                <c:pt idx="3288">
                  <c:v>40545</c:v>
                </c:pt>
                <c:pt idx="3289">
                  <c:v>40546</c:v>
                </c:pt>
                <c:pt idx="3290">
                  <c:v>40547</c:v>
                </c:pt>
                <c:pt idx="3291">
                  <c:v>40548</c:v>
                </c:pt>
                <c:pt idx="3292">
                  <c:v>40549</c:v>
                </c:pt>
                <c:pt idx="3293">
                  <c:v>40550</c:v>
                </c:pt>
                <c:pt idx="3294">
                  <c:v>40551</c:v>
                </c:pt>
                <c:pt idx="3295">
                  <c:v>40552</c:v>
                </c:pt>
                <c:pt idx="3296">
                  <c:v>40553</c:v>
                </c:pt>
                <c:pt idx="3297">
                  <c:v>40554</c:v>
                </c:pt>
                <c:pt idx="3298">
                  <c:v>40555</c:v>
                </c:pt>
                <c:pt idx="3299">
                  <c:v>40556</c:v>
                </c:pt>
                <c:pt idx="3300">
                  <c:v>40557</c:v>
                </c:pt>
                <c:pt idx="3301">
                  <c:v>40558</c:v>
                </c:pt>
                <c:pt idx="3302">
                  <c:v>40559</c:v>
                </c:pt>
                <c:pt idx="3303">
                  <c:v>40560</c:v>
                </c:pt>
                <c:pt idx="3304">
                  <c:v>40561</c:v>
                </c:pt>
                <c:pt idx="3305">
                  <c:v>40562</c:v>
                </c:pt>
                <c:pt idx="3306">
                  <c:v>40563</c:v>
                </c:pt>
                <c:pt idx="3307">
                  <c:v>40564</c:v>
                </c:pt>
                <c:pt idx="3308">
                  <c:v>40565</c:v>
                </c:pt>
                <c:pt idx="3309">
                  <c:v>40566</c:v>
                </c:pt>
                <c:pt idx="3310">
                  <c:v>40567</c:v>
                </c:pt>
                <c:pt idx="3311">
                  <c:v>40568</c:v>
                </c:pt>
                <c:pt idx="3312">
                  <c:v>40569</c:v>
                </c:pt>
                <c:pt idx="3313">
                  <c:v>40570</c:v>
                </c:pt>
                <c:pt idx="3314">
                  <c:v>40571</c:v>
                </c:pt>
                <c:pt idx="3315">
                  <c:v>40572</c:v>
                </c:pt>
                <c:pt idx="3316">
                  <c:v>40573</c:v>
                </c:pt>
                <c:pt idx="3317">
                  <c:v>40574</c:v>
                </c:pt>
                <c:pt idx="3318">
                  <c:v>40575</c:v>
                </c:pt>
                <c:pt idx="3319">
                  <c:v>40576</c:v>
                </c:pt>
                <c:pt idx="3320">
                  <c:v>40577</c:v>
                </c:pt>
                <c:pt idx="3321">
                  <c:v>40578</c:v>
                </c:pt>
                <c:pt idx="3322">
                  <c:v>40579</c:v>
                </c:pt>
                <c:pt idx="3323">
                  <c:v>40580</c:v>
                </c:pt>
                <c:pt idx="3324">
                  <c:v>40581</c:v>
                </c:pt>
                <c:pt idx="3325">
                  <c:v>40582</c:v>
                </c:pt>
                <c:pt idx="3326">
                  <c:v>40583</c:v>
                </c:pt>
                <c:pt idx="3327">
                  <c:v>40584</c:v>
                </c:pt>
                <c:pt idx="3328">
                  <c:v>40585</c:v>
                </c:pt>
                <c:pt idx="3329">
                  <c:v>40586</c:v>
                </c:pt>
                <c:pt idx="3330">
                  <c:v>40587</c:v>
                </c:pt>
                <c:pt idx="3331">
                  <c:v>40588</c:v>
                </c:pt>
                <c:pt idx="3332">
                  <c:v>40589</c:v>
                </c:pt>
                <c:pt idx="3333">
                  <c:v>40590</c:v>
                </c:pt>
                <c:pt idx="3334">
                  <c:v>40591</c:v>
                </c:pt>
                <c:pt idx="3335">
                  <c:v>40592</c:v>
                </c:pt>
                <c:pt idx="3336">
                  <c:v>40593</c:v>
                </c:pt>
                <c:pt idx="3337">
                  <c:v>40594</c:v>
                </c:pt>
                <c:pt idx="3338">
                  <c:v>40595</c:v>
                </c:pt>
                <c:pt idx="3339">
                  <c:v>40596</c:v>
                </c:pt>
                <c:pt idx="3340">
                  <c:v>40597</c:v>
                </c:pt>
                <c:pt idx="3341">
                  <c:v>40598</c:v>
                </c:pt>
                <c:pt idx="3342">
                  <c:v>40599</c:v>
                </c:pt>
                <c:pt idx="3343">
                  <c:v>40600</c:v>
                </c:pt>
                <c:pt idx="3344">
                  <c:v>40601</c:v>
                </c:pt>
                <c:pt idx="3345">
                  <c:v>40602</c:v>
                </c:pt>
                <c:pt idx="3346">
                  <c:v>40603</c:v>
                </c:pt>
                <c:pt idx="3347">
                  <c:v>40604</c:v>
                </c:pt>
                <c:pt idx="3348">
                  <c:v>40605</c:v>
                </c:pt>
                <c:pt idx="3349">
                  <c:v>40606</c:v>
                </c:pt>
                <c:pt idx="3350">
                  <c:v>40607</c:v>
                </c:pt>
                <c:pt idx="3351">
                  <c:v>40608</c:v>
                </c:pt>
                <c:pt idx="3352">
                  <c:v>40609</c:v>
                </c:pt>
                <c:pt idx="3353">
                  <c:v>40610</c:v>
                </c:pt>
                <c:pt idx="3354">
                  <c:v>40611</c:v>
                </c:pt>
                <c:pt idx="3355">
                  <c:v>40612</c:v>
                </c:pt>
                <c:pt idx="3356">
                  <c:v>40613</c:v>
                </c:pt>
                <c:pt idx="3357">
                  <c:v>40614</c:v>
                </c:pt>
                <c:pt idx="3358">
                  <c:v>40615</c:v>
                </c:pt>
                <c:pt idx="3359">
                  <c:v>40616</c:v>
                </c:pt>
                <c:pt idx="3360">
                  <c:v>40617</c:v>
                </c:pt>
                <c:pt idx="3361">
                  <c:v>40618</c:v>
                </c:pt>
                <c:pt idx="3362">
                  <c:v>40619</c:v>
                </c:pt>
                <c:pt idx="3363">
                  <c:v>40620</c:v>
                </c:pt>
                <c:pt idx="3364">
                  <c:v>40621</c:v>
                </c:pt>
                <c:pt idx="3365">
                  <c:v>40622</c:v>
                </c:pt>
                <c:pt idx="3366">
                  <c:v>40623</c:v>
                </c:pt>
                <c:pt idx="3367">
                  <c:v>40624</c:v>
                </c:pt>
                <c:pt idx="3368">
                  <c:v>40625</c:v>
                </c:pt>
                <c:pt idx="3369">
                  <c:v>40626</c:v>
                </c:pt>
                <c:pt idx="3370">
                  <c:v>40627</c:v>
                </c:pt>
                <c:pt idx="3371">
                  <c:v>40628</c:v>
                </c:pt>
                <c:pt idx="3372">
                  <c:v>40629</c:v>
                </c:pt>
                <c:pt idx="3373">
                  <c:v>40630</c:v>
                </c:pt>
                <c:pt idx="3374">
                  <c:v>40631</c:v>
                </c:pt>
                <c:pt idx="3375">
                  <c:v>40632</c:v>
                </c:pt>
                <c:pt idx="3376">
                  <c:v>40633</c:v>
                </c:pt>
                <c:pt idx="3377">
                  <c:v>40634</c:v>
                </c:pt>
                <c:pt idx="3378">
                  <c:v>40635</c:v>
                </c:pt>
                <c:pt idx="3379">
                  <c:v>40636</c:v>
                </c:pt>
                <c:pt idx="3380">
                  <c:v>40637</c:v>
                </c:pt>
                <c:pt idx="3381">
                  <c:v>40638</c:v>
                </c:pt>
                <c:pt idx="3382">
                  <c:v>40639</c:v>
                </c:pt>
                <c:pt idx="3383">
                  <c:v>40640</c:v>
                </c:pt>
                <c:pt idx="3384">
                  <c:v>40641</c:v>
                </c:pt>
                <c:pt idx="3385">
                  <c:v>40642</c:v>
                </c:pt>
                <c:pt idx="3386">
                  <c:v>40643</c:v>
                </c:pt>
                <c:pt idx="3387">
                  <c:v>40644</c:v>
                </c:pt>
                <c:pt idx="3388">
                  <c:v>40645</c:v>
                </c:pt>
                <c:pt idx="3389">
                  <c:v>40646</c:v>
                </c:pt>
                <c:pt idx="3390">
                  <c:v>40647</c:v>
                </c:pt>
                <c:pt idx="3391">
                  <c:v>40648</c:v>
                </c:pt>
                <c:pt idx="3392">
                  <c:v>40649</c:v>
                </c:pt>
                <c:pt idx="3393">
                  <c:v>40650</c:v>
                </c:pt>
                <c:pt idx="3394">
                  <c:v>40651</c:v>
                </c:pt>
                <c:pt idx="3395">
                  <c:v>40652</c:v>
                </c:pt>
                <c:pt idx="3396">
                  <c:v>40653</c:v>
                </c:pt>
                <c:pt idx="3397">
                  <c:v>40654</c:v>
                </c:pt>
                <c:pt idx="3398">
                  <c:v>40655</c:v>
                </c:pt>
                <c:pt idx="3399">
                  <c:v>40656</c:v>
                </c:pt>
                <c:pt idx="3400">
                  <c:v>40657</c:v>
                </c:pt>
                <c:pt idx="3401">
                  <c:v>40658</c:v>
                </c:pt>
                <c:pt idx="3402">
                  <c:v>40659</c:v>
                </c:pt>
                <c:pt idx="3403">
                  <c:v>40660</c:v>
                </c:pt>
                <c:pt idx="3404">
                  <c:v>40661</c:v>
                </c:pt>
                <c:pt idx="3405">
                  <c:v>40662</c:v>
                </c:pt>
                <c:pt idx="3406">
                  <c:v>40663</c:v>
                </c:pt>
                <c:pt idx="3407">
                  <c:v>40664</c:v>
                </c:pt>
                <c:pt idx="3408">
                  <c:v>40665</c:v>
                </c:pt>
                <c:pt idx="3409">
                  <c:v>40666</c:v>
                </c:pt>
                <c:pt idx="3410">
                  <c:v>40667</c:v>
                </c:pt>
                <c:pt idx="3411">
                  <c:v>40668</c:v>
                </c:pt>
                <c:pt idx="3412">
                  <c:v>40669</c:v>
                </c:pt>
                <c:pt idx="3413">
                  <c:v>40670</c:v>
                </c:pt>
                <c:pt idx="3414">
                  <c:v>40671</c:v>
                </c:pt>
                <c:pt idx="3415">
                  <c:v>40672</c:v>
                </c:pt>
                <c:pt idx="3416">
                  <c:v>40673</c:v>
                </c:pt>
                <c:pt idx="3417">
                  <c:v>40674</c:v>
                </c:pt>
                <c:pt idx="3418">
                  <c:v>40675</c:v>
                </c:pt>
                <c:pt idx="3419">
                  <c:v>40676</c:v>
                </c:pt>
                <c:pt idx="3420">
                  <c:v>40677</c:v>
                </c:pt>
                <c:pt idx="3421">
                  <c:v>40678</c:v>
                </c:pt>
                <c:pt idx="3422">
                  <c:v>40679</c:v>
                </c:pt>
                <c:pt idx="3423">
                  <c:v>40680</c:v>
                </c:pt>
                <c:pt idx="3424">
                  <c:v>40681</c:v>
                </c:pt>
                <c:pt idx="3425">
                  <c:v>40682</c:v>
                </c:pt>
                <c:pt idx="3426">
                  <c:v>40683</c:v>
                </c:pt>
                <c:pt idx="3427">
                  <c:v>40684</c:v>
                </c:pt>
                <c:pt idx="3428">
                  <c:v>40685</c:v>
                </c:pt>
                <c:pt idx="3429">
                  <c:v>40686</c:v>
                </c:pt>
                <c:pt idx="3430">
                  <c:v>40687</c:v>
                </c:pt>
                <c:pt idx="3431">
                  <c:v>40688</c:v>
                </c:pt>
                <c:pt idx="3432">
                  <c:v>40689</c:v>
                </c:pt>
                <c:pt idx="3433">
                  <c:v>40690</c:v>
                </c:pt>
                <c:pt idx="3434">
                  <c:v>40691</c:v>
                </c:pt>
                <c:pt idx="3435">
                  <c:v>40692</c:v>
                </c:pt>
                <c:pt idx="3436">
                  <c:v>40693</c:v>
                </c:pt>
                <c:pt idx="3437">
                  <c:v>40694</c:v>
                </c:pt>
                <c:pt idx="3438">
                  <c:v>40695</c:v>
                </c:pt>
                <c:pt idx="3439">
                  <c:v>40696</c:v>
                </c:pt>
                <c:pt idx="3440">
                  <c:v>40697</c:v>
                </c:pt>
                <c:pt idx="3441">
                  <c:v>40698</c:v>
                </c:pt>
                <c:pt idx="3442">
                  <c:v>40699</c:v>
                </c:pt>
                <c:pt idx="3443">
                  <c:v>40700</c:v>
                </c:pt>
                <c:pt idx="3444">
                  <c:v>40701</c:v>
                </c:pt>
                <c:pt idx="3445">
                  <c:v>40702</c:v>
                </c:pt>
                <c:pt idx="3446">
                  <c:v>40703</c:v>
                </c:pt>
                <c:pt idx="3447">
                  <c:v>40704</c:v>
                </c:pt>
                <c:pt idx="3448">
                  <c:v>40705</c:v>
                </c:pt>
                <c:pt idx="3449">
                  <c:v>40706</c:v>
                </c:pt>
                <c:pt idx="3450">
                  <c:v>40707</c:v>
                </c:pt>
                <c:pt idx="3451">
                  <c:v>40708</c:v>
                </c:pt>
                <c:pt idx="3452">
                  <c:v>40709</c:v>
                </c:pt>
                <c:pt idx="3453">
                  <c:v>40710</c:v>
                </c:pt>
                <c:pt idx="3454">
                  <c:v>40711</c:v>
                </c:pt>
                <c:pt idx="3455">
                  <c:v>40712</c:v>
                </c:pt>
                <c:pt idx="3456">
                  <c:v>40713</c:v>
                </c:pt>
                <c:pt idx="3457">
                  <c:v>40714</c:v>
                </c:pt>
                <c:pt idx="3458">
                  <c:v>40715</c:v>
                </c:pt>
                <c:pt idx="3459">
                  <c:v>40716</c:v>
                </c:pt>
                <c:pt idx="3460">
                  <c:v>40717</c:v>
                </c:pt>
                <c:pt idx="3461">
                  <c:v>40718</c:v>
                </c:pt>
                <c:pt idx="3462">
                  <c:v>40719</c:v>
                </c:pt>
                <c:pt idx="3463">
                  <c:v>40720</c:v>
                </c:pt>
                <c:pt idx="3464">
                  <c:v>40721</c:v>
                </c:pt>
                <c:pt idx="3465">
                  <c:v>40722</c:v>
                </c:pt>
                <c:pt idx="3466">
                  <c:v>40723</c:v>
                </c:pt>
                <c:pt idx="3467">
                  <c:v>40724</c:v>
                </c:pt>
                <c:pt idx="3468">
                  <c:v>40725</c:v>
                </c:pt>
                <c:pt idx="3469">
                  <c:v>40726</c:v>
                </c:pt>
                <c:pt idx="3470">
                  <c:v>40727</c:v>
                </c:pt>
                <c:pt idx="3471">
                  <c:v>40728</c:v>
                </c:pt>
                <c:pt idx="3472">
                  <c:v>40729</c:v>
                </c:pt>
                <c:pt idx="3473">
                  <c:v>40730</c:v>
                </c:pt>
                <c:pt idx="3474">
                  <c:v>40731</c:v>
                </c:pt>
                <c:pt idx="3475">
                  <c:v>40732</c:v>
                </c:pt>
                <c:pt idx="3476">
                  <c:v>40733</c:v>
                </c:pt>
                <c:pt idx="3477">
                  <c:v>40734</c:v>
                </c:pt>
                <c:pt idx="3478">
                  <c:v>40735</c:v>
                </c:pt>
                <c:pt idx="3479">
                  <c:v>40736</c:v>
                </c:pt>
                <c:pt idx="3480">
                  <c:v>40737</c:v>
                </c:pt>
                <c:pt idx="3481">
                  <c:v>40738</c:v>
                </c:pt>
                <c:pt idx="3482">
                  <c:v>40739</c:v>
                </c:pt>
                <c:pt idx="3483">
                  <c:v>40740</c:v>
                </c:pt>
                <c:pt idx="3484">
                  <c:v>40741</c:v>
                </c:pt>
                <c:pt idx="3485">
                  <c:v>40742</c:v>
                </c:pt>
                <c:pt idx="3486">
                  <c:v>40743</c:v>
                </c:pt>
                <c:pt idx="3487">
                  <c:v>40744</c:v>
                </c:pt>
                <c:pt idx="3488">
                  <c:v>40745</c:v>
                </c:pt>
                <c:pt idx="3489">
                  <c:v>40746</c:v>
                </c:pt>
                <c:pt idx="3490">
                  <c:v>40747</c:v>
                </c:pt>
                <c:pt idx="3491">
                  <c:v>40748</c:v>
                </c:pt>
                <c:pt idx="3492">
                  <c:v>40749</c:v>
                </c:pt>
                <c:pt idx="3493">
                  <c:v>40750</c:v>
                </c:pt>
                <c:pt idx="3494">
                  <c:v>40751</c:v>
                </c:pt>
                <c:pt idx="3495">
                  <c:v>40752</c:v>
                </c:pt>
                <c:pt idx="3496">
                  <c:v>40753</c:v>
                </c:pt>
                <c:pt idx="3497">
                  <c:v>40754</c:v>
                </c:pt>
                <c:pt idx="3498">
                  <c:v>40755</c:v>
                </c:pt>
                <c:pt idx="3499">
                  <c:v>40756</c:v>
                </c:pt>
                <c:pt idx="3500">
                  <c:v>40757</c:v>
                </c:pt>
                <c:pt idx="3501">
                  <c:v>40758</c:v>
                </c:pt>
                <c:pt idx="3502">
                  <c:v>40759</c:v>
                </c:pt>
                <c:pt idx="3503">
                  <c:v>40760</c:v>
                </c:pt>
                <c:pt idx="3504">
                  <c:v>40761</c:v>
                </c:pt>
                <c:pt idx="3505">
                  <c:v>40762</c:v>
                </c:pt>
                <c:pt idx="3506">
                  <c:v>40763</c:v>
                </c:pt>
                <c:pt idx="3507">
                  <c:v>40764</c:v>
                </c:pt>
                <c:pt idx="3508">
                  <c:v>40765</c:v>
                </c:pt>
                <c:pt idx="3509">
                  <c:v>40766</c:v>
                </c:pt>
                <c:pt idx="3510">
                  <c:v>40767</c:v>
                </c:pt>
                <c:pt idx="3511">
                  <c:v>40768</c:v>
                </c:pt>
                <c:pt idx="3512">
                  <c:v>40769</c:v>
                </c:pt>
                <c:pt idx="3513">
                  <c:v>40770</c:v>
                </c:pt>
                <c:pt idx="3514">
                  <c:v>40771</c:v>
                </c:pt>
                <c:pt idx="3515">
                  <c:v>40772</c:v>
                </c:pt>
                <c:pt idx="3516">
                  <c:v>40773</c:v>
                </c:pt>
                <c:pt idx="3517">
                  <c:v>40774</c:v>
                </c:pt>
                <c:pt idx="3518">
                  <c:v>40775</c:v>
                </c:pt>
                <c:pt idx="3519">
                  <c:v>40776</c:v>
                </c:pt>
                <c:pt idx="3520">
                  <c:v>40777</c:v>
                </c:pt>
                <c:pt idx="3521">
                  <c:v>40778</c:v>
                </c:pt>
                <c:pt idx="3522">
                  <c:v>40779</c:v>
                </c:pt>
                <c:pt idx="3523">
                  <c:v>40780</c:v>
                </c:pt>
                <c:pt idx="3524">
                  <c:v>40781</c:v>
                </c:pt>
                <c:pt idx="3525">
                  <c:v>40782</c:v>
                </c:pt>
                <c:pt idx="3526">
                  <c:v>40783</c:v>
                </c:pt>
                <c:pt idx="3527">
                  <c:v>40784</c:v>
                </c:pt>
                <c:pt idx="3528">
                  <c:v>40785</c:v>
                </c:pt>
                <c:pt idx="3529">
                  <c:v>40786</c:v>
                </c:pt>
                <c:pt idx="3530">
                  <c:v>40787</c:v>
                </c:pt>
                <c:pt idx="3531">
                  <c:v>40788</c:v>
                </c:pt>
                <c:pt idx="3532">
                  <c:v>40789</c:v>
                </c:pt>
                <c:pt idx="3533">
                  <c:v>40790</c:v>
                </c:pt>
                <c:pt idx="3534">
                  <c:v>40791</c:v>
                </c:pt>
                <c:pt idx="3535">
                  <c:v>40792</c:v>
                </c:pt>
                <c:pt idx="3536">
                  <c:v>40793</c:v>
                </c:pt>
                <c:pt idx="3537">
                  <c:v>40794</c:v>
                </c:pt>
                <c:pt idx="3538">
                  <c:v>40795</c:v>
                </c:pt>
                <c:pt idx="3539">
                  <c:v>40796</c:v>
                </c:pt>
                <c:pt idx="3540">
                  <c:v>40797</c:v>
                </c:pt>
                <c:pt idx="3541">
                  <c:v>40798</c:v>
                </c:pt>
                <c:pt idx="3542">
                  <c:v>40799</c:v>
                </c:pt>
                <c:pt idx="3543">
                  <c:v>40800</c:v>
                </c:pt>
                <c:pt idx="3544">
                  <c:v>40801</c:v>
                </c:pt>
                <c:pt idx="3545">
                  <c:v>40802</c:v>
                </c:pt>
                <c:pt idx="3546">
                  <c:v>40803</c:v>
                </c:pt>
                <c:pt idx="3547">
                  <c:v>40804</c:v>
                </c:pt>
                <c:pt idx="3548">
                  <c:v>40805</c:v>
                </c:pt>
                <c:pt idx="3549">
                  <c:v>40806</c:v>
                </c:pt>
                <c:pt idx="3550">
                  <c:v>40807</c:v>
                </c:pt>
                <c:pt idx="3551">
                  <c:v>40808</c:v>
                </c:pt>
                <c:pt idx="3552">
                  <c:v>40809</c:v>
                </c:pt>
                <c:pt idx="3553">
                  <c:v>40810</c:v>
                </c:pt>
                <c:pt idx="3554">
                  <c:v>40811</c:v>
                </c:pt>
                <c:pt idx="3555">
                  <c:v>40812</c:v>
                </c:pt>
                <c:pt idx="3556">
                  <c:v>40813</c:v>
                </c:pt>
                <c:pt idx="3557">
                  <c:v>40814</c:v>
                </c:pt>
                <c:pt idx="3558">
                  <c:v>40815</c:v>
                </c:pt>
                <c:pt idx="3559">
                  <c:v>40816</c:v>
                </c:pt>
                <c:pt idx="3560">
                  <c:v>40817</c:v>
                </c:pt>
                <c:pt idx="3561">
                  <c:v>40818</c:v>
                </c:pt>
                <c:pt idx="3562">
                  <c:v>40819</c:v>
                </c:pt>
                <c:pt idx="3563">
                  <c:v>40820</c:v>
                </c:pt>
                <c:pt idx="3564">
                  <c:v>40821</c:v>
                </c:pt>
                <c:pt idx="3565">
                  <c:v>40822</c:v>
                </c:pt>
                <c:pt idx="3566">
                  <c:v>40823</c:v>
                </c:pt>
                <c:pt idx="3567">
                  <c:v>40824</c:v>
                </c:pt>
                <c:pt idx="3568">
                  <c:v>40825</c:v>
                </c:pt>
                <c:pt idx="3569">
                  <c:v>40826</c:v>
                </c:pt>
                <c:pt idx="3570">
                  <c:v>40827</c:v>
                </c:pt>
                <c:pt idx="3571">
                  <c:v>40828</c:v>
                </c:pt>
                <c:pt idx="3572">
                  <c:v>40829</c:v>
                </c:pt>
                <c:pt idx="3573">
                  <c:v>40830</c:v>
                </c:pt>
                <c:pt idx="3574">
                  <c:v>40831</c:v>
                </c:pt>
                <c:pt idx="3575">
                  <c:v>40832</c:v>
                </c:pt>
                <c:pt idx="3576">
                  <c:v>40833</c:v>
                </c:pt>
                <c:pt idx="3577">
                  <c:v>40834</c:v>
                </c:pt>
                <c:pt idx="3578">
                  <c:v>40835</c:v>
                </c:pt>
                <c:pt idx="3579">
                  <c:v>40836</c:v>
                </c:pt>
                <c:pt idx="3580">
                  <c:v>40837</c:v>
                </c:pt>
                <c:pt idx="3581">
                  <c:v>40838</c:v>
                </c:pt>
                <c:pt idx="3582">
                  <c:v>40839</c:v>
                </c:pt>
                <c:pt idx="3583">
                  <c:v>40840</c:v>
                </c:pt>
                <c:pt idx="3584">
                  <c:v>40841</c:v>
                </c:pt>
                <c:pt idx="3585">
                  <c:v>40842</c:v>
                </c:pt>
                <c:pt idx="3586">
                  <c:v>40843</c:v>
                </c:pt>
                <c:pt idx="3587">
                  <c:v>40844</c:v>
                </c:pt>
                <c:pt idx="3588">
                  <c:v>40845</c:v>
                </c:pt>
                <c:pt idx="3589">
                  <c:v>40846</c:v>
                </c:pt>
                <c:pt idx="3590">
                  <c:v>40847</c:v>
                </c:pt>
                <c:pt idx="3591">
                  <c:v>40848</c:v>
                </c:pt>
                <c:pt idx="3592">
                  <c:v>40849</c:v>
                </c:pt>
                <c:pt idx="3593">
                  <c:v>40850</c:v>
                </c:pt>
                <c:pt idx="3594">
                  <c:v>40851</c:v>
                </c:pt>
                <c:pt idx="3595">
                  <c:v>40852</c:v>
                </c:pt>
                <c:pt idx="3596">
                  <c:v>40853</c:v>
                </c:pt>
                <c:pt idx="3597">
                  <c:v>40854</c:v>
                </c:pt>
                <c:pt idx="3598">
                  <c:v>40855</c:v>
                </c:pt>
                <c:pt idx="3599">
                  <c:v>40856</c:v>
                </c:pt>
                <c:pt idx="3600">
                  <c:v>40857</c:v>
                </c:pt>
                <c:pt idx="3601">
                  <c:v>40858</c:v>
                </c:pt>
                <c:pt idx="3602">
                  <c:v>40859</c:v>
                </c:pt>
                <c:pt idx="3603">
                  <c:v>40860</c:v>
                </c:pt>
                <c:pt idx="3604">
                  <c:v>40861</c:v>
                </c:pt>
                <c:pt idx="3605">
                  <c:v>40862</c:v>
                </c:pt>
                <c:pt idx="3606">
                  <c:v>40863</c:v>
                </c:pt>
                <c:pt idx="3607">
                  <c:v>40864</c:v>
                </c:pt>
                <c:pt idx="3608">
                  <c:v>40865</c:v>
                </c:pt>
                <c:pt idx="3609">
                  <c:v>40866</c:v>
                </c:pt>
                <c:pt idx="3610">
                  <c:v>40867</c:v>
                </c:pt>
                <c:pt idx="3611">
                  <c:v>40868</c:v>
                </c:pt>
                <c:pt idx="3612">
                  <c:v>40869</c:v>
                </c:pt>
                <c:pt idx="3613">
                  <c:v>40870</c:v>
                </c:pt>
                <c:pt idx="3614">
                  <c:v>40871</c:v>
                </c:pt>
                <c:pt idx="3615">
                  <c:v>40872</c:v>
                </c:pt>
                <c:pt idx="3616">
                  <c:v>40873</c:v>
                </c:pt>
                <c:pt idx="3617">
                  <c:v>40874</c:v>
                </c:pt>
                <c:pt idx="3618">
                  <c:v>40875</c:v>
                </c:pt>
                <c:pt idx="3619">
                  <c:v>40876</c:v>
                </c:pt>
                <c:pt idx="3620">
                  <c:v>40877</c:v>
                </c:pt>
                <c:pt idx="3621">
                  <c:v>40878</c:v>
                </c:pt>
                <c:pt idx="3622">
                  <c:v>40879</c:v>
                </c:pt>
                <c:pt idx="3623">
                  <c:v>40880</c:v>
                </c:pt>
                <c:pt idx="3624">
                  <c:v>40881</c:v>
                </c:pt>
                <c:pt idx="3625">
                  <c:v>40882</c:v>
                </c:pt>
                <c:pt idx="3626">
                  <c:v>40883</c:v>
                </c:pt>
                <c:pt idx="3627">
                  <c:v>40884</c:v>
                </c:pt>
                <c:pt idx="3628">
                  <c:v>40885</c:v>
                </c:pt>
                <c:pt idx="3629">
                  <c:v>40886</c:v>
                </c:pt>
                <c:pt idx="3630">
                  <c:v>40887</c:v>
                </c:pt>
                <c:pt idx="3631">
                  <c:v>40888</c:v>
                </c:pt>
                <c:pt idx="3632">
                  <c:v>40889</c:v>
                </c:pt>
                <c:pt idx="3633">
                  <c:v>40890</c:v>
                </c:pt>
                <c:pt idx="3634">
                  <c:v>40891</c:v>
                </c:pt>
                <c:pt idx="3635">
                  <c:v>40892</c:v>
                </c:pt>
                <c:pt idx="3636">
                  <c:v>40893</c:v>
                </c:pt>
                <c:pt idx="3637">
                  <c:v>40894</c:v>
                </c:pt>
                <c:pt idx="3638">
                  <c:v>40895</c:v>
                </c:pt>
                <c:pt idx="3639">
                  <c:v>40896</c:v>
                </c:pt>
                <c:pt idx="3640">
                  <c:v>40897</c:v>
                </c:pt>
                <c:pt idx="3641">
                  <c:v>40898</c:v>
                </c:pt>
                <c:pt idx="3642">
                  <c:v>40899</c:v>
                </c:pt>
                <c:pt idx="3643">
                  <c:v>40900</c:v>
                </c:pt>
                <c:pt idx="3644">
                  <c:v>40901</c:v>
                </c:pt>
                <c:pt idx="3645">
                  <c:v>40902</c:v>
                </c:pt>
                <c:pt idx="3646">
                  <c:v>40903</c:v>
                </c:pt>
                <c:pt idx="3647">
                  <c:v>40904</c:v>
                </c:pt>
                <c:pt idx="3648">
                  <c:v>40905</c:v>
                </c:pt>
                <c:pt idx="3649">
                  <c:v>40906</c:v>
                </c:pt>
                <c:pt idx="3650">
                  <c:v>40907</c:v>
                </c:pt>
                <c:pt idx="3651">
                  <c:v>40908</c:v>
                </c:pt>
                <c:pt idx="3652">
                  <c:v>40909</c:v>
                </c:pt>
                <c:pt idx="3653">
                  <c:v>40910</c:v>
                </c:pt>
                <c:pt idx="3654">
                  <c:v>40911</c:v>
                </c:pt>
                <c:pt idx="3655">
                  <c:v>40912</c:v>
                </c:pt>
                <c:pt idx="3656">
                  <c:v>40913</c:v>
                </c:pt>
                <c:pt idx="3657">
                  <c:v>40914</c:v>
                </c:pt>
                <c:pt idx="3658">
                  <c:v>40915</c:v>
                </c:pt>
                <c:pt idx="3659">
                  <c:v>40916</c:v>
                </c:pt>
                <c:pt idx="3660">
                  <c:v>40917</c:v>
                </c:pt>
                <c:pt idx="3661">
                  <c:v>40918</c:v>
                </c:pt>
                <c:pt idx="3662">
                  <c:v>40919</c:v>
                </c:pt>
                <c:pt idx="3663">
                  <c:v>40920</c:v>
                </c:pt>
                <c:pt idx="3664">
                  <c:v>40921</c:v>
                </c:pt>
                <c:pt idx="3665">
                  <c:v>40922</c:v>
                </c:pt>
                <c:pt idx="3666">
                  <c:v>40923</c:v>
                </c:pt>
                <c:pt idx="3667">
                  <c:v>40924</c:v>
                </c:pt>
                <c:pt idx="3668">
                  <c:v>40925</c:v>
                </c:pt>
                <c:pt idx="3669">
                  <c:v>40926</c:v>
                </c:pt>
                <c:pt idx="3670">
                  <c:v>40927</c:v>
                </c:pt>
                <c:pt idx="3671">
                  <c:v>40928</c:v>
                </c:pt>
                <c:pt idx="3672">
                  <c:v>40929</c:v>
                </c:pt>
                <c:pt idx="3673">
                  <c:v>40930</c:v>
                </c:pt>
                <c:pt idx="3674">
                  <c:v>40931</c:v>
                </c:pt>
                <c:pt idx="3675">
                  <c:v>40932</c:v>
                </c:pt>
                <c:pt idx="3676">
                  <c:v>40933</c:v>
                </c:pt>
                <c:pt idx="3677">
                  <c:v>40934</c:v>
                </c:pt>
                <c:pt idx="3678">
                  <c:v>40935</c:v>
                </c:pt>
                <c:pt idx="3679">
                  <c:v>40936</c:v>
                </c:pt>
                <c:pt idx="3680">
                  <c:v>40937</c:v>
                </c:pt>
                <c:pt idx="3681">
                  <c:v>40938</c:v>
                </c:pt>
                <c:pt idx="3682">
                  <c:v>40939</c:v>
                </c:pt>
                <c:pt idx="3683">
                  <c:v>40940</c:v>
                </c:pt>
                <c:pt idx="3684">
                  <c:v>40941</c:v>
                </c:pt>
                <c:pt idx="3685">
                  <c:v>40942</c:v>
                </c:pt>
                <c:pt idx="3686">
                  <c:v>40943</c:v>
                </c:pt>
                <c:pt idx="3687">
                  <c:v>40944</c:v>
                </c:pt>
                <c:pt idx="3688">
                  <c:v>40945</c:v>
                </c:pt>
                <c:pt idx="3689">
                  <c:v>40946</c:v>
                </c:pt>
                <c:pt idx="3690">
                  <c:v>40947</c:v>
                </c:pt>
                <c:pt idx="3691">
                  <c:v>40948</c:v>
                </c:pt>
                <c:pt idx="3692">
                  <c:v>40949</c:v>
                </c:pt>
                <c:pt idx="3693">
                  <c:v>40950</c:v>
                </c:pt>
                <c:pt idx="3694">
                  <c:v>40951</c:v>
                </c:pt>
                <c:pt idx="3695">
                  <c:v>40952</c:v>
                </c:pt>
                <c:pt idx="3696">
                  <c:v>40953</c:v>
                </c:pt>
                <c:pt idx="3697">
                  <c:v>40954</c:v>
                </c:pt>
                <c:pt idx="3698">
                  <c:v>40955</c:v>
                </c:pt>
                <c:pt idx="3699">
                  <c:v>40956</c:v>
                </c:pt>
                <c:pt idx="3700">
                  <c:v>40957</c:v>
                </c:pt>
                <c:pt idx="3701">
                  <c:v>40958</c:v>
                </c:pt>
                <c:pt idx="3702">
                  <c:v>40959</c:v>
                </c:pt>
                <c:pt idx="3703">
                  <c:v>40960</c:v>
                </c:pt>
                <c:pt idx="3704">
                  <c:v>40961</c:v>
                </c:pt>
                <c:pt idx="3705">
                  <c:v>40962</c:v>
                </c:pt>
                <c:pt idx="3706">
                  <c:v>40963</c:v>
                </c:pt>
                <c:pt idx="3707">
                  <c:v>40964</c:v>
                </c:pt>
                <c:pt idx="3708">
                  <c:v>40965</c:v>
                </c:pt>
                <c:pt idx="3709">
                  <c:v>40966</c:v>
                </c:pt>
                <c:pt idx="3710">
                  <c:v>40967</c:v>
                </c:pt>
                <c:pt idx="3711">
                  <c:v>40968</c:v>
                </c:pt>
                <c:pt idx="3712">
                  <c:v>40969</c:v>
                </c:pt>
                <c:pt idx="3713">
                  <c:v>40970</c:v>
                </c:pt>
                <c:pt idx="3714">
                  <c:v>40971</c:v>
                </c:pt>
                <c:pt idx="3715">
                  <c:v>40972</c:v>
                </c:pt>
                <c:pt idx="3716">
                  <c:v>40973</c:v>
                </c:pt>
                <c:pt idx="3717">
                  <c:v>40974</c:v>
                </c:pt>
                <c:pt idx="3718">
                  <c:v>40975</c:v>
                </c:pt>
                <c:pt idx="3719">
                  <c:v>40976</c:v>
                </c:pt>
                <c:pt idx="3720">
                  <c:v>40977</c:v>
                </c:pt>
                <c:pt idx="3721">
                  <c:v>40978</c:v>
                </c:pt>
                <c:pt idx="3722">
                  <c:v>40979</c:v>
                </c:pt>
                <c:pt idx="3723">
                  <c:v>40980</c:v>
                </c:pt>
                <c:pt idx="3724">
                  <c:v>40981</c:v>
                </c:pt>
                <c:pt idx="3725">
                  <c:v>40982</c:v>
                </c:pt>
                <c:pt idx="3726">
                  <c:v>40983</c:v>
                </c:pt>
                <c:pt idx="3727">
                  <c:v>40984</c:v>
                </c:pt>
                <c:pt idx="3728">
                  <c:v>40985</c:v>
                </c:pt>
                <c:pt idx="3729">
                  <c:v>40986</c:v>
                </c:pt>
                <c:pt idx="3730">
                  <c:v>40987</c:v>
                </c:pt>
                <c:pt idx="3731">
                  <c:v>40988</c:v>
                </c:pt>
                <c:pt idx="3732">
                  <c:v>40989</c:v>
                </c:pt>
                <c:pt idx="3733">
                  <c:v>40990</c:v>
                </c:pt>
                <c:pt idx="3734">
                  <c:v>40991</c:v>
                </c:pt>
                <c:pt idx="3735">
                  <c:v>40992</c:v>
                </c:pt>
                <c:pt idx="3736">
                  <c:v>40993</c:v>
                </c:pt>
                <c:pt idx="3737">
                  <c:v>40994</c:v>
                </c:pt>
                <c:pt idx="3738">
                  <c:v>40995</c:v>
                </c:pt>
                <c:pt idx="3739">
                  <c:v>40996</c:v>
                </c:pt>
                <c:pt idx="3740">
                  <c:v>40997</c:v>
                </c:pt>
                <c:pt idx="3741">
                  <c:v>40998</c:v>
                </c:pt>
                <c:pt idx="3742">
                  <c:v>40999</c:v>
                </c:pt>
                <c:pt idx="3743">
                  <c:v>41000</c:v>
                </c:pt>
                <c:pt idx="3744">
                  <c:v>41001</c:v>
                </c:pt>
                <c:pt idx="3745">
                  <c:v>41002</c:v>
                </c:pt>
                <c:pt idx="3746">
                  <c:v>41003</c:v>
                </c:pt>
                <c:pt idx="3747">
                  <c:v>41004</c:v>
                </c:pt>
                <c:pt idx="3748">
                  <c:v>41005</c:v>
                </c:pt>
                <c:pt idx="3749">
                  <c:v>41006</c:v>
                </c:pt>
                <c:pt idx="3750">
                  <c:v>41007</c:v>
                </c:pt>
                <c:pt idx="3751">
                  <c:v>41008</c:v>
                </c:pt>
                <c:pt idx="3752">
                  <c:v>41009</c:v>
                </c:pt>
                <c:pt idx="3753">
                  <c:v>41010</c:v>
                </c:pt>
                <c:pt idx="3754">
                  <c:v>41011</c:v>
                </c:pt>
                <c:pt idx="3755">
                  <c:v>41012</c:v>
                </c:pt>
                <c:pt idx="3756">
                  <c:v>41013</c:v>
                </c:pt>
                <c:pt idx="3757">
                  <c:v>41014</c:v>
                </c:pt>
                <c:pt idx="3758">
                  <c:v>41015</c:v>
                </c:pt>
                <c:pt idx="3759">
                  <c:v>41016</c:v>
                </c:pt>
                <c:pt idx="3760">
                  <c:v>41017</c:v>
                </c:pt>
                <c:pt idx="3761">
                  <c:v>41018</c:v>
                </c:pt>
                <c:pt idx="3762">
                  <c:v>41019</c:v>
                </c:pt>
                <c:pt idx="3763">
                  <c:v>41020</c:v>
                </c:pt>
                <c:pt idx="3764">
                  <c:v>41021</c:v>
                </c:pt>
                <c:pt idx="3765">
                  <c:v>41022</c:v>
                </c:pt>
                <c:pt idx="3766">
                  <c:v>41023</c:v>
                </c:pt>
                <c:pt idx="3767">
                  <c:v>41024</c:v>
                </c:pt>
                <c:pt idx="3768">
                  <c:v>41025</c:v>
                </c:pt>
                <c:pt idx="3769">
                  <c:v>41026</c:v>
                </c:pt>
                <c:pt idx="3770">
                  <c:v>41027</c:v>
                </c:pt>
                <c:pt idx="3771">
                  <c:v>41028</c:v>
                </c:pt>
                <c:pt idx="3772">
                  <c:v>41029</c:v>
                </c:pt>
                <c:pt idx="3773">
                  <c:v>41030</c:v>
                </c:pt>
                <c:pt idx="3774">
                  <c:v>41031</c:v>
                </c:pt>
                <c:pt idx="3775">
                  <c:v>41032</c:v>
                </c:pt>
                <c:pt idx="3776">
                  <c:v>41033</c:v>
                </c:pt>
                <c:pt idx="3777">
                  <c:v>41034</c:v>
                </c:pt>
                <c:pt idx="3778">
                  <c:v>41035</c:v>
                </c:pt>
                <c:pt idx="3779">
                  <c:v>41036</c:v>
                </c:pt>
                <c:pt idx="3780">
                  <c:v>41037</c:v>
                </c:pt>
                <c:pt idx="3781">
                  <c:v>41038</c:v>
                </c:pt>
                <c:pt idx="3782">
                  <c:v>41039</c:v>
                </c:pt>
                <c:pt idx="3783">
                  <c:v>41040</c:v>
                </c:pt>
                <c:pt idx="3784">
                  <c:v>41041</c:v>
                </c:pt>
                <c:pt idx="3785">
                  <c:v>41042</c:v>
                </c:pt>
                <c:pt idx="3786">
                  <c:v>41043</c:v>
                </c:pt>
                <c:pt idx="3787">
                  <c:v>41044</c:v>
                </c:pt>
                <c:pt idx="3788">
                  <c:v>41045</c:v>
                </c:pt>
                <c:pt idx="3789">
                  <c:v>41046</c:v>
                </c:pt>
                <c:pt idx="3790">
                  <c:v>41047</c:v>
                </c:pt>
                <c:pt idx="3791">
                  <c:v>41048</c:v>
                </c:pt>
                <c:pt idx="3792">
                  <c:v>41049</c:v>
                </c:pt>
                <c:pt idx="3793">
                  <c:v>41050</c:v>
                </c:pt>
                <c:pt idx="3794">
                  <c:v>41051</c:v>
                </c:pt>
                <c:pt idx="3795">
                  <c:v>41052</c:v>
                </c:pt>
                <c:pt idx="3796">
                  <c:v>41053</c:v>
                </c:pt>
                <c:pt idx="3797">
                  <c:v>41054</c:v>
                </c:pt>
                <c:pt idx="3798">
                  <c:v>41055</c:v>
                </c:pt>
                <c:pt idx="3799">
                  <c:v>41056</c:v>
                </c:pt>
                <c:pt idx="3800">
                  <c:v>41057</c:v>
                </c:pt>
                <c:pt idx="3801">
                  <c:v>41058</c:v>
                </c:pt>
                <c:pt idx="3802">
                  <c:v>41059</c:v>
                </c:pt>
                <c:pt idx="3803">
                  <c:v>41060</c:v>
                </c:pt>
                <c:pt idx="3804">
                  <c:v>41061</c:v>
                </c:pt>
                <c:pt idx="3805">
                  <c:v>41062</c:v>
                </c:pt>
                <c:pt idx="3806">
                  <c:v>41063</c:v>
                </c:pt>
                <c:pt idx="3807">
                  <c:v>41064</c:v>
                </c:pt>
                <c:pt idx="3808">
                  <c:v>41065</c:v>
                </c:pt>
                <c:pt idx="3809">
                  <c:v>41066</c:v>
                </c:pt>
                <c:pt idx="3810">
                  <c:v>41067</c:v>
                </c:pt>
                <c:pt idx="3811">
                  <c:v>41068</c:v>
                </c:pt>
                <c:pt idx="3812">
                  <c:v>41069</c:v>
                </c:pt>
                <c:pt idx="3813">
                  <c:v>41070</c:v>
                </c:pt>
                <c:pt idx="3814">
                  <c:v>41071</c:v>
                </c:pt>
                <c:pt idx="3815">
                  <c:v>41072</c:v>
                </c:pt>
                <c:pt idx="3816">
                  <c:v>41073</c:v>
                </c:pt>
                <c:pt idx="3817">
                  <c:v>41074</c:v>
                </c:pt>
                <c:pt idx="3818">
                  <c:v>41075</c:v>
                </c:pt>
                <c:pt idx="3819">
                  <c:v>41076</c:v>
                </c:pt>
                <c:pt idx="3820">
                  <c:v>41077</c:v>
                </c:pt>
                <c:pt idx="3821">
                  <c:v>41078</c:v>
                </c:pt>
                <c:pt idx="3822">
                  <c:v>41079</c:v>
                </c:pt>
                <c:pt idx="3823">
                  <c:v>41080</c:v>
                </c:pt>
                <c:pt idx="3824">
                  <c:v>41081</c:v>
                </c:pt>
                <c:pt idx="3825">
                  <c:v>41082</c:v>
                </c:pt>
                <c:pt idx="3826">
                  <c:v>41083</c:v>
                </c:pt>
                <c:pt idx="3827">
                  <c:v>41084</c:v>
                </c:pt>
                <c:pt idx="3828">
                  <c:v>41085</c:v>
                </c:pt>
                <c:pt idx="3829">
                  <c:v>41086</c:v>
                </c:pt>
                <c:pt idx="3830">
                  <c:v>41087</c:v>
                </c:pt>
                <c:pt idx="3831">
                  <c:v>41088</c:v>
                </c:pt>
                <c:pt idx="3832">
                  <c:v>41089</c:v>
                </c:pt>
                <c:pt idx="3833">
                  <c:v>41090</c:v>
                </c:pt>
                <c:pt idx="3834">
                  <c:v>41091</c:v>
                </c:pt>
                <c:pt idx="3835">
                  <c:v>41092</c:v>
                </c:pt>
                <c:pt idx="3836">
                  <c:v>41093</c:v>
                </c:pt>
                <c:pt idx="3837">
                  <c:v>41094</c:v>
                </c:pt>
                <c:pt idx="3838">
                  <c:v>41095</c:v>
                </c:pt>
                <c:pt idx="3839">
                  <c:v>41096</c:v>
                </c:pt>
                <c:pt idx="3840">
                  <c:v>41097</c:v>
                </c:pt>
                <c:pt idx="3841">
                  <c:v>41098</c:v>
                </c:pt>
                <c:pt idx="3842">
                  <c:v>41099</c:v>
                </c:pt>
                <c:pt idx="3843">
                  <c:v>41100</c:v>
                </c:pt>
                <c:pt idx="3844">
                  <c:v>41101</c:v>
                </c:pt>
                <c:pt idx="3845">
                  <c:v>41102</c:v>
                </c:pt>
                <c:pt idx="3846">
                  <c:v>41103</c:v>
                </c:pt>
                <c:pt idx="3847">
                  <c:v>41104</c:v>
                </c:pt>
                <c:pt idx="3848">
                  <c:v>41105</c:v>
                </c:pt>
                <c:pt idx="3849">
                  <c:v>41106</c:v>
                </c:pt>
                <c:pt idx="3850">
                  <c:v>41107</c:v>
                </c:pt>
                <c:pt idx="3851">
                  <c:v>41108</c:v>
                </c:pt>
                <c:pt idx="3852">
                  <c:v>41109</c:v>
                </c:pt>
                <c:pt idx="3853">
                  <c:v>41110</c:v>
                </c:pt>
                <c:pt idx="3854">
                  <c:v>41111</c:v>
                </c:pt>
                <c:pt idx="3855">
                  <c:v>41112</c:v>
                </c:pt>
                <c:pt idx="3856">
                  <c:v>41113</c:v>
                </c:pt>
                <c:pt idx="3857">
                  <c:v>41114</c:v>
                </c:pt>
                <c:pt idx="3858">
                  <c:v>41115</c:v>
                </c:pt>
                <c:pt idx="3859">
                  <c:v>41116</c:v>
                </c:pt>
                <c:pt idx="3860">
                  <c:v>41117</c:v>
                </c:pt>
                <c:pt idx="3861">
                  <c:v>41118</c:v>
                </c:pt>
                <c:pt idx="3862">
                  <c:v>41119</c:v>
                </c:pt>
                <c:pt idx="3863">
                  <c:v>41120</c:v>
                </c:pt>
                <c:pt idx="3864">
                  <c:v>41121</c:v>
                </c:pt>
                <c:pt idx="3865">
                  <c:v>41122</c:v>
                </c:pt>
                <c:pt idx="3866">
                  <c:v>41123</c:v>
                </c:pt>
                <c:pt idx="3867">
                  <c:v>41124</c:v>
                </c:pt>
                <c:pt idx="3868">
                  <c:v>41125</c:v>
                </c:pt>
                <c:pt idx="3869">
                  <c:v>41126</c:v>
                </c:pt>
                <c:pt idx="3870">
                  <c:v>41127</c:v>
                </c:pt>
                <c:pt idx="3871">
                  <c:v>41128</c:v>
                </c:pt>
                <c:pt idx="3872">
                  <c:v>41129</c:v>
                </c:pt>
                <c:pt idx="3873">
                  <c:v>41130</c:v>
                </c:pt>
                <c:pt idx="3874">
                  <c:v>41131</c:v>
                </c:pt>
                <c:pt idx="3875">
                  <c:v>41132</c:v>
                </c:pt>
                <c:pt idx="3876">
                  <c:v>41133</c:v>
                </c:pt>
                <c:pt idx="3877">
                  <c:v>41134</c:v>
                </c:pt>
                <c:pt idx="3878">
                  <c:v>41135</c:v>
                </c:pt>
                <c:pt idx="3879">
                  <c:v>41136</c:v>
                </c:pt>
                <c:pt idx="3880">
                  <c:v>41137</c:v>
                </c:pt>
                <c:pt idx="3881">
                  <c:v>41138</c:v>
                </c:pt>
                <c:pt idx="3882">
                  <c:v>41139</c:v>
                </c:pt>
                <c:pt idx="3883">
                  <c:v>41140</c:v>
                </c:pt>
                <c:pt idx="3884">
                  <c:v>41141</c:v>
                </c:pt>
                <c:pt idx="3885">
                  <c:v>41142</c:v>
                </c:pt>
                <c:pt idx="3886">
                  <c:v>41143</c:v>
                </c:pt>
                <c:pt idx="3887">
                  <c:v>41144</c:v>
                </c:pt>
                <c:pt idx="3888">
                  <c:v>41145</c:v>
                </c:pt>
                <c:pt idx="3889">
                  <c:v>41146</c:v>
                </c:pt>
                <c:pt idx="3890">
                  <c:v>41147</c:v>
                </c:pt>
                <c:pt idx="3891">
                  <c:v>41148</c:v>
                </c:pt>
                <c:pt idx="3892">
                  <c:v>41149</c:v>
                </c:pt>
                <c:pt idx="3893">
                  <c:v>41150</c:v>
                </c:pt>
                <c:pt idx="3894">
                  <c:v>41151</c:v>
                </c:pt>
                <c:pt idx="3895">
                  <c:v>41152</c:v>
                </c:pt>
                <c:pt idx="3896">
                  <c:v>41153</c:v>
                </c:pt>
                <c:pt idx="3897">
                  <c:v>41154</c:v>
                </c:pt>
                <c:pt idx="3898">
                  <c:v>41155</c:v>
                </c:pt>
                <c:pt idx="3899">
                  <c:v>41156</c:v>
                </c:pt>
                <c:pt idx="3900">
                  <c:v>41157</c:v>
                </c:pt>
                <c:pt idx="3901">
                  <c:v>41158</c:v>
                </c:pt>
                <c:pt idx="3902">
                  <c:v>41159</c:v>
                </c:pt>
                <c:pt idx="3903">
                  <c:v>41160</c:v>
                </c:pt>
                <c:pt idx="3904">
                  <c:v>41161</c:v>
                </c:pt>
                <c:pt idx="3905">
                  <c:v>41162</c:v>
                </c:pt>
                <c:pt idx="3906">
                  <c:v>41163</c:v>
                </c:pt>
                <c:pt idx="3907">
                  <c:v>41164</c:v>
                </c:pt>
                <c:pt idx="3908">
                  <c:v>41165</c:v>
                </c:pt>
                <c:pt idx="3909">
                  <c:v>41166</c:v>
                </c:pt>
                <c:pt idx="3910">
                  <c:v>41167</c:v>
                </c:pt>
                <c:pt idx="3911">
                  <c:v>41168</c:v>
                </c:pt>
                <c:pt idx="3912">
                  <c:v>41169</c:v>
                </c:pt>
                <c:pt idx="3913">
                  <c:v>41170</c:v>
                </c:pt>
                <c:pt idx="3914">
                  <c:v>41171</c:v>
                </c:pt>
                <c:pt idx="3915">
                  <c:v>41172</c:v>
                </c:pt>
                <c:pt idx="3916">
                  <c:v>41173</c:v>
                </c:pt>
                <c:pt idx="3917">
                  <c:v>41174</c:v>
                </c:pt>
                <c:pt idx="3918">
                  <c:v>41175</c:v>
                </c:pt>
                <c:pt idx="3919">
                  <c:v>41176</c:v>
                </c:pt>
                <c:pt idx="3920">
                  <c:v>41177</c:v>
                </c:pt>
                <c:pt idx="3921">
                  <c:v>41178</c:v>
                </c:pt>
                <c:pt idx="3922">
                  <c:v>41179</c:v>
                </c:pt>
                <c:pt idx="3923">
                  <c:v>41180</c:v>
                </c:pt>
                <c:pt idx="3924">
                  <c:v>41181</c:v>
                </c:pt>
                <c:pt idx="3925">
                  <c:v>41182</c:v>
                </c:pt>
                <c:pt idx="3926">
                  <c:v>41183</c:v>
                </c:pt>
                <c:pt idx="3927">
                  <c:v>41184</c:v>
                </c:pt>
                <c:pt idx="3928">
                  <c:v>41185</c:v>
                </c:pt>
                <c:pt idx="3929">
                  <c:v>41186</c:v>
                </c:pt>
                <c:pt idx="3930">
                  <c:v>41187</c:v>
                </c:pt>
                <c:pt idx="3931">
                  <c:v>41188</c:v>
                </c:pt>
                <c:pt idx="3932">
                  <c:v>41189</c:v>
                </c:pt>
                <c:pt idx="3933">
                  <c:v>41190</c:v>
                </c:pt>
                <c:pt idx="3934">
                  <c:v>41191</c:v>
                </c:pt>
                <c:pt idx="3935">
                  <c:v>41192</c:v>
                </c:pt>
                <c:pt idx="3936">
                  <c:v>41193</c:v>
                </c:pt>
                <c:pt idx="3937">
                  <c:v>41194</c:v>
                </c:pt>
                <c:pt idx="3938">
                  <c:v>41195</c:v>
                </c:pt>
                <c:pt idx="3939">
                  <c:v>41196</c:v>
                </c:pt>
                <c:pt idx="3940">
                  <c:v>41197</c:v>
                </c:pt>
                <c:pt idx="3941">
                  <c:v>41198</c:v>
                </c:pt>
                <c:pt idx="3942">
                  <c:v>41199</c:v>
                </c:pt>
                <c:pt idx="3943">
                  <c:v>41200</c:v>
                </c:pt>
                <c:pt idx="3944">
                  <c:v>41201</c:v>
                </c:pt>
                <c:pt idx="3945">
                  <c:v>41202</c:v>
                </c:pt>
                <c:pt idx="3946">
                  <c:v>41203</c:v>
                </c:pt>
                <c:pt idx="3947">
                  <c:v>41204</c:v>
                </c:pt>
                <c:pt idx="3948">
                  <c:v>41205</c:v>
                </c:pt>
                <c:pt idx="3949">
                  <c:v>41206</c:v>
                </c:pt>
                <c:pt idx="3950">
                  <c:v>41207</c:v>
                </c:pt>
                <c:pt idx="3951">
                  <c:v>41208</c:v>
                </c:pt>
                <c:pt idx="3952">
                  <c:v>41209</c:v>
                </c:pt>
                <c:pt idx="3953">
                  <c:v>41210</c:v>
                </c:pt>
                <c:pt idx="3954">
                  <c:v>41211</c:v>
                </c:pt>
                <c:pt idx="3955">
                  <c:v>41212</c:v>
                </c:pt>
                <c:pt idx="3956">
                  <c:v>41213</c:v>
                </c:pt>
                <c:pt idx="3957">
                  <c:v>41214</c:v>
                </c:pt>
                <c:pt idx="3958">
                  <c:v>41215</c:v>
                </c:pt>
                <c:pt idx="3959">
                  <c:v>41216</c:v>
                </c:pt>
                <c:pt idx="3960">
                  <c:v>41217</c:v>
                </c:pt>
                <c:pt idx="3961">
                  <c:v>41218</c:v>
                </c:pt>
                <c:pt idx="3962">
                  <c:v>41219</c:v>
                </c:pt>
                <c:pt idx="3963">
                  <c:v>41220</c:v>
                </c:pt>
                <c:pt idx="3964">
                  <c:v>41221</c:v>
                </c:pt>
                <c:pt idx="3965">
                  <c:v>41222</c:v>
                </c:pt>
                <c:pt idx="3966">
                  <c:v>41223</c:v>
                </c:pt>
                <c:pt idx="3967">
                  <c:v>41224</c:v>
                </c:pt>
                <c:pt idx="3968">
                  <c:v>41225</c:v>
                </c:pt>
                <c:pt idx="3969">
                  <c:v>41226</c:v>
                </c:pt>
                <c:pt idx="3970">
                  <c:v>41227</c:v>
                </c:pt>
                <c:pt idx="3971">
                  <c:v>41228</c:v>
                </c:pt>
                <c:pt idx="3972">
                  <c:v>41229</c:v>
                </c:pt>
                <c:pt idx="3973">
                  <c:v>41230</c:v>
                </c:pt>
                <c:pt idx="3974">
                  <c:v>41231</c:v>
                </c:pt>
                <c:pt idx="3975">
                  <c:v>41232</c:v>
                </c:pt>
                <c:pt idx="3976">
                  <c:v>41233</c:v>
                </c:pt>
                <c:pt idx="3977">
                  <c:v>41234</c:v>
                </c:pt>
                <c:pt idx="3978">
                  <c:v>41235</c:v>
                </c:pt>
                <c:pt idx="3979">
                  <c:v>41236</c:v>
                </c:pt>
                <c:pt idx="3980">
                  <c:v>41237</c:v>
                </c:pt>
                <c:pt idx="3981">
                  <c:v>41238</c:v>
                </c:pt>
                <c:pt idx="3982">
                  <c:v>41239</c:v>
                </c:pt>
                <c:pt idx="3983">
                  <c:v>41240</c:v>
                </c:pt>
                <c:pt idx="3984">
                  <c:v>41241</c:v>
                </c:pt>
                <c:pt idx="3985">
                  <c:v>41242</c:v>
                </c:pt>
                <c:pt idx="3986">
                  <c:v>41243</c:v>
                </c:pt>
                <c:pt idx="3987">
                  <c:v>41244</c:v>
                </c:pt>
                <c:pt idx="3988">
                  <c:v>41245</c:v>
                </c:pt>
                <c:pt idx="3989">
                  <c:v>41246</c:v>
                </c:pt>
                <c:pt idx="3990">
                  <c:v>41247</c:v>
                </c:pt>
                <c:pt idx="3991">
                  <c:v>41248</c:v>
                </c:pt>
                <c:pt idx="3992">
                  <c:v>41249</c:v>
                </c:pt>
                <c:pt idx="3993">
                  <c:v>41250</c:v>
                </c:pt>
                <c:pt idx="3994">
                  <c:v>41251</c:v>
                </c:pt>
                <c:pt idx="3995">
                  <c:v>41252</c:v>
                </c:pt>
                <c:pt idx="3996">
                  <c:v>41253</c:v>
                </c:pt>
                <c:pt idx="3997">
                  <c:v>41254</c:v>
                </c:pt>
                <c:pt idx="3998">
                  <c:v>41255</c:v>
                </c:pt>
                <c:pt idx="3999">
                  <c:v>41256</c:v>
                </c:pt>
                <c:pt idx="4000">
                  <c:v>41257</c:v>
                </c:pt>
                <c:pt idx="4001">
                  <c:v>41258</c:v>
                </c:pt>
                <c:pt idx="4002">
                  <c:v>41259</c:v>
                </c:pt>
                <c:pt idx="4003">
                  <c:v>41260</c:v>
                </c:pt>
                <c:pt idx="4004">
                  <c:v>41261</c:v>
                </c:pt>
                <c:pt idx="4005">
                  <c:v>41262</c:v>
                </c:pt>
                <c:pt idx="4006">
                  <c:v>41263</c:v>
                </c:pt>
                <c:pt idx="4007">
                  <c:v>41264</c:v>
                </c:pt>
                <c:pt idx="4008">
                  <c:v>41265</c:v>
                </c:pt>
                <c:pt idx="4009">
                  <c:v>41266</c:v>
                </c:pt>
                <c:pt idx="4010">
                  <c:v>41267</c:v>
                </c:pt>
                <c:pt idx="4011">
                  <c:v>41268</c:v>
                </c:pt>
                <c:pt idx="4012">
                  <c:v>41269</c:v>
                </c:pt>
                <c:pt idx="4013">
                  <c:v>41270</c:v>
                </c:pt>
                <c:pt idx="4014">
                  <c:v>41271</c:v>
                </c:pt>
                <c:pt idx="4015">
                  <c:v>41272</c:v>
                </c:pt>
                <c:pt idx="4016">
                  <c:v>41273</c:v>
                </c:pt>
                <c:pt idx="4017">
                  <c:v>41274</c:v>
                </c:pt>
                <c:pt idx="4018">
                  <c:v>41275</c:v>
                </c:pt>
                <c:pt idx="4019">
                  <c:v>41276</c:v>
                </c:pt>
                <c:pt idx="4020">
                  <c:v>41277</c:v>
                </c:pt>
                <c:pt idx="4021">
                  <c:v>41278</c:v>
                </c:pt>
                <c:pt idx="4022">
                  <c:v>41279</c:v>
                </c:pt>
                <c:pt idx="4023">
                  <c:v>41280</c:v>
                </c:pt>
                <c:pt idx="4024">
                  <c:v>41281</c:v>
                </c:pt>
                <c:pt idx="4025">
                  <c:v>41282</c:v>
                </c:pt>
                <c:pt idx="4026">
                  <c:v>41283</c:v>
                </c:pt>
                <c:pt idx="4027">
                  <c:v>41284</c:v>
                </c:pt>
                <c:pt idx="4028">
                  <c:v>41285</c:v>
                </c:pt>
                <c:pt idx="4029">
                  <c:v>41286</c:v>
                </c:pt>
                <c:pt idx="4030">
                  <c:v>41287</c:v>
                </c:pt>
                <c:pt idx="4031">
                  <c:v>41288</c:v>
                </c:pt>
                <c:pt idx="4032">
                  <c:v>41289</c:v>
                </c:pt>
                <c:pt idx="4033">
                  <c:v>41290</c:v>
                </c:pt>
                <c:pt idx="4034">
                  <c:v>41291</c:v>
                </c:pt>
                <c:pt idx="4035">
                  <c:v>41292</c:v>
                </c:pt>
                <c:pt idx="4036">
                  <c:v>41293</c:v>
                </c:pt>
                <c:pt idx="4037">
                  <c:v>41294</c:v>
                </c:pt>
                <c:pt idx="4038">
                  <c:v>41295</c:v>
                </c:pt>
                <c:pt idx="4039">
                  <c:v>41296</c:v>
                </c:pt>
                <c:pt idx="4040">
                  <c:v>41297</c:v>
                </c:pt>
                <c:pt idx="4041">
                  <c:v>41298</c:v>
                </c:pt>
                <c:pt idx="4042">
                  <c:v>41299</c:v>
                </c:pt>
                <c:pt idx="4043">
                  <c:v>41300</c:v>
                </c:pt>
                <c:pt idx="4044">
                  <c:v>41301</c:v>
                </c:pt>
                <c:pt idx="4045">
                  <c:v>41302</c:v>
                </c:pt>
                <c:pt idx="4046">
                  <c:v>41303</c:v>
                </c:pt>
                <c:pt idx="4047">
                  <c:v>41304</c:v>
                </c:pt>
                <c:pt idx="4048">
                  <c:v>41305</c:v>
                </c:pt>
                <c:pt idx="4049">
                  <c:v>41306</c:v>
                </c:pt>
                <c:pt idx="4050">
                  <c:v>41307</c:v>
                </c:pt>
                <c:pt idx="4051">
                  <c:v>41308</c:v>
                </c:pt>
                <c:pt idx="4052">
                  <c:v>41309</c:v>
                </c:pt>
                <c:pt idx="4053">
                  <c:v>41310</c:v>
                </c:pt>
                <c:pt idx="4054">
                  <c:v>41311</c:v>
                </c:pt>
                <c:pt idx="4055">
                  <c:v>41312</c:v>
                </c:pt>
                <c:pt idx="4056">
                  <c:v>41313</c:v>
                </c:pt>
                <c:pt idx="4057">
                  <c:v>41314</c:v>
                </c:pt>
                <c:pt idx="4058">
                  <c:v>41315</c:v>
                </c:pt>
                <c:pt idx="4059">
                  <c:v>41316</c:v>
                </c:pt>
                <c:pt idx="4060">
                  <c:v>41317</c:v>
                </c:pt>
                <c:pt idx="4061">
                  <c:v>41318</c:v>
                </c:pt>
                <c:pt idx="4062">
                  <c:v>41319</c:v>
                </c:pt>
                <c:pt idx="4063">
                  <c:v>41320</c:v>
                </c:pt>
                <c:pt idx="4064">
                  <c:v>41321</c:v>
                </c:pt>
                <c:pt idx="4065">
                  <c:v>41322</c:v>
                </c:pt>
                <c:pt idx="4066">
                  <c:v>41323</c:v>
                </c:pt>
                <c:pt idx="4067">
                  <c:v>41324</c:v>
                </c:pt>
                <c:pt idx="4068">
                  <c:v>41325</c:v>
                </c:pt>
                <c:pt idx="4069">
                  <c:v>41326</c:v>
                </c:pt>
                <c:pt idx="4070">
                  <c:v>41327</c:v>
                </c:pt>
                <c:pt idx="4071">
                  <c:v>41328</c:v>
                </c:pt>
                <c:pt idx="4072">
                  <c:v>41329</c:v>
                </c:pt>
                <c:pt idx="4073">
                  <c:v>41330</c:v>
                </c:pt>
                <c:pt idx="4074">
                  <c:v>41331</c:v>
                </c:pt>
                <c:pt idx="4075">
                  <c:v>41332</c:v>
                </c:pt>
                <c:pt idx="4076">
                  <c:v>41333</c:v>
                </c:pt>
                <c:pt idx="4077">
                  <c:v>41334</c:v>
                </c:pt>
                <c:pt idx="4078">
                  <c:v>41335</c:v>
                </c:pt>
                <c:pt idx="4079">
                  <c:v>41336</c:v>
                </c:pt>
                <c:pt idx="4080">
                  <c:v>41337</c:v>
                </c:pt>
                <c:pt idx="4081">
                  <c:v>41338</c:v>
                </c:pt>
                <c:pt idx="4082">
                  <c:v>41339</c:v>
                </c:pt>
                <c:pt idx="4083">
                  <c:v>41340</c:v>
                </c:pt>
                <c:pt idx="4084">
                  <c:v>41341</c:v>
                </c:pt>
                <c:pt idx="4085">
                  <c:v>41342</c:v>
                </c:pt>
                <c:pt idx="4086">
                  <c:v>41343</c:v>
                </c:pt>
                <c:pt idx="4087">
                  <c:v>41344</c:v>
                </c:pt>
                <c:pt idx="4088">
                  <c:v>41345</c:v>
                </c:pt>
                <c:pt idx="4089">
                  <c:v>41346</c:v>
                </c:pt>
                <c:pt idx="4090">
                  <c:v>41347</c:v>
                </c:pt>
                <c:pt idx="4091">
                  <c:v>41348</c:v>
                </c:pt>
                <c:pt idx="4092">
                  <c:v>41349</c:v>
                </c:pt>
                <c:pt idx="4093">
                  <c:v>41350</c:v>
                </c:pt>
                <c:pt idx="4094">
                  <c:v>41351</c:v>
                </c:pt>
                <c:pt idx="4095">
                  <c:v>41352</c:v>
                </c:pt>
                <c:pt idx="4096">
                  <c:v>41353</c:v>
                </c:pt>
                <c:pt idx="4097">
                  <c:v>41354</c:v>
                </c:pt>
                <c:pt idx="4098">
                  <c:v>41355</c:v>
                </c:pt>
                <c:pt idx="4099">
                  <c:v>41356</c:v>
                </c:pt>
                <c:pt idx="4100">
                  <c:v>41357</c:v>
                </c:pt>
                <c:pt idx="4101">
                  <c:v>41358</c:v>
                </c:pt>
                <c:pt idx="4102">
                  <c:v>41359</c:v>
                </c:pt>
                <c:pt idx="4103">
                  <c:v>41360</c:v>
                </c:pt>
                <c:pt idx="4104">
                  <c:v>41361</c:v>
                </c:pt>
                <c:pt idx="4105">
                  <c:v>41362</c:v>
                </c:pt>
                <c:pt idx="4106">
                  <c:v>41363</c:v>
                </c:pt>
                <c:pt idx="4107">
                  <c:v>41364</c:v>
                </c:pt>
                <c:pt idx="4108">
                  <c:v>41365</c:v>
                </c:pt>
                <c:pt idx="4109">
                  <c:v>41366</c:v>
                </c:pt>
                <c:pt idx="4110">
                  <c:v>41367</c:v>
                </c:pt>
                <c:pt idx="4111">
                  <c:v>41368</c:v>
                </c:pt>
                <c:pt idx="4112">
                  <c:v>41369</c:v>
                </c:pt>
                <c:pt idx="4113">
                  <c:v>41370</c:v>
                </c:pt>
                <c:pt idx="4114">
                  <c:v>41371</c:v>
                </c:pt>
                <c:pt idx="4115">
                  <c:v>41372</c:v>
                </c:pt>
                <c:pt idx="4116">
                  <c:v>41373</c:v>
                </c:pt>
                <c:pt idx="4117">
                  <c:v>41374</c:v>
                </c:pt>
                <c:pt idx="4118">
                  <c:v>41375</c:v>
                </c:pt>
                <c:pt idx="4119">
                  <c:v>41376</c:v>
                </c:pt>
                <c:pt idx="4120">
                  <c:v>41377</c:v>
                </c:pt>
                <c:pt idx="4121">
                  <c:v>41378</c:v>
                </c:pt>
                <c:pt idx="4122">
                  <c:v>41379</c:v>
                </c:pt>
                <c:pt idx="4123">
                  <c:v>41380</c:v>
                </c:pt>
                <c:pt idx="4124">
                  <c:v>41381</c:v>
                </c:pt>
                <c:pt idx="4125">
                  <c:v>41382</c:v>
                </c:pt>
                <c:pt idx="4126">
                  <c:v>41383</c:v>
                </c:pt>
                <c:pt idx="4127">
                  <c:v>41384</c:v>
                </c:pt>
                <c:pt idx="4128">
                  <c:v>41385</c:v>
                </c:pt>
                <c:pt idx="4129">
                  <c:v>41386</c:v>
                </c:pt>
                <c:pt idx="4130">
                  <c:v>41387</c:v>
                </c:pt>
                <c:pt idx="4131">
                  <c:v>41388</c:v>
                </c:pt>
                <c:pt idx="4132">
                  <c:v>41389</c:v>
                </c:pt>
                <c:pt idx="4133">
                  <c:v>41390</c:v>
                </c:pt>
                <c:pt idx="4134">
                  <c:v>41391</c:v>
                </c:pt>
                <c:pt idx="4135">
                  <c:v>41392</c:v>
                </c:pt>
                <c:pt idx="4136">
                  <c:v>41393</c:v>
                </c:pt>
                <c:pt idx="4137">
                  <c:v>41394</c:v>
                </c:pt>
                <c:pt idx="4138">
                  <c:v>41395</c:v>
                </c:pt>
                <c:pt idx="4139">
                  <c:v>41396</c:v>
                </c:pt>
                <c:pt idx="4140">
                  <c:v>41397</c:v>
                </c:pt>
                <c:pt idx="4141">
                  <c:v>41398</c:v>
                </c:pt>
                <c:pt idx="4142">
                  <c:v>41399</c:v>
                </c:pt>
                <c:pt idx="4143">
                  <c:v>41400</c:v>
                </c:pt>
                <c:pt idx="4144">
                  <c:v>41401</c:v>
                </c:pt>
                <c:pt idx="4145">
                  <c:v>41402</c:v>
                </c:pt>
                <c:pt idx="4146">
                  <c:v>41403</c:v>
                </c:pt>
                <c:pt idx="4147">
                  <c:v>41404</c:v>
                </c:pt>
                <c:pt idx="4148">
                  <c:v>41405</c:v>
                </c:pt>
                <c:pt idx="4149">
                  <c:v>41406</c:v>
                </c:pt>
                <c:pt idx="4150">
                  <c:v>41407</c:v>
                </c:pt>
                <c:pt idx="4151">
                  <c:v>41408</c:v>
                </c:pt>
                <c:pt idx="4152">
                  <c:v>41409</c:v>
                </c:pt>
                <c:pt idx="4153">
                  <c:v>41410</c:v>
                </c:pt>
                <c:pt idx="4154">
                  <c:v>41411</c:v>
                </c:pt>
                <c:pt idx="4155">
                  <c:v>41412</c:v>
                </c:pt>
                <c:pt idx="4156">
                  <c:v>41413</c:v>
                </c:pt>
                <c:pt idx="4157">
                  <c:v>41414</c:v>
                </c:pt>
                <c:pt idx="4158">
                  <c:v>41415</c:v>
                </c:pt>
                <c:pt idx="4159">
                  <c:v>41416</c:v>
                </c:pt>
                <c:pt idx="4160">
                  <c:v>41417</c:v>
                </c:pt>
                <c:pt idx="4161">
                  <c:v>41418</c:v>
                </c:pt>
                <c:pt idx="4162">
                  <c:v>41419</c:v>
                </c:pt>
                <c:pt idx="4163">
                  <c:v>41420</c:v>
                </c:pt>
                <c:pt idx="4164">
                  <c:v>41421</c:v>
                </c:pt>
                <c:pt idx="4165">
                  <c:v>41422</c:v>
                </c:pt>
                <c:pt idx="4166">
                  <c:v>41423</c:v>
                </c:pt>
                <c:pt idx="4167">
                  <c:v>41424</c:v>
                </c:pt>
                <c:pt idx="4168">
                  <c:v>41425</c:v>
                </c:pt>
                <c:pt idx="4169">
                  <c:v>41426</c:v>
                </c:pt>
                <c:pt idx="4170">
                  <c:v>41427</c:v>
                </c:pt>
                <c:pt idx="4171">
                  <c:v>41428</c:v>
                </c:pt>
                <c:pt idx="4172">
                  <c:v>41429</c:v>
                </c:pt>
                <c:pt idx="4173">
                  <c:v>41430</c:v>
                </c:pt>
                <c:pt idx="4174">
                  <c:v>41431</c:v>
                </c:pt>
                <c:pt idx="4175">
                  <c:v>41432</c:v>
                </c:pt>
                <c:pt idx="4176">
                  <c:v>41433</c:v>
                </c:pt>
                <c:pt idx="4177">
                  <c:v>41434</c:v>
                </c:pt>
                <c:pt idx="4178">
                  <c:v>41435</c:v>
                </c:pt>
                <c:pt idx="4179">
                  <c:v>41436</c:v>
                </c:pt>
                <c:pt idx="4180">
                  <c:v>41437</c:v>
                </c:pt>
                <c:pt idx="4181">
                  <c:v>41438</c:v>
                </c:pt>
                <c:pt idx="4182">
                  <c:v>41439</c:v>
                </c:pt>
                <c:pt idx="4183">
                  <c:v>41440</c:v>
                </c:pt>
                <c:pt idx="4184">
                  <c:v>41441</c:v>
                </c:pt>
                <c:pt idx="4185">
                  <c:v>41442</c:v>
                </c:pt>
                <c:pt idx="4186">
                  <c:v>41443</c:v>
                </c:pt>
                <c:pt idx="4187">
                  <c:v>41444</c:v>
                </c:pt>
                <c:pt idx="4188">
                  <c:v>41445</c:v>
                </c:pt>
                <c:pt idx="4189">
                  <c:v>41446</c:v>
                </c:pt>
                <c:pt idx="4190">
                  <c:v>41447</c:v>
                </c:pt>
                <c:pt idx="4191">
                  <c:v>41448</c:v>
                </c:pt>
                <c:pt idx="4192">
                  <c:v>41449</c:v>
                </c:pt>
                <c:pt idx="4193">
                  <c:v>41450</c:v>
                </c:pt>
                <c:pt idx="4194">
                  <c:v>41451</c:v>
                </c:pt>
                <c:pt idx="4195">
                  <c:v>41452</c:v>
                </c:pt>
                <c:pt idx="4196">
                  <c:v>41453</c:v>
                </c:pt>
                <c:pt idx="4197">
                  <c:v>41454</c:v>
                </c:pt>
                <c:pt idx="4198">
                  <c:v>41455</c:v>
                </c:pt>
                <c:pt idx="4199">
                  <c:v>41456</c:v>
                </c:pt>
                <c:pt idx="4200">
                  <c:v>41457</c:v>
                </c:pt>
                <c:pt idx="4201">
                  <c:v>41458</c:v>
                </c:pt>
                <c:pt idx="4202">
                  <c:v>41459</c:v>
                </c:pt>
                <c:pt idx="4203">
                  <c:v>41460</c:v>
                </c:pt>
                <c:pt idx="4204">
                  <c:v>41461</c:v>
                </c:pt>
                <c:pt idx="4205">
                  <c:v>41462</c:v>
                </c:pt>
                <c:pt idx="4206">
                  <c:v>41463</c:v>
                </c:pt>
                <c:pt idx="4207">
                  <c:v>41464</c:v>
                </c:pt>
                <c:pt idx="4208">
                  <c:v>41465</c:v>
                </c:pt>
                <c:pt idx="4209">
                  <c:v>41466</c:v>
                </c:pt>
                <c:pt idx="4210">
                  <c:v>41467</c:v>
                </c:pt>
                <c:pt idx="4211">
                  <c:v>41468</c:v>
                </c:pt>
                <c:pt idx="4212">
                  <c:v>41469</c:v>
                </c:pt>
                <c:pt idx="4213">
                  <c:v>41470</c:v>
                </c:pt>
                <c:pt idx="4214">
                  <c:v>41471</c:v>
                </c:pt>
                <c:pt idx="4215">
                  <c:v>41472</c:v>
                </c:pt>
                <c:pt idx="4216">
                  <c:v>41473</c:v>
                </c:pt>
                <c:pt idx="4217">
                  <c:v>41474</c:v>
                </c:pt>
                <c:pt idx="4218">
                  <c:v>41475</c:v>
                </c:pt>
                <c:pt idx="4219">
                  <c:v>41476</c:v>
                </c:pt>
                <c:pt idx="4220">
                  <c:v>41477</c:v>
                </c:pt>
                <c:pt idx="4221">
                  <c:v>41478</c:v>
                </c:pt>
                <c:pt idx="4222">
                  <c:v>41479</c:v>
                </c:pt>
                <c:pt idx="4223">
                  <c:v>41480</c:v>
                </c:pt>
                <c:pt idx="4224">
                  <c:v>41481</c:v>
                </c:pt>
                <c:pt idx="4225">
                  <c:v>41482</c:v>
                </c:pt>
                <c:pt idx="4226">
                  <c:v>41483</c:v>
                </c:pt>
                <c:pt idx="4227">
                  <c:v>41484</c:v>
                </c:pt>
                <c:pt idx="4228">
                  <c:v>41485</c:v>
                </c:pt>
                <c:pt idx="4229">
                  <c:v>41486</c:v>
                </c:pt>
                <c:pt idx="4230">
                  <c:v>41487</c:v>
                </c:pt>
                <c:pt idx="4231">
                  <c:v>41488</c:v>
                </c:pt>
                <c:pt idx="4232">
                  <c:v>41489</c:v>
                </c:pt>
                <c:pt idx="4233">
                  <c:v>41490</c:v>
                </c:pt>
                <c:pt idx="4234">
                  <c:v>41491</c:v>
                </c:pt>
                <c:pt idx="4235">
                  <c:v>41492</c:v>
                </c:pt>
                <c:pt idx="4236">
                  <c:v>41493</c:v>
                </c:pt>
                <c:pt idx="4237">
                  <c:v>41494</c:v>
                </c:pt>
                <c:pt idx="4238">
                  <c:v>41495</c:v>
                </c:pt>
                <c:pt idx="4239">
                  <c:v>41496</c:v>
                </c:pt>
                <c:pt idx="4240">
                  <c:v>41497</c:v>
                </c:pt>
                <c:pt idx="4241">
                  <c:v>41498</c:v>
                </c:pt>
                <c:pt idx="4242">
                  <c:v>41499</c:v>
                </c:pt>
                <c:pt idx="4243">
                  <c:v>41500</c:v>
                </c:pt>
                <c:pt idx="4244">
                  <c:v>41501</c:v>
                </c:pt>
                <c:pt idx="4245">
                  <c:v>41502</c:v>
                </c:pt>
                <c:pt idx="4246">
                  <c:v>41503</c:v>
                </c:pt>
                <c:pt idx="4247">
                  <c:v>41504</c:v>
                </c:pt>
                <c:pt idx="4248">
                  <c:v>41505</c:v>
                </c:pt>
                <c:pt idx="4249">
                  <c:v>41506</c:v>
                </c:pt>
                <c:pt idx="4250">
                  <c:v>41507</c:v>
                </c:pt>
                <c:pt idx="4251">
                  <c:v>41508</c:v>
                </c:pt>
                <c:pt idx="4252">
                  <c:v>41509</c:v>
                </c:pt>
                <c:pt idx="4253">
                  <c:v>41510</c:v>
                </c:pt>
                <c:pt idx="4254">
                  <c:v>41511</c:v>
                </c:pt>
                <c:pt idx="4255">
                  <c:v>41512</c:v>
                </c:pt>
                <c:pt idx="4256">
                  <c:v>41513</c:v>
                </c:pt>
                <c:pt idx="4257">
                  <c:v>41514</c:v>
                </c:pt>
                <c:pt idx="4258">
                  <c:v>41515</c:v>
                </c:pt>
                <c:pt idx="4259">
                  <c:v>41516</c:v>
                </c:pt>
                <c:pt idx="4260">
                  <c:v>41517</c:v>
                </c:pt>
                <c:pt idx="4261">
                  <c:v>41518</c:v>
                </c:pt>
                <c:pt idx="4262">
                  <c:v>41519</c:v>
                </c:pt>
                <c:pt idx="4263">
                  <c:v>41520</c:v>
                </c:pt>
                <c:pt idx="4264">
                  <c:v>41521</c:v>
                </c:pt>
                <c:pt idx="4265">
                  <c:v>41522</c:v>
                </c:pt>
                <c:pt idx="4266">
                  <c:v>41523</c:v>
                </c:pt>
                <c:pt idx="4267">
                  <c:v>41524</c:v>
                </c:pt>
                <c:pt idx="4268">
                  <c:v>41525</c:v>
                </c:pt>
                <c:pt idx="4269">
                  <c:v>41526</c:v>
                </c:pt>
                <c:pt idx="4270">
                  <c:v>41527</c:v>
                </c:pt>
                <c:pt idx="4271">
                  <c:v>41528</c:v>
                </c:pt>
                <c:pt idx="4272">
                  <c:v>41529</c:v>
                </c:pt>
                <c:pt idx="4273">
                  <c:v>41530</c:v>
                </c:pt>
                <c:pt idx="4274">
                  <c:v>41531</c:v>
                </c:pt>
                <c:pt idx="4275">
                  <c:v>41532</c:v>
                </c:pt>
                <c:pt idx="4276">
                  <c:v>41533</c:v>
                </c:pt>
                <c:pt idx="4277">
                  <c:v>41534</c:v>
                </c:pt>
                <c:pt idx="4278">
                  <c:v>41535</c:v>
                </c:pt>
                <c:pt idx="4279">
                  <c:v>41536</c:v>
                </c:pt>
                <c:pt idx="4280">
                  <c:v>41537</c:v>
                </c:pt>
                <c:pt idx="4281">
                  <c:v>41538</c:v>
                </c:pt>
                <c:pt idx="4282">
                  <c:v>41539</c:v>
                </c:pt>
                <c:pt idx="4283">
                  <c:v>41540</c:v>
                </c:pt>
                <c:pt idx="4284">
                  <c:v>41541</c:v>
                </c:pt>
                <c:pt idx="4285">
                  <c:v>41542</c:v>
                </c:pt>
                <c:pt idx="4286">
                  <c:v>41543</c:v>
                </c:pt>
                <c:pt idx="4287">
                  <c:v>41544</c:v>
                </c:pt>
                <c:pt idx="4288">
                  <c:v>41545</c:v>
                </c:pt>
                <c:pt idx="4289">
                  <c:v>41546</c:v>
                </c:pt>
                <c:pt idx="4290">
                  <c:v>41547</c:v>
                </c:pt>
                <c:pt idx="4291">
                  <c:v>41548</c:v>
                </c:pt>
                <c:pt idx="4292">
                  <c:v>41549</c:v>
                </c:pt>
                <c:pt idx="4293">
                  <c:v>41550</c:v>
                </c:pt>
                <c:pt idx="4294">
                  <c:v>41551</c:v>
                </c:pt>
                <c:pt idx="4295">
                  <c:v>41552</c:v>
                </c:pt>
                <c:pt idx="4296">
                  <c:v>41553</c:v>
                </c:pt>
                <c:pt idx="4297">
                  <c:v>41554</c:v>
                </c:pt>
                <c:pt idx="4298">
                  <c:v>41555</c:v>
                </c:pt>
                <c:pt idx="4299">
                  <c:v>41556</c:v>
                </c:pt>
                <c:pt idx="4300">
                  <c:v>41557</c:v>
                </c:pt>
                <c:pt idx="4301">
                  <c:v>41558</c:v>
                </c:pt>
                <c:pt idx="4302">
                  <c:v>41559</c:v>
                </c:pt>
                <c:pt idx="4303">
                  <c:v>41560</c:v>
                </c:pt>
                <c:pt idx="4304">
                  <c:v>41561</c:v>
                </c:pt>
                <c:pt idx="4305">
                  <c:v>41562</c:v>
                </c:pt>
                <c:pt idx="4306">
                  <c:v>41563</c:v>
                </c:pt>
                <c:pt idx="4307">
                  <c:v>41564</c:v>
                </c:pt>
                <c:pt idx="4308">
                  <c:v>41565</c:v>
                </c:pt>
                <c:pt idx="4309">
                  <c:v>41566</c:v>
                </c:pt>
                <c:pt idx="4310">
                  <c:v>41567</c:v>
                </c:pt>
                <c:pt idx="4311">
                  <c:v>41568</c:v>
                </c:pt>
                <c:pt idx="4312">
                  <c:v>41569</c:v>
                </c:pt>
                <c:pt idx="4313">
                  <c:v>41570</c:v>
                </c:pt>
                <c:pt idx="4314">
                  <c:v>41571</c:v>
                </c:pt>
                <c:pt idx="4315">
                  <c:v>41572</c:v>
                </c:pt>
                <c:pt idx="4316">
                  <c:v>41573</c:v>
                </c:pt>
                <c:pt idx="4317">
                  <c:v>41574</c:v>
                </c:pt>
                <c:pt idx="4318">
                  <c:v>41575</c:v>
                </c:pt>
                <c:pt idx="4319">
                  <c:v>41576</c:v>
                </c:pt>
                <c:pt idx="4320">
                  <c:v>41577</c:v>
                </c:pt>
                <c:pt idx="4321">
                  <c:v>41578</c:v>
                </c:pt>
                <c:pt idx="4322">
                  <c:v>41579</c:v>
                </c:pt>
                <c:pt idx="4323">
                  <c:v>41580</c:v>
                </c:pt>
                <c:pt idx="4324">
                  <c:v>41581</c:v>
                </c:pt>
                <c:pt idx="4325">
                  <c:v>41582</c:v>
                </c:pt>
                <c:pt idx="4326">
                  <c:v>41583</c:v>
                </c:pt>
                <c:pt idx="4327">
                  <c:v>41584</c:v>
                </c:pt>
                <c:pt idx="4328">
                  <c:v>41585</c:v>
                </c:pt>
                <c:pt idx="4329">
                  <c:v>41586</c:v>
                </c:pt>
                <c:pt idx="4330">
                  <c:v>41587</c:v>
                </c:pt>
                <c:pt idx="4331">
                  <c:v>41588</c:v>
                </c:pt>
                <c:pt idx="4332">
                  <c:v>41589</c:v>
                </c:pt>
                <c:pt idx="4333">
                  <c:v>41590</c:v>
                </c:pt>
                <c:pt idx="4334">
                  <c:v>41591</c:v>
                </c:pt>
                <c:pt idx="4335">
                  <c:v>41592</c:v>
                </c:pt>
                <c:pt idx="4336">
                  <c:v>41593</c:v>
                </c:pt>
                <c:pt idx="4337">
                  <c:v>41594</c:v>
                </c:pt>
                <c:pt idx="4338">
                  <c:v>41595</c:v>
                </c:pt>
                <c:pt idx="4339">
                  <c:v>41596</c:v>
                </c:pt>
                <c:pt idx="4340">
                  <c:v>41597</c:v>
                </c:pt>
                <c:pt idx="4341">
                  <c:v>41598</c:v>
                </c:pt>
                <c:pt idx="4342">
                  <c:v>41599</c:v>
                </c:pt>
                <c:pt idx="4343">
                  <c:v>41600</c:v>
                </c:pt>
                <c:pt idx="4344">
                  <c:v>41601</c:v>
                </c:pt>
                <c:pt idx="4345">
                  <c:v>41602</c:v>
                </c:pt>
                <c:pt idx="4346">
                  <c:v>41603</c:v>
                </c:pt>
                <c:pt idx="4347">
                  <c:v>41604</c:v>
                </c:pt>
                <c:pt idx="4348">
                  <c:v>41605</c:v>
                </c:pt>
                <c:pt idx="4349">
                  <c:v>41606</c:v>
                </c:pt>
                <c:pt idx="4350">
                  <c:v>41607</c:v>
                </c:pt>
                <c:pt idx="4351">
                  <c:v>41608</c:v>
                </c:pt>
                <c:pt idx="4352">
                  <c:v>41609</c:v>
                </c:pt>
                <c:pt idx="4353">
                  <c:v>41610</c:v>
                </c:pt>
                <c:pt idx="4354">
                  <c:v>41611</c:v>
                </c:pt>
                <c:pt idx="4355">
                  <c:v>41612</c:v>
                </c:pt>
                <c:pt idx="4356">
                  <c:v>41613</c:v>
                </c:pt>
                <c:pt idx="4357">
                  <c:v>41614</c:v>
                </c:pt>
                <c:pt idx="4358">
                  <c:v>41615</c:v>
                </c:pt>
                <c:pt idx="4359">
                  <c:v>41616</c:v>
                </c:pt>
                <c:pt idx="4360">
                  <c:v>41617</c:v>
                </c:pt>
                <c:pt idx="4361">
                  <c:v>41618</c:v>
                </c:pt>
                <c:pt idx="4362">
                  <c:v>41619</c:v>
                </c:pt>
                <c:pt idx="4363">
                  <c:v>41620</c:v>
                </c:pt>
                <c:pt idx="4364">
                  <c:v>41621</c:v>
                </c:pt>
                <c:pt idx="4365">
                  <c:v>41622</c:v>
                </c:pt>
                <c:pt idx="4366">
                  <c:v>41623</c:v>
                </c:pt>
                <c:pt idx="4367">
                  <c:v>41624</c:v>
                </c:pt>
                <c:pt idx="4368">
                  <c:v>41625</c:v>
                </c:pt>
                <c:pt idx="4369">
                  <c:v>41626</c:v>
                </c:pt>
                <c:pt idx="4370">
                  <c:v>41627</c:v>
                </c:pt>
                <c:pt idx="4371">
                  <c:v>41628</c:v>
                </c:pt>
                <c:pt idx="4372">
                  <c:v>41629</c:v>
                </c:pt>
                <c:pt idx="4373">
                  <c:v>41630</c:v>
                </c:pt>
                <c:pt idx="4374">
                  <c:v>41631</c:v>
                </c:pt>
                <c:pt idx="4375">
                  <c:v>41632</c:v>
                </c:pt>
                <c:pt idx="4376">
                  <c:v>41633</c:v>
                </c:pt>
                <c:pt idx="4377">
                  <c:v>41634</c:v>
                </c:pt>
                <c:pt idx="4378">
                  <c:v>41635</c:v>
                </c:pt>
                <c:pt idx="4379">
                  <c:v>41636</c:v>
                </c:pt>
                <c:pt idx="4380">
                  <c:v>41637</c:v>
                </c:pt>
                <c:pt idx="4381">
                  <c:v>41638</c:v>
                </c:pt>
                <c:pt idx="4382">
                  <c:v>41639</c:v>
                </c:pt>
                <c:pt idx="4383">
                  <c:v>41640</c:v>
                </c:pt>
                <c:pt idx="4384">
                  <c:v>41641</c:v>
                </c:pt>
                <c:pt idx="4385">
                  <c:v>41642</c:v>
                </c:pt>
                <c:pt idx="4386">
                  <c:v>41643</c:v>
                </c:pt>
                <c:pt idx="4387">
                  <c:v>41644</c:v>
                </c:pt>
                <c:pt idx="4388">
                  <c:v>41645</c:v>
                </c:pt>
                <c:pt idx="4389">
                  <c:v>41646</c:v>
                </c:pt>
                <c:pt idx="4390">
                  <c:v>41647</c:v>
                </c:pt>
                <c:pt idx="4391">
                  <c:v>41648</c:v>
                </c:pt>
                <c:pt idx="4392">
                  <c:v>41649</c:v>
                </c:pt>
                <c:pt idx="4393">
                  <c:v>41650</c:v>
                </c:pt>
                <c:pt idx="4394">
                  <c:v>41651</c:v>
                </c:pt>
                <c:pt idx="4395">
                  <c:v>41652</c:v>
                </c:pt>
                <c:pt idx="4396">
                  <c:v>41653</c:v>
                </c:pt>
                <c:pt idx="4397">
                  <c:v>41654</c:v>
                </c:pt>
                <c:pt idx="4398">
                  <c:v>41655</c:v>
                </c:pt>
                <c:pt idx="4399">
                  <c:v>41656</c:v>
                </c:pt>
                <c:pt idx="4400">
                  <c:v>41657</c:v>
                </c:pt>
                <c:pt idx="4401">
                  <c:v>41658</c:v>
                </c:pt>
                <c:pt idx="4402">
                  <c:v>41659</c:v>
                </c:pt>
                <c:pt idx="4403">
                  <c:v>41660</c:v>
                </c:pt>
                <c:pt idx="4404">
                  <c:v>41661</c:v>
                </c:pt>
                <c:pt idx="4405">
                  <c:v>41662</c:v>
                </c:pt>
                <c:pt idx="4406">
                  <c:v>41663</c:v>
                </c:pt>
                <c:pt idx="4407">
                  <c:v>41664</c:v>
                </c:pt>
                <c:pt idx="4408">
                  <c:v>41665</c:v>
                </c:pt>
                <c:pt idx="4409">
                  <c:v>41666</c:v>
                </c:pt>
                <c:pt idx="4410">
                  <c:v>41667</c:v>
                </c:pt>
                <c:pt idx="4411">
                  <c:v>41668</c:v>
                </c:pt>
                <c:pt idx="4412">
                  <c:v>41669</c:v>
                </c:pt>
                <c:pt idx="4413">
                  <c:v>41670</c:v>
                </c:pt>
                <c:pt idx="4414">
                  <c:v>41671</c:v>
                </c:pt>
                <c:pt idx="4415">
                  <c:v>41672</c:v>
                </c:pt>
                <c:pt idx="4416">
                  <c:v>41673</c:v>
                </c:pt>
                <c:pt idx="4417">
                  <c:v>41674</c:v>
                </c:pt>
                <c:pt idx="4418">
                  <c:v>41675</c:v>
                </c:pt>
                <c:pt idx="4419">
                  <c:v>41676</c:v>
                </c:pt>
                <c:pt idx="4420">
                  <c:v>41677</c:v>
                </c:pt>
                <c:pt idx="4421">
                  <c:v>41678</c:v>
                </c:pt>
                <c:pt idx="4422">
                  <c:v>41679</c:v>
                </c:pt>
                <c:pt idx="4423">
                  <c:v>41680</c:v>
                </c:pt>
                <c:pt idx="4424">
                  <c:v>41681</c:v>
                </c:pt>
                <c:pt idx="4425">
                  <c:v>41682</c:v>
                </c:pt>
                <c:pt idx="4426">
                  <c:v>41683</c:v>
                </c:pt>
                <c:pt idx="4427">
                  <c:v>41684</c:v>
                </c:pt>
                <c:pt idx="4428">
                  <c:v>41685</c:v>
                </c:pt>
                <c:pt idx="4429">
                  <c:v>41686</c:v>
                </c:pt>
                <c:pt idx="4430">
                  <c:v>41687</c:v>
                </c:pt>
                <c:pt idx="4431">
                  <c:v>41688</c:v>
                </c:pt>
                <c:pt idx="4432">
                  <c:v>41689</c:v>
                </c:pt>
                <c:pt idx="4433">
                  <c:v>41690</c:v>
                </c:pt>
                <c:pt idx="4434">
                  <c:v>41691</c:v>
                </c:pt>
                <c:pt idx="4435">
                  <c:v>41692</c:v>
                </c:pt>
                <c:pt idx="4436">
                  <c:v>41693</c:v>
                </c:pt>
                <c:pt idx="4437">
                  <c:v>41694</c:v>
                </c:pt>
                <c:pt idx="4438">
                  <c:v>41695</c:v>
                </c:pt>
                <c:pt idx="4439">
                  <c:v>41696</c:v>
                </c:pt>
                <c:pt idx="4440">
                  <c:v>41697</c:v>
                </c:pt>
                <c:pt idx="4441">
                  <c:v>41698</c:v>
                </c:pt>
                <c:pt idx="4442">
                  <c:v>41699</c:v>
                </c:pt>
                <c:pt idx="4443">
                  <c:v>41700</c:v>
                </c:pt>
                <c:pt idx="4444">
                  <c:v>41701</c:v>
                </c:pt>
                <c:pt idx="4445">
                  <c:v>41702</c:v>
                </c:pt>
                <c:pt idx="4446">
                  <c:v>41703</c:v>
                </c:pt>
                <c:pt idx="4447">
                  <c:v>41704</c:v>
                </c:pt>
                <c:pt idx="4448">
                  <c:v>41705</c:v>
                </c:pt>
                <c:pt idx="4449">
                  <c:v>41706</c:v>
                </c:pt>
                <c:pt idx="4450">
                  <c:v>41707</c:v>
                </c:pt>
                <c:pt idx="4451">
                  <c:v>41708</c:v>
                </c:pt>
                <c:pt idx="4452">
                  <c:v>41709</c:v>
                </c:pt>
                <c:pt idx="4453">
                  <c:v>41710</c:v>
                </c:pt>
                <c:pt idx="4454">
                  <c:v>41711</c:v>
                </c:pt>
                <c:pt idx="4455">
                  <c:v>41712</c:v>
                </c:pt>
                <c:pt idx="4456">
                  <c:v>41713</c:v>
                </c:pt>
                <c:pt idx="4457">
                  <c:v>41714</c:v>
                </c:pt>
                <c:pt idx="4458">
                  <c:v>41715</c:v>
                </c:pt>
                <c:pt idx="4459">
                  <c:v>41716</c:v>
                </c:pt>
                <c:pt idx="4460">
                  <c:v>41717</c:v>
                </c:pt>
                <c:pt idx="4461">
                  <c:v>41718</c:v>
                </c:pt>
                <c:pt idx="4462">
                  <c:v>41719</c:v>
                </c:pt>
                <c:pt idx="4463">
                  <c:v>41720</c:v>
                </c:pt>
                <c:pt idx="4464">
                  <c:v>41721</c:v>
                </c:pt>
                <c:pt idx="4465">
                  <c:v>41722</c:v>
                </c:pt>
                <c:pt idx="4466">
                  <c:v>41723</c:v>
                </c:pt>
                <c:pt idx="4467">
                  <c:v>41724</c:v>
                </c:pt>
                <c:pt idx="4468">
                  <c:v>41725</c:v>
                </c:pt>
                <c:pt idx="4469">
                  <c:v>41726</c:v>
                </c:pt>
                <c:pt idx="4470">
                  <c:v>41727</c:v>
                </c:pt>
                <c:pt idx="4471">
                  <c:v>41728</c:v>
                </c:pt>
                <c:pt idx="4472">
                  <c:v>41729</c:v>
                </c:pt>
                <c:pt idx="4473">
                  <c:v>41730</c:v>
                </c:pt>
                <c:pt idx="4474">
                  <c:v>41731</c:v>
                </c:pt>
                <c:pt idx="4475">
                  <c:v>41732</c:v>
                </c:pt>
                <c:pt idx="4476">
                  <c:v>41733</c:v>
                </c:pt>
                <c:pt idx="4477">
                  <c:v>41734</c:v>
                </c:pt>
                <c:pt idx="4478">
                  <c:v>41735</c:v>
                </c:pt>
                <c:pt idx="4479">
                  <c:v>41736</c:v>
                </c:pt>
                <c:pt idx="4480">
                  <c:v>41737</c:v>
                </c:pt>
                <c:pt idx="4481">
                  <c:v>41738</c:v>
                </c:pt>
                <c:pt idx="4482">
                  <c:v>41739</c:v>
                </c:pt>
                <c:pt idx="4483">
                  <c:v>41740</c:v>
                </c:pt>
                <c:pt idx="4484">
                  <c:v>41741</c:v>
                </c:pt>
                <c:pt idx="4485">
                  <c:v>41742</c:v>
                </c:pt>
                <c:pt idx="4486">
                  <c:v>41743</c:v>
                </c:pt>
                <c:pt idx="4487">
                  <c:v>41744</c:v>
                </c:pt>
                <c:pt idx="4488">
                  <c:v>41745</c:v>
                </c:pt>
                <c:pt idx="4489">
                  <c:v>41746</c:v>
                </c:pt>
                <c:pt idx="4490">
                  <c:v>41747</c:v>
                </c:pt>
                <c:pt idx="4491">
                  <c:v>41748</c:v>
                </c:pt>
                <c:pt idx="4492">
                  <c:v>41749</c:v>
                </c:pt>
                <c:pt idx="4493">
                  <c:v>41750</c:v>
                </c:pt>
                <c:pt idx="4494">
                  <c:v>41751</c:v>
                </c:pt>
                <c:pt idx="4495">
                  <c:v>41752</c:v>
                </c:pt>
                <c:pt idx="4496">
                  <c:v>41753</c:v>
                </c:pt>
                <c:pt idx="4497">
                  <c:v>41754</c:v>
                </c:pt>
                <c:pt idx="4498">
                  <c:v>41755</c:v>
                </c:pt>
                <c:pt idx="4499">
                  <c:v>41756</c:v>
                </c:pt>
                <c:pt idx="4500">
                  <c:v>41757</c:v>
                </c:pt>
                <c:pt idx="4501">
                  <c:v>41758</c:v>
                </c:pt>
                <c:pt idx="4502">
                  <c:v>41759</c:v>
                </c:pt>
                <c:pt idx="4503">
                  <c:v>41760</c:v>
                </c:pt>
                <c:pt idx="4504">
                  <c:v>41761</c:v>
                </c:pt>
                <c:pt idx="4505">
                  <c:v>41762</c:v>
                </c:pt>
                <c:pt idx="4506">
                  <c:v>41763</c:v>
                </c:pt>
                <c:pt idx="4507">
                  <c:v>41764</c:v>
                </c:pt>
                <c:pt idx="4508">
                  <c:v>41765</c:v>
                </c:pt>
                <c:pt idx="4509">
                  <c:v>41766</c:v>
                </c:pt>
                <c:pt idx="4510">
                  <c:v>41767</c:v>
                </c:pt>
                <c:pt idx="4511">
                  <c:v>41768</c:v>
                </c:pt>
                <c:pt idx="4512">
                  <c:v>41769</c:v>
                </c:pt>
                <c:pt idx="4513">
                  <c:v>41770</c:v>
                </c:pt>
                <c:pt idx="4514">
                  <c:v>41771</c:v>
                </c:pt>
                <c:pt idx="4515">
                  <c:v>41772</c:v>
                </c:pt>
                <c:pt idx="4516">
                  <c:v>41773</c:v>
                </c:pt>
                <c:pt idx="4517">
                  <c:v>41774</c:v>
                </c:pt>
                <c:pt idx="4518">
                  <c:v>41775</c:v>
                </c:pt>
                <c:pt idx="4519">
                  <c:v>41776</c:v>
                </c:pt>
                <c:pt idx="4520">
                  <c:v>41777</c:v>
                </c:pt>
                <c:pt idx="4521">
                  <c:v>41778</c:v>
                </c:pt>
                <c:pt idx="4522">
                  <c:v>41779</c:v>
                </c:pt>
                <c:pt idx="4523">
                  <c:v>41780</c:v>
                </c:pt>
                <c:pt idx="4524">
                  <c:v>41781</c:v>
                </c:pt>
                <c:pt idx="4525">
                  <c:v>41782</c:v>
                </c:pt>
                <c:pt idx="4526">
                  <c:v>41783</c:v>
                </c:pt>
                <c:pt idx="4527">
                  <c:v>41784</c:v>
                </c:pt>
                <c:pt idx="4528">
                  <c:v>41785</c:v>
                </c:pt>
                <c:pt idx="4529">
                  <c:v>41786</c:v>
                </c:pt>
                <c:pt idx="4530">
                  <c:v>41787</c:v>
                </c:pt>
                <c:pt idx="4531">
                  <c:v>41788</c:v>
                </c:pt>
                <c:pt idx="4532">
                  <c:v>41789</c:v>
                </c:pt>
                <c:pt idx="4533">
                  <c:v>41790</c:v>
                </c:pt>
                <c:pt idx="4534">
                  <c:v>41791</c:v>
                </c:pt>
                <c:pt idx="4535">
                  <c:v>41792</c:v>
                </c:pt>
                <c:pt idx="4536">
                  <c:v>41793</c:v>
                </c:pt>
                <c:pt idx="4537">
                  <c:v>41794</c:v>
                </c:pt>
                <c:pt idx="4538">
                  <c:v>41795</c:v>
                </c:pt>
                <c:pt idx="4539">
                  <c:v>41796</c:v>
                </c:pt>
                <c:pt idx="4540">
                  <c:v>41797</c:v>
                </c:pt>
                <c:pt idx="4541">
                  <c:v>41798</c:v>
                </c:pt>
                <c:pt idx="4542">
                  <c:v>41799</c:v>
                </c:pt>
                <c:pt idx="4543">
                  <c:v>41800</c:v>
                </c:pt>
                <c:pt idx="4544">
                  <c:v>41801</c:v>
                </c:pt>
                <c:pt idx="4545">
                  <c:v>41802</c:v>
                </c:pt>
                <c:pt idx="4546">
                  <c:v>41803</c:v>
                </c:pt>
                <c:pt idx="4547">
                  <c:v>41804</c:v>
                </c:pt>
                <c:pt idx="4548">
                  <c:v>41805</c:v>
                </c:pt>
                <c:pt idx="4549">
                  <c:v>41806</c:v>
                </c:pt>
                <c:pt idx="4550">
                  <c:v>41807</c:v>
                </c:pt>
                <c:pt idx="4551">
                  <c:v>41808</c:v>
                </c:pt>
                <c:pt idx="4552">
                  <c:v>41809</c:v>
                </c:pt>
                <c:pt idx="4553">
                  <c:v>41810</c:v>
                </c:pt>
                <c:pt idx="4554">
                  <c:v>41811</c:v>
                </c:pt>
                <c:pt idx="4555">
                  <c:v>41812</c:v>
                </c:pt>
                <c:pt idx="4556">
                  <c:v>41813</c:v>
                </c:pt>
                <c:pt idx="4557">
                  <c:v>41814</c:v>
                </c:pt>
                <c:pt idx="4558">
                  <c:v>41815</c:v>
                </c:pt>
                <c:pt idx="4559">
                  <c:v>41816</c:v>
                </c:pt>
                <c:pt idx="4560">
                  <c:v>41817</c:v>
                </c:pt>
                <c:pt idx="4561">
                  <c:v>41818</c:v>
                </c:pt>
                <c:pt idx="4562">
                  <c:v>41819</c:v>
                </c:pt>
                <c:pt idx="4563">
                  <c:v>41820</c:v>
                </c:pt>
                <c:pt idx="4564">
                  <c:v>41821</c:v>
                </c:pt>
                <c:pt idx="4565">
                  <c:v>41822</c:v>
                </c:pt>
                <c:pt idx="4566">
                  <c:v>41823</c:v>
                </c:pt>
                <c:pt idx="4567">
                  <c:v>41824</c:v>
                </c:pt>
                <c:pt idx="4568">
                  <c:v>41825</c:v>
                </c:pt>
                <c:pt idx="4569">
                  <c:v>41826</c:v>
                </c:pt>
                <c:pt idx="4570">
                  <c:v>41827</c:v>
                </c:pt>
                <c:pt idx="4571">
                  <c:v>41828</c:v>
                </c:pt>
                <c:pt idx="4572">
                  <c:v>41829</c:v>
                </c:pt>
                <c:pt idx="4573">
                  <c:v>41830</c:v>
                </c:pt>
                <c:pt idx="4574">
                  <c:v>41831</c:v>
                </c:pt>
                <c:pt idx="4575">
                  <c:v>41832</c:v>
                </c:pt>
                <c:pt idx="4576">
                  <c:v>41833</c:v>
                </c:pt>
                <c:pt idx="4577">
                  <c:v>41834</c:v>
                </c:pt>
                <c:pt idx="4578">
                  <c:v>41835</c:v>
                </c:pt>
                <c:pt idx="4579">
                  <c:v>41836</c:v>
                </c:pt>
                <c:pt idx="4580">
                  <c:v>41837</c:v>
                </c:pt>
                <c:pt idx="4581">
                  <c:v>41838</c:v>
                </c:pt>
                <c:pt idx="4582">
                  <c:v>41839</c:v>
                </c:pt>
                <c:pt idx="4583">
                  <c:v>41840</c:v>
                </c:pt>
                <c:pt idx="4584">
                  <c:v>41841</c:v>
                </c:pt>
                <c:pt idx="4585">
                  <c:v>41842</c:v>
                </c:pt>
                <c:pt idx="4586">
                  <c:v>41843</c:v>
                </c:pt>
                <c:pt idx="4587">
                  <c:v>41844</c:v>
                </c:pt>
                <c:pt idx="4588">
                  <c:v>41845</c:v>
                </c:pt>
                <c:pt idx="4589">
                  <c:v>41846</c:v>
                </c:pt>
                <c:pt idx="4590">
                  <c:v>41847</c:v>
                </c:pt>
                <c:pt idx="4591">
                  <c:v>41848</c:v>
                </c:pt>
                <c:pt idx="4592">
                  <c:v>41849</c:v>
                </c:pt>
                <c:pt idx="4593">
                  <c:v>41850</c:v>
                </c:pt>
                <c:pt idx="4594">
                  <c:v>41851</c:v>
                </c:pt>
                <c:pt idx="4595">
                  <c:v>41852</c:v>
                </c:pt>
                <c:pt idx="4596">
                  <c:v>41853</c:v>
                </c:pt>
                <c:pt idx="4597">
                  <c:v>41854</c:v>
                </c:pt>
                <c:pt idx="4598">
                  <c:v>41855</c:v>
                </c:pt>
                <c:pt idx="4599">
                  <c:v>41856</c:v>
                </c:pt>
                <c:pt idx="4600">
                  <c:v>41857</c:v>
                </c:pt>
                <c:pt idx="4601">
                  <c:v>41858</c:v>
                </c:pt>
                <c:pt idx="4602">
                  <c:v>41859</c:v>
                </c:pt>
                <c:pt idx="4603">
                  <c:v>41860</c:v>
                </c:pt>
                <c:pt idx="4604">
                  <c:v>41861</c:v>
                </c:pt>
                <c:pt idx="4605">
                  <c:v>41862</c:v>
                </c:pt>
                <c:pt idx="4606">
                  <c:v>41863</c:v>
                </c:pt>
                <c:pt idx="4607">
                  <c:v>41864</c:v>
                </c:pt>
                <c:pt idx="4608">
                  <c:v>41865</c:v>
                </c:pt>
                <c:pt idx="4609">
                  <c:v>41866</c:v>
                </c:pt>
                <c:pt idx="4610">
                  <c:v>41867</c:v>
                </c:pt>
                <c:pt idx="4611">
                  <c:v>41868</c:v>
                </c:pt>
                <c:pt idx="4612">
                  <c:v>41869</c:v>
                </c:pt>
                <c:pt idx="4613">
                  <c:v>41870</c:v>
                </c:pt>
                <c:pt idx="4614">
                  <c:v>41871</c:v>
                </c:pt>
                <c:pt idx="4615">
                  <c:v>41872</c:v>
                </c:pt>
                <c:pt idx="4616">
                  <c:v>41873</c:v>
                </c:pt>
                <c:pt idx="4617">
                  <c:v>41874</c:v>
                </c:pt>
                <c:pt idx="4618">
                  <c:v>41875</c:v>
                </c:pt>
                <c:pt idx="4619">
                  <c:v>41876</c:v>
                </c:pt>
                <c:pt idx="4620">
                  <c:v>41877</c:v>
                </c:pt>
                <c:pt idx="4621">
                  <c:v>41878</c:v>
                </c:pt>
                <c:pt idx="4622">
                  <c:v>41879</c:v>
                </c:pt>
                <c:pt idx="4623">
                  <c:v>41880</c:v>
                </c:pt>
                <c:pt idx="4624">
                  <c:v>41881</c:v>
                </c:pt>
                <c:pt idx="4625">
                  <c:v>41882</c:v>
                </c:pt>
                <c:pt idx="4626">
                  <c:v>41883</c:v>
                </c:pt>
                <c:pt idx="4627">
                  <c:v>41884</c:v>
                </c:pt>
                <c:pt idx="4628">
                  <c:v>41885</c:v>
                </c:pt>
                <c:pt idx="4629">
                  <c:v>41886</c:v>
                </c:pt>
                <c:pt idx="4630">
                  <c:v>41887</c:v>
                </c:pt>
                <c:pt idx="4631">
                  <c:v>41888</c:v>
                </c:pt>
                <c:pt idx="4632">
                  <c:v>41889</c:v>
                </c:pt>
                <c:pt idx="4633">
                  <c:v>41890</c:v>
                </c:pt>
                <c:pt idx="4634">
                  <c:v>41891</c:v>
                </c:pt>
                <c:pt idx="4635">
                  <c:v>41892</c:v>
                </c:pt>
                <c:pt idx="4636">
                  <c:v>41893</c:v>
                </c:pt>
                <c:pt idx="4637">
                  <c:v>41894</c:v>
                </c:pt>
                <c:pt idx="4638">
                  <c:v>41895</c:v>
                </c:pt>
                <c:pt idx="4639">
                  <c:v>41896</c:v>
                </c:pt>
                <c:pt idx="4640">
                  <c:v>41897</c:v>
                </c:pt>
                <c:pt idx="4641">
                  <c:v>41898</c:v>
                </c:pt>
                <c:pt idx="4642">
                  <c:v>41899</c:v>
                </c:pt>
                <c:pt idx="4643">
                  <c:v>41900</c:v>
                </c:pt>
                <c:pt idx="4644">
                  <c:v>41901</c:v>
                </c:pt>
                <c:pt idx="4645">
                  <c:v>41902</c:v>
                </c:pt>
                <c:pt idx="4646">
                  <c:v>41903</c:v>
                </c:pt>
                <c:pt idx="4647">
                  <c:v>41904</c:v>
                </c:pt>
                <c:pt idx="4648">
                  <c:v>41905</c:v>
                </c:pt>
                <c:pt idx="4649">
                  <c:v>41906</c:v>
                </c:pt>
                <c:pt idx="4650">
                  <c:v>41907</c:v>
                </c:pt>
                <c:pt idx="4651">
                  <c:v>41908</c:v>
                </c:pt>
                <c:pt idx="4652">
                  <c:v>41909</c:v>
                </c:pt>
                <c:pt idx="4653">
                  <c:v>41910</c:v>
                </c:pt>
                <c:pt idx="4654">
                  <c:v>41911</c:v>
                </c:pt>
                <c:pt idx="4655">
                  <c:v>41912</c:v>
                </c:pt>
                <c:pt idx="4656">
                  <c:v>41913</c:v>
                </c:pt>
                <c:pt idx="4657">
                  <c:v>41914</c:v>
                </c:pt>
                <c:pt idx="4658">
                  <c:v>41915</c:v>
                </c:pt>
                <c:pt idx="4659">
                  <c:v>41916</c:v>
                </c:pt>
                <c:pt idx="4660">
                  <c:v>41917</c:v>
                </c:pt>
                <c:pt idx="4661">
                  <c:v>41918</c:v>
                </c:pt>
                <c:pt idx="4662">
                  <c:v>41919</c:v>
                </c:pt>
                <c:pt idx="4663">
                  <c:v>41920</c:v>
                </c:pt>
                <c:pt idx="4664">
                  <c:v>41921</c:v>
                </c:pt>
                <c:pt idx="4665">
                  <c:v>41922</c:v>
                </c:pt>
                <c:pt idx="4666">
                  <c:v>41923</c:v>
                </c:pt>
                <c:pt idx="4667">
                  <c:v>41924</c:v>
                </c:pt>
                <c:pt idx="4668">
                  <c:v>41925</c:v>
                </c:pt>
                <c:pt idx="4669">
                  <c:v>41926</c:v>
                </c:pt>
                <c:pt idx="4670">
                  <c:v>41927</c:v>
                </c:pt>
                <c:pt idx="4671">
                  <c:v>41928</c:v>
                </c:pt>
                <c:pt idx="4672">
                  <c:v>41929</c:v>
                </c:pt>
                <c:pt idx="4673">
                  <c:v>41930</c:v>
                </c:pt>
                <c:pt idx="4674">
                  <c:v>41931</c:v>
                </c:pt>
                <c:pt idx="4675">
                  <c:v>41932</c:v>
                </c:pt>
                <c:pt idx="4676">
                  <c:v>41933</c:v>
                </c:pt>
                <c:pt idx="4677">
                  <c:v>41934</c:v>
                </c:pt>
                <c:pt idx="4678">
                  <c:v>41935</c:v>
                </c:pt>
                <c:pt idx="4679">
                  <c:v>41936</c:v>
                </c:pt>
                <c:pt idx="4680">
                  <c:v>41937</c:v>
                </c:pt>
                <c:pt idx="4681">
                  <c:v>41938</c:v>
                </c:pt>
                <c:pt idx="4682">
                  <c:v>41939</c:v>
                </c:pt>
                <c:pt idx="4683">
                  <c:v>41940</c:v>
                </c:pt>
                <c:pt idx="4684">
                  <c:v>41941</c:v>
                </c:pt>
                <c:pt idx="4685">
                  <c:v>41942</c:v>
                </c:pt>
                <c:pt idx="4686">
                  <c:v>41943</c:v>
                </c:pt>
                <c:pt idx="4687">
                  <c:v>41944</c:v>
                </c:pt>
                <c:pt idx="4688">
                  <c:v>41945</c:v>
                </c:pt>
                <c:pt idx="4689">
                  <c:v>41946</c:v>
                </c:pt>
                <c:pt idx="4690">
                  <c:v>41947</c:v>
                </c:pt>
                <c:pt idx="4691">
                  <c:v>41948</c:v>
                </c:pt>
                <c:pt idx="4692">
                  <c:v>41949</c:v>
                </c:pt>
                <c:pt idx="4693">
                  <c:v>41950</c:v>
                </c:pt>
                <c:pt idx="4694">
                  <c:v>41951</c:v>
                </c:pt>
                <c:pt idx="4695">
                  <c:v>41952</c:v>
                </c:pt>
                <c:pt idx="4696">
                  <c:v>41953</c:v>
                </c:pt>
                <c:pt idx="4697">
                  <c:v>41954</c:v>
                </c:pt>
                <c:pt idx="4698">
                  <c:v>41955</c:v>
                </c:pt>
                <c:pt idx="4699">
                  <c:v>41956</c:v>
                </c:pt>
                <c:pt idx="4700">
                  <c:v>41957</c:v>
                </c:pt>
                <c:pt idx="4701">
                  <c:v>41958</c:v>
                </c:pt>
                <c:pt idx="4702">
                  <c:v>41959</c:v>
                </c:pt>
                <c:pt idx="4703">
                  <c:v>41960</c:v>
                </c:pt>
                <c:pt idx="4704">
                  <c:v>41961</c:v>
                </c:pt>
                <c:pt idx="4705">
                  <c:v>41962</c:v>
                </c:pt>
                <c:pt idx="4706">
                  <c:v>41963</c:v>
                </c:pt>
                <c:pt idx="4707">
                  <c:v>41964</c:v>
                </c:pt>
                <c:pt idx="4708">
                  <c:v>41965</c:v>
                </c:pt>
                <c:pt idx="4709">
                  <c:v>41966</c:v>
                </c:pt>
                <c:pt idx="4710">
                  <c:v>41967</c:v>
                </c:pt>
                <c:pt idx="4711">
                  <c:v>41968</c:v>
                </c:pt>
                <c:pt idx="4712">
                  <c:v>41969</c:v>
                </c:pt>
                <c:pt idx="4713">
                  <c:v>41970</c:v>
                </c:pt>
                <c:pt idx="4714">
                  <c:v>41971</c:v>
                </c:pt>
                <c:pt idx="4715">
                  <c:v>41972</c:v>
                </c:pt>
                <c:pt idx="4716">
                  <c:v>41973</c:v>
                </c:pt>
                <c:pt idx="4717">
                  <c:v>41974</c:v>
                </c:pt>
                <c:pt idx="4718">
                  <c:v>41975</c:v>
                </c:pt>
                <c:pt idx="4719">
                  <c:v>41976</c:v>
                </c:pt>
                <c:pt idx="4720">
                  <c:v>41977</c:v>
                </c:pt>
                <c:pt idx="4721">
                  <c:v>41978</c:v>
                </c:pt>
                <c:pt idx="4722">
                  <c:v>41979</c:v>
                </c:pt>
                <c:pt idx="4723">
                  <c:v>41980</c:v>
                </c:pt>
                <c:pt idx="4724">
                  <c:v>41981</c:v>
                </c:pt>
                <c:pt idx="4725">
                  <c:v>41982</c:v>
                </c:pt>
                <c:pt idx="4726">
                  <c:v>41983</c:v>
                </c:pt>
                <c:pt idx="4727">
                  <c:v>41984</c:v>
                </c:pt>
                <c:pt idx="4728">
                  <c:v>41985</c:v>
                </c:pt>
                <c:pt idx="4729">
                  <c:v>41986</c:v>
                </c:pt>
                <c:pt idx="4730">
                  <c:v>41987</c:v>
                </c:pt>
                <c:pt idx="4731">
                  <c:v>41988</c:v>
                </c:pt>
                <c:pt idx="4732">
                  <c:v>41989</c:v>
                </c:pt>
                <c:pt idx="4733">
                  <c:v>41990</c:v>
                </c:pt>
                <c:pt idx="4734">
                  <c:v>41991</c:v>
                </c:pt>
                <c:pt idx="4735">
                  <c:v>41992</c:v>
                </c:pt>
                <c:pt idx="4736">
                  <c:v>41993</c:v>
                </c:pt>
                <c:pt idx="4737">
                  <c:v>41994</c:v>
                </c:pt>
                <c:pt idx="4738">
                  <c:v>41995</c:v>
                </c:pt>
                <c:pt idx="4739">
                  <c:v>41996</c:v>
                </c:pt>
                <c:pt idx="4740">
                  <c:v>41997</c:v>
                </c:pt>
                <c:pt idx="4741">
                  <c:v>41998</c:v>
                </c:pt>
                <c:pt idx="4742">
                  <c:v>41999</c:v>
                </c:pt>
                <c:pt idx="4743">
                  <c:v>42000</c:v>
                </c:pt>
                <c:pt idx="4744">
                  <c:v>42001</c:v>
                </c:pt>
                <c:pt idx="4745">
                  <c:v>42002</c:v>
                </c:pt>
                <c:pt idx="4746">
                  <c:v>42003</c:v>
                </c:pt>
                <c:pt idx="4747">
                  <c:v>42004</c:v>
                </c:pt>
                <c:pt idx="4748">
                  <c:v>42005</c:v>
                </c:pt>
                <c:pt idx="4749">
                  <c:v>42006</c:v>
                </c:pt>
                <c:pt idx="4750">
                  <c:v>42007</c:v>
                </c:pt>
                <c:pt idx="4751">
                  <c:v>42008</c:v>
                </c:pt>
                <c:pt idx="4752">
                  <c:v>42009</c:v>
                </c:pt>
                <c:pt idx="4753">
                  <c:v>42010</c:v>
                </c:pt>
                <c:pt idx="4754">
                  <c:v>42011</c:v>
                </c:pt>
                <c:pt idx="4755">
                  <c:v>42012</c:v>
                </c:pt>
                <c:pt idx="4756">
                  <c:v>42013</c:v>
                </c:pt>
                <c:pt idx="4757">
                  <c:v>42014</c:v>
                </c:pt>
                <c:pt idx="4758">
                  <c:v>42015</c:v>
                </c:pt>
                <c:pt idx="4759">
                  <c:v>42016</c:v>
                </c:pt>
                <c:pt idx="4760">
                  <c:v>42017</c:v>
                </c:pt>
                <c:pt idx="4761">
                  <c:v>42018</c:v>
                </c:pt>
                <c:pt idx="4762">
                  <c:v>42019</c:v>
                </c:pt>
                <c:pt idx="4763">
                  <c:v>42020</c:v>
                </c:pt>
                <c:pt idx="4764">
                  <c:v>42021</c:v>
                </c:pt>
                <c:pt idx="4765">
                  <c:v>42022</c:v>
                </c:pt>
                <c:pt idx="4766">
                  <c:v>42023</c:v>
                </c:pt>
                <c:pt idx="4767">
                  <c:v>42024</c:v>
                </c:pt>
                <c:pt idx="4768">
                  <c:v>42025</c:v>
                </c:pt>
                <c:pt idx="4769">
                  <c:v>42026</c:v>
                </c:pt>
                <c:pt idx="4770">
                  <c:v>42027</c:v>
                </c:pt>
                <c:pt idx="4771">
                  <c:v>42028</c:v>
                </c:pt>
                <c:pt idx="4772">
                  <c:v>42029</c:v>
                </c:pt>
                <c:pt idx="4773">
                  <c:v>42030</c:v>
                </c:pt>
                <c:pt idx="4774">
                  <c:v>42031</c:v>
                </c:pt>
                <c:pt idx="4775">
                  <c:v>42032</c:v>
                </c:pt>
                <c:pt idx="4776">
                  <c:v>42033</c:v>
                </c:pt>
                <c:pt idx="4777">
                  <c:v>42034</c:v>
                </c:pt>
                <c:pt idx="4778">
                  <c:v>42035</c:v>
                </c:pt>
                <c:pt idx="4779">
                  <c:v>42036</c:v>
                </c:pt>
                <c:pt idx="4780">
                  <c:v>42037</c:v>
                </c:pt>
                <c:pt idx="4781">
                  <c:v>42038</c:v>
                </c:pt>
                <c:pt idx="4782">
                  <c:v>42039</c:v>
                </c:pt>
                <c:pt idx="4783">
                  <c:v>42040</c:v>
                </c:pt>
                <c:pt idx="4784">
                  <c:v>42041</c:v>
                </c:pt>
                <c:pt idx="4785">
                  <c:v>42042</c:v>
                </c:pt>
                <c:pt idx="4786">
                  <c:v>42043</c:v>
                </c:pt>
                <c:pt idx="4787">
                  <c:v>42044</c:v>
                </c:pt>
                <c:pt idx="4788">
                  <c:v>42045</c:v>
                </c:pt>
                <c:pt idx="4789">
                  <c:v>42046</c:v>
                </c:pt>
                <c:pt idx="4790">
                  <c:v>42047</c:v>
                </c:pt>
                <c:pt idx="4791">
                  <c:v>42048</c:v>
                </c:pt>
                <c:pt idx="4792">
                  <c:v>42049</c:v>
                </c:pt>
                <c:pt idx="4793">
                  <c:v>42050</c:v>
                </c:pt>
                <c:pt idx="4794">
                  <c:v>42051</c:v>
                </c:pt>
                <c:pt idx="4795">
                  <c:v>42052</c:v>
                </c:pt>
                <c:pt idx="4796">
                  <c:v>42053</c:v>
                </c:pt>
                <c:pt idx="4797">
                  <c:v>42054</c:v>
                </c:pt>
                <c:pt idx="4798">
                  <c:v>42055</c:v>
                </c:pt>
                <c:pt idx="4799">
                  <c:v>42056</c:v>
                </c:pt>
                <c:pt idx="4800">
                  <c:v>42057</c:v>
                </c:pt>
                <c:pt idx="4801">
                  <c:v>42058</c:v>
                </c:pt>
                <c:pt idx="4802">
                  <c:v>42059</c:v>
                </c:pt>
                <c:pt idx="4803">
                  <c:v>42060</c:v>
                </c:pt>
                <c:pt idx="4804">
                  <c:v>42061</c:v>
                </c:pt>
                <c:pt idx="4805">
                  <c:v>42062</c:v>
                </c:pt>
                <c:pt idx="4806">
                  <c:v>42063</c:v>
                </c:pt>
                <c:pt idx="4807">
                  <c:v>42064</c:v>
                </c:pt>
                <c:pt idx="4808">
                  <c:v>42065</c:v>
                </c:pt>
                <c:pt idx="4809">
                  <c:v>42066</c:v>
                </c:pt>
                <c:pt idx="4810">
                  <c:v>42067</c:v>
                </c:pt>
                <c:pt idx="4811">
                  <c:v>42068</c:v>
                </c:pt>
                <c:pt idx="4812">
                  <c:v>42069</c:v>
                </c:pt>
                <c:pt idx="4813">
                  <c:v>42070</c:v>
                </c:pt>
                <c:pt idx="4814">
                  <c:v>42071</c:v>
                </c:pt>
                <c:pt idx="4815">
                  <c:v>42072</c:v>
                </c:pt>
                <c:pt idx="4816">
                  <c:v>42073</c:v>
                </c:pt>
                <c:pt idx="4817">
                  <c:v>42074</c:v>
                </c:pt>
                <c:pt idx="4818">
                  <c:v>42075</c:v>
                </c:pt>
                <c:pt idx="4819">
                  <c:v>42076</c:v>
                </c:pt>
                <c:pt idx="4820">
                  <c:v>42077</c:v>
                </c:pt>
                <c:pt idx="4821">
                  <c:v>42078</c:v>
                </c:pt>
                <c:pt idx="4822">
                  <c:v>42079</c:v>
                </c:pt>
                <c:pt idx="4823">
                  <c:v>42080</c:v>
                </c:pt>
                <c:pt idx="4824">
                  <c:v>42081</c:v>
                </c:pt>
                <c:pt idx="4825">
                  <c:v>42082</c:v>
                </c:pt>
                <c:pt idx="4826">
                  <c:v>42083</c:v>
                </c:pt>
                <c:pt idx="4827">
                  <c:v>42084</c:v>
                </c:pt>
                <c:pt idx="4828">
                  <c:v>42085</c:v>
                </c:pt>
                <c:pt idx="4829">
                  <c:v>42086</c:v>
                </c:pt>
                <c:pt idx="4830">
                  <c:v>42087</c:v>
                </c:pt>
                <c:pt idx="4831">
                  <c:v>42088</c:v>
                </c:pt>
                <c:pt idx="4832">
                  <c:v>42089</c:v>
                </c:pt>
                <c:pt idx="4833">
                  <c:v>42090</c:v>
                </c:pt>
                <c:pt idx="4834">
                  <c:v>42091</c:v>
                </c:pt>
                <c:pt idx="4835">
                  <c:v>42092</c:v>
                </c:pt>
                <c:pt idx="4836">
                  <c:v>42093</c:v>
                </c:pt>
                <c:pt idx="4837">
                  <c:v>42094</c:v>
                </c:pt>
                <c:pt idx="4838">
                  <c:v>42095</c:v>
                </c:pt>
                <c:pt idx="4839">
                  <c:v>42096</c:v>
                </c:pt>
                <c:pt idx="4840">
                  <c:v>42097</c:v>
                </c:pt>
                <c:pt idx="4841">
                  <c:v>42098</c:v>
                </c:pt>
                <c:pt idx="4842">
                  <c:v>42099</c:v>
                </c:pt>
                <c:pt idx="4843">
                  <c:v>42100</c:v>
                </c:pt>
                <c:pt idx="4844">
                  <c:v>42101</c:v>
                </c:pt>
                <c:pt idx="4845">
                  <c:v>42102</c:v>
                </c:pt>
                <c:pt idx="4846">
                  <c:v>42103</c:v>
                </c:pt>
                <c:pt idx="4847">
                  <c:v>42104</c:v>
                </c:pt>
                <c:pt idx="4848">
                  <c:v>42105</c:v>
                </c:pt>
                <c:pt idx="4849">
                  <c:v>42106</c:v>
                </c:pt>
                <c:pt idx="4850">
                  <c:v>42107</c:v>
                </c:pt>
                <c:pt idx="4851">
                  <c:v>42108</c:v>
                </c:pt>
                <c:pt idx="4852">
                  <c:v>42109</c:v>
                </c:pt>
                <c:pt idx="4853">
                  <c:v>42110</c:v>
                </c:pt>
                <c:pt idx="4854">
                  <c:v>42111</c:v>
                </c:pt>
                <c:pt idx="4855">
                  <c:v>42112</c:v>
                </c:pt>
                <c:pt idx="4856">
                  <c:v>42113</c:v>
                </c:pt>
                <c:pt idx="4857">
                  <c:v>42114</c:v>
                </c:pt>
                <c:pt idx="4858">
                  <c:v>42115</c:v>
                </c:pt>
                <c:pt idx="4859">
                  <c:v>42116</c:v>
                </c:pt>
                <c:pt idx="4860">
                  <c:v>42117</c:v>
                </c:pt>
                <c:pt idx="4861">
                  <c:v>42118</c:v>
                </c:pt>
                <c:pt idx="4862">
                  <c:v>42119</c:v>
                </c:pt>
                <c:pt idx="4863">
                  <c:v>42120</c:v>
                </c:pt>
                <c:pt idx="4864">
                  <c:v>42121</c:v>
                </c:pt>
                <c:pt idx="4865">
                  <c:v>42122</c:v>
                </c:pt>
                <c:pt idx="4866">
                  <c:v>42123</c:v>
                </c:pt>
                <c:pt idx="4867">
                  <c:v>42124</c:v>
                </c:pt>
                <c:pt idx="4868">
                  <c:v>42125</c:v>
                </c:pt>
                <c:pt idx="4869">
                  <c:v>42126</c:v>
                </c:pt>
                <c:pt idx="4870">
                  <c:v>42127</c:v>
                </c:pt>
                <c:pt idx="4871">
                  <c:v>42128</c:v>
                </c:pt>
                <c:pt idx="4872">
                  <c:v>42129</c:v>
                </c:pt>
                <c:pt idx="4873">
                  <c:v>42130</c:v>
                </c:pt>
                <c:pt idx="4874">
                  <c:v>42131</c:v>
                </c:pt>
                <c:pt idx="4875">
                  <c:v>42132</c:v>
                </c:pt>
                <c:pt idx="4876">
                  <c:v>42133</c:v>
                </c:pt>
                <c:pt idx="4877">
                  <c:v>42134</c:v>
                </c:pt>
                <c:pt idx="4878">
                  <c:v>42135</c:v>
                </c:pt>
                <c:pt idx="4879">
                  <c:v>42136</c:v>
                </c:pt>
                <c:pt idx="4880">
                  <c:v>42137</c:v>
                </c:pt>
                <c:pt idx="4881">
                  <c:v>42138</c:v>
                </c:pt>
                <c:pt idx="4882">
                  <c:v>42139</c:v>
                </c:pt>
                <c:pt idx="4883">
                  <c:v>42140</c:v>
                </c:pt>
                <c:pt idx="4884">
                  <c:v>42141</c:v>
                </c:pt>
                <c:pt idx="4885">
                  <c:v>42142</c:v>
                </c:pt>
                <c:pt idx="4886">
                  <c:v>42143</c:v>
                </c:pt>
                <c:pt idx="4887">
                  <c:v>42144</c:v>
                </c:pt>
                <c:pt idx="4888">
                  <c:v>42145</c:v>
                </c:pt>
                <c:pt idx="4889">
                  <c:v>42146</c:v>
                </c:pt>
                <c:pt idx="4890">
                  <c:v>42147</c:v>
                </c:pt>
                <c:pt idx="4891">
                  <c:v>42148</c:v>
                </c:pt>
                <c:pt idx="4892">
                  <c:v>42149</c:v>
                </c:pt>
                <c:pt idx="4893">
                  <c:v>42150</c:v>
                </c:pt>
                <c:pt idx="4894">
                  <c:v>42151</c:v>
                </c:pt>
                <c:pt idx="4895">
                  <c:v>42152</c:v>
                </c:pt>
                <c:pt idx="4896">
                  <c:v>42153</c:v>
                </c:pt>
                <c:pt idx="4897">
                  <c:v>42154</c:v>
                </c:pt>
                <c:pt idx="4898">
                  <c:v>42155</c:v>
                </c:pt>
                <c:pt idx="4899">
                  <c:v>42156</c:v>
                </c:pt>
                <c:pt idx="4900">
                  <c:v>42157</c:v>
                </c:pt>
                <c:pt idx="4901">
                  <c:v>42158</c:v>
                </c:pt>
                <c:pt idx="4902">
                  <c:v>42159</c:v>
                </c:pt>
                <c:pt idx="4903">
                  <c:v>42160</c:v>
                </c:pt>
                <c:pt idx="4904">
                  <c:v>42161</c:v>
                </c:pt>
                <c:pt idx="4905">
                  <c:v>42162</c:v>
                </c:pt>
                <c:pt idx="4906">
                  <c:v>42163</c:v>
                </c:pt>
                <c:pt idx="4907">
                  <c:v>42164</c:v>
                </c:pt>
                <c:pt idx="4908">
                  <c:v>42165</c:v>
                </c:pt>
                <c:pt idx="4909">
                  <c:v>42166</c:v>
                </c:pt>
                <c:pt idx="4910">
                  <c:v>42167</c:v>
                </c:pt>
                <c:pt idx="4911">
                  <c:v>42168</c:v>
                </c:pt>
                <c:pt idx="4912">
                  <c:v>42169</c:v>
                </c:pt>
                <c:pt idx="4913">
                  <c:v>42170</c:v>
                </c:pt>
                <c:pt idx="4914">
                  <c:v>42171</c:v>
                </c:pt>
                <c:pt idx="4915">
                  <c:v>42172</c:v>
                </c:pt>
                <c:pt idx="4916">
                  <c:v>42173</c:v>
                </c:pt>
                <c:pt idx="4917">
                  <c:v>42174</c:v>
                </c:pt>
                <c:pt idx="4918">
                  <c:v>42175</c:v>
                </c:pt>
                <c:pt idx="4919">
                  <c:v>42176</c:v>
                </c:pt>
                <c:pt idx="4920">
                  <c:v>42177</c:v>
                </c:pt>
                <c:pt idx="4921">
                  <c:v>42178</c:v>
                </c:pt>
                <c:pt idx="4922">
                  <c:v>42179</c:v>
                </c:pt>
                <c:pt idx="4923">
                  <c:v>42180</c:v>
                </c:pt>
                <c:pt idx="4924">
                  <c:v>42181</c:v>
                </c:pt>
                <c:pt idx="4925">
                  <c:v>42182</c:v>
                </c:pt>
                <c:pt idx="4926">
                  <c:v>42183</c:v>
                </c:pt>
                <c:pt idx="4927">
                  <c:v>42184</c:v>
                </c:pt>
                <c:pt idx="4928">
                  <c:v>42185</c:v>
                </c:pt>
                <c:pt idx="4929">
                  <c:v>42186</c:v>
                </c:pt>
                <c:pt idx="4930">
                  <c:v>42187</c:v>
                </c:pt>
                <c:pt idx="4931">
                  <c:v>42188</c:v>
                </c:pt>
                <c:pt idx="4932">
                  <c:v>42189</c:v>
                </c:pt>
                <c:pt idx="4933">
                  <c:v>42190</c:v>
                </c:pt>
                <c:pt idx="4934">
                  <c:v>42191</c:v>
                </c:pt>
                <c:pt idx="4935">
                  <c:v>42192</c:v>
                </c:pt>
                <c:pt idx="4936">
                  <c:v>42193</c:v>
                </c:pt>
                <c:pt idx="4937">
                  <c:v>42194</c:v>
                </c:pt>
                <c:pt idx="4938">
                  <c:v>42195</c:v>
                </c:pt>
                <c:pt idx="4939">
                  <c:v>42196</c:v>
                </c:pt>
                <c:pt idx="4940">
                  <c:v>42197</c:v>
                </c:pt>
                <c:pt idx="4941">
                  <c:v>42198</c:v>
                </c:pt>
                <c:pt idx="4942">
                  <c:v>42199</c:v>
                </c:pt>
                <c:pt idx="4943">
                  <c:v>42200</c:v>
                </c:pt>
                <c:pt idx="4944">
                  <c:v>42201</c:v>
                </c:pt>
                <c:pt idx="4945">
                  <c:v>42202</c:v>
                </c:pt>
                <c:pt idx="4946">
                  <c:v>42203</c:v>
                </c:pt>
                <c:pt idx="4947">
                  <c:v>42204</c:v>
                </c:pt>
                <c:pt idx="4948">
                  <c:v>42205</c:v>
                </c:pt>
                <c:pt idx="4949">
                  <c:v>42206</c:v>
                </c:pt>
                <c:pt idx="4950">
                  <c:v>42207</c:v>
                </c:pt>
                <c:pt idx="4951">
                  <c:v>42208</c:v>
                </c:pt>
                <c:pt idx="4952">
                  <c:v>42209</c:v>
                </c:pt>
                <c:pt idx="4953">
                  <c:v>42210</c:v>
                </c:pt>
                <c:pt idx="4954">
                  <c:v>42211</c:v>
                </c:pt>
                <c:pt idx="4955">
                  <c:v>42212</c:v>
                </c:pt>
                <c:pt idx="4956">
                  <c:v>42213</c:v>
                </c:pt>
                <c:pt idx="4957">
                  <c:v>42214</c:v>
                </c:pt>
                <c:pt idx="4958">
                  <c:v>42215</c:v>
                </c:pt>
                <c:pt idx="4959">
                  <c:v>42216</c:v>
                </c:pt>
                <c:pt idx="4960">
                  <c:v>42217</c:v>
                </c:pt>
                <c:pt idx="4961">
                  <c:v>42218</c:v>
                </c:pt>
                <c:pt idx="4962">
                  <c:v>42219</c:v>
                </c:pt>
                <c:pt idx="4963">
                  <c:v>42220</c:v>
                </c:pt>
                <c:pt idx="4964">
                  <c:v>42221</c:v>
                </c:pt>
                <c:pt idx="4965">
                  <c:v>42222</c:v>
                </c:pt>
                <c:pt idx="4966">
                  <c:v>42223</c:v>
                </c:pt>
                <c:pt idx="4967">
                  <c:v>42224</c:v>
                </c:pt>
                <c:pt idx="4968">
                  <c:v>42225</c:v>
                </c:pt>
                <c:pt idx="4969">
                  <c:v>42226</c:v>
                </c:pt>
                <c:pt idx="4970">
                  <c:v>42227</c:v>
                </c:pt>
                <c:pt idx="4971">
                  <c:v>42228</c:v>
                </c:pt>
                <c:pt idx="4972">
                  <c:v>42229</c:v>
                </c:pt>
                <c:pt idx="4973">
                  <c:v>42230</c:v>
                </c:pt>
                <c:pt idx="4974">
                  <c:v>42231</c:v>
                </c:pt>
                <c:pt idx="4975">
                  <c:v>42232</c:v>
                </c:pt>
                <c:pt idx="4976">
                  <c:v>42233</c:v>
                </c:pt>
                <c:pt idx="4977">
                  <c:v>42234</c:v>
                </c:pt>
                <c:pt idx="4978">
                  <c:v>42235</c:v>
                </c:pt>
                <c:pt idx="4979">
                  <c:v>42236</c:v>
                </c:pt>
                <c:pt idx="4980">
                  <c:v>42237</c:v>
                </c:pt>
                <c:pt idx="4981">
                  <c:v>42238</c:v>
                </c:pt>
                <c:pt idx="4982">
                  <c:v>42239</c:v>
                </c:pt>
                <c:pt idx="4983">
                  <c:v>42240</c:v>
                </c:pt>
                <c:pt idx="4984">
                  <c:v>42241</c:v>
                </c:pt>
                <c:pt idx="4985">
                  <c:v>42242</c:v>
                </c:pt>
                <c:pt idx="4986">
                  <c:v>42243</c:v>
                </c:pt>
                <c:pt idx="4987">
                  <c:v>42244</c:v>
                </c:pt>
                <c:pt idx="4988">
                  <c:v>42245</c:v>
                </c:pt>
                <c:pt idx="4989">
                  <c:v>42246</c:v>
                </c:pt>
                <c:pt idx="4990">
                  <c:v>42247</c:v>
                </c:pt>
                <c:pt idx="4991">
                  <c:v>42248</c:v>
                </c:pt>
                <c:pt idx="4992">
                  <c:v>42249</c:v>
                </c:pt>
                <c:pt idx="4993">
                  <c:v>42250</c:v>
                </c:pt>
                <c:pt idx="4994">
                  <c:v>42251</c:v>
                </c:pt>
                <c:pt idx="4995">
                  <c:v>42252</c:v>
                </c:pt>
                <c:pt idx="4996">
                  <c:v>42253</c:v>
                </c:pt>
                <c:pt idx="4997">
                  <c:v>42254</c:v>
                </c:pt>
                <c:pt idx="4998">
                  <c:v>42255</c:v>
                </c:pt>
                <c:pt idx="4999">
                  <c:v>42256</c:v>
                </c:pt>
                <c:pt idx="5000">
                  <c:v>42257</c:v>
                </c:pt>
                <c:pt idx="5001">
                  <c:v>42258</c:v>
                </c:pt>
                <c:pt idx="5002">
                  <c:v>42259</c:v>
                </c:pt>
                <c:pt idx="5003">
                  <c:v>42260</c:v>
                </c:pt>
                <c:pt idx="5004">
                  <c:v>42261</c:v>
                </c:pt>
                <c:pt idx="5005">
                  <c:v>42262</c:v>
                </c:pt>
                <c:pt idx="5006">
                  <c:v>42263</c:v>
                </c:pt>
                <c:pt idx="5007">
                  <c:v>42264</c:v>
                </c:pt>
                <c:pt idx="5008">
                  <c:v>42265</c:v>
                </c:pt>
                <c:pt idx="5009">
                  <c:v>42266</c:v>
                </c:pt>
                <c:pt idx="5010">
                  <c:v>42267</c:v>
                </c:pt>
                <c:pt idx="5011">
                  <c:v>42268</c:v>
                </c:pt>
                <c:pt idx="5012">
                  <c:v>42269</c:v>
                </c:pt>
                <c:pt idx="5013">
                  <c:v>42270</c:v>
                </c:pt>
                <c:pt idx="5014">
                  <c:v>42271</c:v>
                </c:pt>
                <c:pt idx="5015">
                  <c:v>42272</c:v>
                </c:pt>
                <c:pt idx="5016">
                  <c:v>42273</c:v>
                </c:pt>
                <c:pt idx="5017">
                  <c:v>42274</c:v>
                </c:pt>
                <c:pt idx="5018">
                  <c:v>42275</c:v>
                </c:pt>
                <c:pt idx="5019">
                  <c:v>42276</c:v>
                </c:pt>
                <c:pt idx="5020">
                  <c:v>42277</c:v>
                </c:pt>
                <c:pt idx="5021">
                  <c:v>42278</c:v>
                </c:pt>
                <c:pt idx="5022">
                  <c:v>42279</c:v>
                </c:pt>
                <c:pt idx="5023">
                  <c:v>42280</c:v>
                </c:pt>
                <c:pt idx="5024">
                  <c:v>42281</c:v>
                </c:pt>
                <c:pt idx="5025">
                  <c:v>42282</c:v>
                </c:pt>
                <c:pt idx="5026">
                  <c:v>42283</c:v>
                </c:pt>
                <c:pt idx="5027">
                  <c:v>42284</c:v>
                </c:pt>
                <c:pt idx="5028">
                  <c:v>42285</c:v>
                </c:pt>
                <c:pt idx="5029">
                  <c:v>42286</c:v>
                </c:pt>
                <c:pt idx="5030">
                  <c:v>42287</c:v>
                </c:pt>
                <c:pt idx="5031">
                  <c:v>42288</c:v>
                </c:pt>
                <c:pt idx="5032">
                  <c:v>42289</c:v>
                </c:pt>
                <c:pt idx="5033">
                  <c:v>42290</c:v>
                </c:pt>
                <c:pt idx="5034">
                  <c:v>42291</c:v>
                </c:pt>
                <c:pt idx="5035">
                  <c:v>42292</c:v>
                </c:pt>
                <c:pt idx="5036">
                  <c:v>42293</c:v>
                </c:pt>
                <c:pt idx="5037">
                  <c:v>42294</c:v>
                </c:pt>
                <c:pt idx="5038">
                  <c:v>42295</c:v>
                </c:pt>
                <c:pt idx="5039">
                  <c:v>42296</c:v>
                </c:pt>
                <c:pt idx="5040">
                  <c:v>42297</c:v>
                </c:pt>
                <c:pt idx="5041">
                  <c:v>42298</c:v>
                </c:pt>
                <c:pt idx="5042">
                  <c:v>42299</c:v>
                </c:pt>
                <c:pt idx="5043">
                  <c:v>42300</c:v>
                </c:pt>
                <c:pt idx="5044">
                  <c:v>42301</c:v>
                </c:pt>
                <c:pt idx="5045">
                  <c:v>42302</c:v>
                </c:pt>
                <c:pt idx="5046">
                  <c:v>42303</c:v>
                </c:pt>
                <c:pt idx="5047">
                  <c:v>42304</c:v>
                </c:pt>
                <c:pt idx="5048">
                  <c:v>42305</c:v>
                </c:pt>
                <c:pt idx="5049">
                  <c:v>42306</c:v>
                </c:pt>
                <c:pt idx="5050">
                  <c:v>42307</c:v>
                </c:pt>
                <c:pt idx="5051">
                  <c:v>42308</c:v>
                </c:pt>
                <c:pt idx="5052">
                  <c:v>42309</c:v>
                </c:pt>
                <c:pt idx="5053">
                  <c:v>42310</c:v>
                </c:pt>
                <c:pt idx="5054">
                  <c:v>42311</c:v>
                </c:pt>
                <c:pt idx="5055">
                  <c:v>42312</c:v>
                </c:pt>
                <c:pt idx="5056">
                  <c:v>42313</c:v>
                </c:pt>
                <c:pt idx="5057">
                  <c:v>42314</c:v>
                </c:pt>
                <c:pt idx="5058">
                  <c:v>42315</c:v>
                </c:pt>
                <c:pt idx="5059">
                  <c:v>42316</c:v>
                </c:pt>
                <c:pt idx="5060">
                  <c:v>42317</c:v>
                </c:pt>
                <c:pt idx="5061">
                  <c:v>42318</c:v>
                </c:pt>
                <c:pt idx="5062">
                  <c:v>42319</c:v>
                </c:pt>
                <c:pt idx="5063">
                  <c:v>42320</c:v>
                </c:pt>
                <c:pt idx="5064">
                  <c:v>42321</c:v>
                </c:pt>
                <c:pt idx="5065">
                  <c:v>42322</c:v>
                </c:pt>
                <c:pt idx="5066">
                  <c:v>42323</c:v>
                </c:pt>
                <c:pt idx="5067">
                  <c:v>42324</c:v>
                </c:pt>
                <c:pt idx="5068">
                  <c:v>42325</c:v>
                </c:pt>
                <c:pt idx="5069">
                  <c:v>42326</c:v>
                </c:pt>
                <c:pt idx="5070">
                  <c:v>42327</c:v>
                </c:pt>
                <c:pt idx="5071">
                  <c:v>42328</c:v>
                </c:pt>
                <c:pt idx="5072">
                  <c:v>42329</c:v>
                </c:pt>
                <c:pt idx="5073">
                  <c:v>42330</c:v>
                </c:pt>
                <c:pt idx="5074">
                  <c:v>42331</c:v>
                </c:pt>
                <c:pt idx="5075">
                  <c:v>42332</c:v>
                </c:pt>
                <c:pt idx="5076">
                  <c:v>42333</c:v>
                </c:pt>
                <c:pt idx="5077">
                  <c:v>42334</c:v>
                </c:pt>
                <c:pt idx="5078">
                  <c:v>42335</c:v>
                </c:pt>
                <c:pt idx="5079">
                  <c:v>42336</c:v>
                </c:pt>
                <c:pt idx="5080">
                  <c:v>42337</c:v>
                </c:pt>
                <c:pt idx="5081">
                  <c:v>42338</c:v>
                </c:pt>
                <c:pt idx="5082">
                  <c:v>42339</c:v>
                </c:pt>
                <c:pt idx="5083">
                  <c:v>42340</c:v>
                </c:pt>
                <c:pt idx="5084">
                  <c:v>42341</c:v>
                </c:pt>
                <c:pt idx="5085">
                  <c:v>42342</c:v>
                </c:pt>
                <c:pt idx="5086">
                  <c:v>42343</c:v>
                </c:pt>
                <c:pt idx="5087">
                  <c:v>42344</c:v>
                </c:pt>
                <c:pt idx="5088">
                  <c:v>42345</c:v>
                </c:pt>
                <c:pt idx="5089">
                  <c:v>42346</c:v>
                </c:pt>
                <c:pt idx="5090">
                  <c:v>42347</c:v>
                </c:pt>
                <c:pt idx="5091">
                  <c:v>42348</c:v>
                </c:pt>
                <c:pt idx="5092">
                  <c:v>42349</c:v>
                </c:pt>
                <c:pt idx="5093">
                  <c:v>42350</c:v>
                </c:pt>
                <c:pt idx="5094">
                  <c:v>42351</c:v>
                </c:pt>
                <c:pt idx="5095">
                  <c:v>42352</c:v>
                </c:pt>
                <c:pt idx="5096">
                  <c:v>42353</c:v>
                </c:pt>
                <c:pt idx="5097">
                  <c:v>42354</c:v>
                </c:pt>
                <c:pt idx="5098">
                  <c:v>42355</c:v>
                </c:pt>
                <c:pt idx="5099">
                  <c:v>42356</c:v>
                </c:pt>
                <c:pt idx="5100">
                  <c:v>42357</c:v>
                </c:pt>
                <c:pt idx="5101">
                  <c:v>42358</c:v>
                </c:pt>
                <c:pt idx="5102">
                  <c:v>42359</c:v>
                </c:pt>
                <c:pt idx="5103">
                  <c:v>42360</c:v>
                </c:pt>
                <c:pt idx="5104">
                  <c:v>42361</c:v>
                </c:pt>
                <c:pt idx="5105">
                  <c:v>42362</c:v>
                </c:pt>
                <c:pt idx="5106">
                  <c:v>42363</c:v>
                </c:pt>
                <c:pt idx="5107">
                  <c:v>42364</c:v>
                </c:pt>
                <c:pt idx="5108">
                  <c:v>42365</c:v>
                </c:pt>
                <c:pt idx="5109">
                  <c:v>42366</c:v>
                </c:pt>
                <c:pt idx="5110">
                  <c:v>42367</c:v>
                </c:pt>
                <c:pt idx="5111">
                  <c:v>42368</c:v>
                </c:pt>
                <c:pt idx="5112">
                  <c:v>42369</c:v>
                </c:pt>
                <c:pt idx="5113">
                  <c:v>42370</c:v>
                </c:pt>
                <c:pt idx="5114">
                  <c:v>42371</c:v>
                </c:pt>
                <c:pt idx="5115">
                  <c:v>42372</c:v>
                </c:pt>
                <c:pt idx="5116">
                  <c:v>42373</c:v>
                </c:pt>
                <c:pt idx="5117">
                  <c:v>42374</c:v>
                </c:pt>
                <c:pt idx="5118">
                  <c:v>42375</c:v>
                </c:pt>
                <c:pt idx="5119">
                  <c:v>42376</c:v>
                </c:pt>
                <c:pt idx="5120">
                  <c:v>42377</c:v>
                </c:pt>
                <c:pt idx="5121">
                  <c:v>42378</c:v>
                </c:pt>
                <c:pt idx="5122">
                  <c:v>42379</c:v>
                </c:pt>
                <c:pt idx="5123">
                  <c:v>42380</c:v>
                </c:pt>
                <c:pt idx="5124">
                  <c:v>42381</c:v>
                </c:pt>
                <c:pt idx="5125">
                  <c:v>42382</c:v>
                </c:pt>
                <c:pt idx="5126">
                  <c:v>42383</c:v>
                </c:pt>
                <c:pt idx="5127">
                  <c:v>42384</c:v>
                </c:pt>
                <c:pt idx="5128">
                  <c:v>42385</c:v>
                </c:pt>
                <c:pt idx="5129">
                  <c:v>42386</c:v>
                </c:pt>
                <c:pt idx="5130">
                  <c:v>42387</c:v>
                </c:pt>
                <c:pt idx="5131">
                  <c:v>42388</c:v>
                </c:pt>
                <c:pt idx="5132">
                  <c:v>42389</c:v>
                </c:pt>
                <c:pt idx="5133">
                  <c:v>42390</c:v>
                </c:pt>
                <c:pt idx="5134">
                  <c:v>42391</c:v>
                </c:pt>
                <c:pt idx="5135">
                  <c:v>42392</c:v>
                </c:pt>
                <c:pt idx="5136">
                  <c:v>42393</c:v>
                </c:pt>
                <c:pt idx="5137">
                  <c:v>42394</c:v>
                </c:pt>
                <c:pt idx="5138">
                  <c:v>42395</c:v>
                </c:pt>
                <c:pt idx="5139">
                  <c:v>42396</c:v>
                </c:pt>
                <c:pt idx="5140">
                  <c:v>42397</c:v>
                </c:pt>
                <c:pt idx="5141">
                  <c:v>42398</c:v>
                </c:pt>
                <c:pt idx="5142">
                  <c:v>42399</c:v>
                </c:pt>
                <c:pt idx="5143">
                  <c:v>42400</c:v>
                </c:pt>
                <c:pt idx="5144">
                  <c:v>42401</c:v>
                </c:pt>
                <c:pt idx="5145">
                  <c:v>42402</c:v>
                </c:pt>
                <c:pt idx="5146">
                  <c:v>42403</c:v>
                </c:pt>
                <c:pt idx="5147">
                  <c:v>42404</c:v>
                </c:pt>
                <c:pt idx="5148">
                  <c:v>42405</c:v>
                </c:pt>
                <c:pt idx="5149">
                  <c:v>42406</c:v>
                </c:pt>
                <c:pt idx="5150">
                  <c:v>42407</c:v>
                </c:pt>
                <c:pt idx="5151">
                  <c:v>42408</c:v>
                </c:pt>
                <c:pt idx="5152">
                  <c:v>42409</c:v>
                </c:pt>
                <c:pt idx="5153">
                  <c:v>42410</c:v>
                </c:pt>
                <c:pt idx="5154">
                  <c:v>42411</c:v>
                </c:pt>
                <c:pt idx="5155">
                  <c:v>42412</c:v>
                </c:pt>
                <c:pt idx="5156">
                  <c:v>42413</c:v>
                </c:pt>
                <c:pt idx="5157">
                  <c:v>42414</c:v>
                </c:pt>
                <c:pt idx="5158">
                  <c:v>42415</c:v>
                </c:pt>
                <c:pt idx="5159">
                  <c:v>42416</c:v>
                </c:pt>
                <c:pt idx="5160">
                  <c:v>42417</c:v>
                </c:pt>
                <c:pt idx="5161">
                  <c:v>42418</c:v>
                </c:pt>
                <c:pt idx="5162">
                  <c:v>42419</c:v>
                </c:pt>
                <c:pt idx="5163">
                  <c:v>42420</c:v>
                </c:pt>
                <c:pt idx="5164">
                  <c:v>42421</c:v>
                </c:pt>
                <c:pt idx="5165">
                  <c:v>42422</c:v>
                </c:pt>
                <c:pt idx="5166">
                  <c:v>42423</c:v>
                </c:pt>
                <c:pt idx="5167">
                  <c:v>42424</c:v>
                </c:pt>
                <c:pt idx="5168">
                  <c:v>42425</c:v>
                </c:pt>
                <c:pt idx="5169">
                  <c:v>42426</c:v>
                </c:pt>
                <c:pt idx="5170">
                  <c:v>42427</c:v>
                </c:pt>
                <c:pt idx="5171">
                  <c:v>42428</c:v>
                </c:pt>
                <c:pt idx="5172">
                  <c:v>42429</c:v>
                </c:pt>
                <c:pt idx="5173">
                  <c:v>42430</c:v>
                </c:pt>
                <c:pt idx="5174">
                  <c:v>42431</c:v>
                </c:pt>
                <c:pt idx="5175">
                  <c:v>42432</c:v>
                </c:pt>
                <c:pt idx="5176">
                  <c:v>42433</c:v>
                </c:pt>
                <c:pt idx="5177">
                  <c:v>42434</c:v>
                </c:pt>
                <c:pt idx="5178">
                  <c:v>42435</c:v>
                </c:pt>
                <c:pt idx="5179">
                  <c:v>42436</c:v>
                </c:pt>
                <c:pt idx="5180">
                  <c:v>42437</c:v>
                </c:pt>
                <c:pt idx="5181">
                  <c:v>42438</c:v>
                </c:pt>
                <c:pt idx="5182">
                  <c:v>42439</c:v>
                </c:pt>
                <c:pt idx="5183">
                  <c:v>42440</c:v>
                </c:pt>
                <c:pt idx="5184">
                  <c:v>42441</c:v>
                </c:pt>
                <c:pt idx="5185">
                  <c:v>42442</c:v>
                </c:pt>
                <c:pt idx="5186">
                  <c:v>42443</c:v>
                </c:pt>
                <c:pt idx="5187">
                  <c:v>42444</c:v>
                </c:pt>
                <c:pt idx="5188">
                  <c:v>42445</c:v>
                </c:pt>
                <c:pt idx="5189">
                  <c:v>42446</c:v>
                </c:pt>
                <c:pt idx="5190">
                  <c:v>42447</c:v>
                </c:pt>
                <c:pt idx="5191">
                  <c:v>42448</c:v>
                </c:pt>
                <c:pt idx="5192">
                  <c:v>42449</c:v>
                </c:pt>
                <c:pt idx="5193">
                  <c:v>42450</c:v>
                </c:pt>
                <c:pt idx="5194">
                  <c:v>42451</c:v>
                </c:pt>
                <c:pt idx="5195">
                  <c:v>42452</c:v>
                </c:pt>
                <c:pt idx="5196">
                  <c:v>42453</c:v>
                </c:pt>
                <c:pt idx="5197">
                  <c:v>42454</c:v>
                </c:pt>
                <c:pt idx="5198">
                  <c:v>42455</c:v>
                </c:pt>
                <c:pt idx="5199">
                  <c:v>42456</c:v>
                </c:pt>
                <c:pt idx="5200">
                  <c:v>42457</c:v>
                </c:pt>
                <c:pt idx="5201">
                  <c:v>42458</c:v>
                </c:pt>
                <c:pt idx="5202">
                  <c:v>42459</c:v>
                </c:pt>
                <c:pt idx="5203">
                  <c:v>42460</c:v>
                </c:pt>
                <c:pt idx="5204">
                  <c:v>42461</c:v>
                </c:pt>
                <c:pt idx="5205">
                  <c:v>42462</c:v>
                </c:pt>
                <c:pt idx="5206">
                  <c:v>42463</c:v>
                </c:pt>
                <c:pt idx="5207">
                  <c:v>42464</c:v>
                </c:pt>
                <c:pt idx="5208">
                  <c:v>42465</c:v>
                </c:pt>
                <c:pt idx="5209">
                  <c:v>42466</c:v>
                </c:pt>
                <c:pt idx="5210">
                  <c:v>42467</c:v>
                </c:pt>
                <c:pt idx="5211">
                  <c:v>42468</c:v>
                </c:pt>
                <c:pt idx="5212">
                  <c:v>42469</c:v>
                </c:pt>
                <c:pt idx="5213">
                  <c:v>42470</c:v>
                </c:pt>
                <c:pt idx="5214">
                  <c:v>42471</c:v>
                </c:pt>
                <c:pt idx="5215">
                  <c:v>42472</c:v>
                </c:pt>
                <c:pt idx="5216">
                  <c:v>42473</c:v>
                </c:pt>
                <c:pt idx="5217">
                  <c:v>42474</c:v>
                </c:pt>
                <c:pt idx="5218">
                  <c:v>42475</c:v>
                </c:pt>
                <c:pt idx="5219">
                  <c:v>42476</c:v>
                </c:pt>
                <c:pt idx="5220">
                  <c:v>42477</c:v>
                </c:pt>
                <c:pt idx="5221">
                  <c:v>42478</c:v>
                </c:pt>
                <c:pt idx="5222">
                  <c:v>42479</c:v>
                </c:pt>
                <c:pt idx="5223">
                  <c:v>42480</c:v>
                </c:pt>
                <c:pt idx="5224">
                  <c:v>42481</c:v>
                </c:pt>
                <c:pt idx="5225">
                  <c:v>42482</c:v>
                </c:pt>
                <c:pt idx="5226">
                  <c:v>42483</c:v>
                </c:pt>
                <c:pt idx="5227">
                  <c:v>42484</c:v>
                </c:pt>
                <c:pt idx="5228">
                  <c:v>42485</c:v>
                </c:pt>
                <c:pt idx="5229">
                  <c:v>42486</c:v>
                </c:pt>
                <c:pt idx="5230">
                  <c:v>42487</c:v>
                </c:pt>
                <c:pt idx="5231">
                  <c:v>42488</c:v>
                </c:pt>
                <c:pt idx="5232">
                  <c:v>42489</c:v>
                </c:pt>
                <c:pt idx="5233">
                  <c:v>42490</c:v>
                </c:pt>
                <c:pt idx="5234">
                  <c:v>42491</c:v>
                </c:pt>
                <c:pt idx="5235">
                  <c:v>42492</c:v>
                </c:pt>
                <c:pt idx="5236">
                  <c:v>42493</c:v>
                </c:pt>
                <c:pt idx="5237">
                  <c:v>42494</c:v>
                </c:pt>
                <c:pt idx="5238">
                  <c:v>42495</c:v>
                </c:pt>
                <c:pt idx="5239">
                  <c:v>42496</c:v>
                </c:pt>
                <c:pt idx="5240">
                  <c:v>42497</c:v>
                </c:pt>
                <c:pt idx="5241">
                  <c:v>42498</c:v>
                </c:pt>
                <c:pt idx="5242">
                  <c:v>42499</c:v>
                </c:pt>
                <c:pt idx="5243">
                  <c:v>42500</c:v>
                </c:pt>
                <c:pt idx="5244">
                  <c:v>42501</c:v>
                </c:pt>
                <c:pt idx="5245">
                  <c:v>42502</c:v>
                </c:pt>
                <c:pt idx="5246">
                  <c:v>42503</c:v>
                </c:pt>
                <c:pt idx="5247">
                  <c:v>42504</c:v>
                </c:pt>
                <c:pt idx="5248">
                  <c:v>42505</c:v>
                </c:pt>
                <c:pt idx="5249">
                  <c:v>42506</c:v>
                </c:pt>
                <c:pt idx="5250">
                  <c:v>42507</c:v>
                </c:pt>
                <c:pt idx="5251">
                  <c:v>42508</c:v>
                </c:pt>
                <c:pt idx="5252">
                  <c:v>42509</c:v>
                </c:pt>
                <c:pt idx="5253">
                  <c:v>42510</c:v>
                </c:pt>
                <c:pt idx="5254">
                  <c:v>42511</c:v>
                </c:pt>
                <c:pt idx="5255">
                  <c:v>42512</c:v>
                </c:pt>
                <c:pt idx="5256">
                  <c:v>42513</c:v>
                </c:pt>
                <c:pt idx="5257">
                  <c:v>42514</c:v>
                </c:pt>
                <c:pt idx="5258">
                  <c:v>42515</c:v>
                </c:pt>
                <c:pt idx="5259">
                  <c:v>42516</c:v>
                </c:pt>
                <c:pt idx="5260">
                  <c:v>42517</c:v>
                </c:pt>
                <c:pt idx="5261">
                  <c:v>42518</c:v>
                </c:pt>
                <c:pt idx="5262">
                  <c:v>42519</c:v>
                </c:pt>
                <c:pt idx="5263">
                  <c:v>42520</c:v>
                </c:pt>
                <c:pt idx="5264">
                  <c:v>42521</c:v>
                </c:pt>
                <c:pt idx="5265">
                  <c:v>42522</c:v>
                </c:pt>
                <c:pt idx="5266">
                  <c:v>42523</c:v>
                </c:pt>
                <c:pt idx="5267">
                  <c:v>42524</c:v>
                </c:pt>
                <c:pt idx="5268">
                  <c:v>42525</c:v>
                </c:pt>
                <c:pt idx="5269">
                  <c:v>42526</c:v>
                </c:pt>
                <c:pt idx="5270">
                  <c:v>42527</c:v>
                </c:pt>
                <c:pt idx="5271">
                  <c:v>42528</c:v>
                </c:pt>
                <c:pt idx="5272">
                  <c:v>42529</c:v>
                </c:pt>
                <c:pt idx="5273">
                  <c:v>42530</c:v>
                </c:pt>
                <c:pt idx="5274">
                  <c:v>42531</c:v>
                </c:pt>
                <c:pt idx="5275">
                  <c:v>42532</c:v>
                </c:pt>
                <c:pt idx="5276">
                  <c:v>42533</c:v>
                </c:pt>
                <c:pt idx="5277">
                  <c:v>42534</c:v>
                </c:pt>
                <c:pt idx="5278">
                  <c:v>42535</c:v>
                </c:pt>
                <c:pt idx="5279">
                  <c:v>42536</c:v>
                </c:pt>
                <c:pt idx="5280">
                  <c:v>42537</c:v>
                </c:pt>
                <c:pt idx="5281">
                  <c:v>42538</c:v>
                </c:pt>
                <c:pt idx="5282">
                  <c:v>42539</c:v>
                </c:pt>
                <c:pt idx="5283">
                  <c:v>42540</c:v>
                </c:pt>
                <c:pt idx="5284">
                  <c:v>42541</c:v>
                </c:pt>
                <c:pt idx="5285">
                  <c:v>42542</c:v>
                </c:pt>
                <c:pt idx="5286">
                  <c:v>42543</c:v>
                </c:pt>
                <c:pt idx="5287">
                  <c:v>42544</c:v>
                </c:pt>
                <c:pt idx="5288">
                  <c:v>42545</c:v>
                </c:pt>
                <c:pt idx="5289">
                  <c:v>42546</c:v>
                </c:pt>
                <c:pt idx="5290">
                  <c:v>42547</c:v>
                </c:pt>
                <c:pt idx="5291">
                  <c:v>42548</c:v>
                </c:pt>
                <c:pt idx="5292">
                  <c:v>42549</c:v>
                </c:pt>
                <c:pt idx="5293">
                  <c:v>42550</c:v>
                </c:pt>
                <c:pt idx="5294">
                  <c:v>42551</c:v>
                </c:pt>
                <c:pt idx="5295">
                  <c:v>42552</c:v>
                </c:pt>
                <c:pt idx="5296">
                  <c:v>42553</c:v>
                </c:pt>
                <c:pt idx="5297">
                  <c:v>42554</c:v>
                </c:pt>
                <c:pt idx="5298">
                  <c:v>42555</c:v>
                </c:pt>
                <c:pt idx="5299">
                  <c:v>42556</c:v>
                </c:pt>
                <c:pt idx="5300">
                  <c:v>42557</c:v>
                </c:pt>
                <c:pt idx="5301">
                  <c:v>42558</c:v>
                </c:pt>
                <c:pt idx="5302">
                  <c:v>42559</c:v>
                </c:pt>
                <c:pt idx="5303">
                  <c:v>42560</c:v>
                </c:pt>
                <c:pt idx="5304">
                  <c:v>42561</c:v>
                </c:pt>
                <c:pt idx="5305">
                  <c:v>42562</c:v>
                </c:pt>
                <c:pt idx="5306">
                  <c:v>42563</c:v>
                </c:pt>
                <c:pt idx="5307">
                  <c:v>42564</c:v>
                </c:pt>
                <c:pt idx="5308">
                  <c:v>42565</c:v>
                </c:pt>
                <c:pt idx="5309">
                  <c:v>42566</c:v>
                </c:pt>
                <c:pt idx="5310">
                  <c:v>42567</c:v>
                </c:pt>
                <c:pt idx="5311">
                  <c:v>42568</c:v>
                </c:pt>
                <c:pt idx="5312">
                  <c:v>42569</c:v>
                </c:pt>
                <c:pt idx="5313">
                  <c:v>42570</c:v>
                </c:pt>
                <c:pt idx="5314">
                  <c:v>42571</c:v>
                </c:pt>
                <c:pt idx="5315">
                  <c:v>42572</c:v>
                </c:pt>
                <c:pt idx="5316">
                  <c:v>42573</c:v>
                </c:pt>
                <c:pt idx="5317">
                  <c:v>42574</c:v>
                </c:pt>
                <c:pt idx="5318">
                  <c:v>42575</c:v>
                </c:pt>
                <c:pt idx="5319">
                  <c:v>42576</c:v>
                </c:pt>
                <c:pt idx="5320">
                  <c:v>42577</c:v>
                </c:pt>
                <c:pt idx="5321">
                  <c:v>42578</c:v>
                </c:pt>
                <c:pt idx="5322">
                  <c:v>42579</c:v>
                </c:pt>
                <c:pt idx="5323">
                  <c:v>42580</c:v>
                </c:pt>
                <c:pt idx="5324">
                  <c:v>42581</c:v>
                </c:pt>
                <c:pt idx="5325">
                  <c:v>42582</c:v>
                </c:pt>
                <c:pt idx="5326">
                  <c:v>42583</c:v>
                </c:pt>
                <c:pt idx="5327">
                  <c:v>42584</c:v>
                </c:pt>
                <c:pt idx="5328">
                  <c:v>42585</c:v>
                </c:pt>
                <c:pt idx="5329">
                  <c:v>42586</c:v>
                </c:pt>
                <c:pt idx="5330">
                  <c:v>42587</c:v>
                </c:pt>
                <c:pt idx="5331">
                  <c:v>42588</c:v>
                </c:pt>
                <c:pt idx="5332">
                  <c:v>42589</c:v>
                </c:pt>
                <c:pt idx="5333">
                  <c:v>42590</c:v>
                </c:pt>
                <c:pt idx="5334">
                  <c:v>42591</c:v>
                </c:pt>
                <c:pt idx="5335">
                  <c:v>42592</c:v>
                </c:pt>
                <c:pt idx="5336">
                  <c:v>42593</c:v>
                </c:pt>
                <c:pt idx="5337">
                  <c:v>42594</c:v>
                </c:pt>
                <c:pt idx="5338">
                  <c:v>42595</c:v>
                </c:pt>
                <c:pt idx="5339">
                  <c:v>42596</c:v>
                </c:pt>
                <c:pt idx="5340">
                  <c:v>42597</c:v>
                </c:pt>
                <c:pt idx="5341">
                  <c:v>42598</c:v>
                </c:pt>
                <c:pt idx="5342">
                  <c:v>42599</c:v>
                </c:pt>
                <c:pt idx="5343">
                  <c:v>42600</c:v>
                </c:pt>
                <c:pt idx="5344">
                  <c:v>42601</c:v>
                </c:pt>
                <c:pt idx="5345">
                  <c:v>42602</c:v>
                </c:pt>
                <c:pt idx="5346">
                  <c:v>42603</c:v>
                </c:pt>
                <c:pt idx="5347">
                  <c:v>42604</c:v>
                </c:pt>
                <c:pt idx="5348">
                  <c:v>42605</c:v>
                </c:pt>
                <c:pt idx="5349">
                  <c:v>42606</c:v>
                </c:pt>
                <c:pt idx="5350">
                  <c:v>42607</c:v>
                </c:pt>
                <c:pt idx="5351">
                  <c:v>42608</c:v>
                </c:pt>
                <c:pt idx="5352">
                  <c:v>42609</c:v>
                </c:pt>
                <c:pt idx="5353">
                  <c:v>42610</c:v>
                </c:pt>
                <c:pt idx="5354">
                  <c:v>42611</c:v>
                </c:pt>
                <c:pt idx="5355">
                  <c:v>42612</c:v>
                </c:pt>
                <c:pt idx="5356">
                  <c:v>42613</c:v>
                </c:pt>
                <c:pt idx="5357">
                  <c:v>42614</c:v>
                </c:pt>
                <c:pt idx="5358">
                  <c:v>42615</c:v>
                </c:pt>
                <c:pt idx="5359">
                  <c:v>42616</c:v>
                </c:pt>
                <c:pt idx="5360">
                  <c:v>42617</c:v>
                </c:pt>
                <c:pt idx="5361">
                  <c:v>42618</c:v>
                </c:pt>
                <c:pt idx="5362">
                  <c:v>42619</c:v>
                </c:pt>
                <c:pt idx="5363">
                  <c:v>42620</c:v>
                </c:pt>
                <c:pt idx="5364">
                  <c:v>42621</c:v>
                </c:pt>
                <c:pt idx="5365">
                  <c:v>42622</c:v>
                </c:pt>
                <c:pt idx="5366">
                  <c:v>42623</c:v>
                </c:pt>
                <c:pt idx="5367">
                  <c:v>42624</c:v>
                </c:pt>
                <c:pt idx="5368">
                  <c:v>42625</c:v>
                </c:pt>
                <c:pt idx="5369">
                  <c:v>42626</c:v>
                </c:pt>
                <c:pt idx="5370">
                  <c:v>42627</c:v>
                </c:pt>
                <c:pt idx="5371">
                  <c:v>42628</c:v>
                </c:pt>
                <c:pt idx="5372">
                  <c:v>42629</c:v>
                </c:pt>
                <c:pt idx="5373">
                  <c:v>42630</c:v>
                </c:pt>
                <c:pt idx="5374">
                  <c:v>42631</c:v>
                </c:pt>
                <c:pt idx="5375">
                  <c:v>42632</c:v>
                </c:pt>
                <c:pt idx="5376">
                  <c:v>42633</c:v>
                </c:pt>
                <c:pt idx="5377">
                  <c:v>42634</c:v>
                </c:pt>
                <c:pt idx="5378">
                  <c:v>42635</c:v>
                </c:pt>
                <c:pt idx="5379">
                  <c:v>42636</c:v>
                </c:pt>
                <c:pt idx="5380">
                  <c:v>42637</c:v>
                </c:pt>
                <c:pt idx="5381">
                  <c:v>42638</c:v>
                </c:pt>
                <c:pt idx="5382">
                  <c:v>42639</c:v>
                </c:pt>
                <c:pt idx="5383">
                  <c:v>42640</c:v>
                </c:pt>
                <c:pt idx="5384">
                  <c:v>42641</c:v>
                </c:pt>
                <c:pt idx="5385">
                  <c:v>42642</c:v>
                </c:pt>
                <c:pt idx="5386">
                  <c:v>42643</c:v>
                </c:pt>
                <c:pt idx="5387">
                  <c:v>42644</c:v>
                </c:pt>
                <c:pt idx="5388">
                  <c:v>42645</c:v>
                </c:pt>
                <c:pt idx="5389">
                  <c:v>42646</c:v>
                </c:pt>
                <c:pt idx="5390">
                  <c:v>42647</c:v>
                </c:pt>
                <c:pt idx="5391">
                  <c:v>42648</c:v>
                </c:pt>
                <c:pt idx="5392">
                  <c:v>42649</c:v>
                </c:pt>
                <c:pt idx="5393">
                  <c:v>42650</c:v>
                </c:pt>
                <c:pt idx="5394">
                  <c:v>42651</c:v>
                </c:pt>
                <c:pt idx="5395">
                  <c:v>42652</c:v>
                </c:pt>
                <c:pt idx="5396">
                  <c:v>42653</c:v>
                </c:pt>
                <c:pt idx="5397">
                  <c:v>42654</c:v>
                </c:pt>
                <c:pt idx="5398">
                  <c:v>42655</c:v>
                </c:pt>
                <c:pt idx="5399">
                  <c:v>42656</c:v>
                </c:pt>
                <c:pt idx="5400">
                  <c:v>42657</c:v>
                </c:pt>
                <c:pt idx="5401">
                  <c:v>42658</c:v>
                </c:pt>
                <c:pt idx="5402">
                  <c:v>42659</c:v>
                </c:pt>
                <c:pt idx="5403">
                  <c:v>42660</c:v>
                </c:pt>
                <c:pt idx="5404">
                  <c:v>42661</c:v>
                </c:pt>
                <c:pt idx="5405">
                  <c:v>42662</c:v>
                </c:pt>
                <c:pt idx="5406">
                  <c:v>42663</c:v>
                </c:pt>
                <c:pt idx="5407">
                  <c:v>42664</c:v>
                </c:pt>
                <c:pt idx="5408">
                  <c:v>42665</c:v>
                </c:pt>
                <c:pt idx="5409">
                  <c:v>42666</c:v>
                </c:pt>
                <c:pt idx="5410">
                  <c:v>42667</c:v>
                </c:pt>
                <c:pt idx="5411">
                  <c:v>42668</c:v>
                </c:pt>
                <c:pt idx="5412">
                  <c:v>42669</c:v>
                </c:pt>
                <c:pt idx="5413">
                  <c:v>42670</c:v>
                </c:pt>
                <c:pt idx="5414">
                  <c:v>42671</c:v>
                </c:pt>
                <c:pt idx="5415">
                  <c:v>42672</c:v>
                </c:pt>
                <c:pt idx="5416">
                  <c:v>42673</c:v>
                </c:pt>
                <c:pt idx="5417">
                  <c:v>42674</c:v>
                </c:pt>
                <c:pt idx="5418">
                  <c:v>42675</c:v>
                </c:pt>
                <c:pt idx="5419">
                  <c:v>42676</c:v>
                </c:pt>
                <c:pt idx="5420">
                  <c:v>42677</c:v>
                </c:pt>
                <c:pt idx="5421">
                  <c:v>42678</c:v>
                </c:pt>
                <c:pt idx="5422">
                  <c:v>42679</c:v>
                </c:pt>
                <c:pt idx="5423">
                  <c:v>42680</c:v>
                </c:pt>
                <c:pt idx="5424">
                  <c:v>42681</c:v>
                </c:pt>
                <c:pt idx="5425">
                  <c:v>42682</c:v>
                </c:pt>
                <c:pt idx="5426">
                  <c:v>42683</c:v>
                </c:pt>
                <c:pt idx="5427">
                  <c:v>42684</c:v>
                </c:pt>
                <c:pt idx="5428">
                  <c:v>42685</c:v>
                </c:pt>
                <c:pt idx="5429">
                  <c:v>42686</c:v>
                </c:pt>
                <c:pt idx="5430">
                  <c:v>42687</c:v>
                </c:pt>
                <c:pt idx="5431">
                  <c:v>42688</c:v>
                </c:pt>
                <c:pt idx="5432">
                  <c:v>42689</c:v>
                </c:pt>
                <c:pt idx="5433">
                  <c:v>42690</c:v>
                </c:pt>
                <c:pt idx="5434">
                  <c:v>42691</c:v>
                </c:pt>
                <c:pt idx="5435">
                  <c:v>42692</c:v>
                </c:pt>
                <c:pt idx="5436">
                  <c:v>42693</c:v>
                </c:pt>
                <c:pt idx="5437">
                  <c:v>42694</c:v>
                </c:pt>
                <c:pt idx="5438">
                  <c:v>42695</c:v>
                </c:pt>
                <c:pt idx="5439">
                  <c:v>42696</c:v>
                </c:pt>
                <c:pt idx="5440">
                  <c:v>42697</c:v>
                </c:pt>
                <c:pt idx="5441">
                  <c:v>42698</c:v>
                </c:pt>
                <c:pt idx="5442">
                  <c:v>42699</c:v>
                </c:pt>
                <c:pt idx="5443">
                  <c:v>42700</c:v>
                </c:pt>
                <c:pt idx="5444">
                  <c:v>42701</c:v>
                </c:pt>
                <c:pt idx="5445">
                  <c:v>42702</c:v>
                </c:pt>
                <c:pt idx="5446">
                  <c:v>42703</c:v>
                </c:pt>
                <c:pt idx="5447">
                  <c:v>42704</c:v>
                </c:pt>
                <c:pt idx="5448">
                  <c:v>42705</c:v>
                </c:pt>
                <c:pt idx="5449">
                  <c:v>42706</c:v>
                </c:pt>
                <c:pt idx="5450">
                  <c:v>42707</c:v>
                </c:pt>
                <c:pt idx="5451">
                  <c:v>42708</c:v>
                </c:pt>
                <c:pt idx="5452">
                  <c:v>42709</c:v>
                </c:pt>
                <c:pt idx="5453">
                  <c:v>42710</c:v>
                </c:pt>
                <c:pt idx="5454">
                  <c:v>42711</c:v>
                </c:pt>
                <c:pt idx="5455">
                  <c:v>42712</c:v>
                </c:pt>
                <c:pt idx="5456">
                  <c:v>42713</c:v>
                </c:pt>
                <c:pt idx="5457">
                  <c:v>42714</c:v>
                </c:pt>
                <c:pt idx="5458">
                  <c:v>42715</c:v>
                </c:pt>
                <c:pt idx="5459">
                  <c:v>42716</c:v>
                </c:pt>
                <c:pt idx="5460">
                  <c:v>42717</c:v>
                </c:pt>
                <c:pt idx="5461">
                  <c:v>42718</c:v>
                </c:pt>
                <c:pt idx="5462">
                  <c:v>42719</c:v>
                </c:pt>
                <c:pt idx="5463">
                  <c:v>42720</c:v>
                </c:pt>
                <c:pt idx="5464">
                  <c:v>42721</c:v>
                </c:pt>
                <c:pt idx="5465">
                  <c:v>42722</c:v>
                </c:pt>
                <c:pt idx="5466">
                  <c:v>42723</c:v>
                </c:pt>
                <c:pt idx="5467">
                  <c:v>42724</c:v>
                </c:pt>
                <c:pt idx="5468">
                  <c:v>42725</c:v>
                </c:pt>
                <c:pt idx="5469">
                  <c:v>42726</c:v>
                </c:pt>
                <c:pt idx="5470">
                  <c:v>42727</c:v>
                </c:pt>
                <c:pt idx="5471">
                  <c:v>42728</c:v>
                </c:pt>
                <c:pt idx="5472">
                  <c:v>42729</c:v>
                </c:pt>
                <c:pt idx="5473">
                  <c:v>42730</c:v>
                </c:pt>
                <c:pt idx="5474">
                  <c:v>42731</c:v>
                </c:pt>
                <c:pt idx="5475">
                  <c:v>42732</c:v>
                </c:pt>
                <c:pt idx="5476">
                  <c:v>42733</c:v>
                </c:pt>
                <c:pt idx="5477">
                  <c:v>42734</c:v>
                </c:pt>
                <c:pt idx="5478">
                  <c:v>42735</c:v>
                </c:pt>
                <c:pt idx="5479">
                  <c:v>42736</c:v>
                </c:pt>
                <c:pt idx="5480">
                  <c:v>42737</c:v>
                </c:pt>
                <c:pt idx="5481">
                  <c:v>42738</c:v>
                </c:pt>
                <c:pt idx="5482">
                  <c:v>42739</c:v>
                </c:pt>
                <c:pt idx="5483">
                  <c:v>42740</c:v>
                </c:pt>
                <c:pt idx="5484">
                  <c:v>42741</c:v>
                </c:pt>
                <c:pt idx="5485">
                  <c:v>42742</c:v>
                </c:pt>
                <c:pt idx="5486">
                  <c:v>42743</c:v>
                </c:pt>
                <c:pt idx="5487">
                  <c:v>42744</c:v>
                </c:pt>
                <c:pt idx="5488">
                  <c:v>42745</c:v>
                </c:pt>
                <c:pt idx="5489">
                  <c:v>42746</c:v>
                </c:pt>
                <c:pt idx="5490">
                  <c:v>42747</c:v>
                </c:pt>
                <c:pt idx="5491">
                  <c:v>42748</c:v>
                </c:pt>
                <c:pt idx="5492">
                  <c:v>42749</c:v>
                </c:pt>
                <c:pt idx="5493">
                  <c:v>42750</c:v>
                </c:pt>
                <c:pt idx="5494">
                  <c:v>42751</c:v>
                </c:pt>
                <c:pt idx="5495">
                  <c:v>42752</c:v>
                </c:pt>
                <c:pt idx="5496">
                  <c:v>42753</c:v>
                </c:pt>
                <c:pt idx="5497">
                  <c:v>42754</c:v>
                </c:pt>
                <c:pt idx="5498">
                  <c:v>42755</c:v>
                </c:pt>
                <c:pt idx="5499">
                  <c:v>42756</c:v>
                </c:pt>
                <c:pt idx="5500">
                  <c:v>42757</c:v>
                </c:pt>
                <c:pt idx="5501">
                  <c:v>42758</c:v>
                </c:pt>
                <c:pt idx="5502">
                  <c:v>42759</c:v>
                </c:pt>
                <c:pt idx="5503">
                  <c:v>42760</c:v>
                </c:pt>
                <c:pt idx="5504">
                  <c:v>42761</c:v>
                </c:pt>
                <c:pt idx="5505">
                  <c:v>42762</c:v>
                </c:pt>
                <c:pt idx="5506">
                  <c:v>42763</c:v>
                </c:pt>
                <c:pt idx="5507">
                  <c:v>42764</c:v>
                </c:pt>
                <c:pt idx="5508">
                  <c:v>42765</c:v>
                </c:pt>
                <c:pt idx="5509">
                  <c:v>42766</c:v>
                </c:pt>
                <c:pt idx="5510">
                  <c:v>42767</c:v>
                </c:pt>
                <c:pt idx="5511">
                  <c:v>42768</c:v>
                </c:pt>
                <c:pt idx="5512">
                  <c:v>42769</c:v>
                </c:pt>
                <c:pt idx="5513">
                  <c:v>42770</c:v>
                </c:pt>
                <c:pt idx="5514">
                  <c:v>42771</c:v>
                </c:pt>
                <c:pt idx="5515">
                  <c:v>42772</c:v>
                </c:pt>
                <c:pt idx="5516">
                  <c:v>42773</c:v>
                </c:pt>
                <c:pt idx="5517">
                  <c:v>42774</c:v>
                </c:pt>
                <c:pt idx="5518">
                  <c:v>42775</c:v>
                </c:pt>
                <c:pt idx="5519">
                  <c:v>42776</c:v>
                </c:pt>
                <c:pt idx="5520">
                  <c:v>42777</c:v>
                </c:pt>
                <c:pt idx="5521">
                  <c:v>42778</c:v>
                </c:pt>
                <c:pt idx="5522">
                  <c:v>42779</c:v>
                </c:pt>
                <c:pt idx="5523">
                  <c:v>42780</c:v>
                </c:pt>
                <c:pt idx="5524">
                  <c:v>42781</c:v>
                </c:pt>
                <c:pt idx="5525">
                  <c:v>42782</c:v>
                </c:pt>
                <c:pt idx="5526">
                  <c:v>42783</c:v>
                </c:pt>
                <c:pt idx="5527">
                  <c:v>42784</c:v>
                </c:pt>
                <c:pt idx="5528">
                  <c:v>42785</c:v>
                </c:pt>
                <c:pt idx="5529">
                  <c:v>42786</c:v>
                </c:pt>
                <c:pt idx="5530">
                  <c:v>42787</c:v>
                </c:pt>
                <c:pt idx="5531">
                  <c:v>42788</c:v>
                </c:pt>
                <c:pt idx="5532">
                  <c:v>42789</c:v>
                </c:pt>
                <c:pt idx="5533">
                  <c:v>42790</c:v>
                </c:pt>
                <c:pt idx="5534">
                  <c:v>42791</c:v>
                </c:pt>
                <c:pt idx="5535">
                  <c:v>42792</c:v>
                </c:pt>
                <c:pt idx="5536">
                  <c:v>42793</c:v>
                </c:pt>
                <c:pt idx="5537">
                  <c:v>42794</c:v>
                </c:pt>
                <c:pt idx="5538">
                  <c:v>42795</c:v>
                </c:pt>
                <c:pt idx="5539">
                  <c:v>42796</c:v>
                </c:pt>
                <c:pt idx="5540">
                  <c:v>42797</c:v>
                </c:pt>
                <c:pt idx="5541">
                  <c:v>42798</c:v>
                </c:pt>
                <c:pt idx="5542">
                  <c:v>42799</c:v>
                </c:pt>
                <c:pt idx="5543">
                  <c:v>42800</c:v>
                </c:pt>
                <c:pt idx="5544">
                  <c:v>42801</c:v>
                </c:pt>
                <c:pt idx="5545">
                  <c:v>42802</c:v>
                </c:pt>
                <c:pt idx="5546">
                  <c:v>42803</c:v>
                </c:pt>
                <c:pt idx="5547">
                  <c:v>42804</c:v>
                </c:pt>
                <c:pt idx="5548">
                  <c:v>42805</c:v>
                </c:pt>
                <c:pt idx="5549">
                  <c:v>42806</c:v>
                </c:pt>
                <c:pt idx="5550">
                  <c:v>42807</c:v>
                </c:pt>
                <c:pt idx="5551">
                  <c:v>42808</c:v>
                </c:pt>
                <c:pt idx="5552">
                  <c:v>42809</c:v>
                </c:pt>
                <c:pt idx="5553">
                  <c:v>42810</c:v>
                </c:pt>
                <c:pt idx="5554">
                  <c:v>42811</c:v>
                </c:pt>
                <c:pt idx="5555">
                  <c:v>42812</c:v>
                </c:pt>
                <c:pt idx="5556">
                  <c:v>42813</c:v>
                </c:pt>
                <c:pt idx="5557">
                  <c:v>42814</c:v>
                </c:pt>
                <c:pt idx="5558">
                  <c:v>42815</c:v>
                </c:pt>
                <c:pt idx="5559">
                  <c:v>42816</c:v>
                </c:pt>
                <c:pt idx="5560">
                  <c:v>42817</c:v>
                </c:pt>
                <c:pt idx="5561">
                  <c:v>42818</c:v>
                </c:pt>
                <c:pt idx="5562">
                  <c:v>42819</c:v>
                </c:pt>
                <c:pt idx="5563">
                  <c:v>42820</c:v>
                </c:pt>
                <c:pt idx="5564">
                  <c:v>42821</c:v>
                </c:pt>
                <c:pt idx="5565">
                  <c:v>42822</c:v>
                </c:pt>
                <c:pt idx="5566">
                  <c:v>42823</c:v>
                </c:pt>
                <c:pt idx="5567">
                  <c:v>42824</c:v>
                </c:pt>
                <c:pt idx="5568">
                  <c:v>42825</c:v>
                </c:pt>
                <c:pt idx="5569">
                  <c:v>42826</c:v>
                </c:pt>
                <c:pt idx="5570">
                  <c:v>42827</c:v>
                </c:pt>
                <c:pt idx="5571">
                  <c:v>42828</c:v>
                </c:pt>
                <c:pt idx="5572">
                  <c:v>42829</c:v>
                </c:pt>
                <c:pt idx="5573">
                  <c:v>42830</c:v>
                </c:pt>
                <c:pt idx="5574">
                  <c:v>42831</c:v>
                </c:pt>
                <c:pt idx="5575">
                  <c:v>42832</c:v>
                </c:pt>
                <c:pt idx="5576">
                  <c:v>42833</c:v>
                </c:pt>
                <c:pt idx="5577">
                  <c:v>42834</c:v>
                </c:pt>
                <c:pt idx="5578">
                  <c:v>42835</c:v>
                </c:pt>
                <c:pt idx="5579">
                  <c:v>42836</c:v>
                </c:pt>
                <c:pt idx="5580">
                  <c:v>42837</c:v>
                </c:pt>
                <c:pt idx="5581">
                  <c:v>42838</c:v>
                </c:pt>
                <c:pt idx="5582">
                  <c:v>42839</c:v>
                </c:pt>
                <c:pt idx="5583">
                  <c:v>42840</c:v>
                </c:pt>
                <c:pt idx="5584">
                  <c:v>42841</c:v>
                </c:pt>
                <c:pt idx="5585">
                  <c:v>42842</c:v>
                </c:pt>
                <c:pt idx="5586">
                  <c:v>42843</c:v>
                </c:pt>
                <c:pt idx="5587">
                  <c:v>42844</c:v>
                </c:pt>
                <c:pt idx="5588">
                  <c:v>42845</c:v>
                </c:pt>
                <c:pt idx="5589">
                  <c:v>42846</c:v>
                </c:pt>
                <c:pt idx="5590">
                  <c:v>42847</c:v>
                </c:pt>
                <c:pt idx="5591">
                  <c:v>42848</c:v>
                </c:pt>
                <c:pt idx="5592">
                  <c:v>42849</c:v>
                </c:pt>
                <c:pt idx="5593">
                  <c:v>42850</c:v>
                </c:pt>
                <c:pt idx="5594">
                  <c:v>42851</c:v>
                </c:pt>
                <c:pt idx="5595">
                  <c:v>42852</c:v>
                </c:pt>
                <c:pt idx="5596">
                  <c:v>42853</c:v>
                </c:pt>
                <c:pt idx="5597">
                  <c:v>42854</c:v>
                </c:pt>
                <c:pt idx="5598">
                  <c:v>42855</c:v>
                </c:pt>
                <c:pt idx="5599">
                  <c:v>42856</c:v>
                </c:pt>
                <c:pt idx="5600">
                  <c:v>42857</c:v>
                </c:pt>
                <c:pt idx="5601">
                  <c:v>42858</c:v>
                </c:pt>
                <c:pt idx="5602">
                  <c:v>42859</c:v>
                </c:pt>
                <c:pt idx="5603">
                  <c:v>42860</c:v>
                </c:pt>
                <c:pt idx="5604">
                  <c:v>42861</c:v>
                </c:pt>
                <c:pt idx="5605">
                  <c:v>42862</c:v>
                </c:pt>
                <c:pt idx="5606">
                  <c:v>42863</c:v>
                </c:pt>
                <c:pt idx="5607">
                  <c:v>42864</c:v>
                </c:pt>
                <c:pt idx="5608">
                  <c:v>42865</c:v>
                </c:pt>
                <c:pt idx="5609">
                  <c:v>42866</c:v>
                </c:pt>
                <c:pt idx="5610">
                  <c:v>42867</c:v>
                </c:pt>
                <c:pt idx="5611">
                  <c:v>42868</c:v>
                </c:pt>
                <c:pt idx="5612">
                  <c:v>42869</c:v>
                </c:pt>
                <c:pt idx="5613">
                  <c:v>42870</c:v>
                </c:pt>
                <c:pt idx="5614">
                  <c:v>42871</c:v>
                </c:pt>
                <c:pt idx="5615">
                  <c:v>42872</c:v>
                </c:pt>
                <c:pt idx="5616">
                  <c:v>42873</c:v>
                </c:pt>
                <c:pt idx="5617">
                  <c:v>42874</c:v>
                </c:pt>
                <c:pt idx="5618">
                  <c:v>42875</c:v>
                </c:pt>
                <c:pt idx="5619">
                  <c:v>42876</c:v>
                </c:pt>
                <c:pt idx="5620">
                  <c:v>42877</c:v>
                </c:pt>
                <c:pt idx="5621">
                  <c:v>42878</c:v>
                </c:pt>
                <c:pt idx="5622">
                  <c:v>42879</c:v>
                </c:pt>
                <c:pt idx="5623">
                  <c:v>42880</c:v>
                </c:pt>
                <c:pt idx="5624">
                  <c:v>42881</c:v>
                </c:pt>
                <c:pt idx="5625">
                  <c:v>42882</c:v>
                </c:pt>
                <c:pt idx="5626">
                  <c:v>42883</c:v>
                </c:pt>
                <c:pt idx="5627">
                  <c:v>42884</c:v>
                </c:pt>
                <c:pt idx="5628">
                  <c:v>42885</c:v>
                </c:pt>
                <c:pt idx="5629">
                  <c:v>42886</c:v>
                </c:pt>
                <c:pt idx="5630">
                  <c:v>42887</c:v>
                </c:pt>
                <c:pt idx="5631">
                  <c:v>42888</c:v>
                </c:pt>
                <c:pt idx="5632">
                  <c:v>42889</c:v>
                </c:pt>
                <c:pt idx="5633">
                  <c:v>42890</c:v>
                </c:pt>
                <c:pt idx="5634">
                  <c:v>42891</c:v>
                </c:pt>
                <c:pt idx="5635">
                  <c:v>42892</c:v>
                </c:pt>
                <c:pt idx="5636">
                  <c:v>42893</c:v>
                </c:pt>
                <c:pt idx="5637">
                  <c:v>42894</c:v>
                </c:pt>
                <c:pt idx="5638">
                  <c:v>42895</c:v>
                </c:pt>
                <c:pt idx="5639">
                  <c:v>42896</c:v>
                </c:pt>
                <c:pt idx="5640">
                  <c:v>42897</c:v>
                </c:pt>
                <c:pt idx="5641">
                  <c:v>42898</c:v>
                </c:pt>
                <c:pt idx="5642">
                  <c:v>42899</c:v>
                </c:pt>
                <c:pt idx="5643">
                  <c:v>42900</c:v>
                </c:pt>
                <c:pt idx="5644">
                  <c:v>42901</c:v>
                </c:pt>
                <c:pt idx="5645">
                  <c:v>42902</c:v>
                </c:pt>
                <c:pt idx="5646">
                  <c:v>42903</c:v>
                </c:pt>
                <c:pt idx="5647">
                  <c:v>42904</c:v>
                </c:pt>
                <c:pt idx="5648">
                  <c:v>42905</c:v>
                </c:pt>
                <c:pt idx="5649">
                  <c:v>42906</c:v>
                </c:pt>
                <c:pt idx="5650">
                  <c:v>42907</c:v>
                </c:pt>
                <c:pt idx="5651">
                  <c:v>42908</c:v>
                </c:pt>
                <c:pt idx="5652">
                  <c:v>42909</c:v>
                </c:pt>
                <c:pt idx="5653">
                  <c:v>42910</c:v>
                </c:pt>
                <c:pt idx="5654">
                  <c:v>42911</c:v>
                </c:pt>
                <c:pt idx="5655">
                  <c:v>42912</c:v>
                </c:pt>
                <c:pt idx="5656">
                  <c:v>42913</c:v>
                </c:pt>
                <c:pt idx="5657">
                  <c:v>42914</c:v>
                </c:pt>
                <c:pt idx="5658">
                  <c:v>42915</c:v>
                </c:pt>
                <c:pt idx="5659">
                  <c:v>42916</c:v>
                </c:pt>
                <c:pt idx="5660">
                  <c:v>42917</c:v>
                </c:pt>
                <c:pt idx="5661">
                  <c:v>42918</c:v>
                </c:pt>
                <c:pt idx="5662">
                  <c:v>42919</c:v>
                </c:pt>
                <c:pt idx="5663">
                  <c:v>42920</c:v>
                </c:pt>
                <c:pt idx="5664">
                  <c:v>42921</c:v>
                </c:pt>
                <c:pt idx="5665">
                  <c:v>42922</c:v>
                </c:pt>
                <c:pt idx="5666">
                  <c:v>42923</c:v>
                </c:pt>
                <c:pt idx="5667">
                  <c:v>42924</c:v>
                </c:pt>
                <c:pt idx="5668">
                  <c:v>42925</c:v>
                </c:pt>
                <c:pt idx="5669">
                  <c:v>42926</c:v>
                </c:pt>
                <c:pt idx="5670">
                  <c:v>42927</c:v>
                </c:pt>
                <c:pt idx="5671">
                  <c:v>42928</c:v>
                </c:pt>
                <c:pt idx="5672">
                  <c:v>42929</c:v>
                </c:pt>
                <c:pt idx="5673">
                  <c:v>42930</c:v>
                </c:pt>
                <c:pt idx="5674">
                  <c:v>42931</c:v>
                </c:pt>
                <c:pt idx="5675">
                  <c:v>42932</c:v>
                </c:pt>
                <c:pt idx="5676">
                  <c:v>42933</c:v>
                </c:pt>
                <c:pt idx="5677">
                  <c:v>42934</c:v>
                </c:pt>
                <c:pt idx="5678">
                  <c:v>42935</c:v>
                </c:pt>
                <c:pt idx="5679">
                  <c:v>42936</c:v>
                </c:pt>
                <c:pt idx="5680">
                  <c:v>42937</c:v>
                </c:pt>
                <c:pt idx="5681">
                  <c:v>42938</c:v>
                </c:pt>
                <c:pt idx="5682">
                  <c:v>42939</c:v>
                </c:pt>
                <c:pt idx="5683">
                  <c:v>42940</c:v>
                </c:pt>
                <c:pt idx="5684">
                  <c:v>42941</c:v>
                </c:pt>
                <c:pt idx="5685">
                  <c:v>42942</c:v>
                </c:pt>
                <c:pt idx="5686">
                  <c:v>42943</c:v>
                </c:pt>
                <c:pt idx="5687">
                  <c:v>42944</c:v>
                </c:pt>
                <c:pt idx="5688">
                  <c:v>42945</c:v>
                </c:pt>
                <c:pt idx="5689">
                  <c:v>42946</c:v>
                </c:pt>
                <c:pt idx="5690">
                  <c:v>42947</c:v>
                </c:pt>
                <c:pt idx="5691">
                  <c:v>42948</c:v>
                </c:pt>
                <c:pt idx="5692">
                  <c:v>42949</c:v>
                </c:pt>
                <c:pt idx="5693">
                  <c:v>42950</c:v>
                </c:pt>
                <c:pt idx="5694">
                  <c:v>42951</c:v>
                </c:pt>
                <c:pt idx="5695">
                  <c:v>42952</c:v>
                </c:pt>
                <c:pt idx="5696">
                  <c:v>42953</c:v>
                </c:pt>
                <c:pt idx="5697">
                  <c:v>42954</c:v>
                </c:pt>
                <c:pt idx="5698">
                  <c:v>42955</c:v>
                </c:pt>
                <c:pt idx="5699">
                  <c:v>42956</c:v>
                </c:pt>
                <c:pt idx="5700">
                  <c:v>42957</c:v>
                </c:pt>
                <c:pt idx="5701">
                  <c:v>42958</c:v>
                </c:pt>
                <c:pt idx="5702">
                  <c:v>42959</c:v>
                </c:pt>
                <c:pt idx="5703">
                  <c:v>42960</c:v>
                </c:pt>
                <c:pt idx="5704">
                  <c:v>42961</c:v>
                </c:pt>
                <c:pt idx="5705">
                  <c:v>42962</c:v>
                </c:pt>
                <c:pt idx="5706">
                  <c:v>42963</c:v>
                </c:pt>
                <c:pt idx="5707">
                  <c:v>42964</c:v>
                </c:pt>
                <c:pt idx="5708">
                  <c:v>42965</c:v>
                </c:pt>
                <c:pt idx="5709">
                  <c:v>42966</c:v>
                </c:pt>
                <c:pt idx="5710">
                  <c:v>42967</c:v>
                </c:pt>
                <c:pt idx="5711">
                  <c:v>42968</c:v>
                </c:pt>
                <c:pt idx="5712">
                  <c:v>42969</c:v>
                </c:pt>
                <c:pt idx="5713">
                  <c:v>42970</c:v>
                </c:pt>
                <c:pt idx="5714">
                  <c:v>42971</c:v>
                </c:pt>
                <c:pt idx="5715">
                  <c:v>42972</c:v>
                </c:pt>
                <c:pt idx="5716">
                  <c:v>42973</c:v>
                </c:pt>
                <c:pt idx="5717">
                  <c:v>42974</c:v>
                </c:pt>
                <c:pt idx="5718">
                  <c:v>42975</c:v>
                </c:pt>
                <c:pt idx="5719">
                  <c:v>42976</c:v>
                </c:pt>
                <c:pt idx="5720">
                  <c:v>42977</c:v>
                </c:pt>
                <c:pt idx="5721">
                  <c:v>42978</c:v>
                </c:pt>
                <c:pt idx="5722">
                  <c:v>42979</c:v>
                </c:pt>
                <c:pt idx="5723">
                  <c:v>42980</c:v>
                </c:pt>
                <c:pt idx="5724">
                  <c:v>42981</c:v>
                </c:pt>
                <c:pt idx="5725">
                  <c:v>42982</c:v>
                </c:pt>
                <c:pt idx="5726">
                  <c:v>42983</c:v>
                </c:pt>
                <c:pt idx="5727">
                  <c:v>42984</c:v>
                </c:pt>
                <c:pt idx="5728">
                  <c:v>42985</c:v>
                </c:pt>
                <c:pt idx="5729">
                  <c:v>42986</c:v>
                </c:pt>
                <c:pt idx="5730">
                  <c:v>42987</c:v>
                </c:pt>
                <c:pt idx="5731">
                  <c:v>42988</c:v>
                </c:pt>
                <c:pt idx="5732">
                  <c:v>42989</c:v>
                </c:pt>
                <c:pt idx="5733">
                  <c:v>42990</c:v>
                </c:pt>
                <c:pt idx="5734">
                  <c:v>42991</c:v>
                </c:pt>
                <c:pt idx="5735">
                  <c:v>42992</c:v>
                </c:pt>
                <c:pt idx="5736">
                  <c:v>42993</c:v>
                </c:pt>
                <c:pt idx="5737">
                  <c:v>42994</c:v>
                </c:pt>
                <c:pt idx="5738">
                  <c:v>42995</c:v>
                </c:pt>
                <c:pt idx="5739">
                  <c:v>42996</c:v>
                </c:pt>
                <c:pt idx="5740">
                  <c:v>42997</c:v>
                </c:pt>
                <c:pt idx="5741">
                  <c:v>42998</c:v>
                </c:pt>
                <c:pt idx="5742">
                  <c:v>42999</c:v>
                </c:pt>
                <c:pt idx="5743">
                  <c:v>43000</c:v>
                </c:pt>
                <c:pt idx="5744">
                  <c:v>43001</c:v>
                </c:pt>
                <c:pt idx="5745">
                  <c:v>43002</c:v>
                </c:pt>
                <c:pt idx="5746">
                  <c:v>43003</c:v>
                </c:pt>
                <c:pt idx="5747">
                  <c:v>43004</c:v>
                </c:pt>
                <c:pt idx="5748">
                  <c:v>43005</c:v>
                </c:pt>
                <c:pt idx="5749">
                  <c:v>43006</c:v>
                </c:pt>
                <c:pt idx="5750">
                  <c:v>43007</c:v>
                </c:pt>
                <c:pt idx="5751">
                  <c:v>43008</c:v>
                </c:pt>
                <c:pt idx="5752">
                  <c:v>43009</c:v>
                </c:pt>
                <c:pt idx="5753">
                  <c:v>43010</c:v>
                </c:pt>
                <c:pt idx="5754">
                  <c:v>43011</c:v>
                </c:pt>
                <c:pt idx="5755">
                  <c:v>43012</c:v>
                </c:pt>
                <c:pt idx="5756">
                  <c:v>43013</c:v>
                </c:pt>
                <c:pt idx="5757">
                  <c:v>43014</c:v>
                </c:pt>
                <c:pt idx="5758">
                  <c:v>43015</c:v>
                </c:pt>
                <c:pt idx="5759">
                  <c:v>43016</c:v>
                </c:pt>
                <c:pt idx="5760">
                  <c:v>43017</c:v>
                </c:pt>
                <c:pt idx="5761">
                  <c:v>43018</c:v>
                </c:pt>
                <c:pt idx="5762">
                  <c:v>43019</c:v>
                </c:pt>
                <c:pt idx="5763">
                  <c:v>43020</c:v>
                </c:pt>
                <c:pt idx="5764">
                  <c:v>43021</c:v>
                </c:pt>
                <c:pt idx="5765">
                  <c:v>43022</c:v>
                </c:pt>
                <c:pt idx="5766">
                  <c:v>43023</c:v>
                </c:pt>
                <c:pt idx="5767">
                  <c:v>43024</c:v>
                </c:pt>
                <c:pt idx="5768">
                  <c:v>43025</c:v>
                </c:pt>
                <c:pt idx="5769">
                  <c:v>43026</c:v>
                </c:pt>
                <c:pt idx="5770">
                  <c:v>43027</c:v>
                </c:pt>
                <c:pt idx="5771">
                  <c:v>43028</c:v>
                </c:pt>
                <c:pt idx="5772">
                  <c:v>43029</c:v>
                </c:pt>
                <c:pt idx="5773">
                  <c:v>43030</c:v>
                </c:pt>
                <c:pt idx="5774">
                  <c:v>43031</c:v>
                </c:pt>
                <c:pt idx="5775">
                  <c:v>43032</c:v>
                </c:pt>
                <c:pt idx="5776">
                  <c:v>43033</c:v>
                </c:pt>
                <c:pt idx="5777">
                  <c:v>43034</c:v>
                </c:pt>
                <c:pt idx="5778">
                  <c:v>43035</c:v>
                </c:pt>
                <c:pt idx="5779">
                  <c:v>43036</c:v>
                </c:pt>
                <c:pt idx="5780">
                  <c:v>43037</c:v>
                </c:pt>
                <c:pt idx="5781">
                  <c:v>43038</c:v>
                </c:pt>
                <c:pt idx="5782">
                  <c:v>43039</c:v>
                </c:pt>
                <c:pt idx="5783">
                  <c:v>43040</c:v>
                </c:pt>
                <c:pt idx="5784">
                  <c:v>43041</c:v>
                </c:pt>
                <c:pt idx="5785">
                  <c:v>43042</c:v>
                </c:pt>
                <c:pt idx="5786">
                  <c:v>43043</c:v>
                </c:pt>
                <c:pt idx="5787">
                  <c:v>43044</c:v>
                </c:pt>
                <c:pt idx="5788">
                  <c:v>43045</c:v>
                </c:pt>
                <c:pt idx="5789">
                  <c:v>43046</c:v>
                </c:pt>
                <c:pt idx="5790">
                  <c:v>43047</c:v>
                </c:pt>
                <c:pt idx="5791">
                  <c:v>43048</c:v>
                </c:pt>
                <c:pt idx="5792">
                  <c:v>43049</c:v>
                </c:pt>
                <c:pt idx="5793">
                  <c:v>43050</c:v>
                </c:pt>
                <c:pt idx="5794">
                  <c:v>43051</c:v>
                </c:pt>
                <c:pt idx="5795">
                  <c:v>43052</c:v>
                </c:pt>
                <c:pt idx="5796">
                  <c:v>43053</c:v>
                </c:pt>
                <c:pt idx="5797">
                  <c:v>43054</c:v>
                </c:pt>
                <c:pt idx="5798">
                  <c:v>43055</c:v>
                </c:pt>
                <c:pt idx="5799">
                  <c:v>43056</c:v>
                </c:pt>
                <c:pt idx="5800">
                  <c:v>43057</c:v>
                </c:pt>
                <c:pt idx="5801">
                  <c:v>43058</c:v>
                </c:pt>
                <c:pt idx="5802">
                  <c:v>43059</c:v>
                </c:pt>
                <c:pt idx="5803">
                  <c:v>43060</c:v>
                </c:pt>
                <c:pt idx="5804">
                  <c:v>43061</c:v>
                </c:pt>
                <c:pt idx="5805">
                  <c:v>43062</c:v>
                </c:pt>
                <c:pt idx="5806">
                  <c:v>43063</c:v>
                </c:pt>
                <c:pt idx="5807">
                  <c:v>43064</c:v>
                </c:pt>
                <c:pt idx="5808">
                  <c:v>43065</c:v>
                </c:pt>
                <c:pt idx="5809">
                  <c:v>43066</c:v>
                </c:pt>
                <c:pt idx="5810">
                  <c:v>43067</c:v>
                </c:pt>
                <c:pt idx="5811">
                  <c:v>43068</c:v>
                </c:pt>
                <c:pt idx="5812">
                  <c:v>43069</c:v>
                </c:pt>
                <c:pt idx="5813">
                  <c:v>43070</c:v>
                </c:pt>
                <c:pt idx="5814">
                  <c:v>43071</c:v>
                </c:pt>
                <c:pt idx="5815">
                  <c:v>43072</c:v>
                </c:pt>
                <c:pt idx="5816">
                  <c:v>43073</c:v>
                </c:pt>
                <c:pt idx="5817">
                  <c:v>43074</c:v>
                </c:pt>
                <c:pt idx="5818">
                  <c:v>43075</c:v>
                </c:pt>
                <c:pt idx="5819">
                  <c:v>43076</c:v>
                </c:pt>
                <c:pt idx="5820">
                  <c:v>43077</c:v>
                </c:pt>
                <c:pt idx="5821">
                  <c:v>43078</c:v>
                </c:pt>
                <c:pt idx="5822">
                  <c:v>43079</c:v>
                </c:pt>
                <c:pt idx="5823">
                  <c:v>43080</c:v>
                </c:pt>
                <c:pt idx="5824">
                  <c:v>43081</c:v>
                </c:pt>
                <c:pt idx="5825">
                  <c:v>43082</c:v>
                </c:pt>
                <c:pt idx="5826">
                  <c:v>43083</c:v>
                </c:pt>
                <c:pt idx="5827">
                  <c:v>43084</c:v>
                </c:pt>
                <c:pt idx="5828">
                  <c:v>43085</c:v>
                </c:pt>
                <c:pt idx="5829">
                  <c:v>43086</c:v>
                </c:pt>
                <c:pt idx="5830">
                  <c:v>43087</c:v>
                </c:pt>
                <c:pt idx="5831">
                  <c:v>43088</c:v>
                </c:pt>
                <c:pt idx="5832">
                  <c:v>43089</c:v>
                </c:pt>
                <c:pt idx="5833">
                  <c:v>43090</c:v>
                </c:pt>
                <c:pt idx="5834">
                  <c:v>43091</c:v>
                </c:pt>
                <c:pt idx="5835">
                  <c:v>43092</c:v>
                </c:pt>
                <c:pt idx="5836">
                  <c:v>43093</c:v>
                </c:pt>
                <c:pt idx="5837">
                  <c:v>43094</c:v>
                </c:pt>
                <c:pt idx="5838">
                  <c:v>43095</c:v>
                </c:pt>
                <c:pt idx="5839">
                  <c:v>43096</c:v>
                </c:pt>
                <c:pt idx="5840">
                  <c:v>43097</c:v>
                </c:pt>
                <c:pt idx="5841">
                  <c:v>43098</c:v>
                </c:pt>
                <c:pt idx="5842">
                  <c:v>43099</c:v>
                </c:pt>
                <c:pt idx="5843">
                  <c:v>43100</c:v>
                </c:pt>
                <c:pt idx="5844">
                  <c:v>43101</c:v>
                </c:pt>
                <c:pt idx="5845">
                  <c:v>43102</c:v>
                </c:pt>
                <c:pt idx="5846">
                  <c:v>43103</c:v>
                </c:pt>
                <c:pt idx="5847">
                  <c:v>43104</c:v>
                </c:pt>
                <c:pt idx="5848">
                  <c:v>43105</c:v>
                </c:pt>
                <c:pt idx="5849">
                  <c:v>43106</c:v>
                </c:pt>
                <c:pt idx="5850">
                  <c:v>43107</c:v>
                </c:pt>
                <c:pt idx="5851">
                  <c:v>43108</c:v>
                </c:pt>
                <c:pt idx="5852">
                  <c:v>43109</c:v>
                </c:pt>
                <c:pt idx="5853">
                  <c:v>43110</c:v>
                </c:pt>
                <c:pt idx="5854">
                  <c:v>43111</c:v>
                </c:pt>
                <c:pt idx="5855">
                  <c:v>43112</c:v>
                </c:pt>
                <c:pt idx="5856">
                  <c:v>43113</c:v>
                </c:pt>
                <c:pt idx="5857">
                  <c:v>43114</c:v>
                </c:pt>
                <c:pt idx="5858">
                  <c:v>43115</c:v>
                </c:pt>
                <c:pt idx="5859">
                  <c:v>43116</c:v>
                </c:pt>
                <c:pt idx="5860">
                  <c:v>43117</c:v>
                </c:pt>
                <c:pt idx="5861">
                  <c:v>43118</c:v>
                </c:pt>
                <c:pt idx="5862">
                  <c:v>43119</c:v>
                </c:pt>
                <c:pt idx="5863">
                  <c:v>43120</c:v>
                </c:pt>
                <c:pt idx="5864">
                  <c:v>43121</c:v>
                </c:pt>
                <c:pt idx="5865">
                  <c:v>43122</c:v>
                </c:pt>
                <c:pt idx="5866">
                  <c:v>43123</c:v>
                </c:pt>
                <c:pt idx="5867">
                  <c:v>43124</c:v>
                </c:pt>
                <c:pt idx="5868">
                  <c:v>43125</c:v>
                </c:pt>
                <c:pt idx="5869">
                  <c:v>43126</c:v>
                </c:pt>
                <c:pt idx="5870">
                  <c:v>43127</c:v>
                </c:pt>
                <c:pt idx="5871">
                  <c:v>43128</c:v>
                </c:pt>
                <c:pt idx="5872">
                  <c:v>43129</c:v>
                </c:pt>
                <c:pt idx="5873">
                  <c:v>43130</c:v>
                </c:pt>
                <c:pt idx="5874">
                  <c:v>43131</c:v>
                </c:pt>
                <c:pt idx="5875">
                  <c:v>43132</c:v>
                </c:pt>
                <c:pt idx="5876">
                  <c:v>43133</c:v>
                </c:pt>
                <c:pt idx="5877">
                  <c:v>43134</c:v>
                </c:pt>
                <c:pt idx="5878">
                  <c:v>43135</c:v>
                </c:pt>
                <c:pt idx="5879">
                  <c:v>43136</c:v>
                </c:pt>
                <c:pt idx="5880">
                  <c:v>43137</c:v>
                </c:pt>
                <c:pt idx="5881">
                  <c:v>43138</c:v>
                </c:pt>
                <c:pt idx="5882">
                  <c:v>43139</c:v>
                </c:pt>
                <c:pt idx="5883">
                  <c:v>43140</c:v>
                </c:pt>
                <c:pt idx="5884">
                  <c:v>43141</c:v>
                </c:pt>
                <c:pt idx="5885">
                  <c:v>43142</c:v>
                </c:pt>
                <c:pt idx="5886">
                  <c:v>43143</c:v>
                </c:pt>
                <c:pt idx="5887">
                  <c:v>43144</c:v>
                </c:pt>
                <c:pt idx="5888">
                  <c:v>43145</c:v>
                </c:pt>
                <c:pt idx="5889">
                  <c:v>43146</c:v>
                </c:pt>
                <c:pt idx="5890">
                  <c:v>43147</c:v>
                </c:pt>
                <c:pt idx="5891">
                  <c:v>43148</c:v>
                </c:pt>
                <c:pt idx="5892">
                  <c:v>43149</c:v>
                </c:pt>
                <c:pt idx="5893">
                  <c:v>43150</c:v>
                </c:pt>
                <c:pt idx="5894">
                  <c:v>43151</c:v>
                </c:pt>
                <c:pt idx="5895">
                  <c:v>43152</c:v>
                </c:pt>
                <c:pt idx="5896">
                  <c:v>43153</c:v>
                </c:pt>
                <c:pt idx="5897">
                  <c:v>43154</c:v>
                </c:pt>
                <c:pt idx="5898">
                  <c:v>43155</c:v>
                </c:pt>
                <c:pt idx="5899">
                  <c:v>43156</c:v>
                </c:pt>
                <c:pt idx="5900">
                  <c:v>43157</c:v>
                </c:pt>
                <c:pt idx="5901">
                  <c:v>43158</c:v>
                </c:pt>
                <c:pt idx="5902">
                  <c:v>43159</c:v>
                </c:pt>
                <c:pt idx="5903">
                  <c:v>43160</c:v>
                </c:pt>
                <c:pt idx="5904">
                  <c:v>43161</c:v>
                </c:pt>
                <c:pt idx="5905">
                  <c:v>43162</c:v>
                </c:pt>
                <c:pt idx="5906">
                  <c:v>43163</c:v>
                </c:pt>
                <c:pt idx="5907">
                  <c:v>43164</c:v>
                </c:pt>
                <c:pt idx="5908">
                  <c:v>43165</c:v>
                </c:pt>
                <c:pt idx="5909">
                  <c:v>43166</c:v>
                </c:pt>
                <c:pt idx="5910">
                  <c:v>43167</c:v>
                </c:pt>
                <c:pt idx="5911">
                  <c:v>43168</c:v>
                </c:pt>
                <c:pt idx="5912">
                  <c:v>43169</c:v>
                </c:pt>
                <c:pt idx="5913">
                  <c:v>43170</c:v>
                </c:pt>
                <c:pt idx="5914">
                  <c:v>43171</c:v>
                </c:pt>
                <c:pt idx="5915">
                  <c:v>43172</c:v>
                </c:pt>
                <c:pt idx="5916">
                  <c:v>43173</c:v>
                </c:pt>
                <c:pt idx="5917">
                  <c:v>43174</c:v>
                </c:pt>
                <c:pt idx="5918">
                  <c:v>43175</c:v>
                </c:pt>
                <c:pt idx="5919">
                  <c:v>43176</c:v>
                </c:pt>
                <c:pt idx="5920">
                  <c:v>43177</c:v>
                </c:pt>
                <c:pt idx="5921">
                  <c:v>43178</c:v>
                </c:pt>
                <c:pt idx="5922">
                  <c:v>43179</c:v>
                </c:pt>
                <c:pt idx="5923">
                  <c:v>43180</c:v>
                </c:pt>
                <c:pt idx="5924">
                  <c:v>43181</c:v>
                </c:pt>
                <c:pt idx="5925">
                  <c:v>43182</c:v>
                </c:pt>
                <c:pt idx="5926">
                  <c:v>43183</c:v>
                </c:pt>
                <c:pt idx="5927">
                  <c:v>43184</c:v>
                </c:pt>
                <c:pt idx="5928">
                  <c:v>43185</c:v>
                </c:pt>
                <c:pt idx="5929">
                  <c:v>43186</c:v>
                </c:pt>
                <c:pt idx="5930">
                  <c:v>43187</c:v>
                </c:pt>
                <c:pt idx="5931">
                  <c:v>43188</c:v>
                </c:pt>
                <c:pt idx="5932">
                  <c:v>43189</c:v>
                </c:pt>
                <c:pt idx="5933">
                  <c:v>43190</c:v>
                </c:pt>
                <c:pt idx="5934">
                  <c:v>43191</c:v>
                </c:pt>
                <c:pt idx="5935">
                  <c:v>43192</c:v>
                </c:pt>
                <c:pt idx="5936">
                  <c:v>43193</c:v>
                </c:pt>
                <c:pt idx="5937">
                  <c:v>43194</c:v>
                </c:pt>
                <c:pt idx="5938">
                  <c:v>43195</c:v>
                </c:pt>
                <c:pt idx="5939">
                  <c:v>43196</c:v>
                </c:pt>
                <c:pt idx="5940">
                  <c:v>43197</c:v>
                </c:pt>
                <c:pt idx="5941">
                  <c:v>43198</c:v>
                </c:pt>
                <c:pt idx="5942">
                  <c:v>43199</c:v>
                </c:pt>
                <c:pt idx="5943">
                  <c:v>43200</c:v>
                </c:pt>
                <c:pt idx="5944">
                  <c:v>43201</c:v>
                </c:pt>
                <c:pt idx="5945">
                  <c:v>43202</c:v>
                </c:pt>
                <c:pt idx="5946">
                  <c:v>43203</c:v>
                </c:pt>
                <c:pt idx="5947">
                  <c:v>43204</c:v>
                </c:pt>
                <c:pt idx="5948">
                  <c:v>43205</c:v>
                </c:pt>
                <c:pt idx="5949">
                  <c:v>43206</c:v>
                </c:pt>
                <c:pt idx="5950">
                  <c:v>43207</c:v>
                </c:pt>
                <c:pt idx="5951">
                  <c:v>43208</c:v>
                </c:pt>
                <c:pt idx="5952">
                  <c:v>43209</c:v>
                </c:pt>
                <c:pt idx="5953">
                  <c:v>43210</c:v>
                </c:pt>
                <c:pt idx="5954">
                  <c:v>43211</c:v>
                </c:pt>
                <c:pt idx="5955">
                  <c:v>43212</c:v>
                </c:pt>
                <c:pt idx="5956">
                  <c:v>43213</c:v>
                </c:pt>
                <c:pt idx="5957">
                  <c:v>43214</c:v>
                </c:pt>
                <c:pt idx="5958">
                  <c:v>43215</c:v>
                </c:pt>
                <c:pt idx="5959">
                  <c:v>43216</c:v>
                </c:pt>
                <c:pt idx="5960">
                  <c:v>43217</c:v>
                </c:pt>
                <c:pt idx="5961">
                  <c:v>43218</c:v>
                </c:pt>
                <c:pt idx="5962">
                  <c:v>43219</c:v>
                </c:pt>
                <c:pt idx="5963">
                  <c:v>43220</c:v>
                </c:pt>
                <c:pt idx="5964">
                  <c:v>43221</c:v>
                </c:pt>
                <c:pt idx="5965">
                  <c:v>43222</c:v>
                </c:pt>
                <c:pt idx="5966">
                  <c:v>43223</c:v>
                </c:pt>
                <c:pt idx="5967">
                  <c:v>43224</c:v>
                </c:pt>
                <c:pt idx="5968">
                  <c:v>43225</c:v>
                </c:pt>
                <c:pt idx="5969">
                  <c:v>43226</c:v>
                </c:pt>
                <c:pt idx="5970">
                  <c:v>43227</c:v>
                </c:pt>
                <c:pt idx="5971">
                  <c:v>43228</c:v>
                </c:pt>
                <c:pt idx="5972">
                  <c:v>43229</c:v>
                </c:pt>
                <c:pt idx="5973">
                  <c:v>43230</c:v>
                </c:pt>
                <c:pt idx="5974">
                  <c:v>43231</c:v>
                </c:pt>
                <c:pt idx="5975">
                  <c:v>43232</c:v>
                </c:pt>
                <c:pt idx="5976">
                  <c:v>43233</c:v>
                </c:pt>
                <c:pt idx="5977">
                  <c:v>43234</c:v>
                </c:pt>
                <c:pt idx="5978">
                  <c:v>43235</c:v>
                </c:pt>
                <c:pt idx="5979">
                  <c:v>43236</c:v>
                </c:pt>
                <c:pt idx="5980">
                  <c:v>43237</c:v>
                </c:pt>
                <c:pt idx="5981">
                  <c:v>43238</c:v>
                </c:pt>
                <c:pt idx="5982">
                  <c:v>43239</c:v>
                </c:pt>
                <c:pt idx="5983">
                  <c:v>43240</c:v>
                </c:pt>
                <c:pt idx="5984">
                  <c:v>43241</c:v>
                </c:pt>
                <c:pt idx="5985">
                  <c:v>43242</c:v>
                </c:pt>
                <c:pt idx="5986">
                  <c:v>43243</c:v>
                </c:pt>
                <c:pt idx="5987">
                  <c:v>43244</c:v>
                </c:pt>
                <c:pt idx="5988">
                  <c:v>43245</c:v>
                </c:pt>
                <c:pt idx="5989">
                  <c:v>43246</c:v>
                </c:pt>
                <c:pt idx="5990">
                  <c:v>43247</c:v>
                </c:pt>
                <c:pt idx="5991">
                  <c:v>43248</c:v>
                </c:pt>
                <c:pt idx="5992">
                  <c:v>43249</c:v>
                </c:pt>
                <c:pt idx="5993">
                  <c:v>43250</c:v>
                </c:pt>
                <c:pt idx="5994">
                  <c:v>43251</c:v>
                </c:pt>
                <c:pt idx="5995">
                  <c:v>43252</c:v>
                </c:pt>
                <c:pt idx="5996">
                  <c:v>43253</c:v>
                </c:pt>
                <c:pt idx="5997">
                  <c:v>43254</c:v>
                </c:pt>
                <c:pt idx="5998">
                  <c:v>43255</c:v>
                </c:pt>
                <c:pt idx="5999">
                  <c:v>43256</c:v>
                </c:pt>
                <c:pt idx="6000">
                  <c:v>43257</c:v>
                </c:pt>
                <c:pt idx="6001">
                  <c:v>43258</c:v>
                </c:pt>
                <c:pt idx="6002">
                  <c:v>43259</c:v>
                </c:pt>
                <c:pt idx="6003">
                  <c:v>43260</c:v>
                </c:pt>
                <c:pt idx="6004">
                  <c:v>43261</c:v>
                </c:pt>
                <c:pt idx="6005">
                  <c:v>43262</c:v>
                </c:pt>
                <c:pt idx="6006">
                  <c:v>43263</c:v>
                </c:pt>
                <c:pt idx="6007">
                  <c:v>43264</c:v>
                </c:pt>
                <c:pt idx="6008">
                  <c:v>43265</c:v>
                </c:pt>
                <c:pt idx="6009">
                  <c:v>43266</c:v>
                </c:pt>
                <c:pt idx="6010">
                  <c:v>43267</c:v>
                </c:pt>
                <c:pt idx="6011">
                  <c:v>43268</c:v>
                </c:pt>
                <c:pt idx="6012">
                  <c:v>43269</c:v>
                </c:pt>
                <c:pt idx="6013">
                  <c:v>43270</c:v>
                </c:pt>
                <c:pt idx="6014">
                  <c:v>43271</c:v>
                </c:pt>
                <c:pt idx="6015">
                  <c:v>43272</c:v>
                </c:pt>
                <c:pt idx="6016">
                  <c:v>43273</c:v>
                </c:pt>
                <c:pt idx="6017">
                  <c:v>43274</c:v>
                </c:pt>
                <c:pt idx="6018">
                  <c:v>43275</c:v>
                </c:pt>
                <c:pt idx="6019">
                  <c:v>43276</c:v>
                </c:pt>
                <c:pt idx="6020">
                  <c:v>43277</c:v>
                </c:pt>
                <c:pt idx="6021">
                  <c:v>43278</c:v>
                </c:pt>
                <c:pt idx="6022">
                  <c:v>43279</c:v>
                </c:pt>
                <c:pt idx="6023">
                  <c:v>43280</c:v>
                </c:pt>
                <c:pt idx="6024">
                  <c:v>43281</c:v>
                </c:pt>
                <c:pt idx="6025">
                  <c:v>43282</c:v>
                </c:pt>
                <c:pt idx="6026">
                  <c:v>43283</c:v>
                </c:pt>
                <c:pt idx="6027">
                  <c:v>43284</c:v>
                </c:pt>
                <c:pt idx="6028">
                  <c:v>43285</c:v>
                </c:pt>
                <c:pt idx="6029">
                  <c:v>43286</c:v>
                </c:pt>
                <c:pt idx="6030">
                  <c:v>43287</c:v>
                </c:pt>
                <c:pt idx="6031">
                  <c:v>43288</c:v>
                </c:pt>
                <c:pt idx="6032">
                  <c:v>43289</c:v>
                </c:pt>
                <c:pt idx="6033">
                  <c:v>43290</c:v>
                </c:pt>
                <c:pt idx="6034">
                  <c:v>43291</c:v>
                </c:pt>
                <c:pt idx="6035">
                  <c:v>43292</c:v>
                </c:pt>
                <c:pt idx="6036">
                  <c:v>43293</c:v>
                </c:pt>
                <c:pt idx="6037">
                  <c:v>43294</c:v>
                </c:pt>
                <c:pt idx="6038">
                  <c:v>43295</c:v>
                </c:pt>
                <c:pt idx="6039">
                  <c:v>43296</c:v>
                </c:pt>
                <c:pt idx="6040">
                  <c:v>43297</c:v>
                </c:pt>
                <c:pt idx="6041">
                  <c:v>43298</c:v>
                </c:pt>
                <c:pt idx="6042">
                  <c:v>43299</c:v>
                </c:pt>
                <c:pt idx="6043">
                  <c:v>43300</c:v>
                </c:pt>
                <c:pt idx="6044">
                  <c:v>43301</c:v>
                </c:pt>
                <c:pt idx="6045">
                  <c:v>43302</c:v>
                </c:pt>
                <c:pt idx="6046">
                  <c:v>43303</c:v>
                </c:pt>
                <c:pt idx="6047">
                  <c:v>43304</c:v>
                </c:pt>
                <c:pt idx="6048">
                  <c:v>43305</c:v>
                </c:pt>
                <c:pt idx="6049">
                  <c:v>43306</c:v>
                </c:pt>
                <c:pt idx="6050">
                  <c:v>43307</c:v>
                </c:pt>
                <c:pt idx="6051">
                  <c:v>43308</c:v>
                </c:pt>
                <c:pt idx="6052">
                  <c:v>43309</c:v>
                </c:pt>
                <c:pt idx="6053">
                  <c:v>43310</c:v>
                </c:pt>
                <c:pt idx="6054">
                  <c:v>43311</c:v>
                </c:pt>
                <c:pt idx="6055">
                  <c:v>43312</c:v>
                </c:pt>
                <c:pt idx="6056">
                  <c:v>43313</c:v>
                </c:pt>
                <c:pt idx="6057">
                  <c:v>43314</c:v>
                </c:pt>
                <c:pt idx="6058">
                  <c:v>43315</c:v>
                </c:pt>
                <c:pt idx="6059">
                  <c:v>43316</c:v>
                </c:pt>
                <c:pt idx="6060">
                  <c:v>43317</c:v>
                </c:pt>
                <c:pt idx="6061">
                  <c:v>43318</c:v>
                </c:pt>
                <c:pt idx="6062">
                  <c:v>43319</c:v>
                </c:pt>
                <c:pt idx="6063">
                  <c:v>43320</c:v>
                </c:pt>
                <c:pt idx="6064">
                  <c:v>43321</c:v>
                </c:pt>
                <c:pt idx="6065">
                  <c:v>43322</c:v>
                </c:pt>
                <c:pt idx="6066">
                  <c:v>43323</c:v>
                </c:pt>
                <c:pt idx="6067">
                  <c:v>43324</c:v>
                </c:pt>
                <c:pt idx="6068">
                  <c:v>43325</c:v>
                </c:pt>
                <c:pt idx="6069">
                  <c:v>43326</c:v>
                </c:pt>
                <c:pt idx="6070">
                  <c:v>43327</c:v>
                </c:pt>
                <c:pt idx="6071">
                  <c:v>43328</c:v>
                </c:pt>
                <c:pt idx="6072">
                  <c:v>43329</c:v>
                </c:pt>
                <c:pt idx="6073">
                  <c:v>43330</c:v>
                </c:pt>
                <c:pt idx="6074">
                  <c:v>43331</c:v>
                </c:pt>
                <c:pt idx="6075">
                  <c:v>43332</c:v>
                </c:pt>
                <c:pt idx="6076">
                  <c:v>43333</c:v>
                </c:pt>
                <c:pt idx="6077">
                  <c:v>43334</c:v>
                </c:pt>
                <c:pt idx="6078">
                  <c:v>43335</c:v>
                </c:pt>
                <c:pt idx="6079">
                  <c:v>43336</c:v>
                </c:pt>
                <c:pt idx="6080">
                  <c:v>43337</c:v>
                </c:pt>
                <c:pt idx="6081">
                  <c:v>43338</c:v>
                </c:pt>
                <c:pt idx="6082">
                  <c:v>43339</c:v>
                </c:pt>
                <c:pt idx="6083">
                  <c:v>43340</c:v>
                </c:pt>
                <c:pt idx="6084">
                  <c:v>43341</c:v>
                </c:pt>
                <c:pt idx="6085">
                  <c:v>43342</c:v>
                </c:pt>
                <c:pt idx="6086">
                  <c:v>43343</c:v>
                </c:pt>
                <c:pt idx="6087">
                  <c:v>43344</c:v>
                </c:pt>
                <c:pt idx="6088">
                  <c:v>43345</c:v>
                </c:pt>
                <c:pt idx="6089">
                  <c:v>43346</c:v>
                </c:pt>
                <c:pt idx="6090">
                  <c:v>43347</c:v>
                </c:pt>
                <c:pt idx="6091">
                  <c:v>43348</c:v>
                </c:pt>
                <c:pt idx="6092">
                  <c:v>43349</c:v>
                </c:pt>
                <c:pt idx="6093">
                  <c:v>43350</c:v>
                </c:pt>
                <c:pt idx="6094">
                  <c:v>43351</c:v>
                </c:pt>
                <c:pt idx="6095">
                  <c:v>43352</c:v>
                </c:pt>
                <c:pt idx="6096">
                  <c:v>43353</c:v>
                </c:pt>
                <c:pt idx="6097">
                  <c:v>43354</c:v>
                </c:pt>
                <c:pt idx="6098">
                  <c:v>43355</c:v>
                </c:pt>
                <c:pt idx="6099">
                  <c:v>43356</c:v>
                </c:pt>
                <c:pt idx="6100">
                  <c:v>43357</c:v>
                </c:pt>
                <c:pt idx="6101">
                  <c:v>43358</c:v>
                </c:pt>
                <c:pt idx="6102">
                  <c:v>43359</c:v>
                </c:pt>
                <c:pt idx="6103">
                  <c:v>43360</c:v>
                </c:pt>
                <c:pt idx="6104">
                  <c:v>43361</c:v>
                </c:pt>
                <c:pt idx="6105">
                  <c:v>43362</c:v>
                </c:pt>
                <c:pt idx="6106">
                  <c:v>43363</c:v>
                </c:pt>
                <c:pt idx="6107">
                  <c:v>43364</c:v>
                </c:pt>
                <c:pt idx="6108">
                  <c:v>43365</c:v>
                </c:pt>
                <c:pt idx="6109">
                  <c:v>43366</c:v>
                </c:pt>
                <c:pt idx="6110">
                  <c:v>43367</c:v>
                </c:pt>
                <c:pt idx="6111">
                  <c:v>43368</c:v>
                </c:pt>
                <c:pt idx="6112">
                  <c:v>43369</c:v>
                </c:pt>
                <c:pt idx="6113">
                  <c:v>43370</c:v>
                </c:pt>
                <c:pt idx="6114">
                  <c:v>43371</c:v>
                </c:pt>
                <c:pt idx="6115">
                  <c:v>43372</c:v>
                </c:pt>
                <c:pt idx="6116">
                  <c:v>43373</c:v>
                </c:pt>
                <c:pt idx="6117">
                  <c:v>43374</c:v>
                </c:pt>
                <c:pt idx="6118">
                  <c:v>43375</c:v>
                </c:pt>
                <c:pt idx="6119">
                  <c:v>43376</c:v>
                </c:pt>
                <c:pt idx="6120">
                  <c:v>43377</c:v>
                </c:pt>
                <c:pt idx="6121">
                  <c:v>43378</c:v>
                </c:pt>
                <c:pt idx="6122">
                  <c:v>43379</c:v>
                </c:pt>
                <c:pt idx="6123">
                  <c:v>43380</c:v>
                </c:pt>
                <c:pt idx="6124">
                  <c:v>43381</c:v>
                </c:pt>
                <c:pt idx="6125">
                  <c:v>43382</c:v>
                </c:pt>
                <c:pt idx="6126">
                  <c:v>43383</c:v>
                </c:pt>
                <c:pt idx="6127">
                  <c:v>43384</c:v>
                </c:pt>
                <c:pt idx="6128">
                  <c:v>43385</c:v>
                </c:pt>
                <c:pt idx="6129">
                  <c:v>43386</c:v>
                </c:pt>
                <c:pt idx="6130">
                  <c:v>43387</c:v>
                </c:pt>
                <c:pt idx="6131">
                  <c:v>43388</c:v>
                </c:pt>
                <c:pt idx="6132">
                  <c:v>43389</c:v>
                </c:pt>
                <c:pt idx="6133">
                  <c:v>43390</c:v>
                </c:pt>
                <c:pt idx="6134">
                  <c:v>43391</c:v>
                </c:pt>
                <c:pt idx="6135">
                  <c:v>43392</c:v>
                </c:pt>
                <c:pt idx="6136">
                  <c:v>43393</c:v>
                </c:pt>
                <c:pt idx="6137">
                  <c:v>43394</c:v>
                </c:pt>
                <c:pt idx="6138">
                  <c:v>43395</c:v>
                </c:pt>
                <c:pt idx="6139">
                  <c:v>43396</c:v>
                </c:pt>
                <c:pt idx="6140">
                  <c:v>43397</c:v>
                </c:pt>
                <c:pt idx="6141">
                  <c:v>43398</c:v>
                </c:pt>
                <c:pt idx="6142">
                  <c:v>43399</c:v>
                </c:pt>
                <c:pt idx="6143">
                  <c:v>43400</c:v>
                </c:pt>
                <c:pt idx="6144">
                  <c:v>43401</c:v>
                </c:pt>
                <c:pt idx="6145">
                  <c:v>43402</c:v>
                </c:pt>
                <c:pt idx="6146">
                  <c:v>43403</c:v>
                </c:pt>
                <c:pt idx="6147">
                  <c:v>43404</c:v>
                </c:pt>
                <c:pt idx="6148">
                  <c:v>43405</c:v>
                </c:pt>
                <c:pt idx="6149">
                  <c:v>43406</c:v>
                </c:pt>
                <c:pt idx="6150">
                  <c:v>43407</c:v>
                </c:pt>
                <c:pt idx="6151">
                  <c:v>43408</c:v>
                </c:pt>
                <c:pt idx="6152">
                  <c:v>43409</c:v>
                </c:pt>
                <c:pt idx="6153">
                  <c:v>43410</c:v>
                </c:pt>
                <c:pt idx="6154">
                  <c:v>43411</c:v>
                </c:pt>
                <c:pt idx="6155">
                  <c:v>43412</c:v>
                </c:pt>
                <c:pt idx="6156">
                  <c:v>43413</c:v>
                </c:pt>
                <c:pt idx="6157">
                  <c:v>43414</c:v>
                </c:pt>
                <c:pt idx="6158">
                  <c:v>43415</c:v>
                </c:pt>
                <c:pt idx="6159">
                  <c:v>43416</c:v>
                </c:pt>
                <c:pt idx="6160">
                  <c:v>43417</c:v>
                </c:pt>
                <c:pt idx="6161">
                  <c:v>43418</c:v>
                </c:pt>
                <c:pt idx="6162">
                  <c:v>43419</c:v>
                </c:pt>
                <c:pt idx="6163">
                  <c:v>43420</c:v>
                </c:pt>
                <c:pt idx="6164">
                  <c:v>43421</c:v>
                </c:pt>
                <c:pt idx="6165">
                  <c:v>43422</c:v>
                </c:pt>
                <c:pt idx="6166">
                  <c:v>43423</c:v>
                </c:pt>
                <c:pt idx="6167">
                  <c:v>43424</c:v>
                </c:pt>
                <c:pt idx="6168">
                  <c:v>43425</c:v>
                </c:pt>
                <c:pt idx="6169">
                  <c:v>43426</c:v>
                </c:pt>
                <c:pt idx="6170">
                  <c:v>43427</c:v>
                </c:pt>
                <c:pt idx="6171">
                  <c:v>43428</c:v>
                </c:pt>
                <c:pt idx="6172">
                  <c:v>43429</c:v>
                </c:pt>
                <c:pt idx="6173">
                  <c:v>43430</c:v>
                </c:pt>
                <c:pt idx="6174">
                  <c:v>43431</c:v>
                </c:pt>
                <c:pt idx="6175">
                  <c:v>43432</c:v>
                </c:pt>
                <c:pt idx="6176">
                  <c:v>43433</c:v>
                </c:pt>
                <c:pt idx="6177">
                  <c:v>43434</c:v>
                </c:pt>
                <c:pt idx="6178">
                  <c:v>43435</c:v>
                </c:pt>
                <c:pt idx="6179">
                  <c:v>43436</c:v>
                </c:pt>
                <c:pt idx="6180">
                  <c:v>43437</c:v>
                </c:pt>
                <c:pt idx="6181">
                  <c:v>43438</c:v>
                </c:pt>
                <c:pt idx="6182">
                  <c:v>43439</c:v>
                </c:pt>
                <c:pt idx="6183">
                  <c:v>43440</c:v>
                </c:pt>
                <c:pt idx="6184">
                  <c:v>43441</c:v>
                </c:pt>
                <c:pt idx="6185">
                  <c:v>43442</c:v>
                </c:pt>
                <c:pt idx="6186">
                  <c:v>43443</c:v>
                </c:pt>
                <c:pt idx="6187">
                  <c:v>43444</c:v>
                </c:pt>
                <c:pt idx="6188">
                  <c:v>43445</c:v>
                </c:pt>
                <c:pt idx="6189">
                  <c:v>43446</c:v>
                </c:pt>
                <c:pt idx="6190">
                  <c:v>43447</c:v>
                </c:pt>
                <c:pt idx="6191">
                  <c:v>43448</c:v>
                </c:pt>
                <c:pt idx="6192">
                  <c:v>43449</c:v>
                </c:pt>
                <c:pt idx="6193">
                  <c:v>43450</c:v>
                </c:pt>
                <c:pt idx="6194">
                  <c:v>43451</c:v>
                </c:pt>
                <c:pt idx="6195">
                  <c:v>43452</c:v>
                </c:pt>
                <c:pt idx="6196">
                  <c:v>43453</c:v>
                </c:pt>
                <c:pt idx="6197">
                  <c:v>43454</c:v>
                </c:pt>
                <c:pt idx="6198">
                  <c:v>43455</c:v>
                </c:pt>
                <c:pt idx="6199">
                  <c:v>43456</c:v>
                </c:pt>
                <c:pt idx="6200">
                  <c:v>43457</c:v>
                </c:pt>
                <c:pt idx="6201">
                  <c:v>43458</c:v>
                </c:pt>
                <c:pt idx="6202">
                  <c:v>43459</c:v>
                </c:pt>
                <c:pt idx="6203">
                  <c:v>43460</c:v>
                </c:pt>
                <c:pt idx="6204">
                  <c:v>43461</c:v>
                </c:pt>
                <c:pt idx="6205">
                  <c:v>43462</c:v>
                </c:pt>
                <c:pt idx="6206">
                  <c:v>43463</c:v>
                </c:pt>
                <c:pt idx="6207">
                  <c:v>43464</c:v>
                </c:pt>
                <c:pt idx="6208">
                  <c:v>43465</c:v>
                </c:pt>
                <c:pt idx="6209">
                  <c:v>43466</c:v>
                </c:pt>
                <c:pt idx="6210">
                  <c:v>43467</c:v>
                </c:pt>
                <c:pt idx="6211">
                  <c:v>43468</c:v>
                </c:pt>
                <c:pt idx="6212">
                  <c:v>43469</c:v>
                </c:pt>
                <c:pt idx="6213">
                  <c:v>43470</c:v>
                </c:pt>
                <c:pt idx="6214">
                  <c:v>43471</c:v>
                </c:pt>
                <c:pt idx="6215">
                  <c:v>43472</c:v>
                </c:pt>
                <c:pt idx="6216">
                  <c:v>43473</c:v>
                </c:pt>
                <c:pt idx="6217">
                  <c:v>43474</c:v>
                </c:pt>
                <c:pt idx="6218">
                  <c:v>43475</c:v>
                </c:pt>
                <c:pt idx="6219">
                  <c:v>43476</c:v>
                </c:pt>
                <c:pt idx="6220">
                  <c:v>43477</c:v>
                </c:pt>
                <c:pt idx="6221">
                  <c:v>43478</c:v>
                </c:pt>
                <c:pt idx="6222">
                  <c:v>43479</c:v>
                </c:pt>
                <c:pt idx="6223">
                  <c:v>43480</c:v>
                </c:pt>
                <c:pt idx="6224">
                  <c:v>43481</c:v>
                </c:pt>
                <c:pt idx="6225">
                  <c:v>43482</c:v>
                </c:pt>
                <c:pt idx="6226">
                  <c:v>43483</c:v>
                </c:pt>
                <c:pt idx="6227">
                  <c:v>43484</c:v>
                </c:pt>
                <c:pt idx="6228">
                  <c:v>43485</c:v>
                </c:pt>
                <c:pt idx="6229">
                  <c:v>43486</c:v>
                </c:pt>
                <c:pt idx="6230">
                  <c:v>43487</c:v>
                </c:pt>
                <c:pt idx="6231">
                  <c:v>43488</c:v>
                </c:pt>
                <c:pt idx="6232">
                  <c:v>43489</c:v>
                </c:pt>
                <c:pt idx="6233">
                  <c:v>43490</c:v>
                </c:pt>
                <c:pt idx="6234">
                  <c:v>43491</c:v>
                </c:pt>
                <c:pt idx="6235">
                  <c:v>43492</c:v>
                </c:pt>
                <c:pt idx="6236">
                  <c:v>43493</c:v>
                </c:pt>
                <c:pt idx="6237">
                  <c:v>43494</c:v>
                </c:pt>
                <c:pt idx="6238">
                  <c:v>43495</c:v>
                </c:pt>
                <c:pt idx="6239">
                  <c:v>43496</c:v>
                </c:pt>
                <c:pt idx="6240">
                  <c:v>43497</c:v>
                </c:pt>
                <c:pt idx="6241">
                  <c:v>43498</c:v>
                </c:pt>
                <c:pt idx="6242">
                  <c:v>43499</c:v>
                </c:pt>
                <c:pt idx="6243">
                  <c:v>43500</c:v>
                </c:pt>
                <c:pt idx="6244">
                  <c:v>43501</c:v>
                </c:pt>
                <c:pt idx="6245">
                  <c:v>43502</c:v>
                </c:pt>
                <c:pt idx="6246">
                  <c:v>43503</c:v>
                </c:pt>
                <c:pt idx="6247">
                  <c:v>43504</c:v>
                </c:pt>
                <c:pt idx="6248">
                  <c:v>43505</c:v>
                </c:pt>
                <c:pt idx="6249">
                  <c:v>43506</c:v>
                </c:pt>
                <c:pt idx="6250">
                  <c:v>43507</c:v>
                </c:pt>
                <c:pt idx="6251">
                  <c:v>43508</c:v>
                </c:pt>
                <c:pt idx="6252">
                  <c:v>43509</c:v>
                </c:pt>
                <c:pt idx="6253">
                  <c:v>43510</c:v>
                </c:pt>
                <c:pt idx="6254">
                  <c:v>43511</c:v>
                </c:pt>
                <c:pt idx="6255">
                  <c:v>43512</c:v>
                </c:pt>
                <c:pt idx="6256">
                  <c:v>43513</c:v>
                </c:pt>
                <c:pt idx="6257">
                  <c:v>43514</c:v>
                </c:pt>
                <c:pt idx="6258">
                  <c:v>43515</c:v>
                </c:pt>
                <c:pt idx="6259">
                  <c:v>43516</c:v>
                </c:pt>
                <c:pt idx="6260">
                  <c:v>43517</c:v>
                </c:pt>
                <c:pt idx="6261">
                  <c:v>43518</c:v>
                </c:pt>
                <c:pt idx="6262">
                  <c:v>43519</c:v>
                </c:pt>
                <c:pt idx="6263">
                  <c:v>43520</c:v>
                </c:pt>
                <c:pt idx="6264">
                  <c:v>43521</c:v>
                </c:pt>
                <c:pt idx="6265">
                  <c:v>43522</c:v>
                </c:pt>
                <c:pt idx="6266">
                  <c:v>43523</c:v>
                </c:pt>
                <c:pt idx="6267">
                  <c:v>43524</c:v>
                </c:pt>
                <c:pt idx="6268">
                  <c:v>43525</c:v>
                </c:pt>
                <c:pt idx="6269">
                  <c:v>43526</c:v>
                </c:pt>
                <c:pt idx="6270">
                  <c:v>43527</c:v>
                </c:pt>
                <c:pt idx="6271">
                  <c:v>43528</c:v>
                </c:pt>
                <c:pt idx="6272">
                  <c:v>43529</c:v>
                </c:pt>
                <c:pt idx="6273">
                  <c:v>43530</c:v>
                </c:pt>
                <c:pt idx="6274">
                  <c:v>43531</c:v>
                </c:pt>
                <c:pt idx="6275">
                  <c:v>43532</c:v>
                </c:pt>
                <c:pt idx="6276">
                  <c:v>43533</c:v>
                </c:pt>
                <c:pt idx="6277">
                  <c:v>43534</c:v>
                </c:pt>
                <c:pt idx="6278">
                  <c:v>43535</c:v>
                </c:pt>
                <c:pt idx="6279">
                  <c:v>43536</c:v>
                </c:pt>
                <c:pt idx="6280">
                  <c:v>43537</c:v>
                </c:pt>
                <c:pt idx="6281">
                  <c:v>43538</c:v>
                </c:pt>
                <c:pt idx="6282">
                  <c:v>43539</c:v>
                </c:pt>
                <c:pt idx="6283">
                  <c:v>43540</c:v>
                </c:pt>
                <c:pt idx="6284">
                  <c:v>43541</c:v>
                </c:pt>
                <c:pt idx="6285">
                  <c:v>43542</c:v>
                </c:pt>
                <c:pt idx="6286">
                  <c:v>43543</c:v>
                </c:pt>
                <c:pt idx="6287">
                  <c:v>43544</c:v>
                </c:pt>
                <c:pt idx="6288">
                  <c:v>43545</c:v>
                </c:pt>
                <c:pt idx="6289">
                  <c:v>43546</c:v>
                </c:pt>
                <c:pt idx="6290">
                  <c:v>43547</c:v>
                </c:pt>
                <c:pt idx="6291">
                  <c:v>43548</c:v>
                </c:pt>
                <c:pt idx="6292">
                  <c:v>43549</c:v>
                </c:pt>
                <c:pt idx="6293">
                  <c:v>43550</c:v>
                </c:pt>
                <c:pt idx="6294">
                  <c:v>43551</c:v>
                </c:pt>
                <c:pt idx="6295">
                  <c:v>43552</c:v>
                </c:pt>
                <c:pt idx="6296">
                  <c:v>43553</c:v>
                </c:pt>
                <c:pt idx="6297">
                  <c:v>43554</c:v>
                </c:pt>
                <c:pt idx="6298">
                  <c:v>43555</c:v>
                </c:pt>
                <c:pt idx="6299">
                  <c:v>43556</c:v>
                </c:pt>
                <c:pt idx="6300">
                  <c:v>43557</c:v>
                </c:pt>
                <c:pt idx="6301">
                  <c:v>43558</c:v>
                </c:pt>
                <c:pt idx="6302">
                  <c:v>43559</c:v>
                </c:pt>
                <c:pt idx="6303">
                  <c:v>43560</c:v>
                </c:pt>
                <c:pt idx="6304">
                  <c:v>43561</c:v>
                </c:pt>
                <c:pt idx="6305">
                  <c:v>43562</c:v>
                </c:pt>
                <c:pt idx="6306">
                  <c:v>43563</c:v>
                </c:pt>
                <c:pt idx="6307">
                  <c:v>43564</c:v>
                </c:pt>
                <c:pt idx="6308">
                  <c:v>43565</c:v>
                </c:pt>
                <c:pt idx="6309">
                  <c:v>43566</c:v>
                </c:pt>
                <c:pt idx="6310">
                  <c:v>43567</c:v>
                </c:pt>
                <c:pt idx="6311">
                  <c:v>43568</c:v>
                </c:pt>
                <c:pt idx="6312">
                  <c:v>43569</c:v>
                </c:pt>
                <c:pt idx="6313">
                  <c:v>43570</c:v>
                </c:pt>
                <c:pt idx="6314">
                  <c:v>43571</c:v>
                </c:pt>
                <c:pt idx="6315">
                  <c:v>43572</c:v>
                </c:pt>
                <c:pt idx="6316">
                  <c:v>43573</c:v>
                </c:pt>
                <c:pt idx="6317">
                  <c:v>43574</c:v>
                </c:pt>
                <c:pt idx="6318">
                  <c:v>43575</c:v>
                </c:pt>
                <c:pt idx="6319">
                  <c:v>43576</c:v>
                </c:pt>
                <c:pt idx="6320">
                  <c:v>43577</c:v>
                </c:pt>
                <c:pt idx="6321">
                  <c:v>43578</c:v>
                </c:pt>
                <c:pt idx="6322">
                  <c:v>43579</c:v>
                </c:pt>
                <c:pt idx="6323">
                  <c:v>43580</c:v>
                </c:pt>
                <c:pt idx="6324">
                  <c:v>43581</c:v>
                </c:pt>
                <c:pt idx="6325">
                  <c:v>43582</c:v>
                </c:pt>
                <c:pt idx="6326">
                  <c:v>43583</c:v>
                </c:pt>
                <c:pt idx="6327">
                  <c:v>43584</c:v>
                </c:pt>
                <c:pt idx="6328">
                  <c:v>43585</c:v>
                </c:pt>
                <c:pt idx="6329">
                  <c:v>43586</c:v>
                </c:pt>
                <c:pt idx="6330">
                  <c:v>43587</c:v>
                </c:pt>
                <c:pt idx="6331">
                  <c:v>43588</c:v>
                </c:pt>
                <c:pt idx="6332">
                  <c:v>43589</c:v>
                </c:pt>
                <c:pt idx="6333">
                  <c:v>43590</c:v>
                </c:pt>
                <c:pt idx="6334">
                  <c:v>43591</c:v>
                </c:pt>
                <c:pt idx="6335">
                  <c:v>43592</c:v>
                </c:pt>
                <c:pt idx="6336">
                  <c:v>43593</c:v>
                </c:pt>
                <c:pt idx="6337">
                  <c:v>43594</c:v>
                </c:pt>
                <c:pt idx="6338">
                  <c:v>43595</c:v>
                </c:pt>
                <c:pt idx="6339">
                  <c:v>43596</c:v>
                </c:pt>
                <c:pt idx="6340">
                  <c:v>43597</c:v>
                </c:pt>
                <c:pt idx="6341">
                  <c:v>43598</c:v>
                </c:pt>
                <c:pt idx="6342">
                  <c:v>43599</c:v>
                </c:pt>
                <c:pt idx="6343">
                  <c:v>43600</c:v>
                </c:pt>
                <c:pt idx="6344">
                  <c:v>43601</c:v>
                </c:pt>
                <c:pt idx="6345">
                  <c:v>43602</c:v>
                </c:pt>
                <c:pt idx="6346">
                  <c:v>43603</c:v>
                </c:pt>
                <c:pt idx="6347">
                  <c:v>43604</c:v>
                </c:pt>
                <c:pt idx="6348">
                  <c:v>43605</c:v>
                </c:pt>
                <c:pt idx="6349">
                  <c:v>43606</c:v>
                </c:pt>
                <c:pt idx="6350">
                  <c:v>43607</c:v>
                </c:pt>
                <c:pt idx="6351">
                  <c:v>43608</c:v>
                </c:pt>
                <c:pt idx="6352">
                  <c:v>43609</c:v>
                </c:pt>
                <c:pt idx="6353">
                  <c:v>43610</c:v>
                </c:pt>
                <c:pt idx="6354">
                  <c:v>43611</c:v>
                </c:pt>
                <c:pt idx="6355">
                  <c:v>43612</c:v>
                </c:pt>
                <c:pt idx="6356">
                  <c:v>43613</c:v>
                </c:pt>
                <c:pt idx="6357">
                  <c:v>43614</c:v>
                </c:pt>
                <c:pt idx="6358">
                  <c:v>43615</c:v>
                </c:pt>
                <c:pt idx="6359">
                  <c:v>43616</c:v>
                </c:pt>
                <c:pt idx="6360">
                  <c:v>43617</c:v>
                </c:pt>
                <c:pt idx="6361">
                  <c:v>43618</c:v>
                </c:pt>
                <c:pt idx="6362">
                  <c:v>43619</c:v>
                </c:pt>
                <c:pt idx="6363">
                  <c:v>43620</c:v>
                </c:pt>
                <c:pt idx="6364">
                  <c:v>43621</c:v>
                </c:pt>
                <c:pt idx="6365">
                  <c:v>43622</c:v>
                </c:pt>
                <c:pt idx="6366">
                  <c:v>43623</c:v>
                </c:pt>
                <c:pt idx="6367">
                  <c:v>43624</c:v>
                </c:pt>
                <c:pt idx="6368">
                  <c:v>43625</c:v>
                </c:pt>
                <c:pt idx="6369">
                  <c:v>43626</c:v>
                </c:pt>
                <c:pt idx="6370">
                  <c:v>43627</c:v>
                </c:pt>
                <c:pt idx="6371">
                  <c:v>43628</c:v>
                </c:pt>
                <c:pt idx="6372">
                  <c:v>43629</c:v>
                </c:pt>
                <c:pt idx="6373">
                  <c:v>43630</c:v>
                </c:pt>
                <c:pt idx="6374">
                  <c:v>43631</c:v>
                </c:pt>
                <c:pt idx="6375">
                  <c:v>43632</c:v>
                </c:pt>
                <c:pt idx="6376">
                  <c:v>43633</c:v>
                </c:pt>
                <c:pt idx="6377">
                  <c:v>43634</c:v>
                </c:pt>
                <c:pt idx="6378">
                  <c:v>43635</c:v>
                </c:pt>
                <c:pt idx="6379">
                  <c:v>43636</c:v>
                </c:pt>
                <c:pt idx="6380">
                  <c:v>43637</c:v>
                </c:pt>
                <c:pt idx="6381">
                  <c:v>43638</c:v>
                </c:pt>
                <c:pt idx="6382">
                  <c:v>43639</c:v>
                </c:pt>
                <c:pt idx="6383">
                  <c:v>43640</c:v>
                </c:pt>
                <c:pt idx="6384">
                  <c:v>43641</c:v>
                </c:pt>
                <c:pt idx="6385">
                  <c:v>43642</c:v>
                </c:pt>
                <c:pt idx="6386">
                  <c:v>43643</c:v>
                </c:pt>
                <c:pt idx="6387">
                  <c:v>43644</c:v>
                </c:pt>
                <c:pt idx="6388">
                  <c:v>43645</c:v>
                </c:pt>
                <c:pt idx="6389">
                  <c:v>43646</c:v>
                </c:pt>
                <c:pt idx="6390">
                  <c:v>43647</c:v>
                </c:pt>
                <c:pt idx="6391">
                  <c:v>43648</c:v>
                </c:pt>
                <c:pt idx="6392">
                  <c:v>43649</c:v>
                </c:pt>
                <c:pt idx="6393">
                  <c:v>43650</c:v>
                </c:pt>
                <c:pt idx="6394">
                  <c:v>43651</c:v>
                </c:pt>
                <c:pt idx="6395">
                  <c:v>43652</c:v>
                </c:pt>
                <c:pt idx="6396">
                  <c:v>43653</c:v>
                </c:pt>
                <c:pt idx="6397">
                  <c:v>43654</c:v>
                </c:pt>
                <c:pt idx="6398">
                  <c:v>43655</c:v>
                </c:pt>
                <c:pt idx="6399">
                  <c:v>43656</c:v>
                </c:pt>
                <c:pt idx="6400">
                  <c:v>43657</c:v>
                </c:pt>
                <c:pt idx="6401">
                  <c:v>43658</c:v>
                </c:pt>
                <c:pt idx="6402">
                  <c:v>43659</c:v>
                </c:pt>
                <c:pt idx="6403">
                  <c:v>43660</c:v>
                </c:pt>
                <c:pt idx="6404">
                  <c:v>43661</c:v>
                </c:pt>
                <c:pt idx="6405">
                  <c:v>43662</c:v>
                </c:pt>
                <c:pt idx="6406">
                  <c:v>43663</c:v>
                </c:pt>
                <c:pt idx="6407">
                  <c:v>43664</c:v>
                </c:pt>
                <c:pt idx="6408">
                  <c:v>43665</c:v>
                </c:pt>
                <c:pt idx="6409">
                  <c:v>43666</c:v>
                </c:pt>
                <c:pt idx="6410">
                  <c:v>43667</c:v>
                </c:pt>
                <c:pt idx="6411">
                  <c:v>43668</c:v>
                </c:pt>
                <c:pt idx="6412">
                  <c:v>43669</c:v>
                </c:pt>
                <c:pt idx="6413">
                  <c:v>43670</c:v>
                </c:pt>
                <c:pt idx="6414">
                  <c:v>43671</c:v>
                </c:pt>
                <c:pt idx="6415">
                  <c:v>43672</c:v>
                </c:pt>
                <c:pt idx="6416">
                  <c:v>43673</c:v>
                </c:pt>
                <c:pt idx="6417">
                  <c:v>43674</c:v>
                </c:pt>
                <c:pt idx="6418">
                  <c:v>43675</c:v>
                </c:pt>
                <c:pt idx="6419">
                  <c:v>43676</c:v>
                </c:pt>
                <c:pt idx="6420">
                  <c:v>43677</c:v>
                </c:pt>
                <c:pt idx="6421">
                  <c:v>43678</c:v>
                </c:pt>
                <c:pt idx="6422">
                  <c:v>43679</c:v>
                </c:pt>
                <c:pt idx="6423">
                  <c:v>43680</c:v>
                </c:pt>
                <c:pt idx="6424">
                  <c:v>43681</c:v>
                </c:pt>
                <c:pt idx="6425">
                  <c:v>43682</c:v>
                </c:pt>
                <c:pt idx="6426">
                  <c:v>43683</c:v>
                </c:pt>
                <c:pt idx="6427">
                  <c:v>43684</c:v>
                </c:pt>
                <c:pt idx="6428">
                  <c:v>43685</c:v>
                </c:pt>
                <c:pt idx="6429">
                  <c:v>43686</c:v>
                </c:pt>
                <c:pt idx="6430">
                  <c:v>43687</c:v>
                </c:pt>
                <c:pt idx="6431">
                  <c:v>43688</c:v>
                </c:pt>
                <c:pt idx="6432">
                  <c:v>43689</c:v>
                </c:pt>
                <c:pt idx="6433">
                  <c:v>43690</c:v>
                </c:pt>
                <c:pt idx="6434">
                  <c:v>43691</c:v>
                </c:pt>
                <c:pt idx="6435">
                  <c:v>43692</c:v>
                </c:pt>
                <c:pt idx="6436">
                  <c:v>43693</c:v>
                </c:pt>
                <c:pt idx="6437">
                  <c:v>43694</c:v>
                </c:pt>
                <c:pt idx="6438">
                  <c:v>43695</c:v>
                </c:pt>
                <c:pt idx="6439">
                  <c:v>43696</c:v>
                </c:pt>
                <c:pt idx="6440">
                  <c:v>43697</c:v>
                </c:pt>
                <c:pt idx="6441">
                  <c:v>43698</c:v>
                </c:pt>
                <c:pt idx="6442">
                  <c:v>43699</c:v>
                </c:pt>
                <c:pt idx="6443">
                  <c:v>43700</c:v>
                </c:pt>
                <c:pt idx="6444">
                  <c:v>43701</c:v>
                </c:pt>
                <c:pt idx="6445">
                  <c:v>43702</c:v>
                </c:pt>
                <c:pt idx="6446">
                  <c:v>43703</c:v>
                </c:pt>
                <c:pt idx="6447">
                  <c:v>43704</c:v>
                </c:pt>
                <c:pt idx="6448">
                  <c:v>43705</c:v>
                </c:pt>
                <c:pt idx="6449">
                  <c:v>43706</c:v>
                </c:pt>
                <c:pt idx="6450">
                  <c:v>43707</c:v>
                </c:pt>
                <c:pt idx="6451">
                  <c:v>43708</c:v>
                </c:pt>
                <c:pt idx="6452">
                  <c:v>43709</c:v>
                </c:pt>
                <c:pt idx="6453">
                  <c:v>43710</c:v>
                </c:pt>
                <c:pt idx="6454">
                  <c:v>43711</c:v>
                </c:pt>
                <c:pt idx="6455">
                  <c:v>43712</c:v>
                </c:pt>
                <c:pt idx="6456">
                  <c:v>43713</c:v>
                </c:pt>
                <c:pt idx="6457">
                  <c:v>43714</c:v>
                </c:pt>
                <c:pt idx="6458">
                  <c:v>43715</c:v>
                </c:pt>
                <c:pt idx="6459">
                  <c:v>43716</c:v>
                </c:pt>
                <c:pt idx="6460">
                  <c:v>43717</c:v>
                </c:pt>
                <c:pt idx="6461">
                  <c:v>43718</c:v>
                </c:pt>
                <c:pt idx="6462">
                  <c:v>43719</c:v>
                </c:pt>
                <c:pt idx="6463">
                  <c:v>43720</c:v>
                </c:pt>
                <c:pt idx="6464">
                  <c:v>43721</c:v>
                </c:pt>
                <c:pt idx="6465">
                  <c:v>43722</c:v>
                </c:pt>
                <c:pt idx="6466">
                  <c:v>43723</c:v>
                </c:pt>
                <c:pt idx="6467">
                  <c:v>43724</c:v>
                </c:pt>
                <c:pt idx="6468">
                  <c:v>43725</c:v>
                </c:pt>
                <c:pt idx="6469">
                  <c:v>43726</c:v>
                </c:pt>
                <c:pt idx="6470">
                  <c:v>43727</c:v>
                </c:pt>
                <c:pt idx="6471">
                  <c:v>43728</c:v>
                </c:pt>
                <c:pt idx="6472">
                  <c:v>43729</c:v>
                </c:pt>
                <c:pt idx="6473">
                  <c:v>43730</c:v>
                </c:pt>
                <c:pt idx="6474">
                  <c:v>43731</c:v>
                </c:pt>
                <c:pt idx="6475">
                  <c:v>43732</c:v>
                </c:pt>
                <c:pt idx="6476">
                  <c:v>43733</c:v>
                </c:pt>
                <c:pt idx="6477">
                  <c:v>43734</c:v>
                </c:pt>
                <c:pt idx="6478">
                  <c:v>43735</c:v>
                </c:pt>
                <c:pt idx="6479">
                  <c:v>43736</c:v>
                </c:pt>
                <c:pt idx="6480">
                  <c:v>43737</c:v>
                </c:pt>
                <c:pt idx="6481">
                  <c:v>43738</c:v>
                </c:pt>
                <c:pt idx="6482">
                  <c:v>43739</c:v>
                </c:pt>
                <c:pt idx="6483">
                  <c:v>43740</c:v>
                </c:pt>
                <c:pt idx="6484">
                  <c:v>43741</c:v>
                </c:pt>
                <c:pt idx="6485">
                  <c:v>43742</c:v>
                </c:pt>
                <c:pt idx="6486">
                  <c:v>43743</c:v>
                </c:pt>
                <c:pt idx="6487">
                  <c:v>43744</c:v>
                </c:pt>
                <c:pt idx="6488">
                  <c:v>43745</c:v>
                </c:pt>
                <c:pt idx="6489">
                  <c:v>43746</c:v>
                </c:pt>
                <c:pt idx="6490">
                  <c:v>43747</c:v>
                </c:pt>
                <c:pt idx="6491">
                  <c:v>43748</c:v>
                </c:pt>
                <c:pt idx="6492">
                  <c:v>43749</c:v>
                </c:pt>
                <c:pt idx="6493">
                  <c:v>43750</c:v>
                </c:pt>
                <c:pt idx="6494">
                  <c:v>43751</c:v>
                </c:pt>
                <c:pt idx="6495">
                  <c:v>43752</c:v>
                </c:pt>
                <c:pt idx="6496">
                  <c:v>43753</c:v>
                </c:pt>
                <c:pt idx="6497">
                  <c:v>43754</c:v>
                </c:pt>
                <c:pt idx="6498">
                  <c:v>43755</c:v>
                </c:pt>
                <c:pt idx="6499">
                  <c:v>43756</c:v>
                </c:pt>
                <c:pt idx="6500">
                  <c:v>43757</c:v>
                </c:pt>
                <c:pt idx="6501">
                  <c:v>43758</c:v>
                </c:pt>
                <c:pt idx="6502">
                  <c:v>43759</c:v>
                </c:pt>
                <c:pt idx="6503">
                  <c:v>43760</c:v>
                </c:pt>
                <c:pt idx="6504">
                  <c:v>43761</c:v>
                </c:pt>
                <c:pt idx="6505">
                  <c:v>43762</c:v>
                </c:pt>
                <c:pt idx="6506">
                  <c:v>43763</c:v>
                </c:pt>
                <c:pt idx="6507">
                  <c:v>43764</c:v>
                </c:pt>
                <c:pt idx="6508">
                  <c:v>43765</c:v>
                </c:pt>
                <c:pt idx="6509">
                  <c:v>43766</c:v>
                </c:pt>
                <c:pt idx="6510">
                  <c:v>43767</c:v>
                </c:pt>
                <c:pt idx="6511">
                  <c:v>43768</c:v>
                </c:pt>
                <c:pt idx="6512">
                  <c:v>43769</c:v>
                </c:pt>
                <c:pt idx="6513">
                  <c:v>43770</c:v>
                </c:pt>
                <c:pt idx="6514">
                  <c:v>43771</c:v>
                </c:pt>
                <c:pt idx="6515">
                  <c:v>43772</c:v>
                </c:pt>
                <c:pt idx="6516">
                  <c:v>43773</c:v>
                </c:pt>
                <c:pt idx="6517">
                  <c:v>43774</c:v>
                </c:pt>
                <c:pt idx="6518">
                  <c:v>43775</c:v>
                </c:pt>
                <c:pt idx="6519">
                  <c:v>43776</c:v>
                </c:pt>
                <c:pt idx="6520">
                  <c:v>43777</c:v>
                </c:pt>
                <c:pt idx="6521">
                  <c:v>43778</c:v>
                </c:pt>
                <c:pt idx="6522">
                  <c:v>43779</c:v>
                </c:pt>
                <c:pt idx="6523">
                  <c:v>43780</c:v>
                </c:pt>
                <c:pt idx="6524">
                  <c:v>43781</c:v>
                </c:pt>
                <c:pt idx="6525">
                  <c:v>43782</c:v>
                </c:pt>
                <c:pt idx="6526">
                  <c:v>43783</c:v>
                </c:pt>
                <c:pt idx="6527">
                  <c:v>43784</c:v>
                </c:pt>
                <c:pt idx="6528">
                  <c:v>43785</c:v>
                </c:pt>
                <c:pt idx="6529">
                  <c:v>43786</c:v>
                </c:pt>
                <c:pt idx="6530">
                  <c:v>43787</c:v>
                </c:pt>
                <c:pt idx="6531">
                  <c:v>43788</c:v>
                </c:pt>
                <c:pt idx="6532">
                  <c:v>43789</c:v>
                </c:pt>
                <c:pt idx="6533">
                  <c:v>43790</c:v>
                </c:pt>
                <c:pt idx="6534">
                  <c:v>43791</c:v>
                </c:pt>
                <c:pt idx="6535">
                  <c:v>43792</c:v>
                </c:pt>
                <c:pt idx="6536">
                  <c:v>43793</c:v>
                </c:pt>
                <c:pt idx="6537">
                  <c:v>43794</c:v>
                </c:pt>
                <c:pt idx="6538">
                  <c:v>43795</c:v>
                </c:pt>
                <c:pt idx="6539">
                  <c:v>43796</c:v>
                </c:pt>
                <c:pt idx="6540">
                  <c:v>43797</c:v>
                </c:pt>
                <c:pt idx="6541">
                  <c:v>43798</c:v>
                </c:pt>
                <c:pt idx="6542">
                  <c:v>43799</c:v>
                </c:pt>
                <c:pt idx="6543">
                  <c:v>43800</c:v>
                </c:pt>
                <c:pt idx="6544">
                  <c:v>43801</c:v>
                </c:pt>
                <c:pt idx="6545">
                  <c:v>43802</c:v>
                </c:pt>
                <c:pt idx="6546">
                  <c:v>43803</c:v>
                </c:pt>
                <c:pt idx="6547">
                  <c:v>43804</c:v>
                </c:pt>
                <c:pt idx="6548">
                  <c:v>43805</c:v>
                </c:pt>
                <c:pt idx="6549">
                  <c:v>43806</c:v>
                </c:pt>
                <c:pt idx="6550">
                  <c:v>43807</c:v>
                </c:pt>
                <c:pt idx="6551">
                  <c:v>43808</c:v>
                </c:pt>
                <c:pt idx="6552">
                  <c:v>43809</c:v>
                </c:pt>
                <c:pt idx="6553">
                  <c:v>43810</c:v>
                </c:pt>
                <c:pt idx="6554">
                  <c:v>43811</c:v>
                </c:pt>
                <c:pt idx="6555">
                  <c:v>43812</c:v>
                </c:pt>
                <c:pt idx="6556">
                  <c:v>43813</c:v>
                </c:pt>
                <c:pt idx="6557">
                  <c:v>43814</c:v>
                </c:pt>
                <c:pt idx="6558">
                  <c:v>43815</c:v>
                </c:pt>
                <c:pt idx="6559">
                  <c:v>43816</c:v>
                </c:pt>
                <c:pt idx="6560">
                  <c:v>43817</c:v>
                </c:pt>
                <c:pt idx="6561">
                  <c:v>43818</c:v>
                </c:pt>
                <c:pt idx="6562">
                  <c:v>43819</c:v>
                </c:pt>
                <c:pt idx="6563">
                  <c:v>43820</c:v>
                </c:pt>
                <c:pt idx="6564">
                  <c:v>43821</c:v>
                </c:pt>
                <c:pt idx="6565">
                  <c:v>43822</c:v>
                </c:pt>
                <c:pt idx="6566">
                  <c:v>43823</c:v>
                </c:pt>
                <c:pt idx="6567">
                  <c:v>43824</c:v>
                </c:pt>
                <c:pt idx="6568">
                  <c:v>43825</c:v>
                </c:pt>
                <c:pt idx="6569">
                  <c:v>43826</c:v>
                </c:pt>
                <c:pt idx="6570">
                  <c:v>43827</c:v>
                </c:pt>
                <c:pt idx="6571">
                  <c:v>43828</c:v>
                </c:pt>
                <c:pt idx="6572">
                  <c:v>43829</c:v>
                </c:pt>
                <c:pt idx="6573">
                  <c:v>43830</c:v>
                </c:pt>
                <c:pt idx="6574">
                  <c:v>43831</c:v>
                </c:pt>
                <c:pt idx="6575">
                  <c:v>43832</c:v>
                </c:pt>
                <c:pt idx="6576">
                  <c:v>43833</c:v>
                </c:pt>
                <c:pt idx="6577">
                  <c:v>43834</c:v>
                </c:pt>
                <c:pt idx="6578">
                  <c:v>43835</c:v>
                </c:pt>
                <c:pt idx="6579">
                  <c:v>43836</c:v>
                </c:pt>
                <c:pt idx="6580">
                  <c:v>43837</c:v>
                </c:pt>
                <c:pt idx="6581">
                  <c:v>43838</c:v>
                </c:pt>
                <c:pt idx="6582">
                  <c:v>43839</c:v>
                </c:pt>
                <c:pt idx="6583">
                  <c:v>43840</c:v>
                </c:pt>
                <c:pt idx="6584">
                  <c:v>43841</c:v>
                </c:pt>
                <c:pt idx="6585">
                  <c:v>43842</c:v>
                </c:pt>
                <c:pt idx="6586">
                  <c:v>43843</c:v>
                </c:pt>
                <c:pt idx="6587">
                  <c:v>43844</c:v>
                </c:pt>
                <c:pt idx="6588">
                  <c:v>43845</c:v>
                </c:pt>
                <c:pt idx="6589">
                  <c:v>43846</c:v>
                </c:pt>
                <c:pt idx="6590">
                  <c:v>43847</c:v>
                </c:pt>
                <c:pt idx="6591">
                  <c:v>43848</c:v>
                </c:pt>
                <c:pt idx="6592">
                  <c:v>43849</c:v>
                </c:pt>
                <c:pt idx="6593">
                  <c:v>43850</c:v>
                </c:pt>
                <c:pt idx="6594">
                  <c:v>43851</c:v>
                </c:pt>
                <c:pt idx="6595">
                  <c:v>43852</c:v>
                </c:pt>
                <c:pt idx="6596">
                  <c:v>43853</c:v>
                </c:pt>
                <c:pt idx="6597">
                  <c:v>43854</c:v>
                </c:pt>
                <c:pt idx="6598">
                  <c:v>43855</c:v>
                </c:pt>
                <c:pt idx="6599">
                  <c:v>43856</c:v>
                </c:pt>
                <c:pt idx="6600">
                  <c:v>43857</c:v>
                </c:pt>
                <c:pt idx="6601">
                  <c:v>43858</c:v>
                </c:pt>
                <c:pt idx="6602">
                  <c:v>43859</c:v>
                </c:pt>
                <c:pt idx="6603">
                  <c:v>43860</c:v>
                </c:pt>
                <c:pt idx="6604">
                  <c:v>43861</c:v>
                </c:pt>
                <c:pt idx="6605">
                  <c:v>43862</c:v>
                </c:pt>
                <c:pt idx="6606">
                  <c:v>43863</c:v>
                </c:pt>
                <c:pt idx="6607">
                  <c:v>43864</c:v>
                </c:pt>
                <c:pt idx="6608">
                  <c:v>43865</c:v>
                </c:pt>
                <c:pt idx="6609">
                  <c:v>43866</c:v>
                </c:pt>
                <c:pt idx="6610">
                  <c:v>43867</c:v>
                </c:pt>
                <c:pt idx="6611">
                  <c:v>43868</c:v>
                </c:pt>
                <c:pt idx="6612">
                  <c:v>43869</c:v>
                </c:pt>
                <c:pt idx="6613">
                  <c:v>43870</c:v>
                </c:pt>
                <c:pt idx="6614">
                  <c:v>43871</c:v>
                </c:pt>
                <c:pt idx="6615">
                  <c:v>43872</c:v>
                </c:pt>
                <c:pt idx="6616">
                  <c:v>43873</c:v>
                </c:pt>
                <c:pt idx="6617">
                  <c:v>43874</c:v>
                </c:pt>
                <c:pt idx="6618">
                  <c:v>43875</c:v>
                </c:pt>
                <c:pt idx="6619">
                  <c:v>43876</c:v>
                </c:pt>
                <c:pt idx="6620">
                  <c:v>43877</c:v>
                </c:pt>
                <c:pt idx="6621">
                  <c:v>43878</c:v>
                </c:pt>
                <c:pt idx="6622">
                  <c:v>43879</c:v>
                </c:pt>
                <c:pt idx="6623">
                  <c:v>43880</c:v>
                </c:pt>
                <c:pt idx="6624">
                  <c:v>43881</c:v>
                </c:pt>
                <c:pt idx="6625">
                  <c:v>43882</c:v>
                </c:pt>
                <c:pt idx="6626">
                  <c:v>43883</c:v>
                </c:pt>
                <c:pt idx="6627">
                  <c:v>43884</c:v>
                </c:pt>
                <c:pt idx="6628">
                  <c:v>43885</c:v>
                </c:pt>
                <c:pt idx="6629">
                  <c:v>43886</c:v>
                </c:pt>
                <c:pt idx="6630">
                  <c:v>43887</c:v>
                </c:pt>
                <c:pt idx="6631">
                  <c:v>43888</c:v>
                </c:pt>
                <c:pt idx="6632">
                  <c:v>43889</c:v>
                </c:pt>
                <c:pt idx="6633">
                  <c:v>43890</c:v>
                </c:pt>
                <c:pt idx="6634">
                  <c:v>43891</c:v>
                </c:pt>
                <c:pt idx="6635">
                  <c:v>43892</c:v>
                </c:pt>
                <c:pt idx="6636">
                  <c:v>43893</c:v>
                </c:pt>
                <c:pt idx="6637">
                  <c:v>43894</c:v>
                </c:pt>
                <c:pt idx="6638">
                  <c:v>43895</c:v>
                </c:pt>
                <c:pt idx="6639">
                  <c:v>43896</c:v>
                </c:pt>
                <c:pt idx="6640">
                  <c:v>43897</c:v>
                </c:pt>
                <c:pt idx="6641">
                  <c:v>43898</c:v>
                </c:pt>
                <c:pt idx="6642">
                  <c:v>43899</c:v>
                </c:pt>
                <c:pt idx="6643">
                  <c:v>43900</c:v>
                </c:pt>
                <c:pt idx="6644">
                  <c:v>43901</c:v>
                </c:pt>
                <c:pt idx="6645">
                  <c:v>43902</c:v>
                </c:pt>
                <c:pt idx="6646">
                  <c:v>43903</c:v>
                </c:pt>
                <c:pt idx="6647">
                  <c:v>43904</c:v>
                </c:pt>
                <c:pt idx="6648">
                  <c:v>43905</c:v>
                </c:pt>
                <c:pt idx="6649">
                  <c:v>43906</c:v>
                </c:pt>
                <c:pt idx="6650">
                  <c:v>43907</c:v>
                </c:pt>
                <c:pt idx="6651">
                  <c:v>43908</c:v>
                </c:pt>
                <c:pt idx="6652">
                  <c:v>43909</c:v>
                </c:pt>
                <c:pt idx="6653">
                  <c:v>43910</c:v>
                </c:pt>
                <c:pt idx="6654">
                  <c:v>43911</c:v>
                </c:pt>
                <c:pt idx="6655">
                  <c:v>43912</c:v>
                </c:pt>
                <c:pt idx="6656">
                  <c:v>43913</c:v>
                </c:pt>
                <c:pt idx="6657">
                  <c:v>43914</c:v>
                </c:pt>
                <c:pt idx="6658">
                  <c:v>43915</c:v>
                </c:pt>
                <c:pt idx="6659">
                  <c:v>43916</c:v>
                </c:pt>
                <c:pt idx="6660">
                  <c:v>43917</c:v>
                </c:pt>
                <c:pt idx="6661">
                  <c:v>43918</c:v>
                </c:pt>
                <c:pt idx="6662">
                  <c:v>43919</c:v>
                </c:pt>
                <c:pt idx="6663">
                  <c:v>43920</c:v>
                </c:pt>
                <c:pt idx="6664">
                  <c:v>43921</c:v>
                </c:pt>
                <c:pt idx="6665">
                  <c:v>43922</c:v>
                </c:pt>
                <c:pt idx="6666">
                  <c:v>43923</c:v>
                </c:pt>
                <c:pt idx="6667">
                  <c:v>43924</c:v>
                </c:pt>
                <c:pt idx="6668">
                  <c:v>43925</c:v>
                </c:pt>
                <c:pt idx="6669">
                  <c:v>43926</c:v>
                </c:pt>
                <c:pt idx="6670">
                  <c:v>43927</c:v>
                </c:pt>
                <c:pt idx="6671">
                  <c:v>43928</c:v>
                </c:pt>
                <c:pt idx="6672">
                  <c:v>43929</c:v>
                </c:pt>
                <c:pt idx="6673">
                  <c:v>43930</c:v>
                </c:pt>
                <c:pt idx="6674">
                  <c:v>43931</c:v>
                </c:pt>
                <c:pt idx="6675">
                  <c:v>43932</c:v>
                </c:pt>
                <c:pt idx="6676">
                  <c:v>43933</c:v>
                </c:pt>
                <c:pt idx="6677">
                  <c:v>43934</c:v>
                </c:pt>
                <c:pt idx="6678">
                  <c:v>43935</c:v>
                </c:pt>
                <c:pt idx="6679">
                  <c:v>43936</c:v>
                </c:pt>
                <c:pt idx="6680">
                  <c:v>43937</c:v>
                </c:pt>
                <c:pt idx="6681">
                  <c:v>43938</c:v>
                </c:pt>
                <c:pt idx="6682">
                  <c:v>43939</c:v>
                </c:pt>
                <c:pt idx="6683">
                  <c:v>43940</c:v>
                </c:pt>
                <c:pt idx="6684">
                  <c:v>43941</c:v>
                </c:pt>
                <c:pt idx="6685">
                  <c:v>43942</c:v>
                </c:pt>
                <c:pt idx="6686">
                  <c:v>43943</c:v>
                </c:pt>
                <c:pt idx="6687">
                  <c:v>43944</c:v>
                </c:pt>
                <c:pt idx="6688">
                  <c:v>43945</c:v>
                </c:pt>
                <c:pt idx="6689">
                  <c:v>43946</c:v>
                </c:pt>
                <c:pt idx="6690">
                  <c:v>43947</c:v>
                </c:pt>
                <c:pt idx="6691">
                  <c:v>43948</c:v>
                </c:pt>
                <c:pt idx="6692">
                  <c:v>43949</c:v>
                </c:pt>
                <c:pt idx="6693">
                  <c:v>43950</c:v>
                </c:pt>
                <c:pt idx="6694">
                  <c:v>43951</c:v>
                </c:pt>
                <c:pt idx="6695">
                  <c:v>43952</c:v>
                </c:pt>
                <c:pt idx="6696">
                  <c:v>43953</c:v>
                </c:pt>
                <c:pt idx="6697">
                  <c:v>43954</c:v>
                </c:pt>
                <c:pt idx="6698">
                  <c:v>43955</c:v>
                </c:pt>
                <c:pt idx="6699">
                  <c:v>43956</c:v>
                </c:pt>
                <c:pt idx="6700">
                  <c:v>43957</c:v>
                </c:pt>
                <c:pt idx="6701">
                  <c:v>43958</c:v>
                </c:pt>
                <c:pt idx="6702">
                  <c:v>43959</c:v>
                </c:pt>
                <c:pt idx="6703">
                  <c:v>43960</c:v>
                </c:pt>
                <c:pt idx="6704">
                  <c:v>43961</c:v>
                </c:pt>
                <c:pt idx="6705">
                  <c:v>43962</c:v>
                </c:pt>
                <c:pt idx="6706">
                  <c:v>43963</c:v>
                </c:pt>
                <c:pt idx="6707">
                  <c:v>43964</c:v>
                </c:pt>
                <c:pt idx="6708">
                  <c:v>43965</c:v>
                </c:pt>
                <c:pt idx="6709">
                  <c:v>43966</c:v>
                </c:pt>
                <c:pt idx="6710">
                  <c:v>43967</c:v>
                </c:pt>
                <c:pt idx="6711">
                  <c:v>43968</c:v>
                </c:pt>
                <c:pt idx="6712">
                  <c:v>43969</c:v>
                </c:pt>
                <c:pt idx="6713">
                  <c:v>43970</c:v>
                </c:pt>
                <c:pt idx="6714">
                  <c:v>43971</c:v>
                </c:pt>
                <c:pt idx="6715">
                  <c:v>43972</c:v>
                </c:pt>
                <c:pt idx="6716">
                  <c:v>43973</c:v>
                </c:pt>
                <c:pt idx="6717">
                  <c:v>43974</c:v>
                </c:pt>
                <c:pt idx="6718">
                  <c:v>43975</c:v>
                </c:pt>
                <c:pt idx="6719">
                  <c:v>43976</c:v>
                </c:pt>
                <c:pt idx="6720">
                  <c:v>43977</c:v>
                </c:pt>
                <c:pt idx="6721">
                  <c:v>43978</c:v>
                </c:pt>
                <c:pt idx="6722">
                  <c:v>43979</c:v>
                </c:pt>
                <c:pt idx="6723">
                  <c:v>43980</c:v>
                </c:pt>
                <c:pt idx="6724">
                  <c:v>43981</c:v>
                </c:pt>
                <c:pt idx="6725">
                  <c:v>43982</c:v>
                </c:pt>
                <c:pt idx="6726">
                  <c:v>43983</c:v>
                </c:pt>
                <c:pt idx="6727">
                  <c:v>43984</c:v>
                </c:pt>
                <c:pt idx="6728">
                  <c:v>43985</c:v>
                </c:pt>
                <c:pt idx="6729">
                  <c:v>43986</c:v>
                </c:pt>
                <c:pt idx="6730">
                  <c:v>43987</c:v>
                </c:pt>
                <c:pt idx="6731">
                  <c:v>43988</c:v>
                </c:pt>
                <c:pt idx="6732">
                  <c:v>43989</c:v>
                </c:pt>
                <c:pt idx="6733">
                  <c:v>43990</c:v>
                </c:pt>
                <c:pt idx="6734">
                  <c:v>43991</c:v>
                </c:pt>
                <c:pt idx="6735">
                  <c:v>43992</c:v>
                </c:pt>
                <c:pt idx="6736">
                  <c:v>43993</c:v>
                </c:pt>
                <c:pt idx="6737">
                  <c:v>43994</c:v>
                </c:pt>
                <c:pt idx="6738">
                  <c:v>43995</c:v>
                </c:pt>
                <c:pt idx="6739">
                  <c:v>43996</c:v>
                </c:pt>
                <c:pt idx="6740">
                  <c:v>43997</c:v>
                </c:pt>
                <c:pt idx="6741">
                  <c:v>43998</c:v>
                </c:pt>
                <c:pt idx="6742">
                  <c:v>43999</c:v>
                </c:pt>
                <c:pt idx="6743">
                  <c:v>44000</c:v>
                </c:pt>
                <c:pt idx="6744">
                  <c:v>44001</c:v>
                </c:pt>
                <c:pt idx="6745">
                  <c:v>44002</c:v>
                </c:pt>
                <c:pt idx="6746">
                  <c:v>44003</c:v>
                </c:pt>
                <c:pt idx="6747">
                  <c:v>44004</c:v>
                </c:pt>
                <c:pt idx="6748">
                  <c:v>44005</c:v>
                </c:pt>
                <c:pt idx="6749">
                  <c:v>44006</c:v>
                </c:pt>
                <c:pt idx="6750">
                  <c:v>44007</c:v>
                </c:pt>
                <c:pt idx="6751">
                  <c:v>44008</c:v>
                </c:pt>
                <c:pt idx="6752">
                  <c:v>44009</c:v>
                </c:pt>
                <c:pt idx="6753">
                  <c:v>44010</c:v>
                </c:pt>
                <c:pt idx="6754">
                  <c:v>44011</c:v>
                </c:pt>
                <c:pt idx="6755">
                  <c:v>44012</c:v>
                </c:pt>
                <c:pt idx="6756">
                  <c:v>44013</c:v>
                </c:pt>
                <c:pt idx="6757">
                  <c:v>44014</c:v>
                </c:pt>
                <c:pt idx="6758">
                  <c:v>44015</c:v>
                </c:pt>
                <c:pt idx="6759">
                  <c:v>44016</c:v>
                </c:pt>
                <c:pt idx="6760">
                  <c:v>44017</c:v>
                </c:pt>
                <c:pt idx="6761">
                  <c:v>44018</c:v>
                </c:pt>
                <c:pt idx="6762">
                  <c:v>44019</c:v>
                </c:pt>
                <c:pt idx="6763">
                  <c:v>44020</c:v>
                </c:pt>
                <c:pt idx="6764">
                  <c:v>44021</c:v>
                </c:pt>
                <c:pt idx="6765">
                  <c:v>44022</c:v>
                </c:pt>
                <c:pt idx="6766">
                  <c:v>44023</c:v>
                </c:pt>
                <c:pt idx="6767">
                  <c:v>44024</c:v>
                </c:pt>
                <c:pt idx="6768">
                  <c:v>44025</c:v>
                </c:pt>
                <c:pt idx="6769">
                  <c:v>44026</c:v>
                </c:pt>
                <c:pt idx="6770">
                  <c:v>44027</c:v>
                </c:pt>
                <c:pt idx="6771">
                  <c:v>44028</c:v>
                </c:pt>
                <c:pt idx="6772">
                  <c:v>44029</c:v>
                </c:pt>
                <c:pt idx="6773">
                  <c:v>44030</c:v>
                </c:pt>
                <c:pt idx="6774">
                  <c:v>44031</c:v>
                </c:pt>
                <c:pt idx="6775">
                  <c:v>44032</c:v>
                </c:pt>
                <c:pt idx="6776">
                  <c:v>44033</c:v>
                </c:pt>
                <c:pt idx="6777">
                  <c:v>44034</c:v>
                </c:pt>
                <c:pt idx="6778">
                  <c:v>44035</c:v>
                </c:pt>
                <c:pt idx="6779">
                  <c:v>44036</c:v>
                </c:pt>
                <c:pt idx="6780">
                  <c:v>44037</c:v>
                </c:pt>
                <c:pt idx="6781">
                  <c:v>44038</c:v>
                </c:pt>
                <c:pt idx="6782">
                  <c:v>44039</c:v>
                </c:pt>
                <c:pt idx="6783">
                  <c:v>44040</c:v>
                </c:pt>
                <c:pt idx="6784">
                  <c:v>44041</c:v>
                </c:pt>
                <c:pt idx="6785">
                  <c:v>44042</c:v>
                </c:pt>
                <c:pt idx="6786">
                  <c:v>44043</c:v>
                </c:pt>
                <c:pt idx="6787">
                  <c:v>44044</c:v>
                </c:pt>
                <c:pt idx="6788">
                  <c:v>44045</c:v>
                </c:pt>
                <c:pt idx="6789">
                  <c:v>44046</c:v>
                </c:pt>
                <c:pt idx="6790">
                  <c:v>44047</c:v>
                </c:pt>
                <c:pt idx="6791">
                  <c:v>44048</c:v>
                </c:pt>
                <c:pt idx="6792">
                  <c:v>44049</c:v>
                </c:pt>
                <c:pt idx="6793">
                  <c:v>44050</c:v>
                </c:pt>
                <c:pt idx="6794">
                  <c:v>44051</c:v>
                </c:pt>
                <c:pt idx="6795">
                  <c:v>44052</c:v>
                </c:pt>
                <c:pt idx="6796">
                  <c:v>44053</c:v>
                </c:pt>
                <c:pt idx="6797">
                  <c:v>44054</c:v>
                </c:pt>
                <c:pt idx="6798">
                  <c:v>44055</c:v>
                </c:pt>
                <c:pt idx="6799">
                  <c:v>44056</c:v>
                </c:pt>
                <c:pt idx="6800">
                  <c:v>44057</c:v>
                </c:pt>
                <c:pt idx="6801">
                  <c:v>44058</c:v>
                </c:pt>
                <c:pt idx="6802">
                  <c:v>44059</c:v>
                </c:pt>
                <c:pt idx="6803">
                  <c:v>44060</c:v>
                </c:pt>
                <c:pt idx="6804">
                  <c:v>44061</c:v>
                </c:pt>
                <c:pt idx="6805">
                  <c:v>44062</c:v>
                </c:pt>
                <c:pt idx="6806">
                  <c:v>44063</c:v>
                </c:pt>
                <c:pt idx="6807">
                  <c:v>44064</c:v>
                </c:pt>
                <c:pt idx="6808">
                  <c:v>44065</c:v>
                </c:pt>
                <c:pt idx="6809">
                  <c:v>44066</c:v>
                </c:pt>
                <c:pt idx="6810">
                  <c:v>44067</c:v>
                </c:pt>
                <c:pt idx="6811">
                  <c:v>44068</c:v>
                </c:pt>
                <c:pt idx="6812">
                  <c:v>44069</c:v>
                </c:pt>
                <c:pt idx="6813">
                  <c:v>44070</c:v>
                </c:pt>
                <c:pt idx="6814">
                  <c:v>44071</c:v>
                </c:pt>
                <c:pt idx="6815">
                  <c:v>44072</c:v>
                </c:pt>
                <c:pt idx="6816">
                  <c:v>44073</c:v>
                </c:pt>
                <c:pt idx="6817">
                  <c:v>44074</c:v>
                </c:pt>
                <c:pt idx="6818">
                  <c:v>44075</c:v>
                </c:pt>
                <c:pt idx="6819">
                  <c:v>44076</c:v>
                </c:pt>
                <c:pt idx="6820">
                  <c:v>44077</c:v>
                </c:pt>
                <c:pt idx="6821">
                  <c:v>44078</c:v>
                </c:pt>
                <c:pt idx="6822">
                  <c:v>44079</c:v>
                </c:pt>
                <c:pt idx="6823">
                  <c:v>44080</c:v>
                </c:pt>
                <c:pt idx="6824">
                  <c:v>44081</c:v>
                </c:pt>
                <c:pt idx="6825">
                  <c:v>44082</c:v>
                </c:pt>
                <c:pt idx="6826">
                  <c:v>44083</c:v>
                </c:pt>
                <c:pt idx="6827">
                  <c:v>44084</c:v>
                </c:pt>
                <c:pt idx="6828">
                  <c:v>44085</c:v>
                </c:pt>
                <c:pt idx="6829">
                  <c:v>44086</c:v>
                </c:pt>
                <c:pt idx="6830">
                  <c:v>44087</c:v>
                </c:pt>
                <c:pt idx="6831">
                  <c:v>44088</c:v>
                </c:pt>
                <c:pt idx="6832">
                  <c:v>44089</c:v>
                </c:pt>
                <c:pt idx="6833">
                  <c:v>44090</c:v>
                </c:pt>
                <c:pt idx="6834">
                  <c:v>44091</c:v>
                </c:pt>
                <c:pt idx="6835">
                  <c:v>44092</c:v>
                </c:pt>
                <c:pt idx="6836">
                  <c:v>44093</c:v>
                </c:pt>
                <c:pt idx="6837">
                  <c:v>44094</c:v>
                </c:pt>
                <c:pt idx="6838">
                  <c:v>44095</c:v>
                </c:pt>
                <c:pt idx="6839">
                  <c:v>44096</c:v>
                </c:pt>
                <c:pt idx="6840">
                  <c:v>44097</c:v>
                </c:pt>
                <c:pt idx="6841">
                  <c:v>44098</c:v>
                </c:pt>
                <c:pt idx="6842">
                  <c:v>44099</c:v>
                </c:pt>
                <c:pt idx="6843">
                  <c:v>44100</c:v>
                </c:pt>
                <c:pt idx="6844">
                  <c:v>44101</c:v>
                </c:pt>
                <c:pt idx="6845">
                  <c:v>44102</c:v>
                </c:pt>
                <c:pt idx="6846">
                  <c:v>44103</c:v>
                </c:pt>
                <c:pt idx="6847">
                  <c:v>44104</c:v>
                </c:pt>
                <c:pt idx="6848">
                  <c:v>44105</c:v>
                </c:pt>
                <c:pt idx="6849">
                  <c:v>44106</c:v>
                </c:pt>
                <c:pt idx="6850">
                  <c:v>44107</c:v>
                </c:pt>
                <c:pt idx="6851">
                  <c:v>44108</c:v>
                </c:pt>
                <c:pt idx="6852">
                  <c:v>44109</c:v>
                </c:pt>
                <c:pt idx="6853">
                  <c:v>44110</c:v>
                </c:pt>
                <c:pt idx="6854">
                  <c:v>44111</c:v>
                </c:pt>
                <c:pt idx="6855">
                  <c:v>44112</c:v>
                </c:pt>
                <c:pt idx="6856">
                  <c:v>44113</c:v>
                </c:pt>
                <c:pt idx="6857">
                  <c:v>44114</c:v>
                </c:pt>
                <c:pt idx="6858">
                  <c:v>44115</c:v>
                </c:pt>
                <c:pt idx="6859">
                  <c:v>44116</c:v>
                </c:pt>
                <c:pt idx="6860">
                  <c:v>44117</c:v>
                </c:pt>
                <c:pt idx="6861">
                  <c:v>44118</c:v>
                </c:pt>
                <c:pt idx="6862">
                  <c:v>44119</c:v>
                </c:pt>
                <c:pt idx="6863">
                  <c:v>44120</c:v>
                </c:pt>
                <c:pt idx="6864">
                  <c:v>44121</c:v>
                </c:pt>
                <c:pt idx="6865">
                  <c:v>44122</c:v>
                </c:pt>
                <c:pt idx="6866">
                  <c:v>44123</c:v>
                </c:pt>
                <c:pt idx="6867">
                  <c:v>44124</c:v>
                </c:pt>
                <c:pt idx="6868">
                  <c:v>44125</c:v>
                </c:pt>
                <c:pt idx="6869">
                  <c:v>44126</c:v>
                </c:pt>
                <c:pt idx="6870">
                  <c:v>44127</c:v>
                </c:pt>
                <c:pt idx="6871">
                  <c:v>44128</c:v>
                </c:pt>
                <c:pt idx="6872">
                  <c:v>44129</c:v>
                </c:pt>
                <c:pt idx="6873">
                  <c:v>44130</c:v>
                </c:pt>
                <c:pt idx="6874">
                  <c:v>44131</c:v>
                </c:pt>
                <c:pt idx="6875">
                  <c:v>44132</c:v>
                </c:pt>
                <c:pt idx="6876">
                  <c:v>44133</c:v>
                </c:pt>
                <c:pt idx="6877">
                  <c:v>44134</c:v>
                </c:pt>
                <c:pt idx="6878">
                  <c:v>44135</c:v>
                </c:pt>
                <c:pt idx="6879">
                  <c:v>44136</c:v>
                </c:pt>
                <c:pt idx="6880">
                  <c:v>44137</c:v>
                </c:pt>
                <c:pt idx="6881">
                  <c:v>44138</c:v>
                </c:pt>
                <c:pt idx="6882">
                  <c:v>44139</c:v>
                </c:pt>
                <c:pt idx="6883">
                  <c:v>44140</c:v>
                </c:pt>
                <c:pt idx="6884">
                  <c:v>44141</c:v>
                </c:pt>
                <c:pt idx="6885">
                  <c:v>44142</c:v>
                </c:pt>
                <c:pt idx="6886">
                  <c:v>44143</c:v>
                </c:pt>
                <c:pt idx="6887">
                  <c:v>44144</c:v>
                </c:pt>
                <c:pt idx="6888">
                  <c:v>44145</c:v>
                </c:pt>
                <c:pt idx="6889">
                  <c:v>44146</c:v>
                </c:pt>
                <c:pt idx="6890">
                  <c:v>44147</c:v>
                </c:pt>
                <c:pt idx="6891">
                  <c:v>44148</c:v>
                </c:pt>
                <c:pt idx="6892">
                  <c:v>44149</c:v>
                </c:pt>
                <c:pt idx="6893">
                  <c:v>44150</c:v>
                </c:pt>
                <c:pt idx="6894">
                  <c:v>44151</c:v>
                </c:pt>
                <c:pt idx="6895">
                  <c:v>44152</c:v>
                </c:pt>
                <c:pt idx="6896">
                  <c:v>44153</c:v>
                </c:pt>
                <c:pt idx="6897">
                  <c:v>44154</c:v>
                </c:pt>
                <c:pt idx="6898">
                  <c:v>44155</c:v>
                </c:pt>
                <c:pt idx="6899">
                  <c:v>44156</c:v>
                </c:pt>
                <c:pt idx="6900">
                  <c:v>44157</c:v>
                </c:pt>
                <c:pt idx="6901">
                  <c:v>44158</c:v>
                </c:pt>
                <c:pt idx="6902">
                  <c:v>44159</c:v>
                </c:pt>
                <c:pt idx="6903">
                  <c:v>44160</c:v>
                </c:pt>
                <c:pt idx="6904">
                  <c:v>44161</c:v>
                </c:pt>
                <c:pt idx="6905">
                  <c:v>44162</c:v>
                </c:pt>
                <c:pt idx="6906">
                  <c:v>44163</c:v>
                </c:pt>
                <c:pt idx="6907">
                  <c:v>44164</c:v>
                </c:pt>
                <c:pt idx="6908">
                  <c:v>44165</c:v>
                </c:pt>
                <c:pt idx="6909">
                  <c:v>44166</c:v>
                </c:pt>
                <c:pt idx="6910">
                  <c:v>44167</c:v>
                </c:pt>
                <c:pt idx="6911">
                  <c:v>44168</c:v>
                </c:pt>
                <c:pt idx="6912">
                  <c:v>44169</c:v>
                </c:pt>
                <c:pt idx="6913">
                  <c:v>44170</c:v>
                </c:pt>
                <c:pt idx="6914">
                  <c:v>44171</c:v>
                </c:pt>
                <c:pt idx="6915">
                  <c:v>44172</c:v>
                </c:pt>
                <c:pt idx="6916">
                  <c:v>44173</c:v>
                </c:pt>
                <c:pt idx="6917">
                  <c:v>44174</c:v>
                </c:pt>
                <c:pt idx="6918">
                  <c:v>44175</c:v>
                </c:pt>
                <c:pt idx="6919">
                  <c:v>44176</c:v>
                </c:pt>
                <c:pt idx="6920">
                  <c:v>44177</c:v>
                </c:pt>
                <c:pt idx="6921">
                  <c:v>44178</c:v>
                </c:pt>
                <c:pt idx="6922">
                  <c:v>44179</c:v>
                </c:pt>
                <c:pt idx="6923">
                  <c:v>44180</c:v>
                </c:pt>
                <c:pt idx="6924">
                  <c:v>44181</c:v>
                </c:pt>
                <c:pt idx="6925">
                  <c:v>44182</c:v>
                </c:pt>
                <c:pt idx="6926">
                  <c:v>44183</c:v>
                </c:pt>
                <c:pt idx="6927">
                  <c:v>44184</c:v>
                </c:pt>
                <c:pt idx="6928">
                  <c:v>44185</c:v>
                </c:pt>
                <c:pt idx="6929">
                  <c:v>44186</c:v>
                </c:pt>
                <c:pt idx="6930">
                  <c:v>44187</c:v>
                </c:pt>
                <c:pt idx="6931">
                  <c:v>44188</c:v>
                </c:pt>
                <c:pt idx="6932">
                  <c:v>44189</c:v>
                </c:pt>
                <c:pt idx="6933">
                  <c:v>44190</c:v>
                </c:pt>
                <c:pt idx="6934">
                  <c:v>44191</c:v>
                </c:pt>
                <c:pt idx="6935">
                  <c:v>44192</c:v>
                </c:pt>
                <c:pt idx="6936">
                  <c:v>44193</c:v>
                </c:pt>
                <c:pt idx="6937">
                  <c:v>44194</c:v>
                </c:pt>
                <c:pt idx="6938">
                  <c:v>44195</c:v>
                </c:pt>
                <c:pt idx="6939">
                  <c:v>44196</c:v>
                </c:pt>
                <c:pt idx="6940">
                  <c:v>44197</c:v>
                </c:pt>
                <c:pt idx="6941">
                  <c:v>44198</c:v>
                </c:pt>
                <c:pt idx="6942">
                  <c:v>44199</c:v>
                </c:pt>
                <c:pt idx="6943">
                  <c:v>44200</c:v>
                </c:pt>
                <c:pt idx="6944">
                  <c:v>44201</c:v>
                </c:pt>
                <c:pt idx="6945">
                  <c:v>44202</c:v>
                </c:pt>
                <c:pt idx="6946">
                  <c:v>44203</c:v>
                </c:pt>
                <c:pt idx="6947">
                  <c:v>44204</c:v>
                </c:pt>
                <c:pt idx="6948">
                  <c:v>44205</c:v>
                </c:pt>
                <c:pt idx="6949">
                  <c:v>44206</c:v>
                </c:pt>
                <c:pt idx="6950">
                  <c:v>44207</c:v>
                </c:pt>
                <c:pt idx="6951">
                  <c:v>44208</c:v>
                </c:pt>
                <c:pt idx="6952">
                  <c:v>44209</c:v>
                </c:pt>
                <c:pt idx="6953">
                  <c:v>44210</c:v>
                </c:pt>
                <c:pt idx="6954">
                  <c:v>44211</c:v>
                </c:pt>
                <c:pt idx="6955">
                  <c:v>44212</c:v>
                </c:pt>
                <c:pt idx="6956">
                  <c:v>44213</c:v>
                </c:pt>
                <c:pt idx="6957">
                  <c:v>44214</c:v>
                </c:pt>
                <c:pt idx="6958">
                  <c:v>44215</c:v>
                </c:pt>
                <c:pt idx="6959">
                  <c:v>44216</c:v>
                </c:pt>
                <c:pt idx="6960">
                  <c:v>44217</c:v>
                </c:pt>
                <c:pt idx="6961">
                  <c:v>44218</c:v>
                </c:pt>
                <c:pt idx="6962">
                  <c:v>44219</c:v>
                </c:pt>
                <c:pt idx="6963">
                  <c:v>44220</c:v>
                </c:pt>
                <c:pt idx="6964">
                  <c:v>44221</c:v>
                </c:pt>
                <c:pt idx="6965">
                  <c:v>44222</c:v>
                </c:pt>
                <c:pt idx="6966">
                  <c:v>44223</c:v>
                </c:pt>
                <c:pt idx="6967">
                  <c:v>44224</c:v>
                </c:pt>
                <c:pt idx="6968">
                  <c:v>44225</c:v>
                </c:pt>
                <c:pt idx="6969">
                  <c:v>44226</c:v>
                </c:pt>
                <c:pt idx="6970">
                  <c:v>44227</c:v>
                </c:pt>
                <c:pt idx="6971">
                  <c:v>44228</c:v>
                </c:pt>
                <c:pt idx="6972">
                  <c:v>44229</c:v>
                </c:pt>
                <c:pt idx="6973">
                  <c:v>44230</c:v>
                </c:pt>
                <c:pt idx="6974">
                  <c:v>44231</c:v>
                </c:pt>
                <c:pt idx="6975">
                  <c:v>44232</c:v>
                </c:pt>
                <c:pt idx="6976">
                  <c:v>44233</c:v>
                </c:pt>
                <c:pt idx="6977">
                  <c:v>44234</c:v>
                </c:pt>
                <c:pt idx="6978">
                  <c:v>44235</c:v>
                </c:pt>
                <c:pt idx="6979">
                  <c:v>44236</c:v>
                </c:pt>
                <c:pt idx="6980">
                  <c:v>44237</c:v>
                </c:pt>
                <c:pt idx="6981">
                  <c:v>44238</c:v>
                </c:pt>
                <c:pt idx="6982">
                  <c:v>44239</c:v>
                </c:pt>
                <c:pt idx="6983">
                  <c:v>44240</c:v>
                </c:pt>
                <c:pt idx="6984">
                  <c:v>44241</c:v>
                </c:pt>
                <c:pt idx="6985">
                  <c:v>44242</c:v>
                </c:pt>
                <c:pt idx="6986">
                  <c:v>44243</c:v>
                </c:pt>
                <c:pt idx="6987">
                  <c:v>44244</c:v>
                </c:pt>
                <c:pt idx="6988">
                  <c:v>44245</c:v>
                </c:pt>
                <c:pt idx="6989">
                  <c:v>44246</c:v>
                </c:pt>
                <c:pt idx="6990">
                  <c:v>44247</c:v>
                </c:pt>
                <c:pt idx="6991">
                  <c:v>44248</c:v>
                </c:pt>
                <c:pt idx="6992">
                  <c:v>44249</c:v>
                </c:pt>
                <c:pt idx="6993">
                  <c:v>44250</c:v>
                </c:pt>
                <c:pt idx="6994">
                  <c:v>44251</c:v>
                </c:pt>
                <c:pt idx="6995">
                  <c:v>44252</c:v>
                </c:pt>
                <c:pt idx="6996">
                  <c:v>44253</c:v>
                </c:pt>
                <c:pt idx="6997">
                  <c:v>44254</c:v>
                </c:pt>
                <c:pt idx="6998">
                  <c:v>44255</c:v>
                </c:pt>
                <c:pt idx="6999">
                  <c:v>44256</c:v>
                </c:pt>
                <c:pt idx="7000">
                  <c:v>44257</c:v>
                </c:pt>
                <c:pt idx="7001">
                  <c:v>44258</c:v>
                </c:pt>
                <c:pt idx="7002">
                  <c:v>44259</c:v>
                </c:pt>
                <c:pt idx="7003">
                  <c:v>44260</c:v>
                </c:pt>
                <c:pt idx="7004">
                  <c:v>44261</c:v>
                </c:pt>
                <c:pt idx="7005">
                  <c:v>44262</c:v>
                </c:pt>
                <c:pt idx="7006">
                  <c:v>44263</c:v>
                </c:pt>
                <c:pt idx="7007">
                  <c:v>44264</c:v>
                </c:pt>
                <c:pt idx="7008">
                  <c:v>44265</c:v>
                </c:pt>
                <c:pt idx="7009">
                  <c:v>44266</c:v>
                </c:pt>
                <c:pt idx="7010">
                  <c:v>44267</c:v>
                </c:pt>
                <c:pt idx="7011">
                  <c:v>44268</c:v>
                </c:pt>
                <c:pt idx="7012">
                  <c:v>44269</c:v>
                </c:pt>
                <c:pt idx="7013">
                  <c:v>44270</c:v>
                </c:pt>
                <c:pt idx="7014">
                  <c:v>44271</c:v>
                </c:pt>
                <c:pt idx="7015">
                  <c:v>44272</c:v>
                </c:pt>
                <c:pt idx="7016">
                  <c:v>44273</c:v>
                </c:pt>
                <c:pt idx="7017">
                  <c:v>44274</c:v>
                </c:pt>
                <c:pt idx="7018">
                  <c:v>44275</c:v>
                </c:pt>
                <c:pt idx="7019">
                  <c:v>44276</c:v>
                </c:pt>
                <c:pt idx="7020">
                  <c:v>44277</c:v>
                </c:pt>
                <c:pt idx="7021">
                  <c:v>44278</c:v>
                </c:pt>
                <c:pt idx="7022">
                  <c:v>44279</c:v>
                </c:pt>
                <c:pt idx="7023">
                  <c:v>44280</c:v>
                </c:pt>
                <c:pt idx="7024">
                  <c:v>44281</c:v>
                </c:pt>
                <c:pt idx="7025">
                  <c:v>44282</c:v>
                </c:pt>
                <c:pt idx="7026">
                  <c:v>44283</c:v>
                </c:pt>
                <c:pt idx="7027">
                  <c:v>44284</c:v>
                </c:pt>
                <c:pt idx="7028">
                  <c:v>44285</c:v>
                </c:pt>
                <c:pt idx="7029">
                  <c:v>44286</c:v>
                </c:pt>
                <c:pt idx="7030">
                  <c:v>44287</c:v>
                </c:pt>
                <c:pt idx="7031">
                  <c:v>44288</c:v>
                </c:pt>
                <c:pt idx="7032">
                  <c:v>44289</c:v>
                </c:pt>
                <c:pt idx="7033">
                  <c:v>44290</c:v>
                </c:pt>
                <c:pt idx="7034">
                  <c:v>44291</c:v>
                </c:pt>
                <c:pt idx="7035">
                  <c:v>44292</c:v>
                </c:pt>
                <c:pt idx="7036">
                  <c:v>44293</c:v>
                </c:pt>
                <c:pt idx="7037">
                  <c:v>44294</c:v>
                </c:pt>
                <c:pt idx="7038">
                  <c:v>44295</c:v>
                </c:pt>
                <c:pt idx="7039">
                  <c:v>44296</c:v>
                </c:pt>
                <c:pt idx="7040">
                  <c:v>44297</c:v>
                </c:pt>
                <c:pt idx="7041">
                  <c:v>44298</c:v>
                </c:pt>
                <c:pt idx="7042">
                  <c:v>44299</c:v>
                </c:pt>
                <c:pt idx="7043">
                  <c:v>44300</c:v>
                </c:pt>
                <c:pt idx="7044">
                  <c:v>44301</c:v>
                </c:pt>
                <c:pt idx="7045">
                  <c:v>44302</c:v>
                </c:pt>
                <c:pt idx="7046">
                  <c:v>44303</c:v>
                </c:pt>
                <c:pt idx="7047">
                  <c:v>44304</c:v>
                </c:pt>
                <c:pt idx="7048">
                  <c:v>44305</c:v>
                </c:pt>
                <c:pt idx="7049">
                  <c:v>44306</c:v>
                </c:pt>
                <c:pt idx="7050">
                  <c:v>44307</c:v>
                </c:pt>
                <c:pt idx="7051">
                  <c:v>44308</c:v>
                </c:pt>
                <c:pt idx="7052">
                  <c:v>44309</c:v>
                </c:pt>
                <c:pt idx="7053">
                  <c:v>44310</c:v>
                </c:pt>
                <c:pt idx="7054">
                  <c:v>44311</c:v>
                </c:pt>
                <c:pt idx="7055">
                  <c:v>44312</c:v>
                </c:pt>
                <c:pt idx="7056">
                  <c:v>44313</c:v>
                </c:pt>
                <c:pt idx="7057">
                  <c:v>44314</c:v>
                </c:pt>
                <c:pt idx="7058">
                  <c:v>44315</c:v>
                </c:pt>
                <c:pt idx="7059">
                  <c:v>44316</c:v>
                </c:pt>
                <c:pt idx="7060">
                  <c:v>44317</c:v>
                </c:pt>
                <c:pt idx="7061">
                  <c:v>44318</c:v>
                </c:pt>
                <c:pt idx="7062">
                  <c:v>44319</c:v>
                </c:pt>
                <c:pt idx="7063">
                  <c:v>44320</c:v>
                </c:pt>
                <c:pt idx="7064">
                  <c:v>44321</c:v>
                </c:pt>
                <c:pt idx="7065">
                  <c:v>44322</c:v>
                </c:pt>
                <c:pt idx="7066">
                  <c:v>44323</c:v>
                </c:pt>
                <c:pt idx="7067">
                  <c:v>44324</c:v>
                </c:pt>
                <c:pt idx="7068">
                  <c:v>44325</c:v>
                </c:pt>
                <c:pt idx="7069">
                  <c:v>44326</c:v>
                </c:pt>
                <c:pt idx="7070">
                  <c:v>44327</c:v>
                </c:pt>
                <c:pt idx="7071">
                  <c:v>44328</c:v>
                </c:pt>
                <c:pt idx="7072">
                  <c:v>44329</c:v>
                </c:pt>
                <c:pt idx="7073">
                  <c:v>44330</c:v>
                </c:pt>
                <c:pt idx="7074">
                  <c:v>44331</c:v>
                </c:pt>
                <c:pt idx="7075">
                  <c:v>44332</c:v>
                </c:pt>
                <c:pt idx="7076">
                  <c:v>44333</c:v>
                </c:pt>
                <c:pt idx="7077">
                  <c:v>44334</c:v>
                </c:pt>
                <c:pt idx="7078">
                  <c:v>44335</c:v>
                </c:pt>
                <c:pt idx="7079">
                  <c:v>44336</c:v>
                </c:pt>
                <c:pt idx="7080">
                  <c:v>44337</c:v>
                </c:pt>
                <c:pt idx="7081">
                  <c:v>44338</c:v>
                </c:pt>
                <c:pt idx="7082">
                  <c:v>44339</c:v>
                </c:pt>
                <c:pt idx="7083">
                  <c:v>44340</c:v>
                </c:pt>
                <c:pt idx="7084">
                  <c:v>44341</c:v>
                </c:pt>
                <c:pt idx="7085">
                  <c:v>44342</c:v>
                </c:pt>
                <c:pt idx="7086">
                  <c:v>44343</c:v>
                </c:pt>
                <c:pt idx="7087">
                  <c:v>44344</c:v>
                </c:pt>
                <c:pt idx="7088">
                  <c:v>44345</c:v>
                </c:pt>
                <c:pt idx="7089">
                  <c:v>44346</c:v>
                </c:pt>
                <c:pt idx="7090">
                  <c:v>44347</c:v>
                </c:pt>
                <c:pt idx="7091">
                  <c:v>44348</c:v>
                </c:pt>
                <c:pt idx="7092">
                  <c:v>44349</c:v>
                </c:pt>
                <c:pt idx="7093">
                  <c:v>44350</c:v>
                </c:pt>
                <c:pt idx="7094">
                  <c:v>44351</c:v>
                </c:pt>
                <c:pt idx="7095">
                  <c:v>44352</c:v>
                </c:pt>
                <c:pt idx="7096">
                  <c:v>44353</c:v>
                </c:pt>
                <c:pt idx="7097">
                  <c:v>44354</c:v>
                </c:pt>
                <c:pt idx="7098">
                  <c:v>44355</c:v>
                </c:pt>
                <c:pt idx="7099">
                  <c:v>44356</c:v>
                </c:pt>
                <c:pt idx="7100">
                  <c:v>44357</c:v>
                </c:pt>
                <c:pt idx="7101">
                  <c:v>44358</c:v>
                </c:pt>
                <c:pt idx="7102">
                  <c:v>44359</c:v>
                </c:pt>
                <c:pt idx="7103">
                  <c:v>44360</c:v>
                </c:pt>
                <c:pt idx="7104">
                  <c:v>44361</c:v>
                </c:pt>
                <c:pt idx="7105">
                  <c:v>44362</c:v>
                </c:pt>
                <c:pt idx="7106">
                  <c:v>44363</c:v>
                </c:pt>
                <c:pt idx="7107">
                  <c:v>44364</c:v>
                </c:pt>
                <c:pt idx="7108">
                  <c:v>44365</c:v>
                </c:pt>
                <c:pt idx="7109">
                  <c:v>44366</c:v>
                </c:pt>
                <c:pt idx="7110">
                  <c:v>44367</c:v>
                </c:pt>
                <c:pt idx="7111">
                  <c:v>44368</c:v>
                </c:pt>
                <c:pt idx="7112">
                  <c:v>44369</c:v>
                </c:pt>
                <c:pt idx="7113">
                  <c:v>44370</c:v>
                </c:pt>
                <c:pt idx="7114">
                  <c:v>44371</c:v>
                </c:pt>
                <c:pt idx="7115">
                  <c:v>44372</c:v>
                </c:pt>
                <c:pt idx="7116">
                  <c:v>44373</c:v>
                </c:pt>
                <c:pt idx="7117">
                  <c:v>44374</c:v>
                </c:pt>
                <c:pt idx="7118">
                  <c:v>44375</c:v>
                </c:pt>
                <c:pt idx="7119">
                  <c:v>44376</c:v>
                </c:pt>
                <c:pt idx="7120">
                  <c:v>44377</c:v>
                </c:pt>
                <c:pt idx="7121">
                  <c:v>44378</c:v>
                </c:pt>
                <c:pt idx="7122">
                  <c:v>44379</c:v>
                </c:pt>
                <c:pt idx="7123">
                  <c:v>44380</c:v>
                </c:pt>
                <c:pt idx="7124">
                  <c:v>44381</c:v>
                </c:pt>
                <c:pt idx="7125">
                  <c:v>44382</c:v>
                </c:pt>
                <c:pt idx="7126">
                  <c:v>44383</c:v>
                </c:pt>
                <c:pt idx="7127">
                  <c:v>44384</c:v>
                </c:pt>
                <c:pt idx="7128">
                  <c:v>44385</c:v>
                </c:pt>
                <c:pt idx="7129">
                  <c:v>44386</c:v>
                </c:pt>
                <c:pt idx="7130">
                  <c:v>44387</c:v>
                </c:pt>
                <c:pt idx="7131">
                  <c:v>44388</c:v>
                </c:pt>
                <c:pt idx="7132">
                  <c:v>44389</c:v>
                </c:pt>
                <c:pt idx="7133">
                  <c:v>44390</c:v>
                </c:pt>
                <c:pt idx="7134">
                  <c:v>44391</c:v>
                </c:pt>
                <c:pt idx="7135">
                  <c:v>44392</c:v>
                </c:pt>
                <c:pt idx="7136">
                  <c:v>44393</c:v>
                </c:pt>
                <c:pt idx="7137">
                  <c:v>44394</c:v>
                </c:pt>
                <c:pt idx="7138">
                  <c:v>44395</c:v>
                </c:pt>
                <c:pt idx="7139">
                  <c:v>44396</c:v>
                </c:pt>
                <c:pt idx="7140">
                  <c:v>44397</c:v>
                </c:pt>
                <c:pt idx="7141">
                  <c:v>44398</c:v>
                </c:pt>
                <c:pt idx="7142">
                  <c:v>44399</c:v>
                </c:pt>
                <c:pt idx="7143">
                  <c:v>44400</c:v>
                </c:pt>
                <c:pt idx="7144">
                  <c:v>44401</c:v>
                </c:pt>
                <c:pt idx="7145">
                  <c:v>44402</c:v>
                </c:pt>
                <c:pt idx="7146">
                  <c:v>44403</c:v>
                </c:pt>
                <c:pt idx="7147">
                  <c:v>44404</c:v>
                </c:pt>
                <c:pt idx="7148">
                  <c:v>44405</c:v>
                </c:pt>
                <c:pt idx="7149">
                  <c:v>44406</c:v>
                </c:pt>
                <c:pt idx="7150">
                  <c:v>44407</c:v>
                </c:pt>
                <c:pt idx="7151">
                  <c:v>44408</c:v>
                </c:pt>
                <c:pt idx="7152">
                  <c:v>44409</c:v>
                </c:pt>
                <c:pt idx="7153">
                  <c:v>44410</c:v>
                </c:pt>
                <c:pt idx="7154">
                  <c:v>44411</c:v>
                </c:pt>
                <c:pt idx="7155">
                  <c:v>44412</c:v>
                </c:pt>
                <c:pt idx="7156">
                  <c:v>44413</c:v>
                </c:pt>
                <c:pt idx="7157">
                  <c:v>44414</c:v>
                </c:pt>
                <c:pt idx="7158">
                  <c:v>44415</c:v>
                </c:pt>
                <c:pt idx="7159">
                  <c:v>44416</c:v>
                </c:pt>
                <c:pt idx="7160">
                  <c:v>44417</c:v>
                </c:pt>
                <c:pt idx="7161">
                  <c:v>44418</c:v>
                </c:pt>
                <c:pt idx="7162">
                  <c:v>44419</c:v>
                </c:pt>
                <c:pt idx="7163">
                  <c:v>44420</c:v>
                </c:pt>
                <c:pt idx="7164">
                  <c:v>44421</c:v>
                </c:pt>
                <c:pt idx="7165">
                  <c:v>44422</c:v>
                </c:pt>
                <c:pt idx="7166">
                  <c:v>44423</c:v>
                </c:pt>
                <c:pt idx="7167">
                  <c:v>44424</c:v>
                </c:pt>
                <c:pt idx="7168">
                  <c:v>44425</c:v>
                </c:pt>
                <c:pt idx="7169">
                  <c:v>44426</c:v>
                </c:pt>
                <c:pt idx="7170">
                  <c:v>44427</c:v>
                </c:pt>
                <c:pt idx="7171">
                  <c:v>44428</c:v>
                </c:pt>
                <c:pt idx="7172">
                  <c:v>44429</c:v>
                </c:pt>
                <c:pt idx="7173">
                  <c:v>44430</c:v>
                </c:pt>
                <c:pt idx="7174">
                  <c:v>44431</c:v>
                </c:pt>
                <c:pt idx="7175">
                  <c:v>44432</c:v>
                </c:pt>
                <c:pt idx="7176">
                  <c:v>44433</c:v>
                </c:pt>
                <c:pt idx="7177">
                  <c:v>44434</c:v>
                </c:pt>
                <c:pt idx="7178">
                  <c:v>44435</c:v>
                </c:pt>
                <c:pt idx="7179">
                  <c:v>44436</c:v>
                </c:pt>
                <c:pt idx="7180">
                  <c:v>44437</c:v>
                </c:pt>
                <c:pt idx="7181">
                  <c:v>44438</c:v>
                </c:pt>
                <c:pt idx="7182">
                  <c:v>44439</c:v>
                </c:pt>
                <c:pt idx="7183">
                  <c:v>44440</c:v>
                </c:pt>
                <c:pt idx="7184">
                  <c:v>44441</c:v>
                </c:pt>
                <c:pt idx="7185">
                  <c:v>44442</c:v>
                </c:pt>
                <c:pt idx="7186">
                  <c:v>44443</c:v>
                </c:pt>
                <c:pt idx="7187">
                  <c:v>44444</c:v>
                </c:pt>
                <c:pt idx="7188">
                  <c:v>44445</c:v>
                </c:pt>
                <c:pt idx="7189">
                  <c:v>44446</c:v>
                </c:pt>
                <c:pt idx="7190">
                  <c:v>44447</c:v>
                </c:pt>
                <c:pt idx="7191">
                  <c:v>44448</c:v>
                </c:pt>
                <c:pt idx="7192">
                  <c:v>44449</c:v>
                </c:pt>
                <c:pt idx="7193">
                  <c:v>44450</c:v>
                </c:pt>
                <c:pt idx="7194">
                  <c:v>44451</c:v>
                </c:pt>
                <c:pt idx="7195">
                  <c:v>44452</c:v>
                </c:pt>
                <c:pt idx="7196">
                  <c:v>44453</c:v>
                </c:pt>
                <c:pt idx="7197">
                  <c:v>44454</c:v>
                </c:pt>
                <c:pt idx="7198">
                  <c:v>44455</c:v>
                </c:pt>
                <c:pt idx="7199">
                  <c:v>44456</c:v>
                </c:pt>
                <c:pt idx="7200">
                  <c:v>44457</c:v>
                </c:pt>
                <c:pt idx="7201">
                  <c:v>44458</c:v>
                </c:pt>
                <c:pt idx="7202">
                  <c:v>44459</c:v>
                </c:pt>
                <c:pt idx="7203">
                  <c:v>44460</c:v>
                </c:pt>
                <c:pt idx="7204">
                  <c:v>44461</c:v>
                </c:pt>
                <c:pt idx="7205">
                  <c:v>44462</c:v>
                </c:pt>
                <c:pt idx="7206">
                  <c:v>44463</c:v>
                </c:pt>
                <c:pt idx="7207">
                  <c:v>44464</c:v>
                </c:pt>
                <c:pt idx="7208">
                  <c:v>44465</c:v>
                </c:pt>
                <c:pt idx="7209">
                  <c:v>44466</c:v>
                </c:pt>
                <c:pt idx="7210">
                  <c:v>44467</c:v>
                </c:pt>
                <c:pt idx="7211">
                  <c:v>44468</c:v>
                </c:pt>
                <c:pt idx="7212">
                  <c:v>44469</c:v>
                </c:pt>
                <c:pt idx="7213">
                  <c:v>44470</c:v>
                </c:pt>
                <c:pt idx="7214">
                  <c:v>44471</c:v>
                </c:pt>
                <c:pt idx="7215">
                  <c:v>44472</c:v>
                </c:pt>
                <c:pt idx="7216">
                  <c:v>44473</c:v>
                </c:pt>
                <c:pt idx="7217">
                  <c:v>44474</c:v>
                </c:pt>
                <c:pt idx="7218">
                  <c:v>44475</c:v>
                </c:pt>
                <c:pt idx="7219">
                  <c:v>44476</c:v>
                </c:pt>
                <c:pt idx="7220">
                  <c:v>44477</c:v>
                </c:pt>
                <c:pt idx="7221">
                  <c:v>44478</c:v>
                </c:pt>
                <c:pt idx="7222">
                  <c:v>44479</c:v>
                </c:pt>
                <c:pt idx="7223">
                  <c:v>44480</c:v>
                </c:pt>
                <c:pt idx="7224">
                  <c:v>44481</c:v>
                </c:pt>
                <c:pt idx="7225">
                  <c:v>44482</c:v>
                </c:pt>
                <c:pt idx="7226">
                  <c:v>44483</c:v>
                </c:pt>
                <c:pt idx="7227">
                  <c:v>44484</c:v>
                </c:pt>
                <c:pt idx="7228">
                  <c:v>44485</c:v>
                </c:pt>
                <c:pt idx="7229">
                  <c:v>44486</c:v>
                </c:pt>
                <c:pt idx="7230">
                  <c:v>44487</c:v>
                </c:pt>
                <c:pt idx="7231">
                  <c:v>44488</c:v>
                </c:pt>
                <c:pt idx="7232">
                  <c:v>44489</c:v>
                </c:pt>
                <c:pt idx="7233">
                  <c:v>44490</c:v>
                </c:pt>
                <c:pt idx="7234">
                  <c:v>44491</c:v>
                </c:pt>
                <c:pt idx="7235">
                  <c:v>44492</c:v>
                </c:pt>
                <c:pt idx="7236">
                  <c:v>44493</c:v>
                </c:pt>
                <c:pt idx="7237">
                  <c:v>44494</c:v>
                </c:pt>
                <c:pt idx="7238">
                  <c:v>44495</c:v>
                </c:pt>
                <c:pt idx="7239">
                  <c:v>44496</c:v>
                </c:pt>
                <c:pt idx="7240">
                  <c:v>44497</c:v>
                </c:pt>
                <c:pt idx="7241">
                  <c:v>44498</c:v>
                </c:pt>
                <c:pt idx="7242">
                  <c:v>44499</c:v>
                </c:pt>
                <c:pt idx="7243">
                  <c:v>44500</c:v>
                </c:pt>
                <c:pt idx="7244">
                  <c:v>44501</c:v>
                </c:pt>
                <c:pt idx="7245">
                  <c:v>44502</c:v>
                </c:pt>
                <c:pt idx="7246">
                  <c:v>44503</c:v>
                </c:pt>
                <c:pt idx="7247">
                  <c:v>44504</c:v>
                </c:pt>
                <c:pt idx="7248">
                  <c:v>44505</c:v>
                </c:pt>
                <c:pt idx="7249">
                  <c:v>44506</c:v>
                </c:pt>
                <c:pt idx="7250">
                  <c:v>44507</c:v>
                </c:pt>
                <c:pt idx="7251">
                  <c:v>44508</c:v>
                </c:pt>
                <c:pt idx="7252">
                  <c:v>44509</c:v>
                </c:pt>
                <c:pt idx="7253">
                  <c:v>44510</c:v>
                </c:pt>
                <c:pt idx="7254">
                  <c:v>44511</c:v>
                </c:pt>
                <c:pt idx="7255">
                  <c:v>44512</c:v>
                </c:pt>
                <c:pt idx="7256">
                  <c:v>44513</c:v>
                </c:pt>
                <c:pt idx="7257">
                  <c:v>44514</c:v>
                </c:pt>
                <c:pt idx="7258">
                  <c:v>44515</c:v>
                </c:pt>
                <c:pt idx="7259">
                  <c:v>44516</c:v>
                </c:pt>
                <c:pt idx="7260">
                  <c:v>44517</c:v>
                </c:pt>
                <c:pt idx="7261">
                  <c:v>44518</c:v>
                </c:pt>
                <c:pt idx="7262">
                  <c:v>44519</c:v>
                </c:pt>
                <c:pt idx="7263">
                  <c:v>44520</c:v>
                </c:pt>
                <c:pt idx="7264">
                  <c:v>44521</c:v>
                </c:pt>
                <c:pt idx="7265">
                  <c:v>44522</c:v>
                </c:pt>
                <c:pt idx="7266">
                  <c:v>44523</c:v>
                </c:pt>
                <c:pt idx="7267">
                  <c:v>44524</c:v>
                </c:pt>
                <c:pt idx="7268">
                  <c:v>44525</c:v>
                </c:pt>
                <c:pt idx="7269">
                  <c:v>44526</c:v>
                </c:pt>
                <c:pt idx="7270">
                  <c:v>44527</c:v>
                </c:pt>
                <c:pt idx="7271">
                  <c:v>44528</c:v>
                </c:pt>
                <c:pt idx="7272">
                  <c:v>44529</c:v>
                </c:pt>
                <c:pt idx="7273">
                  <c:v>44530</c:v>
                </c:pt>
                <c:pt idx="7274">
                  <c:v>44531</c:v>
                </c:pt>
                <c:pt idx="7275">
                  <c:v>44532</c:v>
                </c:pt>
                <c:pt idx="7276">
                  <c:v>44533</c:v>
                </c:pt>
                <c:pt idx="7277">
                  <c:v>44534</c:v>
                </c:pt>
                <c:pt idx="7278">
                  <c:v>44535</c:v>
                </c:pt>
                <c:pt idx="7279">
                  <c:v>44536</c:v>
                </c:pt>
                <c:pt idx="7280">
                  <c:v>44537</c:v>
                </c:pt>
                <c:pt idx="7281">
                  <c:v>44538</c:v>
                </c:pt>
                <c:pt idx="7282">
                  <c:v>44539</c:v>
                </c:pt>
                <c:pt idx="7283">
                  <c:v>44540</c:v>
                </c:pt>
                <c:pt idx="7284">
                  <c:v>44541</c:v>
                </c:pt>
                <c:pt idx="7285">
                  <c:v>44542</c:v>
                </c:pt>
                <c:pt idx="7286">
                  <c:v>44543</c:v>
                </c:pt>
                <c:pt idx="7287">
                  <c:v>44544</c:v>
                </c:pt>
                <c:pt idx="7288">
                  <c:v>44545</c:v>
                </c:pt>
                <c:pt idx="7289">
                  <c:v>44546</c:v>
                </c:pt>
                <c:pt idx="7290">
                  <c:v>44547</c:v>
                </c:pt>
                <c:pt idx="7291">
                  <c:v>44548</c:v>
                </c:pt>
                <c:pt idx="7292">
                  <c:v>44549</c:v>
                </c:pt>
                <c:pt idx="7293">
                  <c:v>44550</c:v>
                </c:pt>
                <c:pt idx="7294">
                  <c:v>44551</c:v>
                </c:pt>
                <c:pt idx="7295">
                  <c:v>44552</c:v>
                </c:pt>
                <c:pt idx="7296">
                  <c:v>44553</c:v>
                </c:pt>
                <c:pt idx="7297">
                  <c:v>44554</c:v>
                </c:pt>
                <c:pt idx="7298">
                  <c:v>44555</c:v>
                </c:pt>
                <c:pt idx="7299">
                  <c:v>44556</c:v>
                </c:pt>
                <c:pt idx="7300">
                  <c:v>44557</c:v>
                </c:pt>
                <c:pt idx="7301">
                  <c:v>44558</c:v>
                </c:pt>
                <c:pt idx="7302">
                  <c:v>44559</c:v>
                </c:pt>
                <c:pt idx="7303">
                  <c:v>44560</c:v>
                </c:pt>
                <c:pt idx="7304">
                  <c:v>44561</c:v>
                </c:pt>
                <c:pt idx="7305">
                  <c:v>44562</c:v>
                </c:pt>
                <c:pt idx="7306">
                  <c:v>44563</c:v>
                </c:pt>
                <c:pt idx="7307">
                  <c:v>44564</c:v>
                </c:pt>
                <c:pt idx="7308">
                  <c:v>44565</c:v>
                </c:pt>
                <c:pt idx="7309">
                  <c:v>44566</c:v>
                </c:pt>
                <c:pt idx="7310">
                  <c:v>44567</c:v>
                </c:pt>
                <c:pt idx="7311">
                  <c:v>44568</c:v>
                </c:pt>
                <c:pt idx="7312">
                  <c:v>44569</c:v>
                </c:pt>
                <c:pt idx="7313">
                  <c:v>44570</c:v>
                </c:pt>
                <c:pt idx="7314">
                  <c:v>44571</c:v>
                </c:pt>
                <c:pt idx="7315">
                  <c:v>44572</c:v>
                </c:pt>
                <c:pt idx="7316">
                  <c:v>44573</c:v>
                </c:pt>
                <c:pt idx="7317">
                  <c:v>44574</c:v>
                </c:pt>
                <c:pt idx="7318">
                  <c:v>44575</c:v>
                </c:pt>
                <c:pt idx="7319">
                  <c:v>44576</c:v>
                </c:pt>
                <c:pt idx="7320">
                  <c:v>44577</c:v>
                </c:pt>
                <c:pt idx="7321">
                  <c:v>44578</c:v>
                </c:pt>
                <c:pt idx="7322">
                  <c:v>44579</c:v>
                </c:pt>
                <c:pt idx="7323">
                  <c:v>44580</c:v>
                </c:pt>
                <c:pt idx="7324">
                  <c:v>44581</c:v>
                </c:pt>
                <c:pt idx="7325">
                  <c:v>44582</c:v>
                </c:pt>
                <c:pt idx="7326">
                  <c:v>44583</c:v>
                </c:pt>
                <c:pt idx="7327">
                  <c:v>44584</c:v>
                </c:pt>
                <c:pt idx="7328">
                  <c:v>44585</c:v>
                </c:pt>
                <c:pt idx="7329">
                  <c:v>44586</c:v>
                </c:pt>
                <c:pt idx="7330">
                  <c:v>44587</c:v>
                </c:pt>
                <c:pt idx="7331">
                  <c:v>44588</c:v>
                </c:pt>
                <c:pt idx="7332">
                  <c:v>44589</c:v>
                </c:pt>
                <c:pt idx="7333">
                  <c:v>44590</c:v>
                </c:pt>
                <c:pt idx="7334">
                  <c:v>44591</c:v>
                </c:pt>
                <c:pt idx="7335">
                  <c:v>44592</c:v>
                </c:pt>
                <c:pt idx="7336">
                  <c:v>44593</c:v>
                </c:pt>
                <c:pt idx="7337">
                  <c:v>44594</c:v>
                </c:pt>
                <c:pt idx="7338">
                  <c:v>44595</c:v>
                </c:pt>
                <c:pt idx="7339">
                  <c:v>44596</c:v>
                </c:pt>
                <c:pt idx="7340">
                  <c:v>44597</c:v>
                </c:pt>
                <c:pt idx="7341">
                  <c:v>44598</c:v>
                </c:pt>
                <c:pt idx="7342">
                  <c:v>44599</c:v>
                </c:pt>
                <c:pt idx="7343">
                  <c:v>44600</c:v>
                </c:pt>
                <c:pt idx="7344">
                  <c:v>44601</c:v>
                </c:pt>
                <c:pt idx="7345">
                  <c:v>44602</c:v>
                </c:pt>
                <c:pt idx="7346">
                  <c:v>44603</c:v>
                </c:pt>
                <c:pt idx="7347">
                  <c:v>44604</c:v>
                </c:pt>
                <c:pt idx="7348">
                  <c:v>44605</c:v>
                </c:pt>
                <c:pt idx="7349">
                  <c:v>44606</c:v>
                </c:pt>
                <c:pt idx="7350">
                  <c:v>44607</c:v>
                </c:pt>
                <c:pt idx="7351">
                  <c:v>44608</c:v>
                </c:pt>
                <c:pt idx="7352">
                  <c:v>44609</c:v>
                </c:pt>
                <c:pt idx="7353">
                  <c:v>44610</c:v>
                </c:pt>
                <c:pt idx="7354">
                  <c:v>44611</c:v>
                </c:pt>
                <c:pt idx="7355">
                  <c:v>44612</c:v>
                </c:pt>
                <c:pt idx="7356">
                  <c:v>44613</c:v>
                </c:pt>
                <c:pt idx="7357">
                  <c:v>44614</c:v>
                </c:pt>
                <c:pt idx="7358">
                  <c:v>44615</c:v>
                </c:pt>
                <c:pt idx="7359">
                  <c:v>44616</c:v>
                </c:pt>
                <c:pt idx="7360">
                  <c:v>44617</c:v>
                </c:pt>
                <c:pt idx="7361">
                  <c:v>44618</c:v>
                </c:pt>
                <c:pt idx="7362">
                  <c:v>44619</c:v>
                </c:pt>
                <c:pt idx="7363">
                  <c:v>44620</c:v>
                </c:pt>
                <c:pt idx="7364">
                  <c:v>44621</c:v>
                </c:pt>
                <c:pt idx="7365">
                  <c:v>44622</c:v>
                </c:pt>
                <c:pt idx="7366">
                  <c:v>44623</c:v>
                </c:pt>
                <c:pt idx="7367">
                  <c:v>44624</c:v>
                </c:pt>
                <c:pt idx="7368">
                  <c:v>44625</c:v>
                </c:pt>
                <c:pt idx="7369">
                  <c:v>44626</c:v>
                </c:pt>
                <c:pt idx="7370">
                  <c:v>44627</c:v>
                </c:pt>
                <c:pt idx="7371">
                  <c:v>44628</c:v>
                </c:pt>
                <c:pt idx="7372">
                  <c:v>44629</c:v>
                </c:pt>
                <c:pt idx="7373">
                  <c:v>44630</c:v>
                </c:pt>
                <c:pt idx="7374">
                  <c:v>44631</c:v>
                </c:pt>
                <c:pt idx="7375">
                  <c:v>44632</c:v>
                </c:pt>
                <c:pt idx="7376">
                  <c:v>44633</c:v>
                </c:pt>
                <c:pt idx="7377">
                  <c:v>44634</c:v>
                </c:pt>
                <c:pt idx="7378">
                  <c:v>44635</c:v>
                </c:pt>
                <c:pt idx="7379">
                  <c:v>44636</c:v>
                </c:pt>
                <c:pt idx="7380">
                  <c:v>44637</c:v>
                </c:pt>
                <c:pt idx="7381">
                  <c:v>44638</c:v>
                </c:pt>
                <c:pt idx="7382">
                  <c:v>44639</c:v>
                </c:pt>
                <c:pt idx="7383">
                  <c:v>44640</c:v>
                </c:pt>
                <c:pt idx="7384">
                  <c:v>44641</c:v>
                </c:pt>
                <c:pt idx="7385">
                  <c:v>44642</c:v>
                </c:pt>
                <c:pt idx="7386">
                  <c:v>44643</c:v>
                </c:pt>
                <c:pt idx="7387">
                  <c:v>44644</c:v>
                </c:pt>
                <c:pt idx="7388">
                  <c:v>44645</c:v>
                </c:pt>
                <c:pt idx="7389">
                  <c:v>44646</c:v>
                </c:pt>
                <c:pt idx="7390">
                  <c:v>44647</c:v>
                </c:pt>
                <c:pt idx="7391">
                  <c:v>44648</c:v>
                </c:pt>
                <c:pt idx="7392">
                  <c:v>44649</c:v>
                </c:pt>
                <c:pt idx="7393">
                  <c:v>44650</c:v>
                </c:pt>
                <c:pt idx="7394">
                  <c:v>44651</c:v>
                </c:pt>
                <c:pt idx="7395">
                  <c:v>44652</c:v>
                </c:pt>
                <c:pt idx="7396">
                  <c:v>44653</c:v>
                </c:pt>
                <c:pt idx="7397">
                  <c:v>44654</c:v>
                </c:pt>
                <c:pt idx="7398">
                  <c:v>44655</c:v>
                </c:pt>
                <c:pt idx="7399">
                  <c:v>44656</c:v>
                </c:pt>
                <c:pt idx="7400">
                  <c:v>44657</c:v>
                </c:pt>
                <c:pt idx="7401">
                  <c:v>44658</c:v>
                </c:pt>
                <c:pt idx="7402">
                  <c:v>44659</c:v>
                </c:pt>
                <c:pt idx="7403">
                  <c:v>44660</c:v>
                </c:pt>
                <c:pt idx="7404">
                  <c:v>44661</c:v>
                </c:pt>
                <c:pt idx="7405">
                  <c:v>44662</c:v>
                </c:pt>
                <c:pt idx="7406">
                  <c:v>44663</c:v>
                </c:pt>
                <c:pt idx="7407">
                  <c:v>44664</c:v>
                </c:pt>
                <c:pt idx="7408">
                  <c:v>44665</c:v>
                </c:pt>
                <c:pt idx="7409">
                  <c:v>44666</c:v>
                </c:pt>
                <c:pt idx="7410">
                  <c:v>44667</c:v>
                </c:pt>
                <c:pt idx="7411">
                  <c:v>44668</c:v>
                </c:pt>
                <c:pt idx="7412">
                  <c:v>44669</c:v>
                </c:pt>
                <c:pt idx="7413">
                  <c:v>44670</c:v>
                </c:pt>
                <c:pt idx="7414">
                  <c:v>44671</c:v>
                </c:pt>
                <c:pt idx="7415">
                  <c:v>44672</c:v>
                </c:pt>
                <c:pt idx="7416">
                  <c:v>44673</c:v>
                </c:pt>
                <c:pt idx="7417">
                  <c:v>44674</c:v>
                </c:pt>
                <c:pt idx="7418">
                  <c:v>44675</c:v>
                </c:pt>
                <c:pt idx="7419">
                  <c:v>44676</c:v>
                </c:pt>
                <c:pt idx="7420">
                  <c:v>44677</c:v>
                </c:pt>
                <c:pt idx="7421">
                  <c:v>44678</c:v>
                </c:pt>
                <c:pt idx="7422">
                  <c:v>44679</c:v>
                </c:pt>
                <c:pt idx="7423">
                  <c:v>44680</c:v>
                </c:pt>
                <c:pt idx="7424">
                  <c:v>44681</c:v>
                </c:pt>
                <c:pt idx="7425">
                  <c:v>44682</c:v>
                </c:pt>
                <c:pt idx="7426">
                  <c:v>44683</c:v>
                </c:pt>
                <c:pt idx="7427">
                  <c:v>44684</c:v>
                </c:pt>
                <c:pt idx="7428">
                  <c:v>44685</c:v>
                </c:pt>
                <c:pt idx="7429">
                  <c:v>44686</c:v>
                </c:pt>
                <c:pt idx="7430">
                  <c:v>44687</c:v>
                </c:pt>
                <c:pt idx="7431">
                  <c:v>44688</c:v>
                </c:pt>
                <c:pt idx="7432">
                  <c:v>44689</c:v>
                </c:pt>
                <c:pt idx="7433">
                  <c:v>44690</c:v>
                </c:pt>
                <c:pt idx="7434">
                  <c:v>44691</c:v>
                </c:pt>
                <c:pt idx="7435">
                  <c:v>44692</c:v>
                </c:pt>
                <c:pt idx="7436">
                  <c:v>44693</c:v>
                </c:pt>
                <c:pt idx="7437">
                  <c:v>44694</c:v>
                </c:pt>
                <c:pt idx="7438">
                  <c:v>44695</c:v>
                </c:pt>
                <c:pt idx="7439">
                  <c:v>44696</c:v>
                </c:pt>
                <c:pt idx="7440">
                  <c:v>44697</c:v>
                </c:pt>
                <c:pt idx="7441">
                  <c:v>44698</c:v>
                </c:pt>
                <c:pt idx="7442">
                  <c:v>44699</c:v>
                </c:pt>
                <c:pt idx="7443">
                  <c:v>44700</c:v>
                </c:pt>
                <c:pt idx="7444">
                  <c:v>44701</c:v>
                </c:pt>
                <c:pt idx="7445">
                  <c:v>44702</c:v>
                </c:pt>
                <c:pt idx="7446">
                  <c:v>44703</c:v>
                </c:pt>
                <c:pt idx="7447">
                  <c:v>44704</c:v>
                </c:pt>
                <c:pt idx="7448">
                  <c:v>44705</c:v>
                </c:pt>
                <c:pt idx="7449">
                  <c:v>44706</c:v>
                </c:pt>
                <c:pt idx="7450">
                  <c:v>44707</c:v>
                </c:pt>
                <c:pt idx="7451">
                  <c:v>44708</c:v>
                </c:pt>
                <c:pt idx="7452">
                  <c:v>44709</c:v>
                </c:pt>
                <c:pt idx="7453">
                  <c:v>44710</c:v>
                </c:pt>
                <c:pt idx="7454">
                  <c:v>44711</c:v>
                </c:pt>
                <c:pt idx="7455">
                  <c:v>44712</c:v>
                </c:pt>
                <c:pt idx="7456">
                  <c:v>44713</c:v>
                </c:pt>
                <c:pt idx="7457">
                  <c:v>44714</c:v>
                </c:pt>
                <c:pt idx="7458">
                  <c:v>44715</c:v>
                </c:pt>
              </c:numCache>
            </c:numRef>
          </c:cat>
          <c:val>
            <c:numRef>
              <c:f>Sheet1!$L$2:$L$7460</c:f>
              <c:numCache>
                <c:formatCode>0.0</c:formatCode>
                <c:ptCount val="7459"/>
                <c:pt idx="0">
                  <c:v>7.04</c:v>
                </c:pt>
                <c:pt idx="1">
                  <c:v>7.02</c:v>
                </c:pt>
                <c:pt idx="2">
                  <c:v>7.02</c:v>
                </c:pt>
                <c:pt idx="3">
                  <c:v>7.04</c:v>
                </c:pt>
                <c:pt idx="4">
                  <c:v>7.02</c:v>
                </c:pt>
                <c:pt idx="5">
                  <c:v>7.02</c:v>
                </c:pt>
                <c:pt idx="6">
                  <c:v>6.97</c:v>
                </c:pt>
                <c:pt idx="7">
                  <c:v>6.98</c:v>
                </c:pt>
                <c:pt idx="8">
                  <c:v>6.98</c:v>
                </c:pt>
                <c:pt idx="9">
                  <c:v>7.01</c:v>
                </c:pt>
                <c:pt idx="10">
                  <c:v>7.03</c:v>
                </c:pt>
                <c:pt idx="11">
                  <c:v>7.01</c:v>
                </c:pt>
                <c:pt idx="12">
                  <c:v>7.01</c:v>
                </c:pt>
                <c:pt idx="13">
                  <c:v>6.96</c:v>
                </c:pt>
                <c:pt idx="14">
                  <c:v>6.95</c:v>
                </c:pt>
                <c:pt idx="15">
                  <c:v>6.92</c:v>
                </c:pt>
                <c:pt idx="16">
                  <c:v>6.86</c:v>
                </c:pt>
                <c:pt idx="17">
                  <c:v>6.87</c:v>
                </c:pt>
                <c:pt idx="18">
                  <c:v>6.85</c:v>
                </c:pt>
                <c:pt idx="19">
                  <c:v>6.85</c:v>
                </c:pt>
                <c:pt idx="20">
                  <c:v>6.82</c:v>
                </c:pt>
                <c:pt idx="21">
                  <c:v>6.81</c:v>
                </c:pt>
                <c:pt idx="22">
                  <c:v>6.78</c:v>
                </c:pt>
                <c:pt idx="23">
                  <c:v>6.75</c:v>
                </c:pt>
                <c:pt idx="24">
                  <c:v>6.73</c:v>
                </c:pt>
                <c:pt idx="25">
                  <c:v>6.67</c:v>
                </c:pt>
                <c:pt idx="26">
                  <c:v>6.67</c:v>
                </c:pt>
                <c:pt idx="27">
                  <c:v>6.68</c:v>
                </c:pt>
                <c:pt idx="28">
                  <c:v>6.64</c:v>
                </c:pt>
                <c:pt idx="29">
                  <c:v>6.62</c:v>
                </c:pt>
                <c:pt idx="30">
                  <c:v>6.65</c:v>
                </c:pt>
                <c:pt idx="31">
                  <c:v>6.61</c:v>
                </c:pt>
                <c:pt idx="32">
                  <c:v>6.59</c:v>
                </c:pt>
                <c:pt idx="33">
                  <c:v>6.59</c:v>
                </c:pt>
                <c:pt idx="34">
                  <c:v>6.52</c:v>
                </c:pt>
                <c:pt idx="35">
                  <c:v>6.49</c:v>
                </c:pt>
                <c:pt idx="36">
                  <c:v>6.48</c:v>
                </c:pt>
                <c:pt idx="37">
                  <c:v>6.46</c:v>
                </c:pt>
                <c:pt idx="38">
                  <c:v>6.39</c:v>
                </c:pt>
                <c:pt idx="39">
                  <c:v>6.37</c:v>
                </c:pt>
                <c:pt idx="40">
                  <c:v>6.37</c:v>
                </c:pt>
                <c:pt idx="41">
                  <c:v>6.37</c:v>
                </c:pt>
                <c:pt idx="42">
                  <c:v>6.3</c:v>
                </c:pt>
                <c:pt idx="43">
                  <c:v>6.31</c:v>
                </c:pt>
                <c:pt idx="44">
                  <c:v>6.27</c:v>
                </c:pt>
                <c:pt idx="45">
                  <c:v>6.3</c:v>
                </c:pt>
                <c:pt idx="46">
                  <c:v>6.28</c:v>
                </c:pt>
                <c:pt idx="47">
                  <c:v>6.28</c:v>
                </c:pt>
                <c:pt idx="48">
                  <c:v>6.2</c:v>
                </c:pt>
                <c:pt idx="49">
                  <c:v>6.22</c:v>
                </c:pt>
                <c:pt idx="50">
                  <c:v>6.33</c:v>
                </c:pt>
                <c:pt idx="51">
                  <c:v>6.34</c:v>
                </c:pt>
                <c:pt idx="52">
                  <c:v>6.23</c:v>
                </c:pt>
                <c:pt idx="53">
                  <c:v>6.15</c:v>
                </c:pt>
                <c:pt idx="54">
                  <c:v>6.15</c:v>
                </c:pt>
                <c:pt idx="55">
                  <c:v>6.33</c:v>
                </c:pt>
                <c:pt idx="56">
                  <c:v>6.33</c:v>
                </c:pt>
                <c:pt idx="57">
                  <c:v>6.16</c:v>
                </c:pt>
                <c:pt idx="58">
                  <c:v>6.13</c:v>
                </c:pt>
                <c:pt idx="59">
                  <c:v>6.0540000000000003</c:v>
                </c:pt>
                <c:pt idx="60">
                  <c:v>6.0540000000000003</c:v>
                </c:pt>
                <c:pt idx="61">
                  <c:v>6.0540000000000003</c:v>
                </c:pt>
                <c:pt idx="62">
                  <c:v>6.1840000000000002</c:v>
                </c:pt>
                <c:pt idx="63">
                  <c:v>6.1550000000000002</c:v>
                </c:pt>
                <c:pt idx="64">
                  <c:v>6.3140000000000001</c:v>
                </c:pt>
                <c:pt idx="65">
                  <c:v>6.28</c:v>
                </c:pt>
                <c:pt idx="66">
                  <c:v>6.367</c:v>
                </c:pt>
                <c:pt idx="67">
                  <c:v>6.367</c:v>
                </c:pt>
                <c:pt idx="68">
                  <c:v>6.367</c:v>
                </c:pt>
                <c:pt idx="69">
                  <c:v>6.2</c:v>
                </c:pt>
                <c:pt idx="70">
                  <c:v>6.141</c:v>
                </c:pt>
                <c:pt idx="71">
                  <c:v>6.2960000000000003</c:v>
                </c:pt>
                <c:pt idx="72">
                  <c:v>6.2880000000000003</c:v>
                </c:pt>
                <c:pt idx="73">
                  <c:v>6.2960000000000003</c:v>
                </c:pt>
                <c:pt idx="74">
                  <c:v>6.2960000000000003</c:v>
                </c:pt>
                <c:pt idx="75">
                  <c:v>6.2960000000000003</c:v>
                </c:pt>
                <c:pt idx="76">
                  <c:v>6.2350000000000003</c:v>
                </c:pt>
                <c:pt idx="77">
                  <c:v>6.2329999999999997</c:v>
                </c:pt>
                <c:pt idx="78">
                  <c:v>6.2830000000000004</c:v>
                </c:pt>
                <c:pt idx="79">
                  <c:v>6.2679999999999998</c:v>
                </c:pt>
                <c:pt idx="80">
                  <c:v>6.2380000000000004</c:v>
                </c:pt>
                <c:pt idx="81">
                  <c:v>6.2380000000000004</c:v>
                </c:pt>
                <c:pt idx="82">
                  <c:v>6.2380000000000004</c:v>
                </c:pt>
                <c:pt idx="83">
                  <c:v>6.2380000000000004</c:v>
                </c:pt>
                <c:pt idx="84">
                  <c:v>6.2380000000000004</c:v>
                </c:pt>
                <c:pt idx="85">
                  <c:v>6.2380000000000004</c:v>
                </c:pt>
                <c:pt idx="86">
                  <c:v>6.2380000000000004</c:v>
                </c:pt>
                <c:pt idx="87">
                  <c:v>6.2380000000000004</c:v>
                </c:pt>
                <c:pt idx="88">
                  <c:v>6.2380000000000004</c:v>
                </c:pt>
                <c:pt idx="89">
                  <c:v>6.2380000000000004</c:v>
                </c:pt>
                <c:pt idx="90">
                  <c:v>6.2380000000000004</c:v>
                </c:pt>
                <c:pt idx="91">
                  <c:v>6.2380000000000004</c:v>
                </c:pt>
                <c:pt idx="92">
                  <c:v>6.2380000000000004</c:v>
                </c:pt>
                <c:pt idx="93">
                  <c:v>6.2380000000000004</c:v>
                </c:pt>
                <c:pt idx="94">
                  <c:v>6.2380000000000004</c:v>
                </c:pt>
                <c:pt idx="95">
                  <c:v>6.2380000000000004</c:v>
                </c:pt>
                <c:pt idx="96">
                  <c:v>6.2380000000000004</c:v>
                </c:pt>
                <c:pt idx="97">
                  <c:v>6.2380000000000004</c:v>
                </c:pt>
                <c:pt idx="98">
                  <c:v>6.2380000000000004</c:v>
                </c:pt>
                <c:pt idx="99">
                  <c:v>6.2380000000000004</c:v>
                </c:pt>
                <c:pt idx="100">
                  <c:v>6.2380000000000004</c:v>
                </c:pt>
                <c:pt idx="101">
                  <c:v>6.2380000000000004</c:v>
                </c:pt>
                <c:pt idx="102">
                  <c:v>6.2380000000000004</c:v>
                </c:pt>
                <c:pt idx="103">
                  <c:v>6.2380000000000004</c:v>
                </c:pt>
                <c:pt idx="104">
                  <c:v>6.2380000000000004</c:v>
                </c:pt>
                <c:pt idx="105">
                  <c:v>6.2380000000000004</c:v>
                </c:pt>
                <c:pt idx="106">
                  <c:v>6.2380000000000004</c:v>
                </c:pt>
                <c:pt idx="107">
                  <c:v>6.2380000000000004</c:v>
                </c:pt>
                <c:pt idx="108">
                  <c:v>6.2380000000000004</c:v>
                </c:pt>
                <c:pt idx="109">
                  <c:v>6.2380000000000004</c:v>
                </c:pt>
                <c:pt idx="110">
                  <c:v>6.2380000000000004</c:v>
                </c:pt>
                <c:pt idx="111">
                  <c:v>6.3410000000000002</c:v>
                </c:pt>
                <c:pt idx="112">
                  <c:v>6.3040000000000003</c:v>
                </c:pt>
                <c:pt idx="113">
                  <c:v>6.2670000000000003</c:v>
                </c:pt>
                <c:pt idx="114">
                  <c:v>6.19</c:v>
                </c:pt>
                <c:pt idx="115">
                  <c:v>6.19</c:v>
                </c:pt>
                <c:pt idx="116">
                  <c:v>6.19</c:v>
                </c:pt>
                <c:pt idx="117">
                  <c:v>6.19</c:v>
                </c:pt>
                <c:pt idx="118">
                  <c:v>6.19</c:v>
                </c:pt>
                <c:pt idx="119">
                  <c:v>6.19</c:v>
                </c:pt>
                <c:pt idx="120">
                  <c:v>6.19</c:v>
                </c:pt>
                <c:pt idx="121">
                  <c:v>6.19</c:v>
                </c:pt>
                <c:pt idx="122">
                  <c:v>6.19</c:v>
                </c:pt>
                <c:pt idx="123">
                  <c:v>6.19</c:v>
                </c:pt>
                <c:pt idx="124">
                  <c:v>6.19</c:v>
                </c:pt>
                <c:pt idx="125">
                  <c:v>6.19</c:v>
                </c:pt>
                <c:pt idx="126">
                  <c:v>6.19</c:v>
                </c:pt>
                <c:pt idx="127">
                  <c:v>6.19</c:v>
                </c:pt>
                <c:pt idx="128">
                  <c:v>6.19</c:v>
                </c:pt>
                <c:pt idx="129">
                  <c:v>6.19</c:v>
                </c:pt>
                <c:pt idx="130">
                  <c:v>6.19</c:v>
                </c:pt>
                <c:pt idx="131">
                  <c:v>6.19</c:v>
                </c:pt>
                <c:pt idx="132">
                  <c:v>6.19</c:v>
                </c:pt>
                <c:pt idx="133">
                  <c:v>6.19</c:v>
                </c:pt>
                <c:pt idx="134">
                  <c:v>6.19</c:v>
                </c:pt>
                <c:pt idx="135">
                  <c:v>6.19</c:v>
                </c:pt>
                <c:pt idx="136">
                  <c:v>6.19</c:v>
                </c:pt>
                <c:pt idx="137">
                  <c:v>6.19</c:v>
                </c:pt>
                <c:pt idx="138">
                  <c:v>6.19</c:v>
                </c:pt>
                <c:pt idx="139">
                  <c:v>6.19</c:v>
                </c:pt>
                <c:pt idx="140">
                  <c:v>6.19</c:v>
                </c:pt>
                <c:pt idx="141">
                  <c:v>6.19</c:v>
                </c:pt>
                <c:pt idx="142">
                  <c:v>6.19</c:v>
                </c:pt>
                <c:pt idx="143">
                  <c:v>6.19</c:v>
                </c:pt>
                <c:pt idx="144">
                  <c:v>6.19</c:v>
                </c:pt>
                <c:pt idx="145">
                  <c:v>6.19</c:v>
                </c:pt>
                <c:pt idx="146">
                  <c:v>6.19</c:v>
                </c:pt>
                <c:pt idx="147">
                  <c:v>6.19</c:v>
                </c:pt>
                <c:pt idx="148">
                  <c:v>6.19</c:v>
                </c:pt>
                <c:pt idx="149">
                  <c:v>6.19</c:v>
                </c:pt>
                <c:pt idx="150">
                  <c:v>6.19</c:v>
                </c:pt>
                <c:pt idx="151">
                  <c:v>6.19</c:v>
                </c:pt>
                <c:pt idx="152">
                  <c:v>6.19</c:v>
                </c:pt>
                <c:pt idx="153">
                  <c:v>6.19</c:v>
                </c:pt>
                <c:pt idx="154">
                  <c:v>6.19</c:v>
                </c:pt>
                <c:pt idx="155">
                  <c:v>6.19</c:v>
                </c:pt>
                <c:pt idx="156">
                  <c:v>6.19</c:v>
                </c:pt>
                <c:pt idx="157">
                  <c:v>6.19</c:v>
                </c:pt>
                <c:pt idx="158">
                  <c:v>6.19</c:v>
                </c:pt>
                <c:pt idx="159">
                  <c:v>6.19</c:v>
                </c:pt>
                <c:pt idx="160">
                  <c:v>6.19</c:v>
                </c:pt>
                <c:pt idx="161">
                  <c:v>6.19</c:v>
                </c:pt>
                <c:pt idx="162">
                  <c:v>6.19</c:v>
                </c:pt>
                <c:pt idx="163">
                  <c:v>6.19</c:v>
                </c:pt>
                <c:pt idx="164">
                  <c:v>6.19</c:v>
                </c:pt>
                <c:pt idx="165">
                  <c:v>6.19</c:v>
                </c:pt>
                <c:pt idx="166">
                  <c:v>6.19</c:v>
                </c:pt>
                <c:pt idx="167">
                  <c:v>6.19</c:v>
                </c:pt>
                <c:pt idx="168">
                  <c:v>6.19</c:v>
                </c:pt>
                <c:pt idx="169">
                  <c:v>6.19</c:v>
                </c:pt>
                <c:pt idx="170">
                  <c:v>6.19</c:v>
                </c:pt>
                <c:pt idx="171">
                  <c:v>6.19</c:v>
                </c:pt>
                <c:pt idx="172">
                  <c:v>6.19</c:v>
                </c:pt>
                <c:pt idx="173">
                  <c:v>6.19</c:v>
                </c:pt>
                <c:pt idx="174">
                  <c:v>6.19</c:v>
                </c:pt>
                <c:pt idx="175">
                  <c:v>6.19</c:v>
                </c:pt>
                <c:pt idx="176">
                  <c:v>6.19</c:v>
                </c:pt>
                <c:pt idx="177">
                  <c:v>6.19</c:v>
                </c:pt>
                <c:pt idx="178">
                  <c:v>6.19</c:v>
                </c:pt>
                <c:pt idx="179">
                  <c:v>6.19</c:v>
                </c:pt>
                <c:pt idx="180">
                  <c:v>6.19</c:v>
                </c:pt>
                <c:pt idx="181">
                  <c:v>6.19</c:v>
                </c:pt>
                <c:pt idx="182">
                  <c:v>6.19</c:v>
                </c:pt>
                <c:pt idx="183">
                  <c:v>6.19</c:v>
                </c:pt>
                <c:pt idx="184">
                  <c:v>6.19</c:v>
                </c:pt>
                <c:pt idx="185">
                  <c:v>6.19</c:v>
                </c:pt>
                <c:pt idx="186">
                  <c:v>6.19</c:v>
                </c:pt>
                <c:pt idx="187">
                  <c:v>6.19</c:v>
                </c:pt>
                <c:pt idx="188">
                  <c:v>6.19</c:v>
                </c:pt>
                <c:pt idx="189">
                  <c:v>6.19</c:v>
                </c:pt>
                <c:pt idx="190">
                  <c:v>6.19</c:v>
                </c:pt>
                <c:pt idx="191">
                  <c:v>6.19</c:v>
                </c:pt>
                <c:pt idx="192">
                  <c:v>6.19</c:v>
                </c:pt>
                <c:pt idx="193">
                  <c:v>6.19</c:v>
                </c:pt>
                <c:pt idx="194">
                  <c:v>6.19</c:v>
                </c:pt>
                <c:pt idx="195">
                  <c:v>6.19</c:v>
                </c:pt>
                <c:pt idx="196">
                  <c:v>6.19</c:v>
                </c:pt>
                <c:pt idx="197">
                  <c:v>6.19</c:v>
                </c:pt>
                <c:pt idx="198">
                  <c:v>6.19</c:v>
                </c:pt>
                <c:pt idx="199">
                  <c:v>6.19</c:v>
                </c:pt>
                <c:pt idx="200">
                  <c:v>6.19</c:v>
                </c:pt>
                <c:pt idx="201">
                  <c:v>6.19</c:v>
                </c:pt>
                <c:pt idx="202">
                  <c:v>6.19</c:v>
                </c:pt>
                <c:pt idx="203">
                  <c:v>6.19</c:v>
                </c:pt>
                <c:pt idx="204">
                  <c:v>6.19</c:v>
                </c:pt>
                <c:pt idx="205">
                  <c:v>6.19</c:v>
                </c:pt>
                <c:pt idx="206">
                  <c:v>6.19</c:v>
                </c:pt>
                <c:pt idx="207">
                  <c:v>6.19</c:v>
                </c:pt>
                <c:pt idx="208">
                  <c:v>6.19</c:v>
                </c:pt>
                <c:pt idx="209">
                  <c:v>6.19</c:v>
                </c:pt>
                <c:pt idx="210">
                  <c:v>6.19</c:v>
                </c:pt>
                <c:pt idx="211">
                  <c:v>6.19</c:v>
                </c:pt>
                <c:pt idx="212">
                  <c:v>6.19</c:v>
                </c:pt>
                <c:pt idx="213">
                  <c:v>6.19</c:v>
                </c:pt>
                <c:pt idx="214">
                  <c:v>6.19</c:v>
                </c:pt>
                <c:pt idx="215">
                  <c:v>6.19</c:v>
                </c:pt>
                <c:pt idx="216">
                  <c:v>6.19</c:v>
                </c:pt>
                <c:pt idx="217">
                  <c:v>6.19</c:v>
                </c:pt>
                <c:pt idx="218">
                  <c:v>6.19</c:v>
                </c:pt>
                <c:pt idx="219">
                  <c:v>6.19</c:v>
                </c:pt>
                <c:pt idx="220">
                  <c:v>6.19</c:v>
                </c:pt>
                <c:pt idx="221">
                  <c:v>6.19</c:v>
                </c:pt>
                <c:pt idx="222">
                  <c:v>6.19</c:v>
                </c:pt>
                <c:pt idx="223">
                  <c:v>6.19</c:v>
                </c:pt>
                <c:pt idx="224">
                  <c:v>6.19</c:v>
                </c:pt>
                <c:pt idx="225">
                  <c:v>6.19</c:v>
                </c:pt>
                <c:pt idx="226">
                  <c:v>6.19</c:v>
                </c:pt>
                <c:pt idx="227">
                  <c:v>6.19</c:v>
                </c:pt>
                <c:pt idx="228">
                  <c:v>6.19</c:v>
                </c:pt>
                <c:pt idx="229">
                  <c:v>6.19</c:v>
                </c:pt>
                <c:pt idx="230">
                  <c:v>6.19</c:v>
                </c:pt>
                <c:pt idx="231">
                  <c:v>6.19</c:v>
                </c:pt>
                <c:pt idx="232">
                  <c:v>6.19</c:v>
                </c:pt>
                <c:pt idx="233">
                  <c:v>6.19</c:v>
                </c:pt>
                <c:pt idx="234">
                  <c:v>6.19</c:v>
                </c:pt>
                <c:pt idx="235">
                  <c:v>6.19</c:v>
                </c:pt>
                <c:pt idx="236">
                  <c:v>6.19</c:v>
                </c:pt>
                <c:pt idx="237">
                  <c:v>6.19</c:v>
                </c:pt>
                <c:pt idx="238">
                  <c:v>6.19</c:v>
                </c:pt>
                <c:pt idx="239">
                  <c:v>6.19</c:v>
                </c:pt>
                <c:pt idx="240">
                  <c:v>6.19</c:v>
                </c:pt>
                <c:pt idx="241">
                  <c:v>6.19</c:v>
                </c:pt>
                <c:pt idx="242">
                  <c:v>6.19</c:v>
                </c:pt>
                <c:pt idx="243">
                  <c:v>6.19</c:v>
                </c:pt>
                <c:pt idx="244">
                  <c:v>6.19</c:v>
                </c:pt>
                <c:pt idx="245">
                  <c:v>6.19</c:v>
                </c:pt>
                <c:pt idx="246">
                  <c:v>6.19</c:v>
                </c:pt>
                <c:pt idx="247">
                  <c:v>6.19</c:v>
                </c:pt>
                <c:pt idx="248">
                  <c:v>6.19</c:v>
                </c:pt>
                <c:pt idx="249">
                  <c:v>6.19</c:v>
                </c:pt>
                <c:pt idx="250">
                  <c:v>6.19</c:v>
                </c:pt>
                <c:pt idx="251">
                  <c:v>6.19</c:v>
                </c:pt>
                <c:pt idx="252">
                  <c:v>6.19</c:v>
                </c:pt>
                <c:pt idx="253">
                  <c:v>6.19</c:v>
                </c:pt>
                <c:pt idx="254">
                  <c:v>6.19</c:v>
                </c:pt>
                <c:pt idx="255">
                  <c:v>6.19</c:v>
                </c:pt>
                <c:pt idx="256">
                  <c:v>6.19</c:v>
                </c:pt>
                <c:pt idx="257">
                  <c:v>6.19</c:v>
                </c:pt>
                <c:pt idx="258">
                  <c:v>5.92</c:v>
                </c:pt>
                <c:pt idx="259">
                  <c:v>5.92</c:v>
                </c:pt>
                <c:pt idx="260">
                  <c:v>5.91</c:v>
                </c:pt>
                <c:pt idx="261">
                  <c:v>5.91</c:v>
                </c:pt>
                <c:pt idx="262">
                  <c:v>5.89</c:v>
                </c:pt>
                <c:pt idx="263">
                  <c:v>5.89</c:v>
                </c:pt>
                <c:pt idx="264">
                  <c:v>5.89</c:v>
                </c:pt>
                <c:pt idx="265">
                  <c:v>5.89</c:v>
                </c:pt>
                <c:pt idx="266">
                  <c:v>5.92</c:v>
                </c:pt>
                <c:pt idx="267">
                  <c:v>5.93</c:v>
                </c:pt>
                <c:pt idx="268">
                  <c:v>5.93</c:v>
                </c:pt>
                <c:pt idx="269">
                  <c:v>5.92</c:v>
                </c:pt>
                <c:pt idx="270">
                  <c:v>5.92</c:v>
                </c:pt>
                <c:pt idx="271">
                  <c:v>5.92</c:v>
                </c:pt>
                <c:pt idx="272">
                  <c:v>5.93</c:v>
                </c:pt>
                <c:pt idx="273">
                  <c:v>5.93</c:v>
                </c:pt>
                <c:pt idx="274">
                  <c:v>5.93</c:v>
                </c:pt>
                <c:pt idx="275">
                  <c:v>5.93</c:v>
                </c:pt>
                <c:pt idx="276">
                  <c:v>5.93</c:v>
                </c:pt>
                <c:pt idx="277">
                  <c:v>5.93</c:v>
                </c:pt>
                <c:pt idx="278">
                  <c:v>5.93</c:v>
                </c:pt>
                <c:pt idx="279">
                  <c:v>5.93</c:v>
                </c:pt>
                <c:pt idx="280">
                  <c:v>5.93</c:v>
                </c:pt>
                <c:pt idx="281">
                  <c:v>5.93</c:v>
                </c:pt>
                <c:pt idx="282">
                  <c:v>5.93</c:v>
                </c:pt>
                <c:pt idx="283">
                  <c:v>5.93</c:v>
                </c:pt>
                <c:pt idx="284">
                  <c:v>5.93</c:v>
                </c:pt>
                <c:pt idx="285">
                  <c:v>5.93</c:v>
                </c:pt>
                <c:pt idx="286">
                  <c:v>5.93</c:v>
                </c:pt>
                <c:pt idx="287">
                  <c:v>5.93</c:v>
                </c:pt>
                <c:pt idx="288">
                  <c:v>5.93</c:v>
                </c:pt>
                <c:pt idx="289">
                  <c:v>5.93</c:v>
                </c:pt>
                <c:pt idx="290">
                  <c:v>5.93</c:v>
                </c:pt>
                <c:pt idx="291">
                  <c:v>5.93</c:v>
                </c:pt>
                <c:pt idx="292">
                  <c:v>5.93</c:v>
                </c:pt>
                <c:pt idx="293">
                  <c:v>5.93</c:v>
                </c:pt>
                <c:pt idx="294">
                  <c:v>5.93</c:v>
                </c:pt>
                <c:pt idx="295">
                  <c:v>5.93</c:v>
                </c:pt>
                <c:pt idx="296">
                  <c:v>5.93</c:v>
                </c:pt>
                <c:pt idx="297">
                  <c:v>5.93</c:v>
                </c:pt>
                <c:pt idx="298">
                  <c:v>5.93</c:v>
                </c:pt>
                <c:pt idx="299">
                  <c:v>5.93</c:v>
                </c:pt>
                <c:pt idx="300">
                  <c:v>5.93</c:v>
                </c:pt>
                <c:pt idx="301">
                  <c:v>5.93</c:v>
                </c:pt>
                <c:pt idx="302">
                  <c:v>5.93</c:v>
                </c:pt>
                <c:pt idx="303">
                  <c:v>5.93</c:v>
                </c:pt>
                <c:pt idx="304">
                  <c:v>5.93</c:v>
                </c:pt>
                <c:pt idx="305">
                  <c:v>5.93</c:v>
                </c:pt>
                <c:pt idx="306">
                  <c:v>5.93</c:v>
                </c:pt>
                <c:pt idx="307">
                  <c:v>5.93</c:v>
                </c:pt>
                <c:pt idx="308">
                  <c:v>5.93</c:v>
                </c:pt>
                <c:pt idx="309">
                  <c:v>5.93</c:v>
                </c:pt>
                <c:pt idx="310">
                  <c:v>5.93</c:v>
                </c:pt>
                <c:pt idx="311">
                  <c:v>5.93</c:v>
                </c:pt>
                <c:pt idx="312">
                  <c:v>5.93</c:v>
                </c:pt>
                <c:pt idx="313">
                  <c:v>5.93</c:v>
                </c:pt>
                <c:pt idx="314">
                  <c:v>5.93</c:v>
                </c:pt>
                <c:pt idx="315">
                  <c:v>5.93</c:v>
                </c:pt>
                <c:pt idx="316">
                  <c:v>5.93</c:v>
                </c:pt>
                <c:pt idx="317">
                  <c:v>5.93</c:v>
                </c:pt>
                <c:pt idx="318">
                  <c:v>5.93</c:v>
                </c:pt>
                <c:pt idx="319">
                  <c:v>5.93</c:v>
                </c:pt>
                <c:pt idx="320">
                  <c:v>5.93</c:v>
                </c:pt>
                <c:pt idx="321">
                  <c:v>5.93</c:v>
                </c:pt>
                <c:pt idx="322">
                  <c:v>5.93</c:v>
                </c:pt>
                <c:pt idx="323">
                  <c:v>5.93</c:v>
                </c:pt>
                <c:pt idx="324">
                  <c:v>5.93</c:v>
                </c:pt>
                <c:pt idx="325">
                  <c:v>5.93</c:v>
                </c:pt>
                <c:pt idx="326">
                  <c:v>5.93</c:v>
                </c:pt>
                <c:pt idx="327">
                  <c:v>5.93</c:v>
                </c:pt>
                <c:pt idx="328">
                  <c:v>5.93</c:v>
                </c:pt>
                <c:pt idx="329">
                  <c:v>5.93</c:v>
                </c:pt>
                <c:pt idx="330">
                  <c:v>5.93</c:v>
                </c:pt>
                <c:pt idx="331">
                  <c:v>5.93</c:v>
                </c:pt>
                <c:pt idx="332">
                  <c:v>5.93</c:v>
                </c:pt>
                <c:pt idx="333">
                  <c:v>5.93</c:v>
                </c:pt>
                <c:pt idx="334">
                  <c:v>5.93</c:v>
                </c:pt>
                <c:pt idx="335">
                  <c:v>5.93</c:v>
                </c:pt>
                <c:pt idx="336">
                  <c:v>5.93</c:v>
                </c:pt>
                <c:pt idx="337">
                  <c:v>5.93</c:v>
                </c:pt>
                <c:pt idx="338">
                  <c:v>5.93</c:v>
                </c:pt>
                <c:pt idx="339">
                  <c:v>5.93</c:v>
                </c:pt>
                <c:pt idx="340">
                  <c:v>5.93</c:v>
                </c:pt>
                <c:pt idx="341">
                  <c:v>5.93</c:v>
                </c:pt>
                <c:pt idx="342">
                  <c:v>5.93</c:v>
                </c:pt>
                <c:pt idx="343">
                  <c:v>5.93</c:v>
                </c:pt>
                <c:pt idx="344">
                  <c:v>5.93</c:v>
                </c:pt>
                <c:pt idx="345">
                  <c:v>5.93</c:v>
                </c:pt>
                <c:pt idx="346">
                  <c:v>5.93</c:v>
                </c:pt>
                <c:pt idx="347">
                  <c:v>5.93</c:v>
                </c:pt>
                <c:pt idx="348">
                  <c:v>5.93</c:v>
                </c:pt>
                <c:pt idx="349">
                  <c:v>5.93</c:v>
                </c:pt>
                <c:pt idx="350">
                  <c:v>5.93</c:v>
                </c:pt>
                <c:pt idx="351">
                  <c:v>5.93</c:v>
                </c:pt>
                <c:pt idx="352">
                  <c:v>5.93</c:v>
                </c:pt>
                <c:pt idx="353">
                  <c:v>5.93</c:v>
                </c:pt>
                <c:pt idx="354">
                  <c:v>5.93</c:v>
                </c:pt>
                <c:pt idx="355">
                  <c:v>5.93</c:v>
                </c:pt>
                <c:pt idx="356">
                  <c:v>5.93</c:v>
                </c:pt>
                <c:pt idx="357">
                  <c:v>5.93</c:v>
                </c:pt>
                <c:pt idx="358">
                  <c:v>5.93</c:v>
                </c:pt>
                <c:pt idx="359">
                  <c:v>5.93</c:v>
                </c:pt>
                <c:pt idx="360">
                  <c:v>5.93</c:v>
                </c:pt>
                <c:pt idx="361">
                  <c:v>5.93</c:v>
                </c:pt>
                <c:pt idx="362">
                  <c:v>5.93</c:v>
                </c:pt>
                <c:pt idx="363">
                  <c:v>5.93</c:v>
                </c:pt>
                <c:pt idx="364">
                  <c:v>5.93</c:v>
                </c:pt>
                <c:pt idx="365">
                  <c:v>5.93</c:v>
                </c:pt>
                <c:pt idx="366">
                  <c:v>5.93</c:v>
                </c:pt>
                <c:pt idx="367">
                  <c:v>5.93</c:v>
                </c:pt>
                <c:pt idx="368">
                  <c:v>5.93</c:v>
                </c:pt>
                <c:pt idx="369">
                  <c:v>5.93</c:v>
                </c:pt>
                <c:pt idx="370">
                  <c:v>5.93</c:v>
                </c:pt>
                <c:pt idx="371">
                  <c:v>5.93</c:v>
                </c:pt>
                <c:pt idx="372">
                  <c:v>5.93</c:v>
                </c:pt>
                <c:pt idx="373">
                  <c:v>5.93</c:v>
                </c:pt>
                <c:pt idx="374">
                  <c:v>5.93</c:v>
                </c:pt>
                <c:pt idx="375">
                  <c:v>5.93</c:v>
                </c:pt>
                <c:pt idx="376">
                  <c:v>5.93</c:v>
                </c:pt>
                <c:pt idx="377">
                  <c:v>5.93</c:v>
                </c:pt>
                <c:pt idx="378">
                  <c:v>5.93</c:v>
                </c:pt>
                <c:pt idx="379">
                  <c:v>5.93</c:v>
                </c:pt>
                <c:pt idx="380">
                  <c:v>5.93</c:v>
                </c:pt>
                <c:pt idx="381">
                  <c:v>5.93</c:v>
                </c:pt>
                <c:pt idx="382">
                  <c:v>5.93</c:v>
                </c:pt>
                <c:pt idx="383">
                  <c:v>5.93</c:v>
                </c:pt>
                <c:pt idx="384">
                  <c:v>5.93</c:v>
                </c:pt>
                <c:pt idx="385">
                  <c:v>5.93</c:v>
                </c:pt>
                <c:pt idx="386">
                  <c:v>5.93</c:v>
                </c:pt>
                <c:pt idx="387">
                  <c:v>5.52</c:v>
                </c:pt>
                <c:pt idx="388">
                  <c:v>5.53</c:v>
                </c:pt>
                <c:pt idx="389">
                  <c:v>5.5469999999999997</c:v>
                </c:pt>
                <c:pt idx="390">
                  <c:v>5.5469999999999997</c:v>
                </c:pt>
                <c:pt idx="391">
                  <c:v>5.53</c:v>
                </c:pt>
                <c:pt idx="392">
                  <c:v>5.57</c:v>
                </c:pt>
                <c:pt idx="393">
                  <c:v>5.56</c:v>
                </c:pt>
                <c:pt idx="394">
                  <c:v>5.63</c:v>
                </c:pt>
                <c:pt idx="395">
                  <c:v>5.82</c:v>
                </c:pt>
                <c:pt idx="396">
                  <c:v>5.7469999999999999</c:v>
                </c:pt>
                <c:pt idx="397">
                  <c:v>5.7469999999999999</c:v>
                </c:pt>
                <c:pt idx="398">
                  <c:v>5.71</c:v>
                </c:pt>
                <c:pt idx="399">
                  <c:v>5.65</c:v>
                </c:pt>
                <c:pt idx="400">
                  <c:v>5.68</c:v>
                </c:pt>
                <c:pt idx="401">
                  <c:v>5.66</c:v>
                </c:pt>
                <c:pt idx="402">
                  <c:v>5.73</c:v>
                </c:pt>
                <c:pt idx="403">
                  <c:v>5.74</c:v>
                </c:pt>
                <c:pt idx="404">
                  <c:v>5.74</c:v>
                </c:pt>
                <c:pt idx="405">
                  <c:v>5.76</c:v>
                </c:pt>
                <c:pt idx="406">
                  <c:v>5.8</c:v>
                </c:pt>
                <c:pt idx="407">
                  <c:v>5.91</c:v>
                </c:pt>
                <c:pt idx="408">
                  <c:v>5.91</c:v>
                </c:pt>
                <c:pt idx="409">
                  <c:v>6.13</c:v>
                </c:pt>
                <c:pt idx="410">
                  <c:v>5.9409999999999998</c:v>
                </c:pt>
                <c:pt idx="411">
                  <c:v>5.9409999999999998</c:v>
                </c:pt>
                <c:pt idx="412">
                  <c:v>5.88</c:v>
                </c:pt>
                <c:pt idx="413">
                  <c:v>5.8</c:v>
                </c:pt>
                <c:pt idx="414">
                  <c:v>5.99</c:v>
                </c:pt>
                <c:pt idx="415">
                  <c:v>6.01</c:v>
                </c:pt>
                <c:pt idx="416">
                  <c:v>6.01</c:v>
                </c:pt>
                <c:pt idx="417">
                  <c:v>6.1</c:v>
                </c:pt>
                <c:pt idx="418">
                  <c:v>6.1</c:v>
                </c:pt>
                <c:pt idx="419">
                  <c:v>6.12</c:v>
                </c:pt>
                <c:pt idx="420">
                  <c:v>6.07</c:v>
                </c:pt>
                <c:pt idx="421">
                  <c:v>6.11</c:v>
                </c:pt>
                <c:pt idx="422">
                  <c:v>6.05</c:v>
                </c:pt>
                <c:pt idx="423">
                  <c:v>5.97</c:v>
                </c:pt>
                <c:pt idx="424">
                  <c:v>5.97</c:v>
                </c:pt>
                <c:pt idx="425">
                  <c:v>5.97</c:v>
                </c:pt>
                <c:pt idx="426">
                  <c:v>5.55</c:v>
                </c:pt>
                <c:pt idx="427">
                  <c:v>5.56</c:v>
                </c:pt>
                <c:pt idx="428">
                  <c:v>5.53</c:v>
                </c:pt>
                <c:pt idx="429">
                  <c:v>5.62</c:v>
                </c:pt>
                <c:pt idx="430">
                  <c:v>5.88</c:v>
                </c:pt>
                <c:pt idx="431">
                  <c:v>5.8120000000000003</c:v>
                </c:pt>
                <c:pt idx="432">
                  <c:v>5.8120000000000003</c:v>
                </c:pt>
                <c:pt idx="433">
                  <c:v>5.95</c:v>
                </c:pt>
                <c:pt idx="434">
                  <c:v>5.83</c:v>
                </c:pt>
                <c:pt idx="435">
                  <c:v>5.83</c:v>
                </c:pt>
                <c:pt idx="436">
                  <c:v>5.85</c:v>
                </c:pt>
                <c:pt idx="437">
                  <c:v>5.85</c:v>
                </c:pt>
                <c:pt idx="438">
                  <c:v>5.7169999999999996</c:v>
                </c:pt>
                <c:pt idx="439">
                  <c:v>5.7169999999999996</c:v>
                </c:pt>
                <c:pt idx="440">
                  <c:v>5.8570000000000002</c:v>
                </c:pt>
                <c:pt idx="441">
                  <c:v>5.8079999999999998</c:v>
                </c:pt>
                <c:pt idx="442">
                  <c:v>5.8140000000000001</c:v>
                </c:pt>
                <c:pt idx="443">
                  <c:v>5.9139999999999997</c:v>
                </c:pt>
                <c:pt idx="444">
                  <c:v>5.8380000000000001</c:v>
                </c:pt>
                <c:pt idx="445">
                  <c:v>5.7629999999999999</c:v>
                </c:pt>
                <c:pt idx="446">
                  <c:v>5.7629999999999999</c:v>
                </c:pt>
                <c:pt idx="447">
                  <c:v>5.9420000000000002</c:v>
                </c:pt>
                <c:pt idx="448">
                  <c:v>6.07</c:v>
                </c:pt>
                <c:pt idx="449">
                  <c:v>6.0839999999999996</c:v>
                </c:pt>
                <c:pt idx="450">
                  <c:v>6.093</c:v>
                </c:pt>
                <c:pt idx="451">
                  <c:v>6.069</c:v>
                </c:pt>
                <c:pt idx="452">
                  <c:v>6.0679999999999996</c:v>
                </c:pt>
                <c:pt idx="453">
                  <c:v>6.0679999999999996</c:v>
                </c:pt>
                <c:pt idx="454">
                  <c:v>5.6929999999999996</c:v>
                </c:pt>
                <c:pt idx="455">
                  <c:v>5.6740000000000004</c:v>
                </c:pt>
                <c:pt idx="456">
                  <c:v>5.65</c:v>
                </c:pt>
                <c:pt idx="457">
                  <c:v>5.5590000000000002</c:v>
                </c:pt>
                <c:pt idx="458">
                  <c:v>5.5359999999999996</c:v>
                </c:pt>
                <c:pt idx="459">
                  <c:v>5.5289999999999999</c:v>
                </c:pt>
                <c:pt idx="460">
                  <c:v>5.5289999999999999</c:v>
                </c:pt>
                <c:pt idx="461">
                  <c:v>5.4569999999999999</c:v>
                </c:pt>
                <c:pt idx="462">
                  <c:v>5.4489999999999998</c:v>
                </c:pt>
                <c:pt idx="463">
                  <c:v>5.3659999999999997</c:v>
                </c:pt>
                <c:pt idx="464">
                  <c:v>5.3520000000000003</c:v>
                </c:pt>
                <c:pt idx="465">
                  <c:v>5.3520000000000003</c:v>
                </c:pt>
                <c:pt idx="466">
                  <c:v>5.1950000000000003</c:v>
                </c:pt>
                <c:pt idx="467">
                  <c:v>5.1950000000000003</c:v>
                </c:pt>
                <c:pt idx="468">
                  <c:v>5.1950000000000003</c:v>
                </c:pt>
                <c:pt idx="469">
                  <c:v>5.1950000000000003</c:v>
                </c:pt>
                <c:pt idx="470">
                  <c:v>5.3019999999999996</c:v>
                </c:pt>
                <c:pt idx="471">
                  <c:v>5.2779999999999996</c:v>
                </c:pt>
                <c:pt idx="472">
                  <c:v>5.2779999999999996</c:v>
                </c:pt>
                <c:pt idx="473">
                  <c:v>5.2539999999999996</c:v>
                </c:pt>
                <c:pt idx="474">
                  <c:v>5.2539999999999996</c:v>
                </c:pt>
                <c:pt idx="475">
                  <c:v>5.2140000000000004</c:v>
                </c:pt>
                <c:pt idx="476">
                  <c:v>5.2430000000000003</c:v>
                </c:pt>
                <c:pt idx="477">
                  <c:v>5.1790000000000003</c:v>
                </c:pt>
                <c:pt idx="478">
                  <c:v>5.1669999999999998</c:v>
                </c:pt>
                <c:pt idx="479">
                  <c:v>5.1680000000000001</c:v>
                </c:pt>
                <c:pt idx="480">
                  <c:v>5.117</c:v>
                </c:pt>
                <c:pt idx="481">
                  <c:v>5.117</c:v>
                </c:pt>
                <c:pt idx="482">
                  <c:v>5.1070000000000002</c:v>
                </c:pt>
                <c:pt idx="483">
                  <c:v>5.1189999999999998</c:v>
                </c:pt>
                <c:pt idx="484">
                  <c:v>4.9880000000000004</c:v>
                </c:pt>
                <c:pt idx="485">
                  <c:v>4.9880000000000004</c:v>
                </c:pt>
                <c:pt idx="486">
                  <c:v>5.032</c:v>
                </c:pt>
                <c:pt idx="487">
                  <c:v>4.9809999999999999</c:v>
                </c:pt>
                <c:pt idx="488">
                  <c:v>4.9809999999999999</c:v>
                </c:pt>
                <c:pt idx="489">
                  <c:v>4.9589999999999996</c:v>
                </c:pt>
                <c:pt idx="490">
                  <c:v>4.9429999999999996</c:v>
                </c:pt>
                <c:pt idx="491">
                  <c:v>4.91</c:v>
                </c:pt>
                <c:pt idx="492">
                  <c:v>4.91</c:v>
                </c:pt>
                <c:pt idx="493">
                  <c:v>4.9660000000000002</c:v>
                </c:pt>
                <c:pt idx="494">
                  <c:v>4.9539999999999997</c:v>
                </c:pt>
                <c:pt idx="495">
                  <c:v>4.9539999999999997</c:v>
                </c:pt>
                <c:pt idx="496">
                  <c:v>4.9539999999999997</c:v>
                </c:pt>
                <c:pt idx="497">
                  <c:v>4.9539999999999997</c:v>
                </c:pt>
                <c:pt idx="498">
                  <c:v>4.9539999999999997</c:v>
                </c:pt>
                <c:pt idx="499">
                  <c:v>4.9539999999999997</c:v>
                </c:pt>
                <c:pt idx="500">
                  <c:v>4.9539999999999997</c:v>
                </c:pt>
                <c:pt idx="501">
                  <c:v>4.9569999999999999</c:v>
                </c:pt>
                <c:pt idx="502">
                  <c:v>4.9569999999999999</c:v>
                </c:pt>
                <c:pt idx="503">
                  <c:v>4.9569999999999999</c:v>
                </c:pt>
                <c:pt idx="504">
                  <c:v>4.9889999999999999</c:v>
                </c:pt>
                <c:pt idx="505">
                  <c:v>5.2140000000000004</c:v>
                </c:pt>
                <c:pt idx="506">
                  <c:v>4.9640000000000004</c:v>
                </c:pt>
                <c:pt idx="507">
                  <c:v>5.2140000000000004</c:v>
                </c:pt>
                <c:pt idx="508">
                  <c:v>4.9169999999999998</c:v>
                </c:pt>
                <c:pt idx="509">
                  <c:v>4.9169999999999998</c:v>
                </c:pt>
                <c:pt idx="510">
                  <c:v>4.9169999999999998</c:v>
                </c:pt>
                <c:pt idx="511">
                  <c:v>4.9169999999999998</c:v>
                </c:pt>
                <c:pt idx="512">
                  <c:v>4.9450000000000003</c:v>
                </c:pt>
                <c:pt idx="513">
                  <c:v>4.9820000000000002</c:v>
                </c:pt>
                <c:pt idx="514">
                  <c:v>4.9770000000000003</c:v>
                </c:pt>
                <c:pt idx="515">
                  <c:v>5.0510000000000002</c:v>
                </c:pt>
                <c:pt idx="516">
                  <c:v>5.0510000000000002</c:v>
                </c:pt>
                <c:pt idx="517">
                  <c:v>5.0650000000000004</c:v>
                </c:pt>
                <c:pt idx="518">
                  <c:v>5.0430000000000001</c:v>
                </c:pt>
                <c:pt idx="519">
                  <c:v>4.9589999999999996</c:v>
                </c:pt>
                <c:pt idx="520">
                  <c:v>4.9589999999999996</c:v>
                </c:pt>
                <c:pt idx="521">
                  <c:v>5.0640000000000001</c:v>
                </c:pt>
                <c:pt idx="522">
                  <c:v>5.0910000000000002</c:v>
                </c:pt>
                <c:pt idx="523">
                  <c:v>5.0910000000000002</c:v>
                </c:pt>
                <c:pt idx="524">
                  <c:v>5.0910000000000002</c:v>
                </c:pt>
                <c:pt idx="525">
                  <c:v>5.0910000000000002</c:v>
                </c:pt>
                <c:pt idx="526">
                  <c:v>5.0999999999999996</c:v>
                </c:pt>
                <c:pt idx="527">
                  <c:v>5.1390000000000002</c:v>
                </c:pt>
                <c:pt idx="528">
                  <c:v>5.1310000000000002</c:v>
                </c:pt>
                <c:pt idx="529">
                  <c:v>4.9569999999999999</c:v>
                </c:pt>
                <c:pt idx="530">
                  <c:v>4.9569999999999999</c:v>
                </c:pt>
                <c:pt idx="531">
                  <c:v>5.0949999999999998</c:v>
                </c:pt>
                <c:pt idx="532">
                  <c:v>4.8890000000000002</c:v>
                </c:pt>
                <c:pt idx="533">
                  <c:v>4.8890000000000002</c:v>
                </c:pt>
                <c:pt idx="534">
                  <c:v>4.8890000000000002</c:v>
                </c:pt>
                <c:pt idx="535">
                  <c:v>5.1429999999999998</c:v>
                </c:pt>
                <c:pt idx="536">
                  <c:v>5.1180000000000003</c:v>
                </c:pt>
                <c:pt idx="537">
                  <c:v>5.1180000000000003</c:v>
                </c:pt>
                <c:pt idx="538">
                  <c:v>5.1239999999999997</c:v>
                </c:pt>
                <c:pt idx="539">
                  <c:v>5.0839999999999996</c:v>
                </c:pt>
                <c:pt idx="540">
                  <c:v>5.0839999999999996</c:v>
                </c:pt>
                <c:pt idx="541">
                  <c:v>5.0839999999999996</c:v>
                </c:pt>
                <c:pt idx="542">
                  <c:v>5.1820000000000004</c:v>
                </c:pt>
                <c:pt idx="543">
                  <c:v>5.1680000000000001</c:v>
                </c:pt>
                <c:pt idx="544">
                  <c:v>5.1680000000000001</c:v>
                </c:pt>
                <c:pt idx="545">
                  <c:v>5.1680000000000001</c:v>
                </c:pt>
                <c:pt idx="546">
                  <c:v>5.149</c:v>
                </c:pt>
                <c:pt idx="547">
                  <c:v>5.12</c:v>
                </c:pt>
                <c:pt idx="548">
                  <c:v>5.1360000000000001</c:v>
                </c:pt>
                <c:pt idx="549">
                  <c:v>5.1360000000000001</c:v>
                </c:pt>
                <c:pt idx="550">
                  <c:v>5.1669999999999998</c:v>
                </c:pt>
                <c:pt idx="551">
                  <c:v>5.1669999999999998</c:v>
                </c:pt>
                <c:pt idx="552">
                  <c:v>5.1669999999999998</c:v>
                </c:pt>
                <c:pt idx="553">
                  <c:v>5.1219999999999999</c:v>
                </c:pt>
                <c:pt idx="554">
                  <c:v>5.09</c:v>
                </c:pt>
                <c:pt idx="555">
                  <c:v>5.09</c:v>
                </c:pt>
                <c:pt idx="556">
                  <c:v>5.09</c:v>
                </c:pt>
                <c:pt idx="557">
                  <c:v>5.0640000000000001</c:v>
                </c:pt>
                <c:pt idx="558">
                  <c:v>5.0640000000000001</c:v>
                </c:pt>
                <c:pt idx="559">
                  <c:v>5.0679999999999996</c:v>
                </c:pt>
                <c:pt idx="560">
                  <c:v>5.0220000000000002</c:v>
                </c:pt>
                <c:pt idx="561">
                  <c:v>5.0529999999999999</c:v>
                </c:pt>
                <c:pt idx="562">
                  <c:v>5.0449999999999999</c:v>
                </c:pt>
                <c:pt idx="563">
                  <c:v>4.9870000000000001</c:v>
                </c:pt>
                <c:pt idx="564">
                  <c:v>4.9539999999999997</c:v>
                </c:pt>
                <c:pt idx="565">
                  <c:v>4.9539999999999997</c:v>
                </c:pt>
                <c:pt idx="566">
                  <c:v>4.8869999999999996</c:v>
                </c:pt>
                <c:pt idx="567">
                  <c:v>4.9029999999999996</c:v>
                </c:pt>
                <c:pt idx="568">
                  <c:v>4.9089999999999998</c:v>
                </c:pt>
                <c:pt idx="569">
                  <c:v>4.8310000000000004</c:v>
                </c:pt>
                <c:pt idx="570">
                  <c:v>4.867</c:v>
                </c:pt>
                <c:pt idx="571">
                  <c:v>4.867</c:v>
                </c:pt>
                <c:pt idx="572">
                  <c:v>4.867</c:v>
                </c:pt>
                <c:pt idx="573">
                  <c:v>4.8730000000000002</c:v>
                </c:pt>
                <c:pt idx="574">
                  <c:v>4.8680000000000003</c:v>
                </c:pt>
                <c:pt idx="575">
                  <c:v>4.8369999999999997</c:v>
                </c:pt>
                <c:pt idx="576">
                  <c:v>4.87</c:v>
                </c:pt>
                <c:pt idx="577">
                  <c:v>4.8449999999999998</c:v>
                </c:pt>
                <c:pt idx="578">
                  <c:v>4.8</c:v>
                </c:pt>
                <c:pt idx="579">
                  <c:v>4.8</c:v>
                </c:pt>
                <c:pt idx="580">
                  <c:v>4.7489999999999997</c:v>
                </c:pt>
                <c:pt idx="581">
                  <c:v>4.8150000000000004</c:v>
                </c:pt>
                <c:pt idx="582">
                  <c:v>4.8570000000000002</c:v>
                </c:pt>
                <c:pt idx="583">
                  <c:v>4.8049999999999997</c:v>
                </c:pt>
                <c:pt idx="584">
                  <c:v>4.7779999999999996</c:v>
                </c:pt>
                <c:pt idx="585">
                  <c:v>4.7030000000000003</c:v>
                </c:pt>
                <c:pt idx="586">
                  <c:v>4.7030000000000003</c:v>
                </c:pt>
                <c:pt idx="587">
                  <c:v>4.734</c:v>
                </c:pt>
                <c:pt idx="588">
                  <c:v>4.7670000000000003</c:v>
                </c:pt>
                <c:pt idx="589">
                  <c:v>4.7939999999999996</c:v>
                </c:pt>
                <c:pt idx="590">
                  <c:v>4.8600000000000003</c:v>
                </c:pt>
                <c:pt idx="591">
                  <c:v>4.8600000000000003</c:v>
                </c:pt>
                <c:pt idx="592">
                  <c:v>4.931</c:v>
                </c:pt>
                <c:pt idx="593">
                  <c:v>4.931</c:v>
                </c:pt>
                <c:pt idx="594">
                  <c:v>4.9630000000000001</c:v>
                </c:pt>
                <c:pt idx="595">
                  <c:v>4.9690000000000003</c:v>
                </c:pt>
                <c:pt idx="596">
                  <c:v>5.008</c:v>
                </c:pt>
                <c:pt idx="597">
                  <c:v>5.0090000000000003</c:v>
                </c:pt>
                <c:pt idx="598">
                  <c:v>5.0010000000000003</c:v>
                </c:pt>
                <c:pt idx="599">
                  <c:v>5.0140000000000002</c:v>
                </c:pt>
                <c:pt idx="600">
                  <c:v>5.0140000000000002</c:v>
                </c:pt>
                <c:pt idx="601">
                  <c:v>4.7270000000000003</c:v>
                </c:pt>
                <c:pt idx="602">
                  <c:v>4.6660000000000004</c:v>
                </c:pt>
                <c:pt idx="603">
                  <c:v>4.7060000000000004</c:v>
                </c:pt>
                <c:pt idx="604">
                  <c:v>4.7220000000000004</c:v>
                </c:pt>
                <c:pt idx="605">
                  <c:v>4.7519999999999998</c:v>
                </c:pt>
                <c:pt idx="606">
                  <c:v>4.7530000000000001</c:v>
                </c:pt>
                <c:pt idx="607">
                  <c:v>4.7530000000000001</c:v>
                </c:pt>
                <c:pt idx="608">
                  <c:v>4.7220000000000004</c:v>
                </c:pt>
                <c:pt idx="609">
                  <c:v>4.7469999999999999</c:v>
                </c:pt>
                <c:pt idx="610">
                  <c:v>4.7270000000000003</c:v>
                </c:pt>
                <c:pt idx="611">
                  <c:v>4.7480000000000002</c:v>
                </c:pt>
                <c:pt idx="612">
                  <c:v>4.7290000000000001</c:v>
                </c:pt>
                <c:pt idx="613">
                  <c:v>4.7460000000000004</c:v>
                </c:pt>
                <c:pt idx="614">
                  <c:v>4.7460000000000004</c:v>
                </c:pt>
                <c:pt idx="615">
                  <c:v>4.7359999999999998</c:v>
                </c:pt>
                <c:pt idx="616">
                  <c:v>4.734</c:v>
                </c:pt>
                <c:pt idx="617">
                  <c:v>4.7690000000000001</c:v>
                </c:pt>
                <c:pt idx="618">
                  <c:v>4.7359999999999998</c:v>
                </c:pt>
                <c:pt idx="619">
                  <c:v>4.742</c:v>
                </c:pt>
                <c:pt idx="620">
                  <c:v>4.742</c:v>
                </c:pt>
                <c:pt idx="621">
                  <c:v>4.742</c:v>
                </c:pt>
                <c:pt idx="622">
                  <c:v>4.6449999999999996</c:v>
                </c:pt>
                <c:pt idx="623">
                  <c:v>4.7279999999999998</c:v>
                </c:pt>
                <c:pt idx="624">
                  <c:v>4.7050000000000001</c:v>
                </c:pt>
                <c:pt idx="625">
                  <c:v>4.6989999999999998</c:v>
                </c:pt>
                <c:pt idx="626">
                  <c:v>4.7460000000000004</c:v>
                </c:pt>
                <c:pt idx="627">
                  <c:v>4.6189999999999998</c:v>
                </c:pt>
                <c:pt idx="628">
                  <c:v>4.6189999999999998</c:v>
                </c:pt>
                <c:pt idx="629">
                  <c:v>4.6669999999999998</c:v>
                </c:pt>
                <c:pt idx="630">
                  <c:v>4.7290000000000001</c:v>
                </c:pt>
                <c:pt idx="631">
                  <c:v>4.7110000000000003</c:v>
                </c:pt>
                <c:pt idx="632">
                  <c:v>4.7149999999999999</c:v>
                </c:pt>
                <c:pt idx="633">
                  <c:v>4.71</c:v>
                </c:pt>
                <c:pt idx="634">
                  <c:v>4.6669999999999998</c:v>
                </c:pt>
                <c:pt idx="635">
                  <c:v>4.6669999999999998</c:v>
                </c:pt>
                <c:pt idx="636">
                  <c:v>4.7270000000000003</c:v>
                </c:pt>
                <c:pt idx="637">
                  <c:v>4.7270000000000003</c:v>
                </c:pt>
                <c:pt idx="638">
                  <c:v>4.5289999999999999</c:v>
                </c:pt>
                <c:pt idx="639">
                  <c:v>4.5289999999999999</c:v>
                </c:pt>
                <c:pt idx="640">
                  <c:v>4.649</c:v>
                </c:pt>
                <c:pt idx="641">
                  <c:v>4.649</c:v>
                </c:pt>
                <c:pt idx="642">
                  <c:v>4.649</c:v>
                </c:pt>
                <c:pt idx="643">
                  <c:v>4.3979999999999997</c:v>
                </c:pt>
                <c:pt idx="644">
                  <c:v>4.5270000000000001</c:v>
                </c:pt>
                <c:pt idx="645">
                  <c:v>4.4660000000000002</c:v>
                </c:pt>
                <c:pt idx="646">
                  <c:v>4.4950000000000001</c:v>
                </c:pt>
                <c:pt idx="647">
                  <c:v>4.5279999999999996</c:v>
                </c:pt>
                <c:pt idx="648">
                  <c:v>4.5279999999999996</c:v>
                </c:pt>
                <c:pt idx="649">
                  <c:v>4.5279999999999996</c:v>
                </c:pt>
                <c:pt idx="650">
                  <c:v>4.5369999999999999</c:v>
                </c:pt>
                <c:pt idx="651">
                  <c:v>4.4509999999999996</c:v>
                </c:pt>
                <c:pt idx="652">
                  <c:v>4.5039999999999996</c:v>
                </c:pt>
                <c:pt idx="653">
                  <c:v>4.4980000000000002</c:v>
                </c:pt>
                <c:pt idx="654">
                  <c:v>4.54</c:v>
                </c:pt>
                <c:pt idx="655">
                  <c:v>4.3819999999999997</c:v>
                </c:pt>
                <c:pt idx="656">
                  <c:v>4.3819999999999997</c:v>
                </c:pt>
                <c:pt idx="657">
                  <c:v>4.57</c:v>
                </c:pt>
                <c:pt idx="658">
                  <c:v>4.6120000000000001</c:v>
                </c:pt>
                <c:pt idx="659">
                  <c:v>4.7460000000000004</c:v>
                </c:pt>
                <c:pt idx="660">
                  <c:v>4.7069999999999999</c:v>
                </c:pt>
                <c:pt idx="661">
                  <c:v>4.6929999999999996</c:v>
                </c:pt>
                <c:pt idx="662">
                  <c:v>4.6929999999999996</c:v>
                </c:pt>
                <c:pt idx="663">
                  <c:v>4.6929999999999996</c:v>
                </c:pt>
                <c:pt idx="664">
                  <c:v>4.5830000000000002</c:v>
                </c:pt>
                <c:pt idx="665">
                  <c:v>4.6769999999999996</c:v>
                </c:pt>
                <c:pt idx="666">
                  <c:v>4.7240000000000002</c:v>
                </c:pt>
                <c:pt idx="667">
                  <c:v>4.5860000000000003</c:v>
                </c:pt>
                <c:pt idx="668">
                  <c:v>4.649</c:v>
                </c:pt>
                <c:pt idx="669">
                  <c:v>4.5140000000000002</c:v>
                </c:pt>
                <c:pt idx="670">
                  <c:v>4.5140000000000002</c:v>
                </c:pt>
                <c:pt idx="671">
                  <c:v>4.5869999999999997</c:v>
                </c:pt>
                <c:pt idx="672">
                  <c:v>4.5279999999999996</c:v>
                </c:pt>
                <c:pt idx="673">
                  <c:v>4.5910000000000002</c:v>
                </c:pt>
                <c:pt idx="674">
                  <c:v>4.6180000000000003</c:v>
                </c:pt>
                <c:pt idx="675">
                  <c:v>4.4690000000000003</c:v>
                </c:pt>
                <c:pt idx="676">
                  <c:v>4.4690000000000003</c:v>
                </c:pt>
                <c:pt idx="677">
                  <c:v>4.4690000000000003</c:v>
                </c:pt>
                <c:pt idx="678">
                  <c:v>4.585</c:v>
                </c:pt>
                <c:pt idx="679">
                  <c:v>4.5940000000000003</c:v>
                </c:pt>
                <c:pt idx="680">
                  <c:v>4.5640000000000001</c:v>
                </c:pt>
                <c:pt idx="681">
                  <c:v>4.5460000000000003</c:v>
                </c:pt>
                <c:pt idx="682">
                  <c:v>4.5330000000000004</c:v>
                </c:pt>
                <c:pt idx="683">
                  <c:v>4.5330000000000004</c:v>
                </c:pt>
                <c:pt idx="684">
                  <c:v>4.5330000000000004</c:v>
                </c:pt>
                <c:pt idx="685">
                  <c:v>4.5519999999999996</c:v>
                </c:pt>
                <c:pt idx="686">
                  <c:v>4.6070000000000002</c:v>
                </c:pt>
                <c:pt idx="687">
                  <c:v>4.3600000000000003</c:v>
                </c:pt>
                <c:pt idx="688">
                  <c:v>4.4950000000000001</c:v>
                </c:pt>
                <c:pt idx="689">
                  <c:v>4.391</c:v>
                </c:pt>
                <c:pt idx="690">
                  <c:v>4.22</c:v>
                </c:pt>
                <c:pt idx="691">
                  <c:v>4.22</c:v>
                </c:pt>
                <c:pt idx="692">
                  <c:v>4.22</c:v>
                </c:pt>
                <c:pt idx="693">
                  <c:v>4.3470000000000004</c:v>
                </c:pt>
                <c:pt idx="694">
                  <c:v>4.3470000000000004</c:v>
                </c:pt>
                <c:pt idx="695">
                  <c:v>4.4240000000000004</c:v>
                </c:pt>
                <c:pt idx="696">
                  <c:v>4.3959999999999999</c:v>
                </c:pt>
                <c:pt idx="697">
                  <c:v>4.3959999999999999</c:v>
                </c:pt>
                <c:pt idx="698">
                  <c:v>4.3959999999999999</c:v>
                </c:pt>
                <c:pt idx="699">
                  <c:v>4.3570000000000002</c:v>
                </c:pt>
                <c:pt idx="700">
                  <c:v>4.3540000000000001</c:v>
                </c:pt>
                <c:pt idx="701">
                  <c:v>4.359</c:v>
                </c:pt>
                <c:pt idx="702">
                  <c:v>4.3319999999999999</c:v>
                </c:pt>
                <c:pt idx="703">
                  <c:v>4.3860000000000001</c:v>
                </c:pt>
                <c:pt idx="704">
                  <c:v>4.3860000000000001</c:v>
                </c:pt>
                <c:pt idx="705">
                  <c:v>4.3860000000000001</c:v>
                </c:pt>
                <c:pt idx="706">
                  <c:v>4.3090000000000002</c:v>
                </c:pt>
                <c:pt idx="707">
                  <c:v>4.3719999999999999</c:v>
                </c:pt>
                <c:pt idx="708">
                  <c:v>4.3819999999999997</c:v>
                </c:pt>
                <c:pt idx="709">
                  <c:v>4.2789999999999999</c:v>
                </c:pt>
                <c:pt idx="710">
                  <c:v>4.2300000000000004</c:v>
                </c:pt>
                <c:pt idx="711">
                  <c:v>4.1349999999999998</c:v>
                </c:pt>
                <c:pt idx="712">
                  <c:v>4.1349999999999998</c:v>
                </c:pt>
                <c:pt idx="713">
                  <c:v>4.2759999999999998</c:v>
                </c:pt>
                <c:pt idx="714">
                  <c:v>4.2990000000000004</c:v>
                </c:pt>
                <c:pt idx="715">
                  <c:v>4.141</c:v>
                </c:pt>
                <c:pt idx="716">
                  <c:v>4.2910000000000004</c:v>
                </c:pt>
                <c:pt idx="717">
                  <c:v>4.2130000000000001</c:v>
                </c:pt>
                <c:pt idx="718">
                  <c:v>4.2130000000000001</c:v>
                </c:pt>
                <c:pt idx="719">
                  <c:v>4.2130000000000001</c:v>
                </c:pt>
                <c:pt idx="720">
                  <c:v>4.2039999999999997</c:v>
                </c:pt>
                <c:pt idx="721">
                  <c:v>4.5190000000000001</c:v>
                </c:pt>
                <c:pt idx="722">
                  <c:v>4.5049999999999999</c:v>
                </c:pt>
                <c:pt idx="723">
                  <c:v>4.5049999999999999</c:v>
                </c:pt>
                <c:pt idx="724">
                  <c:v>4.516</c:v>
                </c:pt>
                <c:pt idx="725">
                  <c:v>4.516</c:v>
                </c:pt>
                <c:pt idx="726">
                  <c:v>4.516</c:v>
                </c:pt>
                <c:pt idx="727">
                  <c:v>4.3559999999999999</c:v>
                </c:pt>
                <c:pt idx="728">
                  <c:v>4.4729999999999999</c:v>
                </c:pt>
                <c:pt idx="729">
                  <c:v>4.5540000000000003</c:v>
                </c:pt>
                <c:pt idx="730">
                  <c:v>4.4429999999999996</c:v>
                </c:pt>
                <c:pt idx="731">
                  <c:v>4.2</c:v>
                </c:pt>
                <c:pt idx="732">
                  <c:v>4.2</c:v>
                </c:pt>
                <c:pt idx="733">
                  <c:v>4.2</c:v>
                </c:pt>
                <c:pt idx="734">
                  <c:v>4.4820000000000002</c:v>
                </c:pt>
                <c:pt idx="735">
                  <c:v>4.4660000000000002</c:v>
                </c:pt>
                <c:pt idx="736">
                  <c:v>4.4820000000000002</c:v>
                </c:pt>
                <c:pt idx="737">
                  <c:v>4.4960000000000004</c:v>
                </c:pt>
                <c:pt idx="738">
                  <c:v>4.4870000000000001</c:v>
                </c:pt>
                <c:pt idx="739">
                  <c:v>4.4870000000000001</c:v>
                </c:pt>
                <c:pt idx="740">
                  <c:v>4.4870000000000001</c:v>
                </c:pt>
                <c:pt idx="741">
                  <c:v>4.4820000000000002</c:v>
                </c:pt>
                <c:pt idx="742">
                  <c:v>4.524</c:v>
                </c:pt>
                <c:pt idx="743">
                  <c:v>4.5179999999999998</c:v>
                </c:pt>
                <c:pt idx="744">
                  <c:v>4.51</c:v>
                </c:pt>
                <c:pt idx="745">
                  <c:v>4.5229999999999997</c:v>
                </c:pt>
                <c:pt idx="746">
                  <c:v>4.5229999999999997</c:v>
                </c:pt>
                <c:pt idx="747">
                  <c:v>4.5229999999999997</c:v>
                </c:pt>
                <c:pt idx="748">
                  <c:v>4.5289999999999999</c:v>
                </c:pt>
                <c:pt idx="749">
                  <c:v>4.5309999999999997</c:v>
                </c:pt>
                <c:pt idx="750">
                  <c:v>4.5209999999999999</c:v>
                </c:pt>
                <c:pt idx="751">
                  <c:v>4.5330000000000004</c:v>
                </c:pt>
                <c:pt idx="752">
                  <c:v>4.532</c:v>
                </c:pt>
                <c:pt idx="753">
                  <c:v>4.532</c:v>
                </c:pt>
                <c:pt idx="754">
                  <c:v>4.532</c:v>
                </c:pt>
                <c:pt idx="755">
                  <c:v>4.532</c:v>
                </c:pt>
                <c:pt idx="756">
                  <c:v>4.5270000000000001</c:v>
                </c:pt>
                <c:pt idx="757">
                  <c:v>4.5380000000000003</c:v>
                </c:pt>
                <c:pt idx="758">
                  <c:v>4.5549999999999997</c:v>
                </c:pt>
                <c:pt idx="759">
                  <c:v>4.5730000000000004</c:v>
                </c:pt>
                <c:pt idx="760">
                  <c:v>4.5730000000000004</c:v>
                </c:pt>
                <c:pt idx="761">
                  <c:v>4.5730000000000004</c:v>
                </c:pt>
                <c:pt idx="762">
                  <c:v>4.5730000000000004</c:v>
                </c:pt>
                <c:pt idx="763">
                  <c:v>4.5519999999999996</c:v>
                </c:pt>
                <c:pt idx="764">
                  <c:v>4.5220000000000002</c:v>
                </c:pt>
                <c:pt idx="765">
                  <c:v>4.5650000000000004</c:v>
                </c:pt>
                <c:pt idx="766">
                  <c:v>4.5490000000000004</c:v>
                </c:pt>
                <c:pt idx="767">
                  <c:v>4.5490000000000004</c:v>
                </c:pt>
                <c:pt idx="768">
                  <c:v>4.5490000000000004</c:v>
                </c:pt>
                <c:pt idx="769">
                  <c:v>4.556</c:v>
                </c:pt>
                <c:pt idx="770">
                  <c:v>4.5599999999999996</c:v>
                </c:pt>
                <c:pt idx="771">
                  <c:v>4.5960000000000001</c:v>
                </c:pt>
                <c:pt idx="772">
                  <c:v>4.585</c:v>
                </c:pt>
                <c:pt idx="773">
                  <c:v>4.585</c:v>
                </c:pt>
                <c:pt idx="774">
                  <c:v>4.585</c:v>
                </c:pt>
                <c:pt idx="775">
                  <c:v>4.585</c:v>
                </c:pt>
                <c:pt idx="776">
                  <c:v>4.6150000000000002</c:v>
                </c:pt>
                <c:pt idx="777">
                  <c:v>4.6150000000000002</c:v>
                </c:pt>
                <c:pt idx="778">
                  <c:v>4.6150000000000002</c:v>
                </c:pt>
                <c:pt idx="779">
                  <c:v>4.6100000000000003</c:v>
                </c:pt>
                <c:pt idx="780">
                  <c:v>4.6150000000000002</c:v>
                </c:pt>
                <c:pt idx="781">
                  <c:v>4.6150000000000002</c:v>
                </c:pt>
                <c:pt idx="782">
                  <c:v>4.6150000000000002</c:v>
                </c:pt>
                <c:pt idx="783">
                  <c:v>4.5510000000000002</c:v>
                </c:pt>
                <c:pt idx="784">
                  <c:v>4.585</c:v>
                </c:pt>
                <c:pt idx="785">
                  <c:v>4.5540000000000003</c:v>
                </c:pt>
                <c:pt idx="786">
                  <c:v>4.5410000000000004</c:v>
                </c:pt>
                <c:pt idx="787">
                  <c:v>4.5250000000000004</c:v>
                </c:pt>
                <c:pt idx="788">
                  <c:v>4.532</c:v>
                </c:pt>
                <c:pt idx="789">
                  <c:v>4.532</c:v>
                </c:pt>
                <c:pt idx="790">
                  <c:v>4.5039999999999996</c:v>
                </c:pt>
                <c:pt idx="791">
                  <c:v>4.5039999999999996</c:v>
                </c:pt>
                <c:pt idx="792">
                  <c:v>4.484</c:v>
                </c:pt>
                <c:pt idx="793">
                  <c:v>4.4619999999999997</c:v>
                </c:pt>
                <c:pt idx="794">
                  <c:v>4.4660000000000002</c:v>
                </c:pt>
                <c:pt idx="795">
                  <c:v>4.45</c:v>
                </c:pt>
                <c:pt idx="796">
                  <c:v>4.45</c:v>
                </c:pt>
                <c:pt idx="797">
                  <c:v>4.4429999999999996</c:v>
                </c:pt>
                <c:pt idx="798">
                  <c:v>4.4370000000000003</c:v>
                </c:pt>
                <c:pt idx="799">
                  <c:v>4.4290000000000003</c:v>
                </c:pt>
                <c:pt idx="800">
                  <c:v>4.4349999999999996</c:v>
                </c:pt>
                <c:pt idx="801">
                  <c:v>4.3849999999999998</c:v>
                </c:pt>
                <c:pt idx="802">
                  <c:v>4.468</c:v>
                </c:pt>
                <c:pt idx="803">
                  <c:v>4.468</c:v>
                </c:pt>
                <c:pt idx="804">
                  <c:v>4.4649999999999999</c:v>
                </c:pt>
                <c:pt idx="805">
                  <c:v>4.4539999999999997</c:v>
                </c:pt>
                <c:pt idx="806">
                  <c:v>4.4279999999999999</c:v>
                </c:pt>
                <c:pt idx="807">
                  <c:v>4.4349999999999996</c:v>
                </c:pt>
                <c:pt idx="808">
                  <c:v>4.4089999999999998</c:v>
                </c:pt>
                <c:pt idx="809">
                  <c:v>4.3879999999999999</c:v>
                </c:pt>
                <c:pt idx="810">
                  <c:v>4.3879999999999999</c:v>
                </c:pt>
                <c:pt idx="811">
                  <c:v>4.4109999999999996</c:v>
                </c:pt>
                <c:pt idx="812">
                  <c:v>4.423</c:v>
                </c:pt>
                <c:pt idx="813">
                  <c:v>4.3970000000000002</c:v>
                </c:pt>
                <c:pt idx="814">
                  <c:v>4.41</c:v>
                </c:pt>
                <c:pt idx="815">
                  <c:v>4.5129999999999999</c:v>
                </c:pt>
                <c:pt idx="816">
                  <c:v>4.4320000000000004</c:v>
                </c:pt>
                <c:pt idx="817">
                  <c:v>4.4320000000000004</c:v>
                </c:pt>
                <c:pt idx="818">
                  <c:v>4.4340000000000002</c:v>
                </c:pt>
                <c:pt idx="819">
                  <c:v>4.4340000000000002</c:v>
                </c:pt>
                <c:pt idx="820">
                  <c:v>4.4180000000000001</c:v>
                </c:pt>
                <c:pt idx="821">
                  <c:v>4.4329999999999998</c:v>
                </c:pt>
                <c:pt idx="822">
                  <c:v>4.4450000000000003</c:v>
                </c:pt>
                <c:pt idx="823">
                  <c:v>4.4450000000000003</c:v>
                </c:pt>
                <c:pt idx="824">
                  <c:v>4.4450000000000003</c:v>
                </c:pt>
                <c:pt idx="825">
                  <c:v>4.4779999999999998</c:v>
                </c:pt>
                <c:pt idx="826">
                  <c:v>4.5419999999999998</c:v>
                </c:pt>
                <c:pt idx="827">
                  <c:v>4.5060000000000002</c:v>
                </c:pt>
                <c:pt idx="828">
                  <c:v>4.5110000000000001</c:v>
                </c:pt>
                <c:pt idx="829">
                  <c:v>4.5110000000000001</c:v>
                </c:pt>
                <c:pt idx="830">
                  <c:v>4.5110000000000001</c:v>
                </c:pt>
                <c:pt idx="831">
                  <c:v>4.5110000000000001</c:v>
                </c:pt>
                <c:pt idx="832">
                  <c:v>4.5250000000000004</c:v>
                </c:pt>
                <c:pt idx="833">
                  <c:v>4.5149999999999997</c:v>
                </c:pt>
                <c:pt idx="834">
                  <c:v>4.5149999999999997</c:v>
                </c:pt>
                <c:pt idx="835">
                  <c:v>4.5030000000000001</c:v>
                </c:pt>
                <c:pt idx="836">
                  <c:v>4.548</c:v>
                </c:pt>
                <c:pt idx="837">
                  <c:v>4.5350000000000001</c:v>
                </c:pt>
                <c:pt idx="838">
                  <c:v>4.5350000000000001</c:v>
                </c:pt>
                <c:pt idx="839">
                  <c:v>4.5259999999999998</c:v>
                </c:pt>
                <c:pt idx="840">
                  <c:v>4.5250000000000004</c:v>
                </c:pt>
                <c:pt idx="841">
                  <c:v>4.5179999999999998</c:v>
                </c:pt>
                <c:pt idx="842">
                  <c:v>4.5339999999999998</c:v>
                </c:pt>
                <c:pt idx="843">
                  <c:v>4.524</c:v>
                </c:pt>
                <c:pt idx="844">
                  <c:v>4.5110000000000001</c:v>
                </c:pt>
                <c:pt idx="845">
                  <c:v>4.5110000000000001</c:v>
                </c:pt>
                <c:pt idx="846">
                  <c:v>4.5110000000000001</c:v>
                </c:pt>
                <c:pt idx="847">
                  <c:v>4.532</c:v>
                </c:pt>
                <c:pt idx="848">
                  <c:v>4.5220000000000002</c:v>
                </c:pt>
                <c:pt idx="849">
                  <c:v>4.5419999999999998</c:v>
                </c:pt>
                <c:pt idx="850">
                  <c:v>4.5179999999999998</c:v>
                </c:pt>
                <c:pt idx="851">
                  <c:v>4.5179999999999998</c:v>
                </c:pt>
                <c:pt idx="852">
                  <c:v>4.5179999999999998</c:v>
                </c:pt>
                <c:pt idx="853">
                  <c:v>4.5129999999999999</c:v>
                </c:pt>
                <c:pt idx="854">
                  <c:v>4.5129999999999999</c:v>
                </c:pt>
                <c:pt idx="855">
                  <c:v>4.5010000000000003</c:v>
                </c:pt>
                <c:pt idx="856">
                  <c:v>4.5039999999999996</c:v>
                </c:pt>
                <c:pt idx="857">
                  <c:v>4.5149999999999997</c:v>
                </c:pt>
                <c:pt idx="858">
                  <c:v>4.5149999999999997</c:v>
                </c:pt>
                <c:pt idx="859">
                  <c:v>4.5149999999999997</c:v>
                </c:pt>
                <c:pt idx="860">
                  <c:v>4.54</c:v>
                </c:pt>
                <c:pt idx="861">
                  <c:v>4.54</c:v>
                </c:pt>
                <c:pt idx="862">
                  <c:v>4.5090000000000003</c:v>
                </c:pt>
                <c:pt idx="863">
                  <c:v>4.4820000000000002</c:v>
                </c:pt>
                <c:pt idx="864">
                  <c:v>4.5019999999999998</c:v>
                </c:pt>
                <c:pt idx="865">
                  <c:v>4.5110000000000001</c:v>
                </c:pt>
                <c:pt idx="866">
                  <c:v>4.5110000000000001</c:v>
                </c:pt>
                <c:pt idx="867">
                  <c:v>4.5039999999999996</c:v>
                </c:pt>
                <c:pt idx="868">
                  <c:v>4.5030000000000001</c:v>
                </c:pt>
                <c:pt idx="869">
                  <c:v>4.4870000000000001</c:v>
                </c:pt>
                <c:pt idx="870">
                  <c:v>4.4889999999999999</c:v>
                </c:pt>
                <c:pt idx="871">
                  <c:v>4.4889999999999999</c:v>
                </c:pt>
                <c:pt idx="872">
                  <c:v>4.4850000000000003</c:v>
                </c:pt>
                <c:pt idx="873">
                  <c:v>4.4850000000000003</c:v>
                </c:pt>
                <c:pt idx="874">
                  <c:v>4.4850000000000003</c:v>
                </c:pt>
                <c:pt idx="875">
                  <c:v>4.5060000000000002</c:v>
                </c:pt>
                <c:pt idx="876">
                  <c:v>4.5030000000000001</c:v>
                </c:pt>
                <c:pt idx="877">
                  <c:v>4.5090000000000003</c:v>
                </c:pt>
                <c:pt idx="878">
                  <c:v>4.4859999999999998</c:v>
                </c:pt>
                <c:pt idx="879">
                  <c:v>4.5019999999999998</c:v>
                </c:pt>
                <c:pt idx="880">
                  <c:v>4.5019999999999998</c:v>
                </c:pt>
                <c:pt idx="881">
                  <c:v>4.5069999999999997</c:v>
                </c:pt>
                <c:pt idx="882">
                  <c:v>4.508</c:v>
                </c:pt>
                <c:pt idx="883">
                  <c:v>4.5490000000000004</c:v>
                </c:pt>
                <c:pt idx="884">
                  <c:v>4.5389999999999997</c:v>
                </c:pt>
                <c:pt idx="885">
                  <c:v>4.5330000000000004</c:v>
                </c:pt>
                <c:pt idx="886">
                  <c:v>4.5110000000000001</c:v>
                </c:pt>
                <c:pt idx="887">
                  <c:v>4.5110000000000001</c:v>
                </c:pt>
                <c:pt idx="888">
                  <c:v>4.5540000000000003</c:v>
                </c:pt>
                <c:pt idx="889">
                  <c:v>4.5369999999999999</c:v>
                </c:pt>
                <c:pt idx="890">
                  <c:v>4.5590000000000002</c:v>
                </c:pt>
                <c:pt idx="891">
                  <c:v>4.5759999999999996</c:v>
                </c:pt>
                <c:pt idx="892">
                  <c:v>4.5720000000000001</c:v>
                </c:pt>
                <c:pt idx="893">
                  <c:v>4.5629999999999997</c:v>
                </c:pt>
                <c:pt idx="894">
                  <c:v>4.5629999999999997</c:v>
                </c:pt>
                <c:pt idx="895">
                  <c:v>4.5629999999999997</c:v>
                </c:pt>
                <c:pt idx="896">
                  <c:v>4.6479999999999997</c:v>
                </c:pt>
                <c:pt idx="897">
                  <c:v>4.6379999999999999</c:v>
                </c:pt>
                <c:pt idx="898">
                  <c:v>4.5960000000000001</c:v>
                </c:pt>
                <c:pt idx="899">
                  <c:v>4.617</c:v>
                </c:pt>
                <c:pt idx="900">
                  <c:v>4.5979999999999999</c:v>
                </c:pt>
                <c:pt idx="901">
                  <c:v>4.5979999999999999</c:v>
                </c:pt>
                <c:pt idx="902">
                  <c:v>4.6529999999999996</c:v>
                </c:pt>
                <c:pt idx="903">
                  <c:v>4.7039999999999997</c:v>
                </c:pt>
                <c:pt idx="904">
                  <c:v>4.7300000000000004</c:v>
                </c:pt>
                <c:pt idx="905">
                  <c:v>4.718</c:v>
                </c:pt>
                <c:pt idx="906">
                  <c:v>4.7629999999999999</c:v>
                </c:pt>
                <c:pt idx="907">
                  <c:v>4.76</c:v>
                </c:pt>
                <c:pt idx="908">
                  <c:v>4.76</c:v>
                </c:pt>
                <c:pt idx="909">
                  <c:v>4.7089999999999996</c:v>
                </c:pt>
                <c:pt idx="910">
                  <c:v>4.6879999999999997</c:v>
                </c:pt>
                <c:pt idx="911">
                  <c:v>4.681</c:v>
                </c:pt>
                <c:pt idx="912">
                  <c:v>4.718</c:v>
                </c:pt>
                <c:pt idx="913">
                  <c:v>4.74</c:v>
                </c:pt>
                <c:pt idx="914">
                  <c:v>4.7050000000000001</c:v>
                </c:pt>
                <c:pt idx="915">
                  <c:v>4.7050000000000001</c:v>
                </c:pt>
                <c:pt idx="916">
                  <c:v>4.6890000000000001</c:v>
                </c:pt>
                <c:pt idx="917">
                  <c:v>4.7140000000000004</c:v>
                </c:pt>
                <c:pt idx="918">
                  <c:v>4.7549999999999999</c:v>
                </c:pt>
                <c:pt idx="919">
                  <c:v>4.7460000000000004</c:v>
                </c:pt>
                <c:pt idx="920">
                  <c:v>4.6989999999999998</c:v>
                </c:pt>
                <c:pt idx="921">
                  <c:v>4.8250000000000002</c:v>
                </c:pt>
                <c:pt idx="922">
                  <c:v>4.8250000000000002</c:v>
                </c:pt>
                <c:pt idx="923">
                  <c:v>4.8310000000000004</c:v>
                </c:pt>
                <c:pt idx="924">
                  <c:v>4.891</c:v>
                </c:pt>
                <c:pt idx="925">
                  <c:v>4.8330000000000002</c:v>
                </c:pt>
                <c:pt idx="926">
                  <c:v>4.827</c:v>
                </c:pt>
                <c:pt idx="927">
                  <c:v>4.8339999999999996</c:v>
                </c:pt>
                <c:pt idx="928">
                  <c:v>4.7560000000000002</c:v>
                </c:pt>
                <c:pt idx="929">
                  <c:v>4.7560000000000002</c:v>
                </c:pt>
                <c:pt idx="930">
                  <c:v>4.7939999999999996</c:v>
                </c:pt>
                <c:pt idx="931">
                  <c:v>4.7789999999999999</c:v>
                </c:pt>
                <c:pt idx="932">
                  <c:v>4.7480000000000002</c:v>
                </c:pt>
                <c:pt idx="933">
                  <c:v>4.7869999999999999</c:v>
                </c:pt>
                <c:pt idx="934">
                  <c:v>4.8639999999999999</c:v>
                </c:pt>
                <c:pt idx="935">
                  <c:v>4.8090000000000002</c:v>
                </c:pt>
                <c:pt idx="936">
                  <c:v>4.8090000000000002</c:v>
                </c:pt>
                <c:pt idx="937">
                  <c:v>4.78</c:v>
                </c:pt>
                <c:pt idx="938">
                  <c:v>4.7300000000000004</c:v>
                </c:pt>
                <c:pt idx="939">
                  <c:v>4.8159999999999998</c:v>
                </c:pt>
                <c:pt idx="940">
                  <c:v>4.8769999999999998</c:v>
                </c:pt>
                <c:pt idx="941">
                  <c:v>4.8129999999999997</c:v>
                </c:pt>
                <c:pt idx="942">
                  <c:v>4.7839999999999998</c:v>
                </c:pt>
                <c:pt idx="943">
                  <c:v>4.7839999999999998</c:v>
                </c:pt>
                <c:pt idx="944">
                  <c:v>4.8529999999999998</c:v>
                </c:pt>
                <c:pt idx="945">
                  <c:v>4.8570000000000002</c:v>
                </c:pt>
                <c:pt idx="946">
                  <c:v>4.8410000000000002</c:v>
                </c:pt>
                <c:pt idx="947">
                  <c:v>4.8540000000000001</c:v>
                </c:pt>
                <c:pt idx="948">
                  <c:v>4.8739999999999997</c:v>
                </c:pt>
                <c:pt idx="949">
                  <c:v>4.8499999999999996</c:v>
                </c:pt>
                <c:pt idx="950">
                  <c:v>4.8499999999999996</c:v>
                </c:pt>
                <c:pt idx="951">
                  <c:v>4.7859999999999996</c:v>
                </c:pt>
                <c:pt idx="952">
                  <c:v>4.9279999999999999</c:v>
                </c:pt>
                <c:pt idx="953">
                  <c:v>5.2039999999999997</c:v>
                </c:pt>
                <c:pt idx="954">
                  <c:v>5.1980000000000004</c:v>
                </c:pt>
                <c:pt idx="955">
                  <c:v>5.1980000000000004</c:v>
                </c:pt>
                <c:pt idx="956">
                  <c:v>5.3239999999999998</c:v>
                </c:pt>
                <c:pt idx="957">
                  <c:v>5.3239999999999998</c:v>
                </c:pt>
                <c:pt idx="958">
                  <c:v>5.3010000000000002</c:v>
                </c:pt>
                <c:pt idx="959">
                  <c:v>5.2169999999999996</c:v>
                </c:pt>
                <c:pt idx="960">
                  <c:v>5.1779999999999999</c:v>
                </c:pt>
                <c:pt idx="961">
                  <c:v>5.1619999999999999</c:v>
                </c:pt>
                <c:pt idx="962">
                  <c:v>5.1619999999999999</c:v>
                </c:pt>
                <c:pt idx="963">
                  <c:v>5.1520000000000001</c:v>
                </c:pt>
                <c:pt idx="964">
                  <c:v>5.1520000000000001</c:v>
                </c:pt>
                <c:pt idx="965">
                  <c:v>5.2389999999999999</c:v>
                </c:pt>
                <c:pt idx="966">
                  <c:v>5.2229999999999999</c:v>
                </c:pt>
                <c:pt idx="967">
                  <c:v>5.2069999999999999</c:v>
                </c:pt>
                <c:pt idx="968">
                  <c:v>5.4059999999999997</c:v>
                </c:pt>
                <c:pt idx="969">
                  <c:v>5.4059999999999997</c:v>
                </c:pt>
                <c:pt idx="970">
                  <c:v>5.2190000000000003</c:v>
                </c:pt>
                <c:pt idx="971">
                  <c:v>5.2190000000000003</c:v>
                </c:pt>
                <c:pt idx="972">
                  <c:v>5.2510000000000003</c:v>
                </c:pt>
                <c:pt idx="973">
                  <c:v>5.202</c:v>
                </c:pt>
                <c:pt idx="974">
                  <c:v>5.1609999999999996</c:v>
                </c:pt>
                <c:pt idx="975">
                  <c:v>5.1509999999999998</c:v>
                </c:pt>
                <c:pt idx="976">
                  <c:v>5.1040000000000001</c:v>
                </c:pt>
                <c:pt idx="977">
                  <c:v>5.0410000000000004</c:v>
                </c:pt>
                <c:pt idx="978">
                  <c:v>5.0410000000000004</c:v>
                </c:pt>
                <c:pt idx="979">
                  <c:v>5.0659999999999998</c:v>
                </c:pt>
                <c:pt idx="980">
                  <c:v>5.1130000000000004</c:v>
                </c:pt>
                <c:pt idx="981">
                  <c:v>5.1070000000000002</c:v>
                </c:pt>
                <c:pt idx="982">
                  <c:v>5.0979999999999999</c:v>
                </c:pt>
                <c:pt idx="983">
                  <c:v>5.0890000000000004</c:v>
                </c:pt>
                <c:pt idx="984">
                  <c:v>5.048</c:v>
                </c:pt>
                <c:pt idx="985">
                  <c:v>5.048</c:v>
                </c:pt>
                <c:pt idx="986">
                  <c:v>5.2409999999999997</c:v>
                </c:pt>
                <c:pt idx="987">
                  <c:v>5.165</c:v>
                </c:pt>
                <c:pt idx="988">
                  <c:v>5.218</c:v>
                </c:pt>
                <c:pt idx="989">
                  <c:v>5.2089999999999996</c:v>
                </c:pt>
                <c:pt idx="990">
                  <c:v>5.218</c:v>
                </c:pt>
                <c:pt idx="991">
                  <c:v>5.218</c:v>
                </c:pt>
                <c:pt idx="992">
                  <c:v>5.218</c:v>
                </c:pt>
                <c:pt idx="993">
                  <c:v>5.24</c:v>
                </c:pt>
                <c:pt idx="994">
                  <c:v>5.2370000000000001</c:v>
                </c:pt>
                <c:pt idx="995">
                  <c:v>5.25</c:v>
                </c:pt>
                <c:pt idx="996">
                  <c:v>5.2060000000000004</c:v>
                </c:pt>
                <c:pt idx="997">
                  <c:v>5.1509999999999998</c:v>
                </c:pt>
                <c:pt idx="998">
                  <c:v>5.1829999999999998</c:v>
                </c:pt>
                <c:pt idx="999">
                  <c:v>5.1829999999999998</c:v>
                </c:pt>
                <c:pt idx="1000">
                  <c:v>5.2210000000000001</c:v>
                </c:pt>
                <c:pt idx="1001">
                  <c:v>5.258</c:v>
                </c:pt>
                <c:pt idx="1002">
                  <c:v>5.3019999999999996</c:v>
                </c:pt>
                <c:pt idx="1003">
                  <c:v>5.2779999999999996</c:v>
                </c:pt>
                <c:pt idx="1004">
                  <c:v>5.3540000000000001</c:v>
                </c:pt>
                <c:pt idx="1005">
                  <c:v>5.3540000000000001</c:v>
                </c:pt>
                <c:pt idx="1006">
                  <c:v>5.3540000000000001</c:v>
                </c:pt>
                <c:pt idx="1007">
                  <c:v>5.3310000000000004</c:v>
                </c:pt>
                <c:pt idx="1008">
                  <c:v>5.3719999999999999</c:v>
                </c:pt>
                <c:pt idx="1009">
                  <c:v>5.3760000000000003</c:v>
                </c:pt>
                <c:pt idx="1010">
                  <c:v>5.4260000000000002</c:v>
                </c:pt>
                <c:pt idx="1011">
                  <c:v>5.42</c:v>
                </c:pt>
                <c:pt idx="1012">
                  <c:v>5.4610000000000003</c:v>
                </c:pt>
                <c:pt idx="1013">
                  <c:v>5.4610000000000003</c:v>
                </c:pt>
                <c:pt idx="1014">
                  <c:v>5.4989999999999997</c:v>
                </c:pt>
                <c:pt idx="1015">
                  <c:v>5.524</c:v>
                </c:pt>
                <c:pt idx="1016">
                  <c:v>5.524</c:v>
                </c:pt>
                <c:pt idx="1017">
                  <c:v>5.4939999999999998</c:v>
                </c:pt>
                <c:pt idx="1018">
                  <c:v>5.4740000000000002</c:v>
                </c:pt>
                <c:pt idx="1019">
                  <c:v>5.476</c:v>
                </c:pt>
                <c:pt idx="1020">
                  <c:v>5.476</c:v>
                </c:pt>
                <c:pt idx="1021">
                  <c:v>5.4950000000000001</c:v>
                </c:pt>
                <c:pt idx="1022">
                  <c:v>5.468</c:v>
                </c:pt>
                <c:pt idx="1023">
                  <c:v>5.5</c:v>
                </c:pt>
                <c:pt idx="1024">
                  <c:v>5.4969999999999999</c:v>
                </c:pt>
                <c:pt idx="1025">
                  <c:v>5.4969999999999999</c:v>
                </c:pt>
                <c:pt idx="1026">
                  <c:v>5.4589999999999996</c:v>
                </c:pt>
                <c:pt idx="1027">
                  <c:v>5.4589999999999996</c:v>
                </c:pt>
                <c:pt idx="1028">
                  <c:v>5.51</c:v>
                </c:pt>
                <c:pt idx="1029">
                  <c:v>5.5609999999999999</c:v>
                </c:pt>
                <c:pt idx="1030">
                  <c:v>5.6749999999999998</c:v>
                </c:pt>
                <c:pt idx="1031">
                  <c:v>5.7030000000000003</c:v>
                </c:pt>
                <c:pt idx="1032">
                  <c:v>5.6959999999999997</c:v>
                </c:pt>
                <c:pt idx="1033">
                  <c:v>5.7119999999999997</c:v>
                </c:pt>
                <c:pt idx="1034">
                  <c:v>5.7119999999999997</c:v>
                </c:pt>
                <c:pt idx="1035">
                  <c:v>5.72</c:v>
                </c:pt>
                <c:pt idx="1036">
                  <c:v>5.7450000000000001</c:v>
                </c:pt>
                <c:pt idx="1037">
                  <c:v>5.758</c:v>
                </c:pt>
                <c:pt idx="1038">
                  <c:v>5.742</c:v>
                </c:pt>
                <c:pt idx="1039">
                  <c:v>5.9059999999999997</c:v>
                </c:pt>
                <c:pt idx="1040">
                  <c:v>5.9649999999999999</c:v>
                </c:pt>
                <c:pt idx="1041">
                  <c:v>5.9649999999999999</c:v>
                </c:pt>
                <c:pt idx="1042">
                  <c:v>5.9260000000000002</c:v>
                </c:pt>
                <c:pt idx="1043">
                  <c:v>5.9020000000000001</c:v>
                </c:pt>
                <c:pt idx="1044">
                  <c:v>5.8760000000000003</c:v>
                </c:pt>
                <c:pt idx="1045">
                  <c:v>5.9640000000000004</c:v>
                </c:pt>
                <c:pt idx="1046">
                  <c:v>5.9640000000000004</c:v>
                </c:pt>
                <c:pt idx="1047">
                  <c:v>5.9210000000000003</c:v>
                </c:pt>
                <c:pt idx="1048">
                  <c:v>5.9210000000000003</c:v>
                </c:pt>
                <c:pt idx="1049">
                  <c:v>5.9210000000000003</c:v>
                </c:pt>
                <c:pt idx="1050">
                  <c:v>5.915</c:v>
                </c:pt>
                <c:pt idx="1051">
                  <c:v>5.9029999999999996</c:v>
                </c:pt>
                <c:pt idx="1052">
                  <c:v>5.8460000000000001</c:v>
                </c:pt>
                <c:pt idx="1053">
                  <c:v>5.8460000000000001</c:v>
                </c:pt>
                <c:pt idx="1054">
                  <c:v>5.7960000000000003</c:v>
                </c:pt>
                <c:pt idx="1055">
                  <c:v>5.7960000000000003</c:v>
                </c:pt>
                <c:pt idx="1056">
                  <c:v>5.7910000000000004</c:v>
                </c:pt>
                <c:pt idx="1057">
                  <c:v>5.8109999999999999</c:v>
                </c:pt>
                <c:pt idx="1058">
                  <c:v>5.7729999999999997</c:v>
                </c:pt>
                <c:pt idx="1059">
                  <c:v>5.8239999999999998</c:v>
                </c:pt>
                <c:pt idx="1060">
                  <c:v>5.8239999999999998</c:v>
                </c:pt>
                <c:pt idx="1061">
                  <c:v>5.7729999999999997</c:v>
                </c:pt>
                <c:pt idx="1062">
                  <c:v>5.7729999999999997</c:v>
                </c:pt>
                <c:pt idx="1063">
                  <c:v>5.7450000000000001</c:v>
                </c:pt>
                <c:pt idx="1064">
                  <c:v>5.726</c:v>
                </c:pt>
                <c:pt idx="1065">
                  <c:v>5.6589999999999998</c:v>
                </c:pt>
                <c:pt idx="1066">
                  <c:v>5.4690000000000003</c:v>
                </c:pt>
                <c:pt idx="1067">
                  <c:v>5.5460000000000003</c:v>
                </c:pt>
                <c:pt idx="1068">
                  <c:v>5.5010000000000003</c:v>
                </c:pt>
                <c:pt idx="1069">
                  <c:v>5.5010000000000003</c:v>
                </c:pt>
                <c:pt idx="1070">
                  <c:v>5.5880000000000001</c:v>
                </c:pt>
                <c:pt idx="1071">
                  <c:v>5.641</c:v>
                </c:pt>
                <c:pt idx="1072">
                  <c:v>5.6109999999999998</c:v>
                </c:pt>
                <c:pt idx="1073">
                  <c:v>5.65</c:v>
                </c:pt>
                <c:pt idx="1074">
                  <c:v>5.6580000000000004</c:v>
                </c:pt>
                <c:pt idx="1075">
                  <c:v>5.6669999999999998</c:v>
                </c:pt>
                <c:pt idx="1076">
                  <c:v>5.6669999999999998</c:v>
                </c:pt>
                <c:pt idx="1077">
                  <c:v>5.7149999999999999</c:v>
                </c:pt>
                <c:pt idx="1078">
                  <c:v>5.7629999999999999</c:v>
                </c:pt>
                <c:pt idx="1079">
                  <c:v>5.79</c:v>
                </c:pt>
                <c:pt idx="1080">
                  <c:v>5.7729999999999997</c:v>
                </c:pt>
                <c:pt idx="1081">
                  <c:v>5.7640000000000002</c:v>
                </c:pt>
                <c:pt idx="1082">
                  <c:v>5.7990000000000004</c:v>
                </c:pt>
                <c:pt idx="1083">
                  <c:v>5.7990000000000004</c:v>
                </c:pt>
                <c:pt idx="1084">
                  <c:v>5.7809999999999997</c:v>
                </c:pt>
                <c:pt idx="1085">
                  <c:v>5.7919999999999998</c:v>
                </c:pt>
                <c:pt idx="1086">
                  <c:v>5.7619999999999996</c:v>
                </c:pt>
                <c:pt idx="1087">
                  <c:v>5.7830000000000004</c:v>
                </c:pt>
                <c:pt idx="1088">
                  <c:v>5.7290000000000001</c:v>
                </c:pt>
                <c:pt idx="1089">
                  <c:v>5.7290000000000001</c:v>
                </c:pt>
                <c:pt idx="1090">
                  <c:v>5.7290000000000001</c:v>
                </c:pt>
                <c:pt idx="1091">
                  <c:v>5.7809999999999997</c:v>
                </c:pt>
                <c:pt idx="1092">
                  <c:v>5.73</c:v>
                </c:pt>
                <c:pt idx="1093">
                  <c:v>5.74</c:v>
                </c:pt>
                <c:pt idx="1094">
                  <c:v>5.7489999999999997</c:v>
                </c:pt>
                <c:pt idx="1095">
                  <c:v>5.6769999999999996</c:v>
                </c:pt>
                <c:pt idx="1096">
                  <c:v>5.7960000000000003</c:v>
                </c:pt>
                <c:pt idx="1097">
                  <c:v>5.7960000000000003</c:v>
                </c:pt>
                <c:pt idx="1098">
                  <c:v>5.6639999999999997</c:v>
                </c:pt>
                <c:pt idx="1099">
                  <c:v>5.5910000000000002</c:v>
                </c:pt>
                <c:pt idx="1100">
                  <c:v>5.6580000000000004</c:v>
                </c:pt>
                <c:pt idx="1101">
                  <c:v>5.6040000000000001</c:v>
                </c:pt>
                <c:pt idx="1102">
                  <c:v>5.6120000000000001</c:v>
                </c:pt>
                <c:pt idx="1103">
                  <c:v>5.6349999999999998</c:v>
                </c:pt>
                <c:pt idx="1104">
                  <c:v>5.6349999999999998</c:v>
                </c:pt>
                <c:pt idx="1105">
                  <c:v>5.62</c:v>
                </c:pt>
                <c:pt idx="1106">
                  <c:v>5.7720000000000002</c:v>
                </c:pt>
                <c:pt idx="1107">
                  <c:v>5.7720000000000002</c:v>
                </c:pt>
                <c:pt idx="1108">
                  <c:v>5.7729999999999997</c:v>
                </c:pt>
                <c:pt idx="1109">
                  <c:v>5.7809999999999997</c:v>
                </c:pt>
                <c:pt idx="1110">
                  <c:v>5.8460000000000001</c:v>
                </c:pt>
                <c:pt idx="1111">
                  <c:v>5.8460000000000001</c:v>
                </c:pt>
                <c:pt idx="1112">
                  <c:v>5.8040000000000003</c:v>
                </c:pt>
                <c:pt idx="1113">
                  <c:v>5.84</c:v>
                </c:pt>
                <c:pt idx="1114">
                  <c:v>5.8710000000000004</c:v>
                </c:pt>
                <c:pt idx="1115">
                  <c:v>5.85</c:v>
                </c:pt>
                <c:pt idx="1116">
                  <c:v>5.8380000000000001</c:v>
                </c:pt>
                <c:pt idx="1117">
                  <c:v>5.8259999999999996</c:v>
                </c:pt>
                <c:pt idx="1118">
                  <c:v>5.8259999999999996</c:v>
                </c:pt>
                <c:pt idx="1119">
                  <c:v>5.8609999999999998</c:v>
                </c:pt>
                <c:pt idx="1120">
                  <c:v>5.7939999999999996</c:v>
                </c:pt>
                <c:pt idx="1121">
                  <c:v>5.7939999999999996</c:v>
                </c:pt>
                <c:pt idx="1122">
                  <c:v>5.7809999999999997</c:v>
                </c:pt>
                <c:pt idx="1123">
                  <c:v>5.7939999999999996</c:v>
                </c:pt>
                <c:pt idx="1124">
                  <c:v>5.73</c:v>
                </c:pt>
                <c:pt idx="1125">
                  <c:v>5.73</c:v>
                </c:pt>
                <c:pt idx="1126">
                  <c:v>5.7370000000000001</c:v>
                </c:pt>
                <c:pt idx="1127">
                  <c:v>5.7380000000000004</c:v>
                </c:pt>
                <c:pt idx="1128">
                  <c:v>5.7409999999999997</c:v>
                </c:pt>
                <c:pt idx="1129">
                  <c:v>5.7549999999999999</c:v>
                </c:pt>
                <c:pt idx="1130">
                  <c:v>5.7960000000000003</c:v>
                </c:pt>
                <c:pt idx="1131">
                  <c:v>5.7560000000000002</c:v>
                </c:pt>
                <c:pt idx="1132">
                  <c:v>5.7560000000000002</c:v>
                </c:pt>
                <c:pt idx="1133">
                  <c:v>5.758</c:v>
                </c:pt>
                <c:pt idx="1134">
                  <c:v>5.7329999999999997</c:v>
                </c:pt>
                <c:pt idx="1135">
                  <c:v>5.6779999999999999</c:v>
                </c:pt>
                <c:pt idx="1136">
                  <c:v>5.6820000000000004</c:v>
                </c:pt>
                <c:pt idx="1137">
                  <c:v>5.6760000000000002</c:v>
                </c:pt>
                <c:pt idx="1138">
                  <c:v>5.6760000000000002</c:v>
                </c:pt>
                <c:pt idx="1139">
                  <c:v>5.6760000000000002</c:v>
                </c:pt>
                <c:pt idx="1140">
                  <c:v>5.65</c:v>
                </c:pt>
                <c:pt idx="1141">
                  <c:v>5.6559999999999997</c:v>
                </c:pt>
                <c:pt idx="1142">
                  <c:v>5.7160000000000002</c:v>
                </c:pt>
                <c:pt idx="1143">
                  <c:v>5.7460000000000004</c:v>
                </c:pt>
                <c:pt idx="1144">
                  <c:v>5.7469999999999999</c:v>
                </c:pt>
                <c:pt idx="1145">
                  <c:v>5.7290000000000001</c:v>
                </c:pt>
                <c:pt idx="1146">
                  <c:v>5.7290000000000001</c:v>
                </c:pt>
                <c:pt idx="1147">
                  <c:v>5.7389999999999999</c:v>
                </c:pt>
                <c:pt idx="1148">
                  <c:v>5.742</c:v>
                </c:pt>
                <c:pt idx="1149">
                  <c:v>5.7309999999999999</c:v>
                </c:pt>
                <c:pt idx="1150">
                  <c:v>5.7240000000000002</c:v>
                </c:pt>
                <c:pt idx="1151">
                  <c:v>5.7610000000000001</c:v>
                </c:pt>
                <c:pt idx="1152">
                  <c:v>5.7460000000000004</c:v>
                </c:pt>
                <c:pt idx="1153">
                  <c:v>5.7460000000000004</c:v>
                </c:pt>
                <c:pt idx="1154">
                  <c:v>5.7480000000000002</c:v>
                </c:pt>
                <c:pt idx="1155">
                  <c:v>5.7859999999999996</c:v>
                </c:pt>
                <c:pt idx="1156">
                  <c:v>5.7809999999999997</c:v>
                </c:pt>
                <c:pt idx="1157">
                  <c:v>5.774</c:v>
                </c:pt>
                <c:pt idx="1158">
                  <c:v>5.7279999999999998</c:v>
                </c:pt>
                <c:pt idx="1159">
                  <c:v>5.7190000000000003</c:v>
                </c:pt>
                <c:pt idx="1160">
                  <c:v>5.7190000000000003</c:v>
                </c:pt>
                <c:pt idx="1161">
                  <c:v>5.6989999999999998</c:v>
                </c:pt>
                <c:pt idx="1162">
                  <c:v>5.6989999999999998</c:v>
                </c:pt>
                <c:pt idx="1163">
                  <c:v>5.6710000000000003</c:v>
                </c:pt>
                <c:pt idx="1164">
                  <c:v>5.6559999999999997</c:v>
                </c:pt>
                <c:pt idx="1165">
                  <c:v>5.6379999999999999</c:v>
                </c:pt>
                <c:pt idx="1166">
                  <c:v>5.64</c:v>
                </c:pt>
                <c:pt idx="1167">
                  <c:v>5.64</c:v>
                </c:pt>
                <c:pt idx="1168">
                  <c:v>5.6559999999999997</c:v>
                </c:pt>
                <c:pt idx="1169">
                  <c:v>5.6669999999999998</c:v>
                </c:pt>
                <c:pt idx="1170">
                  <c:v>5.6849999999999996</c:v>
                </c:pt>
                <c:pt idx="1171">
                  <c:v>5.681</c:v>
                </c:pt>
                <c:pt idx="1172">
                  <c:v>5.69</c:v>
                </c:pt>
                <c:pt idx="1173">
                  <c:v>5.6340000000000003</c:v>
                </c:pt>
                <c:pt idx="1174">
                  <c:v>5.6340000000000003</c:v>
                </c:pt>
                <c:pt idx="1175">
                  <c:v>5.6959999999999997</c:v>
                </c:pt>
                <c:pt idx="1176">
                  <c:v>5.7110000000000003</c:v>
                </c:pt>
                <c:pt idx="1177">
                  <c:v>5.7290000000000001</c:v>
                </c:pt>
                <c:pt idx="1178">
                  <c:v>5.681</c:v>
                </c:pt>
                <c:pt idx="1179">
                  <c:v>5.681</c:v>
                </c:pt>
                <c:pt idx="1180">
                  <c:v>5.681</c:v>
                </c:pt>
                <c:pt idx="1181">
                  <c:v>5.681</c:v>
                </c:pt>
                <c:pt idx="1182">
                  <c:v>5.702</c:v>
                </c:pt>
                <c:pt idx="1183">
                  <c:v>5.6909999999999998</c:v>
                </c:pt>
                <c:pt idx="1184">
                  <c:v>5.6639999999999997</c:v>
                </c:pt>
                <c:pt idx="1185">
                  <c:v>5.6360000000000001</c:v>
                </c:pt>
                <c:pt idx="1186">
                  <c:v>5.6920000000000002</c:v>
                </c:pt>
                <c:pt idx="1187">
                  <c:v>5.7240000000000002</c:v>
                </c:pt>
                <c:pt idx="1188">
                  <c:v>5.7240000000000002</c:v>
                </c:pt>
                <c:pt idx="1189">
                  <c:v>5.7279999999999998</c:v>
                </c:pt>
                <c:pt idx="1190">
                  <c:v>5.7240000000000002</c:v>
                </c:pt>
                <c:pt idx="1191">
                  <c:v>5.7610000000000001</c:v>
                </c:pt>
                <c:pt idx="1192">
                  <c:v>5.7640000000000002</c:v>
                </c:pt>
                <c:pt idx="1193">
                  <c:v>5.8170000000000002</c:v>
                </c:pt>
                <c:pt idx="1194">
                  <c:v>5.8170000000000002</c:v>
                </c:pt>
                <c:pt idx="1195">
                  <c:v>5.8170000000000002</c:v>
                </c:pt>
                <c:pt idx="1196">
                  <c:v>5.7770000000000001</c:v>
                </c:pt>
                <c:pt idx="1197">
                  <c:v>5.758</c:v>
                </c:pt>
                <c:pt idx="1198">
                  <c:v>5.7409999999999997</c:v>
                </c:pt>
                <c:pt idx="1199">
                  <c:v>5.7409999999999997</c:v>
                </c:pt>
                <c:pt idx="1200">
                  <c:v>5.7469999999999999</c:v>
                </c:pt>
                <c:pt idx="1201">
                  <c:v>5.7439999999999998</c:v>
                </c:pt>
                <c:pt idx="1202">
                  <c:v>5.7439999999999998</c:v>
                </c:pt>
                <c:pt idx="1203">
                  <c:v>5.7439999999999998</c:v>
                </c:pt>
                <c:pt idx="1204">
                  <c:v>5.7080000000000002</c:v>
                </c:pt>
                <c:pt idx="1205">
                  <c:v>5.6859999999999999</c:v>
                </c:pt>
                <c:pt idx="1206">
                  <c:v>5.6849999999999996</c:v>
                </c:pt>
                <c:pt idx="1207">
                  <c:v>5.6849999999999996</c:v>
                </c:pt>
                <c:pt idx="1208">
                  <c:v>5.6509999999999998</c:v>
                </c:pt>
                <c:pt idx="1209">
                  <c:v>5.6509999999999998</c:v>
                </c:pt>
                <c:pt idx="1210">
                  <c:v>5.6639999999999997</c:v>
                </c:pt>
                <c:pt idx="1211">
                  <c:v>5.6669999999999998</c:v>
                </c:pt>
                <c:pt idx="1212">
                  <c:v>5.6639999999999997</c:v>
                </c:pt>
                <c:pt idx="1213">
                  <c:v>5.8140000000000001</c:v>
                </c:pt>
                <c:pt idx="1214">
                  <c:v>5.79</c:v>
                </c:pt>
                <c:pt idx="1215">
                  <c:v>5.7969999999999997</c:v>
                </c:pt>
                <c:pt idx="1216">
                  <c:v>5.7969999999999997</c:v>
                </c:pt>
                <c:pt idx="1217">
                  <c:v>5.758</c:v>
                </c:pt>
                <c:pt idx="1218">
                  <c:v>5.7430000000000003</c:v>
                </c:pt>
                <c:pt idx="1219">
                  <c:v>5.7519999999999998</c:v>
                </c:pt>
                <c:pt idx="1220">
                  <c:v>5.7380000000000004</c:v>
                </c:pt>
                <c:pt idx="1221">
                  <c:v>5.7220000000000004</c:v>
                </c:pt>
                <c:pt idx="1222">
                  <c:v>5.7220000000000004</c:v>
                </c:pt>
                <c:pt idx="1223">
                  <c:v>5.7220000000000004</c:v>
                </c:pt>
                <c:pt idx="1224">
                  <c:v>5.7050000000000001</c:v>
                </c:pt>
                <c:pt idx="1225">
                  <c:v>5.6920000000000002</c:v>
                </c:pt>
                <c:pt idx="1226">
                  <c:v>5.6790000000000003</c:v>
                </c:pt>
                <c:pt idx="1227">
                  <c:v>5.673</c:v>
                </c:pt>
                <c:pt idx="1228">
                  <c:v>5.665</c:v>
                </c:pt>
                <c:pt idx="1229">
                  <c:v>5.6239999999999997</c:v>
                </c:pt>
                <c:pt idx="1230">
                  <c:v>5.6239999999999997</c:v>
                </c:pt>
                <c:pt idx="1231">
                  <c:v>5.6950000000000003</c:v>
                </c:pt>
                <c:pt idx="1232">
                  <c:v>5.681</c:v>
                </c:pt>
                <c:pt idx="1233">
                  <c:v>5.6950000000000003</c:v>
                </c:pt>
                <c:pt idx="1234">
                  <c:v>5.6669999999999998</c:v>
                </c:pt>
                <c:pt idx="1235">
                  <c:v>5.6639999999999997</c:v>
                </c:pt>
                <c:pt idx="1236">
                  <c:v>5.6440000000000001</c:v>
                </c:pt>
                <c:pt idx="1237">
                  <c:v>5.6440000000000001</c:v>
                </c:pt>
                <c:pt idx="1238">
                  <c:v>5.6440000000000001</c:v>
                </c:pt>
                <c:pt idx="1239">
                  <c:v>5.6360000000000001</c:v>
                </c:pt>
                <c:pt idx="1240">
                  <c:v>5.6459999999999999</c:v>
                </c:pt>
                <c:pt idx="1241">
                  <c:v>5.6609999999999996</c:v>
                </c:pt>
                <c:pt idx="1242">
                  <c:v>5.6719999999999997</c:v>
                </c:pt>
                <c:pt idx="1243">
                  <c:v>5.6779999999999999</c:v>
                </c:pt>
                <c:pt idx="1244">
                  <c:v>5.6779999999999999</c:v>
                </c:pt>
                <c:pt idx="1245">
                  <c:v>5.7389999999999999</c:v>
                </c:pt>
                <c:pt idx="1246">
                  <c:v>5.7220000000000004</c:v>
                </c:pt>
                <c:pt idx="1247">
                  <c:v>5.694</c:v>
                </c:pt>
                <c:pt idx="1248">
                  <c:v>5.6870000000000003</c:v>
                </c:pt>
                <c:pt idx="1249">
                  <c:v>5.6639999999999997</c:v>
                </c:pt>
                <c:pt idx="1250">
                  <c:v>5.6639999999999997</c:v>
                </c:pt>
                <c:pt idx="1251">
                  <c:v>5.6639999999999997</c:v>
                </c:pt>
                <c:pt idx="1252">
                  <c:v>5.6639999999999997</c:v>
                </c:pt>
                <c:pt idx="1253">
                  <c:v>5.6639999999999997</c:v>
                </c:pt>
                <c:pt idx="1254">
                  <c:v>5.6920000000000002</c:v>
                </c:pt>
                <c:pt idx="1255">
                  <c:v>5.6829999999999998</c:v>
                </c:pt>
                <c:pt idx="1256">
                  <c:v>5.7169999999999996</c:v>
                </c:pt>
                <c:pt idx="1257">
                  <c:v>5.7169999999999996</c:v>
                </c:pt>
                <c:pt idx="1258">
                  <c:v>5.7169999999999996</c:v>
                </c:pt>
                <c:pt idx="1259">
                  <c:v>5.6609999999999996</c:v>
                </c:pt>
                <c:pt idx="1260">
                  <c:v>5.6849999999999996</c:v>
                </c:pt>
                <c:pt idx="1261">
                  <c:v>5.6559999999999997</c:v>
                </c:pt>
                <c:pt idx="1262">
                  <c:v>5.7469999999999999</c:v>
                </c:pt>
                <c:pt idx="1263">
                  <c:v>5.6980000000000004</c:v>
                </c:pt>
                <c:pt idx="1264">
                  <c:v>5.69</c:v>
                </c:pt>
                <c:pt idx="1265">
                  <c:v>5.69</c:v>
                </c:pt>
                <c:pt idx="1266">
                  <c:v>5.6859999999999999</c:v>
                </c:pt>
                <c:pt idx="1267">
                  <c:v>5.7409999999999997</c:v>
                </c:pt>
                <c:pt idx="1268">
                  <c:v>5.7160000000000002</c:v>
                </c:pt>
                <c:pt idx="1269">
                  <c:v>5.7160000000000002</c:v>
                </c:pt>
                <c:pt idx="1270">
                  <c:v>5.7279999999999998</c:v>
                </c:pt>
                <c:pt idx="1271">
                  <c:v>5.7279999999999998</c:v>
                </c:pt>
                <c:pt idx="1272">
                  <c:v>5.7279999999999998</c:v>
                </c:pt>
                <c:pt idx="1273">
                  <c:v>5.7439999999999998</c:v>
                </c:pt>
                <c:pt idx="1274">
                  <c:v>5.7530000000000001</c:v>
                </c:pt>
                <c:pt idx="1275">
                  <c:v>5.7380000000000004</c:v>
                </c:pt>
                <c:pt idx="1276">
                  <c:v>5.7549999999999999</c:v>
                </c:pt>
                <c:pt idx="1277">
                  <c:v>5.7480000000000002</c:v>
                </c:pt>
                <c:pt idx="1278">
                  <c:v>5.77</c:v>
                </c:pt>
                <c:pt idx="1279">
                  <c:v>5.77</c:v>
                </c:pt>
                <c:pt idx="1280">
                  <c:v>5.77</c:v>
                </c:pt>
                <c:pt idx="1281">
                  <c:v>5.7080000000000002</c:v>
                </c:pt>
                <c:pt idx="1282">
                  <c:v>5.806</c:v>
                </c:pt>
                <c:pt idx="1283">
                  <c:v>5.8049999999999997</c:v>
                </c:pt>
                <c:pt idx="1284">
                  <c:v>5.78</c:v>
                </c:pt>
                <c:pt idx="1285">
                  <c:v>5.78</c:v>
                </c:pt>
                <c:pt idx="1286">
                  <c:v>5.78</c:v>
                </c:pt>
                <c:pt idx="1287">
                  <c:v>5.8010000000000002</c:v>
                </c:pt>
                <c:pt idx="1288">
                  <c:v>5.7169999999999996</c:v>
                </c:pt>
                <c:pt idx="1289">
                  <c:v>5.84</c:v>
                </c:pt>
                <c:pt idx="1290">
                  <c:v>5.8360000000000003</c:v>
                </c:pt>
                <c:pt idx="1291">
                  <c:v>5.8680000000000003</c:v>
                </c:pt>
                <c:pt idx="1292">
                  <c:v>5.8319999999999999</c:v>
                </c:pt>
                <c:pt idx="1293">
                  <c:v>5.8319999999999999</c:v>
                </c:pt>
                <c:pt idx="1294">
                  <c:v>5.8550000000000004</c:v>
                </c:pt>
                <c:pt idx="1295">
                  <c:v>5.8620000000000001</c:v>
                </c:pt>
                <c:pt idx="1296">
                  <c:v>5.8490000000000002</c:v>
                </c:pt>
                <c:pt idx="1297">
                  <c:v>5.8390000000000004</c:v>
                </c:pt>
                <c:pt idx="1298">
                  <c:v>5.8150000000000004</c:v>
                </c:pt>
                <c:pt idx="1299">
                  <c:v>5.82</c:v>
                </c:pt>
                <c:pt idx="1300">
                  <c:v>5.82</c:v>
                </c:pt>
                <c:pt idx="1301">
                  <c:v>5.8109999999999999</c:v>
                </c:pt>
                <c:pt idx="1302">
                  <c:v>5.7510000000000003</c:v>
                </c:pt>
                <c:pt idx="1303">
                  <c:v>5.7510000000000003</c:v>
                </c:pt>
                <c:pt idx="1304">
                  <c:v>5.7510000000000003</c:v>
                </c:pt>
                <c:pt idx="1305">
                  <c:v>5.7119999999999997</c:v>
                </c:pt>
                <c:pt idx="1306">
                  <c:v>5.7690000000000001</c:v>
                </c:pt>
                <c:pt idx="1307">
                  <c:v>5.7690000000000001</c:v>
                </c:pt>
                <c:pt idx="1308">
                  <c:v>5.7690000000000001</c:v>
                </c:pt>
                <c:pt idx="1309">
                  <c:v>5.7</c:v>
                </c:pt>
                <c:pt idx="1310">
                  <c:v>5.6660000000000004</c:v>
                </c:pt>
                <c:pt idx="1311">
                  <c:v>5.6959999999999997</c:v>
                </c:pt>
                <c:pt idx="1312">
                  <c:v>5.6829999999999998</c:v>
                </c:pt>
                <c:pt idx="1313">
                  <c:v>5.681</c:v>
                </c:pt>
                <c:pt idx="1314">
                  <c:v>5.681</c:v>
                </c:pt>
                <c:pt idx="1315">
                  <c:v>5.6609999999999996</c:v>
                </c:pt>
                <c:pt idx="1316">
                  <c:v>5.69</c:v>
                </c:pt>
                <c:pt idx="1317">
                  <c:v>5.6859999999999999</c:v>
                </c:pt>
                <c:pt idx="1318">
                  <c:v>5.6840000000000002</c:v>
                </c:pt>
                <c:pt idx="1319">
                  <c:v>5.6719999999999997</c:v>
                </c:pt>
                <c:pt idx="1320">
                  <c:v>5.7480000000000002</c:v>
                </c:pt>
                <c:pt idx="1321">
                  <c:v>5.7480000000000002</c:v>
                </c:pt>
                <c:pt idx="1322">
                  <c:v>5.7480000000000002</c:v>
                </c:pt>
                <c:pt idx="1323">
                  <c:v>5.641</c:v>
                </c:pt>
                <c:pt idx="1324">
                  <c:v>5.6360000000000001</c:v>
                </c:pt>
                <c:pt idx="1325">
                  <c:v>5.6470000000000002</c:v>
                </c:pt>
                <c:pt idx="1326">
                  <c:v>5.6509999999999998</c:v>
                </c:pt>
                <c:pt idx="1327">
                  <c:v>5.6509999999999998</c:v>
                </c:pt>
                <c:pt idx="1328">
                  <c:v>5.6509999999999998</c:v>
                </c:pt>
                <c:pt idx="1329">
                  <c:v>5.6239999999999997</c:v>
                </c:pt>
                <c:pt idx="1330">
                  <c:v>5.5940000000000003</c:v>
                </c:pt>
                <c:pt idx="1331">
                  <c:v>5.609</c:v>
                </c:pt>
                <c:pt idx="1332">
                  <c:v>5.6310000000000002</c:v>
                </c:pt>
                <c:pt idx="1333">
                  <c:v>5.6029999999999998</c:v>
                </c:pt>
                <c:pt idx="1334">
                  <c:v>5.5720000000000001</c:v>
                </c:pt>
                <c:pt idx="1335">
                  <c:v>5.5720000000000001</c:v>
                </c:pt>
                <c:pt idx="1336">
                  <c:v>5.6459999999999999</c:v>
                </c:pt>
                <c:pt idx="1337">
                  <c:v>5.6539999999999999</c:v>
                </c:pt>
                <c:pt idx="1338">
                  <c:v>5.6840000000000002</c:v>
                </c:pt>
                <c:pt idx="1339">
                  <c:v>5.6859999999999999</c:v>
                </c:pt>
                <c:pt idx="1340">
                  <c:v>5.6349999999999998</c:v>
                </c:pt>
                <c:pt idx="1341">
                  <c:v>5.61</c:v>
                </c:pt>
                <c:pt idx="1342">
                  <c:v>5.61</c:v>
                </c:pt>
                <c:pt idx="1343">
                  <c:v>5.569</c:v>
                </c:pt>
                <c:pt idx="1344">
                  <c:v>5.5670000000000002</c:v>
                </c:pt>
                <c:pt idx="1345">
                  <c:v>5.5670000000000002</c:v>
                </c:pt>
                <c:pt idx="1346">
                  <c:v>5.5460000000000003</c:v>
                </c:pt>
                <c:pt idx="1347">
                  <c:v>5.58</c:v>
                </c:pt>
                <c:pt idx="1348">
                  <c:v>5.5949999999999998</c:v>
                </c:pt>
                <c:pt idx="1349">
                  <c:v>5.5949999999999998</c:v>
                </c:pt>
                <c:pt idx="1350">
                  <c:v>5.6059999999999999</c:v>
                </c:pt>
                <c:pt idx="1351">
                  <c:v>5.61</c:v>
                </c:pt>
                <c:pt idx="1352">
                  <c:v>5.62</c:v>
                </c:pt>
                <c:pt idx="1353">
                  <c:v>5.5979999999999999</c:v>
                </c:pt>
                <c:pt idx="1354">
                  <c:v>5.5750000000000002</c:v>
                </c:pt>
                <c:pt idx="1355">
                  <c:v>5.6150000000000002</c:v>
                </c:pt>
                <c:pt idx="1356">
                  <c:v>5.6150000000000002</c:v>
                </c:pt>
                <c:pt idx="1357">
                  <c:v>5.5529999999999999</c:v>
                </c:pt>
                <c:pt idx="1358">
                  <c:v>5.6130000000000004</c:v>
                </c:pt>
                <c:pt idx="1359">
                  <c:v>5.633</c:v>
                </c:pt>
                <c:pt idx="1360">
                  <c:v>5.6849999999999996</c:v>
                </c:pt>
                <c:pt idx="1361">
                  <c:v>5.6829999999999998</c:v>
                </c:pt>
                <c:pt idx="1362">
                  <c:v>5.6950000000000003</c:v>
                </c:pt>
                <c:pt idx="1363">
                  <c:v>5.6950000000000003</c:v>
                </c:pt>
                <c:pt idx="1364">
                  <c:v>5.7389999999999999</c:v>
                </c:pt>
                <c:pt idx="1365">
                  <c:v>5.8360000000000003</c:v>
                </c:pt>
                <c:pt idx="1366">
                  <c:v>5.8460000000000001</c:v>
                </c:pt>
                <c:pt idx="1367">
                  <c:v>5.835</c:v>
                </c:pt>
                <c:pt idx="1368">
                  <c:v>5.7930000000000001</c:v>
                </c:pt>
                <c:pt idx="1369">
                  <c:v>5.82</c:v>
                </c:pt>
                <c:pt idx="1370">
                  <c:v>5.82</c:v>
                </c:pt>
                <c:pt idx="1371">
                  <c:v>5.7910000000000004</c:v>
                </c:pt>
                <c:pt idx="1372">
                  <c:v>5.7869999999999999</c:v>
                </c:pt>
                <c:pt idx="1373">
                  <c:v>5.7619999999999996</c:v>
                </c:pt>
                <c:pt idx="1374">
                  <c:v>5.7789999999999999</c:v>
                </c:pt>
                <c:pt idx="1375">
                  <c:v>5.758</c:v>
                </c:pt>
                <c:pt idx="1376">
                  <c:v>5.758</c:v>
                </c:pt>
                <c:pt idx="1377">
                  <c:v>5.758</c:v>
                </c:pt>
                <c:pt idx="1378">
                  <c:v>5.7729999999999997</c:v>
                </c:pt>
                <c:pt idx="1379">
                  <c:v>5.7759999999999998</c:v>
                </c:pt>
                <c:pt idx="1380">
                  <c:v>5.7759999999999998</c:v>
                </c:pt>
                <c:pt idx="1381">
                  <c:v>5.7770000000000001</c:v>
                </c:pt>
                <c:pt idx="1382">
                  <c:v>5.8010000000000002</c:v>
                </c:pt>
                <c:pt idx="1383">
                  <c:v>5.8010000000000002</c:v>
                </c:pt>
                <c:pt idx="1384">
                  <c:v>5.8010000000000002</c:v>
                </c:pt>
                <c:pt idx="1385">
                  <c:v>5.8019999999999996</c:v>
                </c:pt>
                <c:pt idx="1386">
                  <c:v>5.8289999999999997</c:v>
                </c:pt>
                <c:pt idx="1387">
                  <c:v>5.8230000000000004</c:v>
                </c:pt>
                <c:pt idx="1388">
                  <c:v>5.8360000000000003</c:v>
                </c:pt>
                <c:pt idx="1389">
                  <c:v>5.8440000000000003</c:v>
                </c:pt>
                <c:pt idx="1390">
                  <c:v>5.8440000000000003</c:v>
                </c:pt>
                <c:pt idx="1391">
                  <c:v>5.8440000000000003</c:v>
                </c:pt>
                <c:pt idx="1392">
                  <c:v>5.8390000000000004</c:v>
                </c:pt>
                <c:pt idx="1393">
                  <c:v>5.8339999999999996</c:v>
                </c:pt>
                <c:pt idx="1394">
                  <c:v>5.8179999999999996</c:v>
                </c:pt>
                <c:pt idx="1395">
                  <c:v>5.8120000000000003</c:v>
                </c:pt>
                <c:pt idx="1396">
                  <c:v>5.819</c:v>
                </c:pt>
                <c:pt idx="1397">
                  <c:v>5.819</c:v>
                </c:pt>
                <c:pt idx="1398">
                  <c:v>5.819</c:v>
                </c:pt>
                <c:pt idx="1399">
                  <c:v>5.8310000000000004</c:v>
                </c:pt>
                <c:pt idx="1400">
                  <c:v>5.8310000000000004</c:v>
                </c:pt>
                <c:pt idx="1401">
                  <c:v>5.8570000000000002</c:v>
                </c:pt>
                <c:pt idx="1402">
                  <c:v>5.8239999999999998</c:v>
                </c:pt>
                <c:pt idx="1403">
                  <c:v>5.8470000000000004</c:v>
                </c:pt>
                <c:pt idx="1404">
                  <c:v>5.8470000000000004</c:v>
                </c:pt>
                <c:pt idx="1405">
                  <c:v>5.8470000000000004</c:v>
                </c:pt>
                <c:pt idx="1406">
                  <c:v>5.8360000000000003</c:v>
                </c:pt>
                <c:pt idx="1407">
                  <c:v>5.8360000000000003</c:v>
                </c:pt>
                <c:pt idx="1408">
                  <c:v>5.8559999999999999</c:v>
                </c:pt>
                <c:pt idx="1409">
                  <c:v>5.8739999999999997</c:v>
                </c:pt>
                <c:pt idx="1410">
                  <c:v>5.8810000000000002</c:v>
                </c:pt>
                <c:pt idx="1411">
                  <c:v>5.8810000000000002</c:v>
                </c:pt>
                <c:pt idx="1412">
                  <c:v>5.8810000000000002</c:v>
                </c:pt>
                <c:pt idx="1413">
                  <c:v>5.9</c:v>
                </c:pt>
                <c:pt idx="1414">
                  <c:v>5.9</c:v>
                </c:pt>
                <c:pt idx="1415">
                  <c:v>5.9189999999999996</c:v>
                </c:pt>
                <c:pt idx="1416">
                  <c:v>5.9169999999999998</c:v>
                </c:pt>
                <c:pt idx="1417">
                  <c:v>5.9020000000000001</c:v>
                </c:pt>
                <c:pt idx="1418">
                  <c:v>5.9020000000000001</c:v>
                </c:pt>
                <c:pt idx="1419">
                  <c:v>5.9020000000000001</c:v>
                </c:pt>
                <c:pt idx="1420">
                  <c:v>5.9189999999999996</c:v>
                </c:pt>
                <c:pt idx="1421">
                  <c:v>5.91</c:v>
                </c:pt>
                <c:pt idx="1422">
                  <c:v>5.9050000000000002</c:v>
                </c:pt>
                <c:pt idx="1423">
                  <c:v>5.8819999999999997</c:v>
                </c:pt>
                <c:pt idx="1424">
                  <c:v>5.8959999999999999</c:v>
                </c:pt>
                <c:pt idx="1425">
                  <c:v>5.8959999999999999</c:v>
                </c:pt>
                <c:pt idx="1426">
                  <c:v>5.8959999999999999</c:v>
                </c:pt>
                <c:pt idx="1427">
                  <c:v>5.8979999999999997</c:v>
                </c:pt>
                <c:pt idx="1428">
                  <c:v>5.9020000000000001</c:v>
                </c:pt>
                <c:pt idx="1429">
                  <c:v>5.931</c:v>
                </c:pt>
                <c:pt idx="1430">
                  <c:v>5.9349999999999996</c:v>
                </c:pt>
                <c:pt idx="1431">
                  <c:v>5.944</c:v>
                </c:pt>
                <c:pt idx="1432">
                  <c:v>5.944</c:v>
                </c:pt>
                <c:pt idx="1433">
                  <c:v>5.944</c:v>
                </c:pt>
                <c:pt idx="1434">
                  <c:v>5.93</c:v>
                </c:pt>
                <c:pt idx="1435">
                  <c:v>5.9489999999999998</c:v>
                </c:pt>
                <c:pt idx="1436">
                  <c:v>5.9660000000000002</c:v>
                </c:pt>
                <c:pt idx="1437">
                  <c:v>5.9640000000000004</c:v>
                </c:pt>
                <c:pt idx="1438">
                  <c:v>5.98</c:v>
                </c:pt>
                <c:pt idx="1439">
                  <c:v>5.98</c:v>
                </c:pt>
                <c:pt idx="1440">
                  <c:v>5.98</c:v>
                </c:pt>
                <c:pt idx="1441">
                  <c:v>5.99</c:v>
                </c:pt>
                <c:pt idx="1442">
                  <c:v>6.0270000000000001</c:v>
                </c:pt>
                <c:pt idx="1443">
                  <c:v>6.0270000000000001</c:v>
                </c:pt>
                <c:pt idx="1444">
                  <c:v>5.9960000000000004</c:v>
                </c:pt>
                <c:pt idx="1445">
                  <c:v>5.9960000000000004</c:v>
                </c:pt>
                <c:pt idx="1446">
                  <c:v>5.9960000000000004</c:v>
                </c:pt>
                <c:pt idx="1447">
                  <c:v>5.9960000000000004</c:v>
                </c:pt>
                <c:pt idx="1448">
                  <c:v>5.9960000000000004</c:v>
                </c:pt>
                <c:pt idx="1449">
                  <c:v>5.9960000000000004</c:v>
                </c:pt>
                <c:pt idx="1450">
                  <c:v>6.165</c:v>
                </c:pt>
                <c:pt idx="1451">
                  <c:v>6.18</c:v>
                </c:pt>
                <c:pt idx="1452">
                  <c:v>6.21</c:v>
                </c:pt>
                <c:pt idx="1453">
                  <c:v>6.21</c:v>
                </c:pt>
                <c:pt idx="1454">
                  <c:v>6.21</c:v>
                </c:pt>
                <c:pt idx="1455">
                  <c:v>6.242</c:v>
                </c:pt>
                <c:pt idx="1456">
                  <c:v>6.274</c:v>
                </c:pt>
                <c:pt idx="1457">
                  <c:v>6.26</c:v>
                </c:pt>
                <c:pt idx="1458">
                  <c:v>6.2240000000000002</c:v>
                </c:pt>
                <c:pt idx="1459">
                  <c:v>6.2480000000000002</c:v>
                </c:pt>
                <c:pt idx="1460">
                  <c:v>6.2480000000000002</c:v>
                </c:pt>
                <c:pt idx="1461">
                  <c:v>6.2480000000000002</c:v>
                </c:pt>
                <c:pt idx="1462">
                  <c:v>6.2480000000000002</c:v>
                </c:pt>
                <c:pt idx="1463">
                  <c:v>6.1929999999999996</c:v>
                </c:pt>
                <c:pt idx="1464">
                  <c:v>6.173</c:v>
                </c:pt>
                <c:pt idx="1465">
                  <c:v>6.173</c:v>
                </c:pt>
                <c:pt idx="1466">
                  <c:v>6.173</c:v>
                </c:pt>
                <c:pt idx="1467">
                  <c:v>6.173</c:v>
                </c:pt>
                <c:pt idx="1468">
                  <c:v>6.173</c:v>
                </c:pt>
                <c:pt idx="1469">
                  <c:v>6.173</c:v>
                </c:pt>
                <c:pt idx="1470">
                  <c:v>6.27</c:v>
                </c:pt>
                <c:pt idx="1471">
                  <c:v>6.27</c:v>
                </c:pt>
                <c:pt idx="1472">
                  <c:v>6.3040000000000003</c:v>
                </c:pt>
                <c:pt idx="1473">
                  <c:v>6.3090000000000002</c:v>
                </c:pt>
                <c:pt idx="1474">
                  <c:v>6.3090000000000002</c:v>
                </c:pt>
                <c:pt idx="1475">
                  <c:v>6.3090000000000002</c:v>
                </c:pt>
                <c:pt idx="1476">
                  <c:v>6.2859999999999996</c:v>
                </c:pt>
                <c:pt idx="1477">
                  <c:v>6.282</c:v>
                </c:pt>
                <c:pt idx="1478">
                  <c:v>6.298</c:v>
                </c:pt>
                <c:pt idx="1479">
                  <c:v>6.3280000000000003</c:v>
                </c:pt>
                <c:pt idx="1480">
                  <c:v>6.375</c:v>
                </c:pt>
                <c:pt idx="1481">
                  <c:v>6.375</c:v>
                </c:pt>
                <c:pt idx="1482">
                  <c:v>6.375</c:v>
                </c:pt>
                <c:pt idx="1483">
                  <c:v>6.3929999999999998</c:v>
                </c:pt>
                <c:pt idx="1484">
                  <c:v>6.5339999999999998</c:v>
                </c:pt>
                <c:pt idx="1485">
                  <c:v>6.601</c:v>
                </c:pt>
                <c:pt idx="1486">
                  <c:v>6.601</c:v>
                </c:pt>
                <c:pt idx="1487">
                  <c:v>6.585</c:v>
                </c:pt>
                <c:pt idx="1488">
                  <c:v>6.585</c:v>
                </c:pt>
                <c:pt idx="1489">
                  <c:v>6.585</c:v>
                </c:pt>
                <c:pt idx="1490">
                  <c:v>6.7960000000000003</c:v>
                </c:pt>
                <c:pt idx="1491">
                  <c:v>6.8129999999999997</c:v>
                </c:pt>
                <c:pt idx="1492">
                  <c:v>6.8120000000000003</c:v>
                </c:pt>
                <c:pt idx="1493">
                  <c:v>6.8120000000000003</c:v>
                </c:pt>
                <c:pt idx="1494">
                  <c:v>6.8650000000000002</c:v>
                </c:pt>
                <c:pt idx="1495">
                  <c:v>6.8650000000000002</c:v>
                </c:pt>
                <c:pt idx="1496">
                  <c:v>6.8650000000000002</c:v>
                </c:pt>
                <c:pt idx="1497">
                  <c:v>6.8650000000000002</c:v>
                </c:pt>
                <c:pt idx="1498">
                  <c:v>6.8609999999999998</c:v>
                </c:pt>
                <c:pt idx="1499">
                  <c:v>6.9080000000000004</c:v>
                </c:pt>
                <c:pt idx="1500">
                  <c:v>6.9080000000000004</c:v>
                </c:pt>
                <c:pt idx="1501">
                  <c:v>6.9379999999999997</c:v>
                </c:pt>
                <c:pt idx="1502">
                  <c:v>6.9379999999999997</c:v>
                </c:pt>
                <c:pt idx="1503">
                  <c:v>6.9379999999999997</c:v>
                </c:pt>
                <c:pt idx="1504">
                  <c:v>6.944</c:v>
                </c:pt>
                <c:pt idx="1505">
                  <c:v>6.9</c:v>
                </c:pt>
                <c:pt idx="1506">
                  <c:v>6.968</c:v>
                </c:pt>
                <c:pt idx="1507">
                  <c:v>6.9630000000000001</c:v>
                </c:pt>
                <c:pt idx="1508">
                  <c:v>6.9119999999999999</c:v>
                </c:pt>
                <c:pt idx="1509">
                  <c:v>6.9119999999999999</c:v>
                </c:pt>
                <c:pt idx="1510">
                  <c:v>6.9119999999999999</c:v>
                </c:pt>
                <c:pt idx="1511">
                  <c:v>6.94</c:v>
                </c:pt>
                <c:pt idx="1512">
                  <c:v>7.0140000000000002</c:v>
                </c:pt>
                <c:pt idx="1513">
                  <c:v>6.9889999999999999</c:v>
                </c:pt>
                <c:pt idx="1514">
                  <c:v>6.9889999999999999</c:v>
                </c:pt>
                <c:pt idx="1515">
                  <c:v>6.9820000000000002</c:v>
                </c:pt>
                <c:pt idx="1516">
                  <c:v>6.9820000000000002</c:v>
                </c:pt>
                <c:pt idx="1517">
                  <c:v>6.9820000000000002</c:v>
                </c:pt>
                <c:pt idx="1518">
                  <c:v>6.8259999999999996</c:v>
                </c:pt>
                <c:pt idx="1519">
                  <c:v>6.7770000000000001</c:v>
                </c:pt>
                <c:pt idx="1520">
                  <c:v>6.8440000000000003</c:v>
                </c:pt>
                <c:pt idx="1521">
                  <c:v>6.8490000000000002</c:v>
                </c:pt>
                <c:pt idx="1522">
                  <c:v>6.8680000000000003</c:v>
                </c:pt>
                <c:pt idx="1523">
                  <c:v>6.8680000000000003</c:v>
                </c:pt>
                <c:pt idx="1524">
                  <c:v>6.8680000000000003</c:v>
                </c:pt>
                <c:pt idx="1525">
                  <c:v>6.9039999999999999</c:v>
                </c:pt>
                <c:pt idx="1526">
                  <c:v>6.8780000000000001</c:v>
                </c:pt>
                <c:pt idx="1527">
                  <c:v>6.85</c:v>
                </c:pt>
                <c:pt idx="1528">
                  <c:v>6.83</c:v>
                </c:pt>
                <c:pt idx="1529">
                  <c:v>6.8419999999999996</c:v>
                </c:pt>
                <c:pt idx="1530">
                  <c:v>6.8419999999999996</c:v>
                </c:pt>
                <c:pt idx="1531">
                  <c:v>6.8419999999999996</c:v>
                </c:pt>
                <c:pt idx="1532">
                  <c:v>6.8209999999999997</c:v>
                </c:pt>
                <c:pt idx="1533">
                  <c:v>6.798</c:v>
                </c:pt>
                <c:pt idx="1534">
                  <c:v>6.798</c:v>
                </c:pt>
                <c:pt idx="1535">
                  <c:v>6.7910000000000004</c:v>
                </c:pt>
                <c:pt idx="1536">
                  <c:v>6.74</c:v>
                </c:pt>
                <c:pt idx="1537">
                  <c:v>6.74</c:v>
                </c:pt>
                <c:pt idx="1538">
                  <c:v>6.74</c:v>
                </c:pt>
                <c:pt idx="1539">
                  <c:v>6.7690000000000001</c:v>
                </c:pt>
                <c:pt idx="1540">
                  <c:v>6.665</c:v>
                </c:pt>
                <c:pt idx="1541">
                  <c:v>6.7270000000000003</c:v>
                </c:pt>
                <c:pt idx="1542">
                  <c:v>6.6669999999999998</c:v>
                </c:pt>
                <c:pt idx="1543">
                  <c:v>6.5890000000000004</c:v>
                </c:pt>
                <c:pt idx="1544">
                  <c:v>6.5890000000000004</c:v>
                </c:pt>
                <c:pt idx="1545">
                  <c:v>6.5890000000000004</c:v>
                </c:pt>
                <c:pt idx="1546">
                  <c:v>6.6050000000000004</c:v>
                </c:pt>
                <c:pt idx="1547">
                  <c:v>6.5339999999999998</c:v>
                </c:pt>
                <c:pt idx="1548">
                  <c:v>6.5789999999999997</c:v>
                </c:pt>
                <c:pt idx="1549">
                  <c:v>6.5789999999999997</c:v>
                </c:pt>
                <c:pt idx="1550">
                  <c:v>6.6020000000000003</c:v>
                </c:pt>
                <c:pt idx="1551">
                  <c:v>6.6020000000000003</c:v>
                </c:pt>
                <c:pt idx="1552">
                  <c:v>6.6020000000000003</c:v>
                </c:pt>
                <c:pt idx="1553">
                  <c:v>6.59</c:v>
                </c:pt>
                <c:pt idx="1554">
                  <c:v>6.5010000000000003</c:v>
                </c:pt>
                <c:pt idx="1555">
                  <c:v>6.4189999999999996</c:v>
                </c:pt>
                <c:pt idx="1556">
                  <c:v>6.4189999999999996</c:v>
                </c:pt>
                <c:pt idx="1557">
                  <c:v>6.3360000000000003</c:v>
                </c:pt>
                <c:pt idx="1558">
                  <c:v>6.3360000000000003</c:v>
                </c:pt>
                <c:pt idx="1559">
                  <c:v>6.3360000000000003</c:v>
                </c:pt>
                <c:pt idx="1560">
                  <c:v>6.3810000000000002</c:v>
                </c:pt>
                <c:pt idx="1561">
                  <c:v>6.3810000000000002</c:v>
                </c:pt>
                <c:pt idx="1562">
                  <c:v>6.3579999999999997</c:v>
                </c:pt>
                <c:pt idx="1563">
                  <c:v>6.3970000000000002</c:v>
                </c:pt>
                <c:pt idx="1564">
                  <c:v>6.3970000000000002</c:v>
                </c:pt>
                <c:pt idx="1565">
                  <c:v>6.3970000000000002</c:v>
                </c:pt>
                <c:pt idx="1566">
                  <c:v>6.3970000000000002</c:v>
                </c:pt>
                <c:pt idx="1567">
                  <c:v>6.3959999999999999</c:v>
                </c:pt>
                <c:pt idx="1568">
                  <c:v>6.2930000000000001</c:v>
                </c:pt>
                <c:pt idx="1569">
                  <c:v>6.2320000000000002</c:v>
                </c:pt>
                <c:pt idx="1570">
                  <c:v>6.2060000000000004</c:v>
                </c:pt>
                <c:pt idx="1571">
                  <c:v>6.1520000000000001</c:v>
                </c:pt>
                <c:pt idx="1572">
                  <c:v>6.1520000000000001</c:v>
                </c:pt>
                <c:pt idx="1573">
                  <c:v>6.1520000000000001</c:v>
                </c:pt>
                <c:pt idx="1574">
                  <c:v>6.2480000000000002</c:v>
                </c:pt>
                <c:pt idx="1575">
                  <c:v>6.2649999999999997</c:v>
                </c:pt>
                <c:pt idx="1576">
                  <c:v>6.2859999999999996</c:v>
                </c:pt>
                <c:pt idx="1577">
                  <c:v>6.3029999999999999</c:v>
                </c:pt>
                <c:pt idx="1578">
                  <c:v>6.2720000000000002</c:v>
                </c:pt>
                <c:pt idx="1579">
                  <c:v>6.2720000000000002</c:v>
                </c:pt>
                <c:pt idx="1580">
                  <c:v>6.2720000000000002</c:v>
                </c:pt>
                <c:pt idx="1581">
                  <c:v>6.2720000000000002</c:v>
                </c:pt>
                <c:pt idx="1582">
                  <c:v>6.351</c:v>
                </c:pt>
                <c:pt idx="1583">
                  <c:v>6.3650000000000002</c:v>
                </c:pt>
                <c:pt idx="1584">
                  <c:v>6.36</c:v>
                </c:pt>
                <c:pt idx="1585">
                  <c:v>6.3410000000000002</c:v>
                </c:pt>
                <c:pt idx="1586">
                  <c:v>6.3410000000000002</c:v>
                </c:pt>
                <c:pt idx="1587">
                  <c:v>6.3410000000000002</c:v>
                </c:pt>
                <c:pt idx="1588">
                  <c:v>6.3710000000000004</c:v>
                </c:pt>
                <c:pt idx="1589">
                  <c:v>6.3739999999999997</c:v>
                </c:pt>
                <c:pt idx="1590">
                  <c:v>6.3680000000000003</c:v>
                </c:pt>
                <c:pt idx="1591">
                  <c:v>6.343</c:v>
                </c:pt>
                <c:pt idx="1592">
                  <c:v>6.4130000000000003</c:v>
                </c:pt>
                <c:pt idx="1593">
                  <c:v>6.4130000000000003</c:v>
                </c:pt>
                <c:pt idx="1594">
                  <c:v>6.4130000000000003</c:v>
                </c:pt>
                <c:pt idx="1595">
                  <c:v>6.5049999999999999</c:v>
                </c:pt>
                <c:pt idx="1596">
                  <c:v>6.4749999999999996</c:v>
                </c:pt>
                <c:pt idx="1597">
                  <c:v>6.4690000000000003</c:v>
                </c:pt>
                <c:pt idx="1598">
                  <c:v>6.5</c:v>
                </c:pt>
                <c:pt idx="1599">
                  <c:v>6.5049999999999999</c:v>
                </c:pt>
                <c:pt idx="1600">
                  <c:v>6.5049999999999999</c:v>
                </c:pt>
                <c:pt idx="1601">
                  <c:v>6.5049999999999999</c:v>
                </c:pt>
                <c:pt idx="1602">
                  <c:v>6.4909999999999997</c:v>
                </c:pt>
                <c:pt idx="1603">
                  <c:v>6.5010000000000003</c:v>
                </c:pt>
                <c:pt idx="1604">
                  <c:v>6.4589999999999996</c:v>
                </c:pt>
                <c:pt idx="1605">
                  <c:v>6.4450000000000003</c:v>
                </c:pt>
                <c:pt idx="1606">
                  <c:v>6.4390000000000001</c:v>
                </c:pt>
                <c:pt idx="1607">
                  <c:v>6.4390000000000001</c:v>
                </c:pt>
                <c:pt idx="1608">
                  <c:v>6.4390000000000001</c:v>
                </c:pt>
                <c:pt idx="1609">
                  <c:v>6.4669999999999996</c:v>
                </c:pt>
                <c:pt idx="1610">
                  <c:v>6.48</c:v>
                </c:pt>
                <c:pt idx="1611">
                  <c:v>6.4950000000000001</c:v>
                </c:pt>
                <c:pt idx="1612">
                  <c:v>6.4889999999999999</c:v>
                </c:pt>
                <c:pt idx="1613">
                  <c:v>6.4649999999999999</c:v>
                </c:pt>
                <c:pt idx="1614">
                  <c:v>6.4649999999999999</c:v>
                </c:pt>
                <c:pt idx="1615">
                  <c:v>6.4649999999999999</c:v>
                </c:pt>
                <c:pt idx="1616">
                  <c:v>6.5090000000000003</c:v>
                </c:pt>
                <c:pt idx="1617">
                  <c:v>6.5389999999999997</c:v>
                </c:pt>
                <c:pt idx="1618">
                  <c:v>6.5289999999999999</c:v>
                </c:pt>
                <c:pt idx="1619">
                  <c:v>6.5410000000000004</c:v>
                </c:pt>
                <c:pt idx="1620">
                  <c:v>6.7039999999999997</c:v>
                </c:pt>
                <c:pt idx="1621">
                  <c:v>6.7039999999999997</c:v>
                </c:pt>
                <c:pt idx="1622">
                  <c:v>6.7039999999999997</c:v>
                </c:pt>
                <c:pt idx="1623">
                  <c:v>6.6749999999999998</c:v>
                </c:pt>
                <c:pt idx="1624">
                  <c:v>6.8239999999999998</c:v>
                </c:pt>
                <c:pt idx="1625">
                  <c:v>6.8609999999999998</c:v>
                </c:pt>
                <c:pt idx="1626">
                  <c:v>6.8689999999999998</c:v>
                </c:pt>
                <c:pt idx="1627">
                  <c:v>6.88</c:v>
                </c:pt>
                <c:pt idx="1628">
                  <c:v>6.88</c:v>
                </c:pt>
                <c:pt idx="1629">
                  <c:v>6.88</c:v>
                </c:pt>
                <c:pt idx="1630">
                  <c:v>6.98</c:v>
                </c:pt>
                <c:pt idx="1631">
                  <c:v>7.0110000000000001</c:v>
                </c:pt>
                <c:pt idx="1632">
                  <c:v>7.01</c:v>
                </c:pt>
                <c:pt idx="1633">
                  <c:v>7.02</c:v>
                </c:pt>
                <c:pt idx="1634">
                  <c:v>7.1310000000000002</c:v>
                </c:pt>
                <c:pt idx="1635">
                  <c:v>7.1310000000000002</c:v>
                </c:pt>
                <c:pt idx="1636">
                  <c:v>7.1310000000000002</c:v>
                </c:pt>
                <c:pt idx="1637">
                  <c:v>7.1109999999999998</c:v>
                </c:pt>
                <c:pt idx="1638">
                  <c:v>7.0650000000000004</c:v>
                </c:pt>
                <c:pt idx="1639">
                  <c:v>7.0590000000000002</c:v>
                </c:pt>
                <c:pt idx="1640">
                  <c:v>7.024</c:v>
                </c:pt>
                <c:pt idx="1641">
                  <c:v>7.0010000000000003</c:v>
                </c:pt>
                <c:pt idx="1642">
                  <c:v>7.0010000000000003</c:v>
                </c:pt>
                <c:pt idx="1643">
                  <c:v>7.0010000000000003</c:v>
                </c:pt>
                <c:pt idx="1644">
                  <c:v>6.9660000000000002</c:v>
                </c:pt>
                <c:pt idx="1645">
                  <c:v>7.0060000000000002</c:v>
                </c:pt>
                <c:pt idx="1646">
                  <c:v>7.0579999999999998</c:v>
                </c:pt>
                <c:pt idx="1647">
                  <c:v>7.0579999999999998</c:v>
                </c:pt>
                <c:pt idx="1648">
                  <c:v>6.9960000000000004</c:v>
                </c:pt>
                <c:pt idx="1649">
                  <c:v>6.9960000000000004</c:v>
                </c:pt>
                <c:pt idx="1650">
                  <c:v>6.9960000000000004</c:v>
                </c:pt>
                <c:pt idx="1651">
                  <c:v>6.99</c:v>
                </c:pt>
                <c:pt idx="1652">
                  <c:v>7.0069999999999997</c:v>
                </c:pt>
                <c:pt idx="1653">
                  <c:v>7.032</c:v>
                </c:pt>
                <c:pt idx="1654">
                  <c:v>7.0220000000000002</c:v>
                </c:pt>
                <c:pt idx="1655">
                  <c:v>6.9589999999999996</c:v>
                </c:pt>
                <c:pt idx="1656">
                  <c:v>6.9589999999999996</c:v>
                </c:pt>
                <c:pt idx="1657">
                  <c:v>6.9589999999999996</c:v>
                </c:pt>
                <c:pt idx="1658">
                  <c:v>6.9660000000000002</c:v>
                </c:pt>
                <c:pt idx="1659">
                  <c:v>6.9710000000000001</c:v>
                </c:pt>
                <c:pt idx="1660">
                  <c:v>7.024</c:v>
                </c:pt>
                <c:pt idx="1661">
                  <c:v>6.9939999999999998</c:v>
                </c:pt>
                <c:pt idx="1662">
                  <c:v>6.9340000000000002</c:v>
                </c:pt>
                <c:pt idx="1663">
                  <c:v>6.9340000000000002</c:v>
                </c:pt>
                <c:pt idx="1664">
                  <c:v>6.9340000000000002</c:v>
                </c:pt>
                <c:pt idx="1665">
                  <c:v>6.883</c:v>
                </c:pt>
                <c:pt idx="1666">
                  <c:v>6.9109999999999996</c:v>
                </c:pt>
                <c:pt idx="1667">
                  <c:v>6.9109999999999996</c:v>
                </c:pt>
                <c:pt idx="1668">
                  <c:v>6.8739999999999997</c:v>
                </c:pt>
                <c:pt idx="1669">
                  <c:v>6.9139999999999997</c:v>
                </c:pt>
                <c:pt idx="1670">
                  <c:v>6.9139999999999997</c:v>
                </c:pt>
                <c:pt idx="1671">
                  <c:v>6.9139999999999997</c:v>
                </c:pt>
                <c:pt idx="1672">
                  <c:v>6.9059999999999997</c:v>
                </c:pt>
                <c:pt idx="1673">
                  <c:v>6.9420000000000002</c:v>
                </c:pt>
                <c:pt idx="1674">
                  <c:v>6.93</c:v>
                </c:pt>
                <c:pt idx="1675">
                  <c:v>6.9240000000000004</c:v>
                </c:pt>
                <c:pt idx="1676">
                  <c:v>6.9029999999999996</c:v>
                </c:pt>
                <c:pt idx="1677">
                  <c:v>6.9029999999999996</c:v>
                </c:pt>
                <c:pt idx="1678">
                  <c:v>6.9029999999999996</c:v>
                </c:pt>
                <c:pt idx="1679">
                  <c:v>6.8920000000000003</c:v>
                </c:pt>
                <c:pt idx="1680">
                  <c:v>6.9160000000000004</c:v>
                </c:pt>
                <c:pt idx="1681">
                  <c:v>6.8929999999999998</c:v>
                </c:pt>
                <c:pt idx="1682">
                  <c:v>6.8929999999999998</c:v>
                </c:pt>
                <c:pt idx="1683">
                  <c:v>6.8849999999999998</c:v>
                </c:pt>
                <c:pt idx="1684">
                  <c:v>6.8849999999999998</c:v>
                </c:pt>
                <c:pt idx="1685">
                  <c:v>6.8849999999999998</c:v>
                </c:pt>
                <c:pt idx="1686">
                  <c:v>6.8630000000000004</c:v>
                </c:pt>
                <c:pt idx="1687">
                  <c:v>6.8630000000000004</c:v>
                </c:pt>
                <c:pt idx="1688">
                  <c:v>6.9219999999999997</c:v>
                </c:pt>
                <c:pt idx="1689">
                  <c:v>6.8449999999999998</c:v>
                </c:pt>
                <c:pt idx="1690">
                  <c:v>6.8010000000000002</c:v>
                </c:pt>
                <c:pt idx="1691">
                  <c:v>6.8010000000000002</c:v>
                </c:pt>
                <c:pt idx="1692">
                  <c:v>6.8010000000000002</c:v>
                </c:pt>
                <c:pt idx="1693">
                  <c:v>6.82</c:v>
                </c:pt>
                <c:pt idx="1694">
                  <c:v>6.7960000000000003</c:v>
                </c:pt>
                <c:pt idx="1695">
                  <c:v>6.8090000000000002</c:v>
                </c:pt>
                <c:pt idx="1696">
                  <c:v>6.8559999999999999</c:v>
                </c:pt>
                <c:pt idx="1697">
                  <c:v>6.8179999999999996</c:v>
                </c:pt>
                <c:pt idx="1698">
                  <c:v>6.8179999999999996</c:v>
                </c:pt>
                <c:pt idx="1699">
                  <c:v>6.8179999999999996</c:v>
                </c:pt>
                <c:pt idx="1700">
                  <c:v>6.8810000000000002</c:v>
                </c:pt>
                <c:pt idx="1701">
                  <c:v>6.8879999999999999</c:v>
                </c:pt>
                <c:pt idx="1702">
                  <c:v>6.9409999999999998</c:v>
                </c:pt>
                <c:pt idx="1703">
                  <c:v>6.867</c:v>
                </c:pt>
                <c:pt idx="1704">
                  <c:v>6.9930000000000003</c:v>
                </c:pt>
                <c:pt idx="1705">
                  <c:v>6.9930000000000003</c:v>
                </c:pt>
                <c:pt idx="1706">
                  <c:v>6.9930000000000003</c:v>
                </c:pt>
                <c:pt idx="1707">
                  <c:v>6.9580000000000002</c:v>
                </c:pt>
                <c:pt idx="1708">
                  <c:v>6.9370000000000003</c:v>
                </c:pt>
                <c:pt idx="1709">
                  <c:v>6.9420000000000002</c:v>
                </c:pt>
                <c:pt idx="1710">
                  <c:v>6.9550000000000001</c:v>
                </c:pt>
                <c:pt idx="1711">
                  <c:v>6.89</c:v>
                </c:pt>
                <c:pt idx="1712">
                  <c:v>6.89</c:v>
                </c:pt>
                <c:pt idx="1713">
                  <c:v>6.89</c:v>
                </c:pt>
                <c:pt idx="1714">
                  <c:v>6.9029999999999996</c:v>
                </c:pt>
                <c:pt idx="1715">
                  <c:v>6.8849999999999998</c:v>
                </c:pt>
                <c:pt idx="1716">
                  <c:v>6.8730000000000002</c:v>
                </c:pt>
                <c:pt idx="1717">
                  <c:v>6.8650000000000002</c:v>
                </c:pt>
                <c:pt idx="1718">
                  <c:v>6.883</c:v>
                </c:pt>
                <c:pt idx="1719">
                  <c:v>6.883</c:v>
                </c:pt>
                <c:pt idx="1720">
                  <c:v>6.883</c:v>
                </c:pt>
                <c:pt idx="1721">
                  <c:v>6.8630000000000004</c:v>
                </c:pt>
                <c:pt idx="1722">
                  <c:v>6.8579999999999997</c:v>
                </c:pt>
                <c:pt idx="1723">
                  <c:v>6.83</c:v>
                </c:pt>
                <c:pt idx="1724">
                  <c:v>6.8369999999999997</c:v>
                </c:pt>
                <c:pt idx="1725">
                  <c:v>6.83</c:v>
                </c:pt>
                <c:pt idx="1726">
                  <c:v>6.83</c:v>
                </c:pt>
                <c:pt idx="1727">
                  <c:v>6.83</c:v>
                </c:pt>
                <c:pt idx="1728">
                  <c:v>6.8550000000000004</c:v>
                </c:pt>
                <c:pt idx="1729">
                  <c:v>6.7649999999999997</c:v>
                </c:pt>
                <c:pt idx="1730">
                  <c:v>6.78</c:v>
                </c:pt>
                <c:pt idx="1731">
                  <c:v>6.7240000000000002</c:v>
                </c:pt>
                <c:pt idx="1732">
                  <c:v>6.6449999999999996</c:v>
                </c:pt>
                <c:pt idx="1733">
                  <c:v>6.6449999999999996</c:v>
                </c:pt>
                <c:pt idx="1734">
                  <c:v>6.6449999999999996</c:v>
                </c:pt>
                <c:pt idx="1735">
                  <c:v>6.6449999999999996</c:v>
                </c:pt>
                <c:pt idx="1736">
                  <c:v>6.6609999999999996</c:v>
                </c:pt>
                <c:pt idx="1737">
                  <c:v>6.7670000000000003</c:v>
                </c:pt>
                <c:pt idx="1738">
                  <c:v>6.8570000000000002</c:v>
                </c:pt>
                <c:pt idx="1739">
                  <c:v>6.8860000000000001</c:v>
                </c:pt>
                <c:pt idx="1740">
                  <c:v>6.8860000000000001</c:v>
                </c:pt>
                <c:pt idx="1741">
                  <c:v>6.8860000000000001</c:v>
                </c:pt>
                <c:pt idx="1742">
                  <c:v>6.9470000000000001</c:v>
                </c:pt>
                <c:pt idx="1743">
                  <c:v>6.9649999999999999</c:v>
                </c:pt>
                <c:pt idx="1744">
                  <c:v>6.9850000000000003</c:v>
                </c:pt>
                <c:pt idx="1745">
                  <c:v>6.9509999999999996</c:v>
                </c:pt>
                <c:pt idx="1746">
                  <c:v>6.9580000000000002</c:v>
                </c:pt>
                <c:pt idx="1747">
                  <c:v>6.9580000000000002</c:v>
                </c:pt>
                <c:pt idx="1748">
                  <c:v>6.9580000000000002</c:v>
                </c:pt>
                <c:pt idx="1749">
                  <c:v>6.9569999999999999</c:v>
                </c:pt>
                <c:pt idx="1750">
                  <c:v>6.9809999999999999</c:v>
                </c:pt>
                <c:pt idx="1751">
                  <c:v>7.0350000000000001</c:v>
                </c:pt>
                <c:pt idx="1752">
                  <c:v>6.9989999999999997</c:v>
                </c:pt>
                <c:pt idx="1753">
                  <c:v>6.96</c:v>
                </c:pt>
                <c:pt idx="1754">
                  <c:v>6.96</c:v>
                </c:pt>
                <c:pt idx="1755">
                  <c:v>6.96</c:v>
                </c:pt>
                <c:pt idx="1756">
                  <c:v>6.9359999999999999</c:v>
                </c:pt>
                <c:pt idx="1757">
                  <c:v>6.9359999999999999</c:v>
                </c:pt>
                <c:pt idx="1758">
                  <c:v>6.9359999999999999</c:v>
                </c:pt>
                <c:pt idx="1759">
                  <c:v>6.9370000000000003</c:v>
                </c:pt>
                <c:pt idx="1760">
                  <c:v>6.9390000000000001</c:v>
                </c:pt>
                <c:pt idx="1761">
                  <c:v>6.9390000000000001</c:v>
                </c:pt>
                <c:pt idx="1762">
                  <c:v>6.9390000000000001</c:v>
                </c:pt>
                <c:pt idx="1763">
                  <c:v>6.9909999999999997</c:v>
                </c:pt>
                <c:pt idx="1764">
                  <c:v>7.1050000000000004</c:v>
                </c:pt>
                <c:pt idx="1765">
                  <c:v>7.0709999999999997</c:v>
                </c:pt>
                <c:pt idx="1766">
                  <c:v>7.0629999999999997</c:v>
                </c:pt>
                <c:pt idx="1767">
                  <c:v>7.0720000000000001</c:v>
                </c:pt>
                <c:pt idx="1768">
                  <c:v>7.0720000000000001</c:v>
                </c:pt>
                <c:pt idx="1769">
                  <c:v>7.0720000000000001</c:v>
                </c:pt>
                <c:pt idx="1770">
                  <c:v>7.1779999999999999</c:v>
                </c:pt>
                <c:pt idx="1771">
                  <c:v>7.141</c:v>
                </c:pt>
                <c:pt idx="1772">
                  <c:v>7.1319999999999997</c:v>
                </c:pt>
                <c:pt idx="1773">
                  <c:v>7.0750000000000002</c:v>
                </c:pt>
                <c:pt idx="1774">
                  <c:v>7.0419999999999998</c:v>
                </c:pt>
                <c:pt idx="1775">
                  <c:v>7.0419999999999998</c:v>
                </c:pt>
                <c:pt idx="1776">
                  <c:v>7.0419999999999998</c:v>
                </c:pt>
                <c:pt idx="1777">
                  <c:v>7.0170000000000003</c:v>
                </c:pt>
                <c:pt idx="1778">
                  <c:v>6.9960000000000004</c:v>
                </c:pt>
                <c:pt idx="1779">
                  <c:v>6.9729999999999999</c:v>
                </c:pt>
                <c:pt idx="1780">
                  <c:v>7.09</c:v>
                </c:pt>
                <c:pt idx="1781">
                  <c:v>7.0650000000000004</c:v>
                </c:pt>
                <c:pt idx="1782">
                  <c:v>7.0650000000000004</c:v>
                </c:pt>
                <c:pt idx="1783">
                  <c:v>7.0650000000000004</c:v>
                </c:pt>
                <c:pt idx="1784">
                  <c:v>7.1280000000000001</c:v>
                </c:pt>
                <c:pt idx="1785">
                  <c:v>7.0709999999999997</c:v>
                </c:pt>
                <c:pt idx="1786">
                  <c:v>7.1210000000000004</c:v>
                </c:pt>
                <c:pt idx="1787">
                  <c:v>7.0629999999999997</c:v>
                </c:pt>
                <c:pt idx="1788">
                  <c:v>6.9630000000000001</c:v>
                </c:pt>
                <c:pt idx="1789">
                  <c:v>6.9630000000000001</c:v>
                </c:pt>
                <c:pt idx="1790">
                  <c:v>6.9630000000000001</c:v>
                </c:pt>
                <c:pt idx="1791">
                  <c:v>6.9630000000000001</c:v>
                </c:pt>
                <c:pt idx="1792">
                  <c:v>6.9210000000000003</c:v>
                </c:pt>
                <c:pt idx="1793">
                  <c:v>6.9379999999999997</c:v>
                </c:pt>
                <c:pt idx="1794">
                  <c:v>6.9109999999999996</c:v>
                </c:pt>
                <c:pt idx="1795">
                  <c:v>6.9249999999999998</c:v>
                </c:pt>
                <c:pt idx="1796">
                  <c:v>6.9249999999999998</c:v>
                </c:pt>
                <c:pt idx="1797">
                  <c:v>6.9249999999999998</c:v>
                </c:pt>
                <c:pt idx="1798">
                  <c:v>6.8979999999999997</c:v>
                </c:pt>
                <c:pt idx="1799">
                  <c:v>6.883</c:v>
                </c:pt>
                <c:pt idx="1800">
                  <c:v>6.8689999999999998</c:v>
                </c:pt>
                <c:pt idx="1801">
                  <c:v>6.9</c:v>
                </c:pt>
                <c:pt idx="1802">
                  <c:v>6.8419999999999996</c:v>
                </c:pt>
                <c:pt idx="1803">
                  <c:v>6.8419999999999996</c:v>
                </c:pt>
                <c:pt idx="1804">
                  <c:v>6.8419999999999996</c:v>
                </c:pt>
                <c:pt idx="1805">
                  <c:v>7.0170000000000003</c:v>
                </c:pt>
                <c:pt idx="1806">
                  <c:v>7.048</c:v>
                </c:pt>
                <c:pt idx="1807">
                  <c:v>7.0510000000000002</c:v>
                </c:pt>
                <c:pt idx="1808">
                  <c:v>7.0830000000000002</c:v>
                </c:pt>
                <c:pt idx="1809">
                  <c:v>6.9939999999999998</c:v>
                </c:pt>
                <c:pt idx="1810">
                  <c:v>6.9939999999999998</c:v>
                </c:pt>
                <c:pt idx="1811">
                  <c:v>6.9939999999999998</c:v>
                </c:pt>
                <c:pt idx="1812">
                  <c:v>7.0209999999999999</c:v>
                </c:pt>
                <c:pt idx="1813">
                  <c:v>6.9770000000000003</c:v>
                </c:pt>
                <c:pt idx="1814">
                  <c:v>7</c:v>
                </c:pt>
                <c:pt idx="1815">
                  <c:v>7.1550000000000002</c:v>
                </c:pt>
                <c:pt idx="1816">
                  <c:v>7.1390000000000002</c:v>
                </c:pt>
                <c:pt idx="1817">
                  <c:v>7.1390000000000002</c:v>
                </c:pt>
                <c:pt idx="1818">
                  <c:v>7.1390000000000002</c:v>
                </c:pt>
                <c:pt idx="1819">
                  <c:v>7.1390000000000002</c:v>
                </c:pt>
                <c:pt idx="1820">
                  <c:v>7.234</c:v>
                </c:pt>
                <c:pt idx="1821">
                  <c:v>7.2009999999999996</c:v>
                </c:pt>
                <c:pt idx="1822">
                  <c:v>7.2619999999999996</c:v>
                </c:pt>
                <c:pt idx="1823">
                  <c:v>7.18</c:v>
                </c:pt>
                <c:pt idx="1824">
                  <c:v>7.18</c:v>
                </c:pt>
                <c:pt idx="1825">
                  <c:v>7.18</c:v>
                </c:pt>
                <c:pt idx="1826">
                  <c:v>7.18</c:v>
                </c:pt>
                <c:pt idx="1827">
                  <c:v>7.1989999999999998</c:v>
                </c:pt>
                <c:pt idx="1828">
                  <c:v>7.1589999999999998</c:v>
                </c:pt>
                <c:pt idx="1829">
                  <c:v>7.1680000000000001</c:v>
                </c:pt>
                <c:pt idx="1830">
                  <c:v>7.1130000000000004</c:v>
                </c:pt>
                <c:pt idx="1831">
                  <c:v>7.1130000000000004</c:v>
                </c:pt>
                <c:pt idx="1832">
                  <c:v>7.1130000000000004</c:v>
                </c:pt>
                <c:pt idx="1833">
                  <c:v>7.1479999999999997</c:v>
                </c:pt>
                <c:pt idx="1834">
                  <c:v>7.1310000000000002</c:v>
                </c:pt>
                <c:pt idx="1835">
                  <c:v>7.0640000000000001</c:v>
                </c:pt>
                <c:pt idx="1836">
                  <c:v>7.1079999999999997</c:v>
                </c:pt>
                <c:pt idx="1837">
                  <c:v>7.1630000000000003</c:v>
                </c:pt>
                <c:pt idx="1838">
                  <c:v>7.1630000000000003</c:v>
                </c:pt>
                <c:pt idx="1839">
                  <c:v>7.1630000000000003</c:v>
                </c:pt>
                <c:pt idx="1840">
                  <c:v>7.0460000000000003</c:v>
                </c:pt>
                <c:pt idx="1841">
                  <c:v>7.1959999999999997</c:v>
                </c:pt>
                <c:pt idx="1842">
                  <c:v>7.1029999999999998</c:v>
                </c:pt>
                <c:pt idx="1843">
                  <c:v>7.1980000000000004</c:v>
                </c:pt>
                <c:pt idx="1844">
                  <c:v>6.99</c:v>
                </c:pt>
                <c:pt idx="1845">
                  <c:v>6.99</c:v>
                </c:pt>
                <c:pt idx="1846">
                  <c:v>6.99</c:v>
                </c:pt>
                <c:pt idx="1847">
                  <c:v>7.3630000000000004</c:v>
                </c:pt>
                <c:pt idx="1848">
                  <c:v>7.2949999999999999</c:v>
                </c:pt>
                <c:pt idx="1849">
                  <c:v>7.282</c:v>
                </c:pt>
                <c:pt idx="1850">
                  <c:v>7.3339999999999996</c:v>
                </c:pt>
                <c:pt idx="1851">
                  <c:v>7.3339999999999996</c:v>
                </c:pt>
                <c:pt idx="1852">
                  <c:v>7.3339999999999996</c:v>
                </c:pt>
                <c:pt idx="1853">
                  <c:v>7.3339999999999996</c:v>
                </c:pt>
                <c:pt idx="1854">
                  <c:v>7.2750000000000004</c:v>
                </c:pt>
                <c:pt idx="1855">
                  <c:v>7.2750000000000004</c:v>
                </c:pt>
                <c:pt idx="1856">
                  <c:v>7.2720000000000002</c:v>
                </c:pt>
                <c:pt idx="1857">
                  <c:v>7.2720000000000002</c:v>
                </c:pt>
                <c:pt idx="1858">
                  <c:v>7.274</c:v>
                </c:pt>
                <c:pt idx="1859">
                  <c:v>7.274</c:v>
                </c:pt>
                <c:pt idx="1860">
                  <c:v>7.274</c:v>
                </c:pt>
                <c:pt idx="1861">
                  <c:v>7.26</c:v>
                </c:pt>
                <c:pt idx="1862">
                  <c:v>7.3319999999999999</c:v>
                </c:pt>
                <c:pt idx="1863">
                  <c:v>7.4210000000000003</c:v>
                </c:pt>
                <c:pt idx="1864">
                  <c:v>7.55</c:v>
                </c:pt>
                <c:pt idx="1865">
                  <c:v>7.6130000000000004</c:v>
                </c:pt>
                <c:pt idx="1866">
                  <c:v>7.6130000000000004</c:v>
                </c:pt>
                <c:pt idx="1867">
                  <c:v>7.6130000000000004</c:v>
                </c:pt>
                <c:pt idx="1868">
                  <c:v>7.6</c:v>
                </c:pt>
                <c:pt idx="1869">
                  <c:v>7.6260000000000003</c:v>
                </c:pt>
                <c:pt idx="1870">
                  <c:v>7.7220000000000004</c:v>
                </c:pt>
                <c:pt idx="1871">
                  <c:v>7.7080000000000002</c:v>
                </c:pt>
                <c:pt idx="1872">
                  <c:v>7.7080000000000002</c:v>
                </c:pt>
                <c:pt idx="1873">
                  <c:v>7.7080000000000002</c:v>
                </c:pt>
                <c:pt idx="1874">
                  <c:v>7.7080000000000002</c:v>
                </c:pt>
                <c:pt idx="1875">
                  <c:v>7.7279999999999998</c:v>
                </c:pt>
                <c:pt idx="1876">
                  <c:v>7.6920000000000002</c:v>
                </c:pt>
                <c:pt idx="1877">
                  <c:v>7.7389999999999999</c:v>
                </c:pt>
                <c:pt idx="1878">
                  <c:v>7.7249999999999996</c:v>
                </c:pt>
                <c:pt idx="1879">
                  <c:v>7.6630000000000003</c:v>
                </c:pt>
                <c:pt idx="1880">
                  <c:v>7.6630000000000003</c:v>
                </c:pt>
                <c:pt idx="1881">
                  <c:v>7.6630000000000003</c:v>
                </c:pt>
                <c:pt idx="1882">
                  <c:v>7.577</c:v>
                </c:pt>
                <c:pt idx="1883">
                  <c:v>7.6310000000000002</c:v>
                </c:pt>
                <c:pt idx="1884">
                  <c:v>7.6509999999999998</c:v>
                </c:pt>
                <c:pt idx="1885">
                  <c:v>7.5990000000000002</c:v>
                </c:pt>
                <c:pt idx="1886">
                  <c:v>7.6</c:v>
                </c:pt>
                <c:pt idx="1887">
                  <c:v>7.6</c:v>
                </c:pt>
                <c:pt idx="1888">
                  <c:v>7.6</c:v>
                </c:pt>
                <c:pt idx="1889">
                  <c:v>7.5519999999999996</c:v>
                </c:pt>
                <c:pt idx="1890">
                  <c:v>7.5890000000000004</c:v>
                </c:pt>
                <c:pt idx="1891">
                  <c:v>7.6239999999999997</c:v>
                </c:pt>
                <c:pt idx="1892">
                  <c:v>7.6710000000000003</c:v>
                </c:pt>
                <c:pt idx="1893">
                  <c:v>7.6630000000000003</c:v>
                </c:pt>
                <c:pt idx="1894">
                  <c:v>7.6630000000000003</c:v>
                </c:pt>
                <c:pt idx="1895">
                  <c:v>7.6630000000000003</c:v>
                </c:pt>
                <c:pt idx="1896">
                  <c:v>7.67</c:v>
                </c:pt>
                <c:pt idx="1897">
                  <c:v>7.6859999999999999</c:v>
                </c:pt>
                <c:pt idx="1898">
                  <c:v>7.6029999999999998</c:v>
                </c:pt>
                <c:pt idx="1899">
                  <c:v>7.6749999999999998</c:v>
                </c:pt>
                <c:pt idx="1900">
                  <c:v>7.6459999999999999</c:v>
                </c:pt>
                <c:pt idx="1901">
                  <c:v>7.6459999999999999</c:v>
                </c:pt>
                <c:pt idx="1902">
                  <c:v>7.6459999999999999</c:v>
                </c:pt>
                <c:pt idx="1903">
                  <c:v>7.6459999999999999</c:v>
                </c:pt>
                <c:pt idx="1904">
                  <c:v>7.7089999999999996</c:v>
                </c:pt>
                <c:pt idx="1905">
                  <c:v>8.0259999999999998</c:v>
                </c:pt>
                <c:pt idx="1906">
                  <c:v>7.8630000000000004</c:v>
                </c:pt>
                <c:pt idx="1907">
                  <c:v>7.6870000000000003</c:v>
                </c:pt>
                <c:pt idx="1908">
                  <c:v>7.6870000000000003</c:v>
                </c:pt>
                <c:pt idx="1909">
                  <c:v>7.6870000000000003</c:v>
                </c:pt>
                <c:pt idx="1910">
                  <c:v>7.7089999999999996</c:v>
                </c:pt>
                <c:pt idx="1911">
                  <c:v>7.7089999999999996</c:v>
                </c:pt>
                <c:pt idx="1912">
                  <c:v>7.758</c:v>
                </c:pt>
                <c:pt idx="1913">
                  <c:v>7.6849999999999996</c:v>
                </c:pt>
                <c:pt idx="1914">
                  <c:v>7.633</c:v>
                </c:pt>
                <c:pt idx="1915">
                  <c:v>7.633</c:v>
                </c:pt>
                <c:pt idx="1916">
                  <c:v>7.633</c:v>
                </c:pt>
                <c:pt idx="1917">
                  <c:v>7.633</c:v>
                </c:pt>
                <c:pt idx="1918">
                  <c:v>8.0939999999999994</c:v>
                </c:pt>
                <c:pt idx="1919">
                  <c:v>8.0920000000000005</c:v>
                </c:pt>
                <c:pt idx="1920">
                  <c:v>7.96</c:v>
                </c:pt>
                <c:pt idx="1921">
                  <c:v>7.96</c:v>
                </c:pt>
                <c:pt idx="1922">
                  <c:v>7.96</c:v>
                </c:pt>
                <c:pt idx="1923">
                  <c:v>7.96</c:v>
                </c:pt>
                <c:pt idx="1924">
                  <c:v>8.0299999999999994</c:v>
                </c:pt>
                <c:pt idx="1925">
                  <c:v>7.9169999999999998</c:v>
                </c:pt>
                <c:pt idx="1926">
                  <c:v>7.9379999999999997</c:v>
                </c:pt>
                <c:pt idx="1927">
                  <c:v>7.9249999999999998</c:v>
                </c:pt>
                <c:pt idx="1928">
                  <c:v>7.9119999999999999</c:v>
                </c:pt>
                <c:pt idx="1929">
                  <c:v>7.9119999999999999</c:v>
                </c:pt>
                <c:pt idx="1930">
                  <c:v>7.9119999999999999</c:v>
                </c:pt>
                <c:pt idx="1931">
                  <c:v>7.95</c:v>
                </c:pt>
                <c:pt idx="1932">
                  <c:v>7.9269999999999996</c:v>
                </c:pt>
                <c:pt idx="1933">
                  <c:v>7.8739999999999997</c:v>
                </c:pt>
                <c:pt idx="1934">
                  <c:v>7.94</c:v>
                </c:pt>
                <c:pt idx="1935">
                  <c:v>7.9459999999999997</c:v>
                </c:pt>
                <c:pt idx="1936">
                  <c:v>7.9459999999999997</c:v>
                </c:pt>
                <c:pt idx="1937">
                  <c:v>7.9459999999999997</c:v>
                </c:pt>
                <c:pt idx="1938">
                  <c:v>7.8739999999999997</c:v>
                </c:pt>
                <c:pt idx="1939">
                  <c:v>7.7270000000000003</c:v>
                </c:pt>
                <c:pt idx="1940">
                  <c:v>7.8230000000000004</c:v>
                </c:pt>
                <c:pt idx="1941">
                  <c:v>7.8319999999999999</c:v>
                </c:pt>
                <c:pt idx="1942">
                  <c:v>7.8419999999999996</c:v>
                </c:pt>
                <c:pt idx="1943">
                  <c:v>7.8419999999999996</c:v>
                </c:pt>
                <c:pt idx="1944">
                  <c:v>7.8419999999999996</c:v>
                </c:pt>
                <c:pt idx="1945">
                  <c:v>7.9489999999999998</c:v>
                </c:pt>
                <c:pt idx="1946">
                  <c:v>7.9489999999999998</c:v>
                </c:pt>
                <c:pt idx="1947">
                  <c:v>7.9489999999999998</c:v>
                </c:pt>
                <c:pt idx="1948">
                  <c:v>8.01</c:v>
                </c:pt>
                <c:pt idx="1949">
                  <c:v>7.907</c:v>
                </c:pt>
                <c:pt idx="1950">
                  <c:v>7.907</c:v>
                </c:pt>
                <c:pt idx="1951">
                  <c:v>7.907</c:v>
                </c:pt>
                <c:pt idx="1952">
                  <c:v>7.9740000000000002</c:v>
                </c:pt>
                <c:pt idx="1953">
                  <c:v>7.9470000000000001</c:v>
                </c:pt>
                <c:pt idx="1954">
                  <c:v>7.9119999999999999</c:v>
                </c:pt>
                <c:pt idx="1955">
                  <c:v>7.9480000000000004</c:v>
                </c:pt>
                <c:pt idx="1956">
                  <c:v>7.9219999999999997</c:v>
                </c:pt>
                <c:pt idx="1957">
                  <c:v>7.9219999999999997</c:v>
                </c:pt>
                <c:pt idx="1958">
                  <c:v>7.9219999999999997</c:v>
                </c:pt>
                <c:pt idx="1959">
                  <c:v>7.9279999999999999</c:v>
                </c:pt>
                <c:pt idx="1960">
                  <c:v>7.9130000000000003</c:v>
                </c:pt>
                <c:pt idx="1961">
                  <c:v>7.915</c:v>
                </c:pt>
                <c:pt idx="1962">
                  <c:v>7.8520000000000003</c:v>
                </c:pt>
                <c:pt idx="1963">
                  <c:v>7.859</c:v>
                </c:pt>
                <c:pt idx="1964">
                  <c:v>7.859</c:v>
                </c:pt>
                <c:pt idx="1965">
                  <c:v>7.859</c:v>
                </c:pt>
                <c:pt idx="1966">
                  <c:v>7.8049999999999997</c:v>
                </c:pt>
                <c:pt idx="1967">
                  <c:v>7.77</c:v>
                </c:pt>
                <c:pt idx="1968">
                  <c:v>7.7919999999999998</c:v>
                </c:pt>
                <c:pt idx="1969">
                  <c:v>7.8150000000000004</c:v>
                </c:pt>
                <c:pt idx="1970">
                  <c:v>7.7789999999999999</c:v>
                </c:pt>
                <c:pt idx="1971">
                  <c:v>7.7789999999999999</c:v>
                </c:pt>
                <c:pt idx="1972">
                  <c:v>7.7789999999999999</c:v>
                </c:pt>
                <c:pt idx="1973">
                  <c:v>7.7350000000000003</c:v>
                </c:pt>
                <c:pt idx="1974">
                  <c:v>7.7039999999999997</c:v>
                </c:pt>
                <c:pt idx="1975">
                  <c:v>7.7060000000000004</c:v>
                </c:pt>
                <c:pt idx="1976">
                  <c:v>7.6970000000000001</c:v>
                </c:pt>
                <c:pt idx="1977">
                  <c:v>7.6950000000000003</c:v>
                </c:pt>
                <c:pt idx="1978">
                  <c:v>7.6950000000000003</c:v>
                </c:pt>
                <c:pt idx="1979">
                  <c:v>7.6950000000000003</c:v>
                </c:pt>
                <c:pt idx="1980">
                  <c:v>7.7069999999999999</c:v>
                </c:pt>
                <c:pt idx="1981">
                  <c:v>7.7</c:v>
                </c:pt>
                <c:pt idx="1982">
                  <c:v>7.7069999999999999</c:v>
                </c:pt>
                <c:pt idx="1983">
                  <c:v>7.7030000000000003</c:v>
                </c:pt>
                <c:pt idx="1984">
                  <c:v>7.7309999999999999</c:v>
                </c:pt>
                <c:pt idx="1985">
                  <c:v>7.7309999999999999</c:v>
                </c:pt>
                <c:pt idx="1986">
                  <c:v>7.7309999999999999</c:v>
                </c:pt>
                <c:pt idx="1987">
                  <c:v>7.7720000000000002</c:v>
                </c:pt>
                <c:pt idx="1988">
                  <c:v>7.7309999999999999</c:v>
                </c:pt>
                <c:pt idx="1989">
                  <c:v>7.8040000000000003</c:v>
                </c:pt>
                <c:pt idx="1990">
                  <c:v>7.7869999999999999</c:v>
                </c:pt>
                <c:pt idx="1991">
                  <c:v>7.7539999999999996</c:v>
                </c:pt>
                <c:pt idx="1992">
                  <c:v>7.7539999999999996</c:v>
                </c:pt>
                <c:pt idx="1993">
                  <c:v>7.7539999999999996</c:v>
                </c:pt>
                <c:pt idx="1994">
                  <c:v>7.7229999999999999</c:v>
                </c:pt>
                <c:pt idx="1995">
                  <c:v>7.726</c:v>
                </c:pt>
                <c:pt idx="1996">
                  <c:v>7.6369999999999996</c:v>
                </c:pt>
                <c:pt idx="1997">
                  <c:v>7.7009999999999996</c:v>
                </c:pt>
                <c:pt idx="1998">
                  <c:v>7.65</c:v>
                </c:pt>
                <c:pt idx="1999">
                  <c:v>7.65</c:v>
                </c:pt>
                <c:pt idx="2000">
                  <c:v>7.65</c:v>
                </c:pt>
                <c:pt idx="2001">
                  <c:v>7.5380000000000003</c:v>
                </c:pt>
                <c:pt idx="2002">
                  <c:v>7.6109999999999998</c:v>
                </c:pt>
                <c:pt idx="2003">
                  <c:v>7.6130000000000004</c:v>
                </c:pt>
                <c:pt idx="2004">
                  <c:v>7.8780000000000001</c:v>
                </c:pt>
                <c:pt idx="2005">
                  <c:v>7.5190000000000001</c:v>
                </c:pt>
                <c:pt idx="2006">
                  <c:v>7.5190000000000001</c:v>
                </c:pt>
                <c:pt idx="2007">
                  <c:v>7.5190000000000001</c:v>
                </c:pt>
                <c:pt idx="2008">
                  <c:v>7.2169999999999996</c:v>
                </c:pt>
                <c:pt idx="2009">
                  <c:v>7.2140000000000004</c:v>
                </c:pt>
                <c:pt idx="2010">
                  <c:v>7.1449999999999996</c:v>
                </c:pt>
                <c:pt idx="2011">
                  <c:v>7.4820000000000002</c:v>
                </c:pt>
                <c:pt idx="2012">
                  <c:v>7.1360000000000001</c:v>
                </c:pt>
                <c:pt idx="2013">
                  <c:v>7.1360000000000001</c:v>
                </c:pt>
                <c:pt idx="2014">
                  <c:v>7.1360000000000001</c:v>
                </c:pt>
                <c:pt idx="2015">
                  <c:v>6.9790000000000001</c:v>
                </c:pt>
                <c:pt idx="2016">
                  <c:v>7.0549999999999997</c:v>
                </c:pt>
                <c:pt idx="2017">
                  <c:v>7.0060000000000002</c:v>
                </c:pt>
                <c:pt idx="2018">
                  <c:v>6.9779999999999998</c:v>
                </c:pt>
                <c:pt idx="2019">
                  <c:v>6.9740000000000002</c:v>
                </c:pt>
                <c:pt idx="2020">
                  <c:v>6.9740000000000002</c:v>
                </c:pt>
                <c:pt idx="2021">
                  <c:v>6.9740000000000002</c:v>
                </c:pt>
                <c:pt idx="2022">
                  <c:v>6.8970000000000002</c:v>
                </c:pt>
                <c:pt idx="2023">
                  <c:v>6.8490000000000002</c:v>
                </c:pt>
                <c:pt idx="2024">
                  <c:v>6.7679999999999998</c:v>
                </c:pt>
                <c:pt idx="2025">
                  <c:v>6.843</c:v>
                </c:pt>
                <c:pt idx="2026">
                  <c:v>6.7220000000000004</c:v>
                </c:pt>
                <c:pt idx="2027">
                  <c:v>6.7220000000000004</c:v>
                </c:pt>
                <c:pt idx="2028">
                  <c:v>6.7220000000000004</c:v>
                </c:pt>
                <c:pt idx="2029">
                  <c:v>6.6520000000000001</c:v>
                </c:pt>
                <c:pt idx="2030">
                  <c:v>6.6429999999999998</c:v>
                </c:pt>
                <c:pt idx="2031">
                  <c:v>6.7990000000000004</c:v>
                </c:pt>
                <c:pt idx="2032">
                  <c:v>6.8209999999999997</c:v>
                </c:pt>
                <c:pt idx="2033">
                  <c:v>6.6929999999999996</c:v>
                </c:pt>
                <c:pt idx="2034">
                  <c:v>6.6929999999999996</c:v>
                </c:pt>
                <c:pt idx="2035">
                  <c:v>6.6929999999999996</c:v>
                </c:pt>
                <c:pt idx="2036">
                  <c:v>6.8470000000000004</c:v>
                </c:pt>
                <c:pt idx="2037">
                  <c:v>7.0039999999999996</c:v>
                </c:pt>
                <c:pt idx="2038">
                  <c:v>7.1849999999999996</c:v>
                </c:pt>
                <c:pt idx="2039">
                  <c:v>7.157</c:v>
                </c:pt>
                <c:pt idx="2040">
                  <c:v>7.0810000000000004</c:v>
                </c:pt>
                <c:pt idx="2041">
                  <c:v>7.0810000000000004</c:v>
                </c:pt>
                <c:pt idx="2042">
                  <c:v>7.0810000000000004</c:v>
                </c:pt>
                <c:pt idx="2043">
                  <c:v>7.0810000000000004</c:v>
                </c:pt>
                <c:pt idx="2044">
                  <c:v>6.8150000000000004</c:v>
                </c:pt>
                <c:pt idx="2045">
                  <c:v>7.1050000000000004</c:v>
                </c:pt>
                <c:pt idx="2046">
                  <c:v>7.665</c:v>
                </c:pt>
                <c:pt idx="2047">
                  <c:v>7.665</c:v>
                </c:pt>
                <c:pt idx="2048">
                  <c:v>7.665</c:v>
                </c:pt>
                <c:pt idx="2049">
                  <c:v>7.665</c:v>
                </c:pt>
                <c:pt idx="2050">
                  <c:v>7.3029999999999999</c:v>
                </c:pt>
                <c:pt idx="2051">
                  <c:v>7.1680000000000001</c:v>
                </c:pt>
                <c:pt idx="2052">
                  <c:v>7.1680000000000001</c:v>
                </c:pt>
                <c:pt idx="2053">
                  <c:v>7.6619999999999999</c:v>
                </c:pt>
                <c:pt idx="2054">
                  <c:v>7.5119999999999996</c:v>
                </c:pt>
                <c:pt idx="2055">
                  <c:v>7.5119999999999996</c:v>
                </c:pt>
                <c:pt idx="2056">
                  <c:v>7.5119999999999996</c:v>
                </c:pt>
                <c:pt idx="2057">
                  <c:v>7.5119999999999996</c:v>
                </c:pt>
                <c:pt idx="2058">
                  <c:v>7.3849999999999998</c:v>
                </c:pt>
                <c:pt idx="2059">
                  <c:v>7.1559999999999997</c:v>
                </c:pt>
                <c:pt idx="2060">
                  <c:v>7.2850000000000001</c:v>
                </c:pt>
                <c:pt idx="2061">
                  <c:v>7.3390000000000004</c:v>
                </c:pt>
                <c:pt idx="2062">
                  <c:v>7.3390000000000004</c:v>
                </c:pt>
                <c:pt idx="2063">
                  <c:v>7.3390000000000004</c:v>
                </c:pt>
                <c:pt idx="2064">
                  <c:v>7.2140000000000004</c:v>
                </c:pt>
                <c:pt idx="2065">
                  <c:v>7.282</c:v>
                </c:pt>
                <c:pt idx="2066">
                  <c:v>7.2160000000000002</c:v>
                </c:pt>
                <c:pt idx="2067">
                  <c:v>7.3609999999999998</c:v>
                </c:pt>
                <c:pt idx="2068">
                  <c:v>7.3179999999999996</c:v>
                </c:pt>
                <c:pt idx="2069">
                  <c:v>7.3179999999999996</c:v>
                </c:pt>
                <c:pt idx="2070">
                  <c:v>7.3179999999999996</c:v>
                </c:pt>
                <c:pt idx="2071">
                  <c:v>7.327</c:v>
                </c:pt>
                <c:pt idx="2072">
                  <c:v>7.2670000000000003</c:v>
                </c:pt>
                <c:pt idx="2073">
                  <c:v>7.3680000000000003</c:v>
                </c:pt>
                <c:pt idx="2074">
                  <c:v>7.3220000000000001</c:v>
                </c:pt>
                <c:pt idx="2075">
                  <c:v>7.3049999999999997</c:v>
                </c:pt>
                <c:pt idx="2076">
                  <c:v>7.3049999999999997</c:v>
                </c:pt>
                <c:pt idx="2077">
                  <c:v>7.3049999999999997</c:v>
                </c:pt>
                <c:pt idx="2078">
                  <c:v>7.2549999999999999</c:v>
                </c:pt>
                <c:pt idx="2079">
                  <c:v>7.2690000000000001</c:v>
                </c:pt>
                <c:pt idx="2080">
                  <c:v>7.2389999999999999</c:v>
                </c:pt>
                <c:pt idx="2081">
                  <c:v>7.2279999999999998</c:v>
                </c:pt>
                <c:pt idx="2082">
                  <c:v>7.2839999999999998</c:v>
                </c:pt>
                <c:pt idx="2083">
                  <c:v>7.2839999999999998</c:v>
                </c:pt>
                <c:pt idx="2084">
                  <c:v>7.2839999999999998</c:v>
                </c:pt>
                <c:pt idx="2085">
                  <c:v>7.1790000000000003</c:v>
                </c:pt>
                <c:pt idx="2086">
                  <c:v>7.1950000000000003</c:v>
                </c:pt>
                <c:pt idx="2087">
                  <c:v>7.2510000000000003</c:v>
                </c:pt>
                <c:pt idx="2088">
                  <c:v>7.1909999999999998</c:v>
                </c:pt>
                <c:pt idx="2089">
                  <c:v>7.1760000000000002</c:v>
                </c:pt>
                <c:pt idx="2090">
                  <c:v>7.1760000000000002</c:v>
                </c:pt>
                <c:pt idx="2091">
                  <c:v>7.1760000000000002</c:v>
                </c:pt>
                <c:pt idx="2092">
                  <c:v>7.2590000000000003</c:v>
                </c:pt>
                <c:pt idx="2093">
                  <c:v>7.242</c:v>
                </c:pt>
                <c:pt idx="2094">
                  <c:v>7.1260000000000003</c:v>
                </c:pt>
                <c:pt idx="2095">
                  <c:v>7.2060000000000004</c:v>
                </c:pt>
                <c:pt idx="2096">
                  <c:v>7.2729999999999997</c:v>
                </c:pt>
                <c:pt idx="2097">
                  <c:v>7.2729999999999997</c:v>
                </c:pt>
                <c:pt idx="2098">
                  <c:v>7.2729999999999997</c:v>
                </c:pt>
                <c:pt idx="2099">
                  <c:v>7.0620000000000003</c:v>
                </c:pt>
                <c:pt idx="2100">
                  <c:v>7.0620000000000003</c:v>
                </c:pt>
                <c:pt idx="2101">
                  <c:v>7.1719999999999997</c:v>
                </c:pt>
                <c:pt idx="2102">
                  <c:v>7.3220000000000001</c:v>
                </c:pt>
                <c:pt idx="2103">
                  <c:v>7.3849999999999998</c:v>
                </c:pt>
                <c:pt idx="2104">
                  <c:v>7.3849999999999998</c:v>
                </c:pt>
                <c:pt idx="2105">
                  <c:v>7.3849999999999998</c:v>
                </c:pt>
                <c:pt idx="2106">
                  <c:v>7.5140000000000002</c:v>
                </c:pt>
                <c:pt idx="2107">
                  <c:v>7.4669999999999996</c:v>
                </c:pt>
                <c:pt idx="2108">
                  <c:v>7.4950000000000001</c:v>
                </c:pt>
                <c:pt idx="2109">
                  <c:v>7.14</c:v>
                </c:pt>
                <c:pt idx="2110">
                  <c:v>7.4569999999999999</c:v>
                </c:pt>
                <c:pt idx="2111">
                  <c:v>7.4569999999999999</c:v>
                </c:pt>
                <c:pt idx="2112">
                  <c:v>7.4569999999999999</c:v>
                </c:pt>
                <c:pt idx="2113">
                  <c:v>7.4539999999999997</c:v>
                </c:pt>
                <c:pt idx="2114">
                  <c:v>7.2270000000000003</c:v>
                </c:pt>
                <c:pt idx="2115">
                  <c:v>7.2830000000000004</c:v>
                </c:pt>
                <c:pt idx="2116">
                  <c:v>7.4240000000000004</c:v>
                </c:pt>
                <c:pt idx="2117">
                  <c:v>7.3330000000000002</c:v>
                </c:pt>
                <c:pt idx="2118">
                  <c:v>7.3330000000000002</c:v>
                </c:pt>
                <c:pt idx="2119">
                  <c:v>7.3330000000000002</c:v>
                </c:pt>
                <c:pt idx="2120">
                  <c:v>7.3280000000000003</c:v>
                </c:pt>
                <c:pt idx="2121">
                  <c:v>6.9180000000000001</c:v>
                </c:pt>
                <c:pt idx="2122">
                  <c:v>6.9180000000000001</c:v>
                </c:pt>
                <c:pt idx="2123">
                  <c:v>6.9180000000000001</c:v>
                </c:pt>
                <c:pt idx="2124">
                  <c:v>7.0339999999999998</c:v>
                </c:pt>
                <c:pt idx="2125">
                  <c:v>7.0339999999999998</c:v>
                </c:pt>
                <c:pt idx="2126">
                  <c:v>7.0339999999999998</c:v>
                </c:pt>
                <c:pt idx="2127">
                  <c:v>7.01</c:v>
                </c:pt>
                <c:pt idx="2128">
                  <c:v>7.3029999999999999</c:v>
                </c:pt>
                <c:pt idx="2129">
                  <c:v>7.3929999999999998</c:v>
                </c:pt>
                <c:pt idx="2130">
                  <c:v>7.3479999999999999</c:v>
                </c:pt>
                <c:pt idx="2131">
                  <c:v>7.4610000000000003</c:v>
                </c:pt>
                <c:pt idx="2132">
                  <c:v>7.4610000000000003</c:v>
                </c:pt>
                <c:pt idx="2133">
                  <c:v>7.4610000000000003</c:v>
                </c:pt>
                <c:pt idx="2134">
                  <c:v>7.4589999999999996</c:v>
                </c:pt>
                <c:pt idx="2135">
                  <c:v>7.5110000000000001</c:v>
                </c:pt>
                <c:pt idx="2136">
                  <c:v>7.617</c:v>
                </c:pt>
                <c:pt idx="2137">
                  <c:v>7.5</c:v>
                </c:pt>
                <c:pt idx="2138">
                  <c:v>7.5</c:v>
                </c:pt>
                <c:pt idx="2139">
                  <c:v>7.5</c:v>
                </c:pt>
                <c:pt idx="2140">
                  <c:v>7.5</c:v>
                </c:pt>
                <c:pt idx="2141">
                  <c:v>7.5419999999999998</c:v>
                </c:pt>
                <c:pt idx="2142">
                  <c:v>7.4119999999999999</c:v>
                </c:pt>
                <c:pt idx="2143">
                  <c:v>7.5949999999999998</c:v>
                </c:pt>
                <c:pt idx="2144">
                  <c:v>7.57</c:v>
                </c:pt>
                <c:pt idx="2145">
                  <c:v>7.4950000000000001</c:v>
                </c:pt>
                <c:pt idx="2146">
                  <c:v>7.4950000000000001</c:v>
                </c:pt>
                <c:pt idx="2147">
                  <c:v>7.4950000000000001</c:v>
                </c:pt>
                <c:pt idx="2148">
                  <c:v>7.5709999999999997</c:v>
                </c:pt>
                <c:pt idx="2149">
                  <c:v>7.6029999999999998</c:v>
                </c:pt>
                <c:pt idx="2150">
                  <c:v>7.6040000000000001</c:v>
                </c:pt>
                <c:pt idx="2151">
                  <c:v>7.5890000000000004</c:v>
                </c:pt>
                <c:pt idx="2152">
                  <c:v>7.5810000000000004</c:v>
                </c:pt>
                <c:pt idx="2153">
                  <c:v>7.5810000000000004</c:v>
                </c:pt>
                <c:pt idx="2154">
                  <c:v>7.5810000000000004</c:v>
                </c:pt>
                <c:pt idx="2155">
                  <c:v>7.4889999999999999</c:v>
                </c:pt>
                <c:pt idx="2156">
                  <c:v>7.6760000000000002</c:v>
                </c:pt>
                <c:pt idx="2157">
                  <c:v>7.6130000000000004</c:v>
                </c:pt>
                <c:pt idx="2158">
                  <c:v>7.7640000000000002</c:v>
                </c:pt>
                <c:pt idx="2159">
                  <c:v>7.7830000000000004</c:v>
                </c:pt>
                <c:pt idx="2160">
                  <c:v>7.7830000000000004</c:v>
                </c:pt>
                <c:pt idx="2161">
                  <c:v>7.7830000000000004</c:v>
                </c:pt>
                <c:pt idx="2162">
                  <c:v>7.6040000000000001</c:v>
                </c:pt>
                <c:pt idx="2163">
                  <c:v>7.6529999999999996</c:v>
                </c:pt>
                <c:pt idx="2164">
                  <c:v>7.6360000000000001</c:v>
                </c:pt>
                <c:pt idx="2165">
                  <c:v>7.5869999999999997</c:v>
                </c:pt>
                <c:pt idx="2166">
                  <c:v>7.5330000000000004</c:v>
                </c:pt>
                <c:pt idx="2167">
                  <c:v>7.5330000000000004</c:v>
                </c:pt>
                <c:pt idx="2168">
                  <c:v>7.5330000000000004</c:v>
                </c:pt>
                <c:pt idx="2169">
                  <c:v>7.5819999999999999</c:v>
                </c:pt>
                <c:pt idx="2170">
                  <c:v>7.64</c:v>
                </c:pt>
                <c:pt idx="2171">
                  <c:v>7.6390000000000002</c:v>
                </c:pt>
                <c:pt idx="2172">
                  <c:v>7.4480000000000004</c:v>
                </c:pt>
                <c:pt idx="2173">
                  <c:v>7.6289999999999996</c:v>
                </c:pt>
                <c:pt idx="2174">
                  <c:v>7.6289999999999996</c:v>
                </c:pt>
                <c:pt idx="2175">
                  <c:v>7.6289999999999996</c:v>
                </c:pt>
                <c:pt idx="2176">
                  <c:v>7.64</c:v>
                </c:pt>
                <c:pt idx="2177">
                  <c:v>7.7</c:v>
                </c:pt>
                <c:pt idx="2178">
                  <c:v>7.6529999999999996</c:v>
                </c:pt>
                <c:pt idx="2179">
                  <c:v>7.657</c:v>
                </c:pt>
                <c:pt idx="2180">
                  <c:v>7.657</c:v>
                </c:pt>
                <c:pt idx="2181">
                  <c:v>7.657</c:v>
                </c:pt>
                <c:pt idx="2182">
                  <c:v>7.657</c:v>
                </c:pt>
                <c:pt idx="2183">
                  <c:v>7.625</c:v>
                </c:pt>
                <c:pt idx="2184">
                  <c:v>7.625</c:v>
                </c:pt>
                <c:pt idx="2185">
                  <c:v>7.6239999999999997</c:v>
                </c:pt>
                <c:pt idx="2186">
                  <c:v>7.649</c:v>
                </c:pt>
                <c:pt idx="2187">
                  <c:v>7.58</c:v>
                </c:pt>
                <c:pt idx="2188">
                  <c:v>7.58</c:v>
                </c:pt>
                <c:pt idx="2189">
                  <c:v>7.58</c:v>
                </c:pt>
                <c:pt idx="2190">
                  <c:v>7.4489999999999998</c:v>
                </c:pt>
                <c:pt idx="2191">
                  <c:v>7.42</c:v>
                </c:pt>
                <c:pt idx="2192">
                  <c:v>7.4</c:v>
                </c:pt>
                <c:pt idx="2193">
                  <c:v>7.306</c:v>
                </c:pt>
                <c:pt idx="2194">
                  <c:v>7.5039999999999996</c:v>
                </c:pt>
                <c:pt idx="2195">
                  <c:v>7.5039999999999996</c:v>
                </c:pt>
                <c:pt idx="2196">
                  <c:v>7.5039999999999996</c:v>
                </c:pt>
                <c:pt idx="2197">
                  <c:v>7.4379999999999997</c:v>
                </c:pt>
                <c:pt idx="2198">
                  <c:v>7.48</c:v>
                </c:pt>
                <c:pt idx="2199">
                  <c:v>7.4989999999999997</c:v>
                </c:pt>
                <c:pt idx="2200">
                  <c:v>7.5270000000000001</c:v>
                </c:pt>
                <c:pt idx="2201">
                  <c:v>7.4749999999999996</c:v>
                </c:pt>
                <c:pt idx="2202">
                  <c:v>7.4749999999999996</c:v>
                </c:pt>
                <c:pt idx="2203">
                  <c:v>7.4749999999999996</c:v>
                </c:pt>
                <c:pt idx="2204">
                  <c:v>7.5170000000000003</c:v>
                </c:pt>
                <c:pt idx="2205">
                  <c:v>7.4710000000000001</c:v>
                </c:pt>
                <c:pt idx="2206">
                  <c:v>7.4790000000000001</c:v>
                </c:pt>
                <c:pt idx="2207">
                  <c:v>7.5</c:v>
                </c:pt>
                <c:pt idx="2208">
                  <c:v>7.508</c:v>
                </c:pt>
                <c:pt idx="2209">
                  <c:v>7.508</c:v>
                </c:pt>
                <c:pt idx="2210">
                  <c:v>7.508</c:v>
                </c:pt>
                <c:pt idx="2211">
                  <c:v>7.5060000000000002</c:v>
                </c:pt>
                <c:pt idx="2212">
                  <c:v>7.4260000000000002</c:v>
                </c:pt>
                <c:pt idx="2213">
                  <c:v>7.3380000000000001</c:v>
                </c:pt>
                <c:pt idx="2214">
                  <c:v>7.3689999999999998</c:v>
                </c:pt>
                <c:pt idx="2215">
                  <c:v>7.3570000000000002</c:v>
                </c:pt>
                <c:pt idx="2216">
                  <c:v>7.3570000000000002</c:v>
                </c:pt>
                <c:pt idx="2217">
                  <c:v>7.3570000000000002</c:v>
                </c:pt>
                <c:pt idx="2218">
                  <c:v>7.4080000000000004</c:v>
                </c:pt>
                <c:pt idx="2219">
                  <c:v>7.4660000000000002</c:v>
                </c:pt>
                <c:pt idx="2220">
                  <c:v>7.4969999999999999</c:v>
                </c:pt>
                <c:pt idx="2221">
                  <c:v>7.5140000000000002</c:v>
                </c:pt>
                <c:pt idx="2222">
                  <c:v>7.4619999999999997</c:v>
                </c:pt>
                <c:pt idx="2223">
                  <c:v>7.4619999999999997</c:v>
                </c:pt>
                <c:pt idx="2224">
                  <c:v>7.4619999999999997</c:v>
                </c:pt>
                <c:pt idx="2225">
                  <c:v>7.4930000000000003</c:v>
                </c:pt>
                <c:pt idx="2226">
                  <c:v>7.4619999999999997</c:v>
                </c:pt>
                <c:pt idx="2227">
                  <c:v>7.4390000000000001</c:v>
                </c:pt>
                <c:pt idx="2228">
                  <c:v>7.4290000000000003</c:v>
                </c:pt>
                <c:pt idx="2229">
                  <c:v>7.4130000000000003</c:v>
                </c:pt>
                <c:pt idx="2230">
                  <c:v>7.4130000000000003</c:v>
                </c:pt>
                <c:pt idx="2231">
                  <c:v>7.4130000000000003</c:v>
                </c:pt>
                <c:pt idx="2232">
                  <c:v>7.4290000000000003</c:v>
                </c:pt>
                <c:pt idx="2233">
                  <c:v>7.4329999999999998</c:v>
                </c:pt>
                <c:pt idx="2234">
                  <c:v>7.468</c:v>
                </c:pt>
                <c:pt idx="2235">
                  <c:v>7.4969999999999999</c:v>
                </c:pt>
                <c:pt idx="2236">
                  <c:v>7.468</c:v>
                </c:pt>
                <c:pt idx="2237">
                  <c:v>7.468</c:v>
                </c:pt>
                <c:pt idx="2238">
                  <c:v>7.468</c:v>
                </c:pt>
                <c:pt idx="2239">
                  <c:v>7.5439999999999996</c:v>
                </c:pt>
                <c:pt idx="2240">
                  <c:v>7.577</c:v>
                </c:pt>
                <c:pt idx="2241">
                  <c:v>7.5860000000000003</c:v>
                </c:pt>
                <c:pt idx="2242">
                  <c:v>7.6109999999999998</c:v>
                </c:pt>
                <c:pt idx="2243">
                  <c:v>7.5709999999999997</c:v>
                </c:pt>
                <c:pt idx="2244">
                  <c:v>7.5709999999999997</c:v>
                </c:pt>
                <c:pt idx="2245">
                  <c:v>7.5709999999999997</c:v>
                </c:pt>
                <c:pt idx="2246">
                  <c:v>7.5940000000000003</c:v>
                </c:pt>
                <c:pt idx="2247">
                  <c:v>7.5529999999999999</c:v>
                </c:pt>
                <c:pt idx="2248">
                  <c:v>7.5880000000000001</c:v>
                </c:pt>
                <c:pt idx="2249">
                  <c:v>7.5460000000000003</c:v>
                </c:pt>
                <c:pt idx="2250">
                  <c:v>7.5270000000000001</c:v>
                </c:pt>
                <c:pt idx="2251">
                  <c:v>7.5270000000000001</c:v>
                </c:pt>
                <c:pt idx="2252">
                  <c:v>7.5270000000000001</c:v>
                </c:pt>
                <c:pt idx="2253">
                  <c:v>7.5449999999999999</c:v>
                </c:pt>
                <c:pt idx="2254">
                  <c:v>7.5540000000000003</c:v>
                </c:pt>
                <c:pt idx="2255">
                  <c:v>7.5490000000000004</c:v>
                </c:pt>
                <c:pt idx="2256">
                  <c:v>7.5490000000000004</c:v>
                </c:pt>
                <c:pt idx="2257">
                  <c:v>7.577</c:v>
                </c:pt>
                <c:pt idx="2258">
                  <c:v>7.577</c:v>
                </c:pt>
                <c:pt idx="2259">
                  <c:v>7.577</c:v>
                </c:pt>
                <c:pt idx="2260">
                  <c:v>7.5910000000000002</c:v>
                </c:pt>
                <c:pt idx="2261">
                  <c:v>7.5780000000000003</c:v>
                </c:pt>
                <c:pt idx="2262">
                  <c:v>7.5759999999999996</c:v>
                </c:pt>
                <c:pt idx="2263">
                  <c:v>7.524</c:v>
                </c:pt>
                <c:pt idx="2264">
                  <c:v>7.5780000000000003</c:v>
                </c:pt>
                <c:pt idx="2265">
                  <c:v>7.5780000000000003</c:v>
                </c:pt>
                <c:pt idx="2266">
                  <c:v>7.5780000000000003</c:v>
                </c:pt>
                <c:pt idx="2267">
                  <c:v>7.5590000000000002</c:v>
                </c:pt>
                <c:pt idx="2268">
                  <c:v>7.53</c:v>
                </c:pt>
                <c:pt idx="2269">
                  <c:v>7.5170000000000003</c:v>
                </c:pt>
                <c:pt idx="2270">
                  <c:v>7.5170000000000003</c:v>
                </c:pt>
                <c:pt idx="2271">
                  <c:v>7.5170000000000003</c:v>
                </c:pt>
                <c:pt idx="2272">
                  <c:v>7.5170000000000003</c:v>
                </c:pt>
                <c:pt idx="2273">
                  <c:v>7.5170000000000003</c:v>
                </c:pt>
                <c:pt idx="2274">
                  <c:v>7.5410000000000004</c:v>
                </c:pt>
                <c:pt idx="2275">
                  <c:v>7.5549999999999997</c:v>
                </c:pt>
                <c:pt idx="2276">
                  <c:v>7.4909999999999997</c:v>
                </c:pt>
                <c:pt idx="2277">
                  <c:v>7.4340000000000002</c:v>
                </c:pt>
                <c:pt idx="2278">
                  <c:v>7.5609999999999999</c:v>
                </c:pt>
                <c:pt idx="2279">
                  <c:v>7.5609999999999999</c:v>
                </c:pt>
                <c:pt idx="2280">
                  <c:v>7.5609999999999999</c:v>
                </c:pt>
                <c:pt idx="2281">
                  <c:v>7.5570000000000004</c:v>
                </c:pt>
                <c:pt idx="2282">
                  <c:v>7.5570000000000004</c:v>
                </c:pt>
                <c:pt idx="2283">
                  <c:v>7.585</c:v>
                </c:pt>
                <c:pt idx="2284">
                  <c:v>7.4550000000000001</c:v>
                </c:pt>
                <c:pt idx="2285">
                  <c:v>7.59</c:v>
                </c:pt>
                <c:pt idx="2286">
                  <c:v>7.59</c:v>
                </c:pt>
                <c:pt idx="2287">
                  <c:v>7.59</c:v>
                </c:pt>
                <c:pt idx="2288">
                  <c:v>7.6070000000000002</c:v>
                </c:pt>
                <c:pt idx="2289">
                  <c:v>7.6420000000000003</c:v>
                </c:pt>
                <c:pt idx="2290">
                  <c:v>7.5890000000000004</c:v>
                </c:pt>
                <c:pt idx="2291">
                  <c:v>7.6719999999999997</c:v>
                </c:pt>
                <c:pt idx="2292">
                  <c:v>7.8529999999999998</c:v>
                </c:pt>
                <c:pt idx="2293">
                  <c:v>7.8529999999999998</c:v>
                </c:pt>
                <c:pt idx="2294">
                  <c:v>7.8529999999999998</c:v>
                </c:pt>
                <c:pt idx="2295">
                  <c:v>7.8529999999999998</c:v>
                </c:pt>
                <c:pt idx="2296">
                  <c:v>7.806</c:v>
                </c:pt>
                <c:pt idx="2297">
                  <c:v>7.9009999999999998</c:v>
                </c:pt>
                <c:pt idx="2298">
                  <c:v>7.931</c:v>
                </c:pt>
                <c:pt idx="2299">
                  <c:v>7.931</c:v>
                </c:pt>
                <c:pt idx="2300">
                  <c:v>7.931</c:v>
                </c:pt>
                <c:pt idx="2301">
                  <c:v>7.931</c:v>
                </c:pt>
                <c:pt idx="2302">
                  <c:v>7.9020000000000001</c:v>
                </c:pt>
                <c:pt idx="2303">
                  <c:v>7.867</c:v>
                </c:pt>
                <c:pt idx="2304">
                  <c:v>7.8250000000000002</c:v>
                </c:pt>
                <c:pt idx="2305">
                  <c:v>7.81</c:v>
                </c:pt>
                <c:pt idx="2306">
                  <c:v>7.835</c:v>
                </c:pt>
                <c:pt idx="2307">
                  <c:v>7.835</c:v>
                </c:pt>
                <c:pt idx="2308">
                  <c:v>7.835</c:v>
                </c:pt>
                <c:pt idx="2309">
                  <c:v>7.7759999999999998</c:v>
                </c:pt>
                <c:pt idx="2310">
                  <c:v>7.7629999999999999</c:v>
                </c:pt>
                <c:pt idx="2311">
                  <c:v>7.7460000000000004</c:v>
                </c:pt>
                <c:pt idx="2312">
                  <c:v>7.7460000000000004</c:v>
                </c:pt>
                <c:pt idx="2313">
                  <c:v>7.7640000000000002</c:v>
                </c:pt>
                <c:pt idx="2314">
                  <c:v>7.7640000000000002</c:v>
                </c:pt>
                <c:pt idx="2315">
                  <c:v>7.7640000000000002</c:v>
                </c:pt>
                <c:pt idx="2316">
                  <c:v>7.6929999999999996</c:v>
                </c:pt>
                <c:pt idx="2317">
                  <c:v>7.6740000000000004</c:v>
                </c:pt>
                <c:pt idx="2318">
                  <c:v>7.6550000000000002</c:v>
                </c:pt>
                <c:pt idx="2319">
                  <c:v>7.6740000000000004</c:v>
                </c:pt>
                <c:pt idx="2320">
                  <c:v>7.6790000000000003</c:v>
                </c:pt>
                <c:pt idx="2321">
                  <c:v>7.6790000000000003</c:v>
                </c:pt>
                <c:pt idx="2322">
                  <c:v>7.6790000000000003</c:v>
                </c:pt>
                <c:pt idx="2323">
                  <c:v>7.681</c:v>
                </c:pt>
                <c:pt idx="2324">
                  <c:v>7.6520000000000001</c:v>
                </c:pt>
                <c:pt idx="2325">
                  <c:v>7.72</c:v>
                </c:pt>
                <c:pt idx="2326">
                  <c:v>7.77</c:v>
                </c:pt>
                <c:pt idx="2327">
                  <c:v>7.8150000000000004</c:v>
                </c:pt>
                <c:pt idx="2328">
                  <c:v>7.8150000000000004</c:v>
                </c:pt>
                <c:pt idx="2329">
                  <c:v>7.8150000000000004</c:v>
                </c:pt>
                <c:pt idx="2330">
                  <c:v>7.8150000000000004</c:v>
                </c:pt>
                <c:pt idx="2331">
                  <c:v>7.835</c:v>
                </c:pt>
                <c:pt idx="2332">
                  <c:v>7.7789999999999999</c:v>
                </c:pt>
                <c:pt idx="2333">
                  <c:v>7.923</c:v>
                </c:pt>
                <c:pt idx="2334">
                  <c:v>7.8239999999999998</c:v>
                </c:pt>
                <c:pt idx="2335">
                  <c:v>7.8239999999999998</c:v>
                </c:pt>
                <c:pt idx="2336">
                  <c:v>7.8239999999999998</c:v>
                </c:pt>
                <c:pt idx="2337">
                  <c:v>7.851</c:v>
                </c:pt>
                <c:pt idx="2338">
                  <c:v>7.8310000000000004</c:v>
                </c:pt>
                <c:pt idx="2339">
                  <c:v>7.8289999999999997</c:v>
                </c:pt>
                <c:pt idx="2340">
                  <c:v>7.8449999999999998</c:v>
                </c:pt>
                <c:pt idx="2341">
                  <c:v>7.8780000000000001</c:v>
                </c:pt>
                <c:pt idx="2342">
                  <c:v>7.8780000000000001</c:v>
                </c:pt>
                <c:pt idx="2343">
                  <c:v>7.8780000000000001</c:v>
                </c:pt>
                <c:pt idx="2344">
                  <c:v>7.8650000000000002</c:v>
                </c:pt>
                <c:pt idx="2345">
                  <c:v>7.8879999999999999</c:v>
                </c:pt>
                <c:pt idx="2346">
                  <c:v>7.9039999999999999</c:v>
                </c:pt>
                <c:pt idx="2347">
                  <c:v>7.9320000000000004</c:v>
                </c:pt>
                <c:pt idx="2348">
                  <c:v>7.9779999999999998</c:v>
                </c:pt>
                <c:pt idx="2349">
                  <c:v>7.9779999999999998</c:v>
                </c:pt>
                <c:pt idx="2350">
                  <c:v>7.9779999999999998</c:v>
                </c:pt>
                <c:pt idx="2351">
                  <c:v>8.0169999999999995</c:v>
                </c:pt>
                <c:pt idx="2352">
                  <c:v>8.0459999999999994</c:v>
                </c:pt>
                <c:pt idx="2353">
                  <c:v>7.9610000000000003</c:v>
                </c:pt>
                <c:pt idx="2354">
                  <c:v>8.1020000000000003</c:v>
                </c:pt>
                <c:pt idx="2355">
                  <c:v>8.26</c:v>
                </c:pt>
                <c:pt idx="2356">
                  <c:v>8.26</c:v>
                </c:pt>
                <c:pt idx="2357">
                  <c:v>8.26</c:v>
                </c:pt>
                <c:pt idx="2358">
                  <c:v>8.1609999999999996</c:v>
                </c:pt>
                <c:pt idx="2359">
                  <c:v>8.1379999999999999</c:v>
                </c:pt>
                <c:pt idx="2360">
                  <c:v>8.1769999999999996</c:v>
                </c:pt>
                <c:pt idx="2361">
                  <c:v>8.359</c:v>
                </c:pt>
                <c:pt idx="2362">
                  <c:v>8.3640000000000008</c:v>
                </c:pt>
                <c:pt idx="2363">
                  <c:v>8.3640000000000008</c:v>
                </c:pt>
                <c:pt idx="2364">
                  <c:v>8.3640000000000008</c:v>
                </c:pt>
                <c:pt idx="2365">
                  <c:v>8.8070000000000004</c:v>
                </c:pt>
                <c:pt idx="2366">
                  <c:v>8.9130000000000003</c:v>
                </c:pt>
                <c:pt idx="2367">
                  <c:v>9.2270000000000003</c:v>
                </c:pt>
                <c:pt idx="2368">
                  <c:v>9.1300000000000008</c:v>
                </c:pt>
                <c:pt idx="2369">
                  <c:v>9.2110000000000003</c:v>
                </c:pt>
                <c:pt idx="2370">
                  <c:v>9.2110000000000003</c:v>
                </c:pt>
                <c:pt idx="2371">
                  <c:v>9.2110000000000003</c:v>
                </c:pt>
                <c:pt idx="2372">
                  <c:v>9.2349999999999994</c:v>
                </c:pt>
                <c:pt idx="2373">
                  <c:v>9.327</c:v>
                </c:pt>
                <c:pt idx="2374">
                  <c:v>9.2929999999999993</c:v>
                </c:pt>
                <c:pt idx="2375">
                  <c:v>9.2460000000000004</c:v>
                </c:pt>
                <c:pt idx="2376">
                  <c:v>9.0719999999999992</c:v>
                </c:pt>
                <c:pt idx="2377">
                  <c:v>9.0719999999999992</c:v>
                </c:pt>
                <c:pt idx="2378">
                  <c:v>9.0719999999999992</c:v>
                </c:pt>
                <c:pt idx="2379">
                  <c:v>9.1370000000000005</c:v>
                </c:pt>
                <c:pt idx="2380">
                  <c:v>9.1820000000000004</c:v>
                </c:pt>
                <c:pt idx="2381">
                  <c:v>9.2379999999999995</c:v>
                </c:pt>
                <c:pt idx="2382">
                  <c:v>9.2319999999999993</c:v>
                </c:pt>
                <c:pt idx="2383">
                  <c:v>9.3710000000000004</c:v>
                </c:pt>
                <c:pt idx="2384">
                  <c:v>9.3710000000000004</c:v>
                </c:pt>
                <c:pt idx="2385">
                  <c:v>9.3710000000000004</c:v>
                </c:pt>
                <c:pt idx="2386">
                  <c:v>9.4239999999999995</c:v>
                </c:pt>
                <c:pt idx="2387">
                  <c:v>9.4779999999999998</c:v>
                </c:pt>
                <c:pt idx="2388">
                  <c:v>9.4960000000000004</c:v>
                </c:pt>
                <c:pt idx="2389">
                  <c:v>9.4049999999999994</c:v>
                </c:pt>
                <c:pt idx="2390">
                  <c:v>9.2579999999999991</c:v>
                </c:pt>
                <c:pt idx="2391">
                  <c:v>9.2579999999999991</c:v>
                </c:pt>
                <c:pt idx="2392">
                  <c:v>9.2579999999999991</c:v>
                </c:pt>
                <c:pt idx="2393">
                  <c:v>9.1389999999999993</c:v>
                </c:pt>
                <c:pt idx="2394">
                  <c:v>9.2430000000000003</c:v>
                </c:pt>
                <c:pt idx="2395">
                  <c:v>9.1890000000000001</c:v>
                </c:pt>
                <c:pt idx="2396">
                  <c:v>9.2690000000000001</c:v>
                </c:pt>
                <c:pt idx="2397">
                  <c:v>9.2840000000000007</c:v>
                </c:pt>
                <c:pt idx="2398">
                  <c:v>9.2840000000000007</c:v>
                </c:pt>
                <c:pt idx="2399">
                  <c:v>9.2840000000000007</c:v>
                </c:pt>
                <c:pt idx="2400">
                  <c:v>9.3040000000000003</c:v>
                </c:pt>
                <c:pt idx="2401">
                  <c:v>9.4550000000000001</c:v>
                </c:pt>
                <c:pt idx="2402">
                  <c:v>9.4369999999999994</c:v>
                </c:pt>
                <c:pt idx="2403">
                  <c:v>9.3930000000000007</c:v>
                </c:pt>
                <c:pt idx="2404">
                  <c:v>9.359</c:v>
                </c:pt>
                <c:pt idx="2405">
                  <c:v>9.359</c:v>
                </c:pt>
                <c:pt idx="2406">
                  <c:v>9.359</c:v>
                </c:pt>
                <c:pt idx="2407">
                  <c:v>9.3520000000000003</c:v>
                </c:pt>
                <c:pt idx="2408">
                  <c:v>9.1750000000000007</c:v>
                </c:pt>
                <c:pt idx="2409">
                  <c:v>9.2110000000000003</c:v>
                </c:pt>
                <c:pt idx="2410">
                  <c:v>9.2690000000000001</c:v>
                </c:pt>
                <c:pt idx="2411">
                  <c:v>9.2390000000000008</c:v>
                </c:pt>
                <c:pt idx="2412">
                  <c:v>9.2390000000000008</c:v>
                </c:pt>
                <c:pt idx="2413">
                  <c:v>9.2390000000000008</c:v>
                </c:pt>
                <c:pt idx="2414">
                  <c:v>9.1050000000000004</c:v>
                </c:pt>
                <c:pt idx="2415">
                  <c:v>9.1639999999999997</c:v>
                </c:pt>
                <c:pt idx="2416">
                  <c:v>9.2289999999999992</c:v>
                </c:pt>
                <c:pt idx="2417">
                  <c:v>9.2629999999999999</c:v>
                </c:pt>
                <c:pt idx="2418">
                  <c:v>9.2629999999999999</c:v>
                </c:pt>
                <c:pt idx="2419">
                  <c:v>9.2629999999999999</c:v>
                </c:pt>
                <c:pt idx="2420">
                  <c:v>9.2629999999999999</c:v>
                </c:pt>
                <c:pt idx="2421">
                  <c:v>9.3079999999999998</c:v>
                </c:pt>
                <c:pt idx="2422">
                  <c:v>9.3079999999999998</c:v>
                </c:pt>
                <c:pt idx="2423">
                  <c:v>9.2430000000000003</c:v>
                </c:pt>
                <c:pt idx="2424">
                  <c:v>9.2889999999999997</c:v>
                </c:pt>
                <c:pt idx="2425">
                  <c:v>9.2870000000000008</c:v>
                </c:pt>
                <c:pt idx="2426">
                  <c:v>9.2870000000000008</c:v>
                </c:pt>
                <c:pt idx="2427">
                  <c:v>9.2870000000000008</c:v>
                </c:pt>
                <c:pt idx="2428">
                  <c:v>9.2579999999999991</c:v>
                </c:pt>
                <c:pt idx="2429">
                  <c:v>9.2420000000000009</c:v>
                </c:pt>
                <c:pt idx="2430">
                  <c:v>9.2100000000000009</c:v>
                </c:pt>
                <c:pt idx="2431">
                  <c:v>9.1859999999999999</c:v>
                </c:pt>
                <c:pt idx="2432">
                  <c:v>9.1760000000000002</c:v>
                </c:pt>
                <c:pt idx="2433">
                  <c:v>9.1760000000000002</c:v>
                </c:pt>
                <c:pt idx="2434">
                  <c:v>9.1760000000000002</c:v>
                </c:pt>
                <c:pt idx="2435">
                  <c:v>9.1609999999999996</c:v>
                </c:pt>
                <c:pt idx="2436">
                  <c:v>9.0570000000000004</c:v>
                </c:pt>
                <c:pt idx="2437">
                  <c:v>9.0570000000000004</c:v>
                </c:pt>
                <c:pt idx="2438">
                  <c:v>8.9939999999999998</c:v>
                </c:pt>
                <c:pt idx="2439">
                  <c:v>9.0020000000000007</c:v>
                </c:pt>
                <c:pt idx="2440">
                  <c:v>9.0020000000000007</c:v>
                </c:pt>
                <c:pt idx="2441">
                  <c:v>9.0020000000000007</c:v>
                </c:pt>
                <c:pt idx="2442">
                  <c:v>8.8699999999999992</c:v>
                </c:pt>
                <c:pt idx="2443">
                  <c:v>8.8480000000000008</c:v>
                </c:pt>
                <c:pt idx="2444">
                  <c:v>8.84</c:v>
                </c:pt>
                <c:pt idx="2445">
                  <c:v>8.7750000000000004</c:v>
                </c:pt>
                <c:pt idx="2446">
                  <c:v>8.7050000000000001</c:v>
                </c:pt>
                <c:pt idx="2447">
                  <c:v>8.7050000000000001</c:v>
                </c:pt>
                <c:pt idx="2448">
                  <c:v>8.7050000000000001</c:v>
                </c:pt>
                <c:pt idx="2449">
                  <c:v>8.7360000000000007</c:v>
                </c:pt>
                <c:pt idx="2450">
                  <c:v>8.6080000000000005</c:v>
                </c:pt>
                <c:pt idx="2451">
                  <c:v>8.5510000000000002</c:v>
                </c:pt>
                <c:pt idx="2452">
                  <c:v>8.734</c:v>
                </c:pt>
                <c:pt idx="2453">
                  <c:v>8.8520000000000003</c:v>
                </c:pt>
                <c:pt idx="2454">
                  <c:v>8.8520000000000003</c:v>
                </c:pt>
                <c:pt idx="2455">
                  <c:v>8.8520000000000003</c:v>
                </c:pt>
                <c:pt idx="2456">
                  <c:v>8.8640000000000008</c:v>
                </c:pt>
                <c:pt idx="2457">
                  <c:v>8.7959999999999994</c:v>
                </c:pt>
                <c:pt idx="2458">
                  <c:v>8.8420000000000005</c:v>
                </c:pt>
                <c:pt idx="2459">
                  <c:v>8.7200000000000006</c:v>
                </c:pt>
                <c:pt idx="2460">
                  <c:v>8.7219999999999995</c:v>
                </c:pt>
                <c:pt idx="2461">
                  <c:v>8.7219999999999995</c:v>
                </c:pt>
                <c:pt idx="2462">
                  <c:v>8.7219999999999995</c:v>
                </c:pt>
                <c:pt idx="2463">
                  <c:v>8.7230000000000008</c:v>
                </c:pt>
                <c:pt idx="2464">
                  <c:v>8.7230000000000008</c:v>
                </c:pt>
                <c:pt idx="2465">
                  <c:v>9.0540000000000003</c:v>
                </c:pt>
                <c:pt idx="2466">
                  <c:v>9.0540000000000003</c:v>
                </c:pt>
                <c:pt idx="2467">
                  <c:v>8.7680000000000007</c:v>
                </c:pt>
                <c:pt idx="2468">
                  <c:v>8.7680000000000007</c:v>
                </c:pt>
                <c:pt idx="2469">
                  <c:v>8.7680000000000007</c:v>
                </c:pt>
                <c:pt idx="2470">
                  <c:v>8.5299999999999994</c:v>
                </c:pt>
                <c:pt idx="2471">
                  <c:v>8.2949999999999999</c:v>
                </c:pt>
                <c:pt idx="2472">
                  <c:v>8.2859999999999996</c:v>
                </c:pt>
                <c:pt idx="2473">
                  <c:v>8.2859999999999996</c:v>
                </c:pt>
                <c:pt idx="2474">
                  <c:v>7.9359999999999999</c:v>
                </c:pt>
                <c:pt idx="2475">
                  <c:v>7.9359999999999999</c:v>
                </c:pt>
                <c:pt idx="2476">
                  <c:v>7.9359999999999999</c:v>
                </c:pt>
                <c:pt idx="2477">
                  <c:v>7.7389999999999999</c:v>
                </c:pt>
                <c:pt idx="2478">
                  <c:v>8.1739999999999995</c:v>
                </c:pt>
                <c:pt idx="2479">
                  <c:v>8.1080000000000005</c:v>
                </c:pt>
                <c:pt idx="2480">
                  <c:v>7.6689999999999996</c:v>
                </c:pt>
                <c:pt idx="2481">
                  <c:v>7.6550000000000002</c:v>
                </c:pt>
                <c:pt idx="2482">
                  <c:v>7.6550000000000002</c:v>
                </c:pt>
                <c:pt idx="2483">
                  <c:v>7.6550000000000002</c:v>
                </c:pt>
                <c:pt idx="2484">
                  <c:v>7.4619999999999997</c:v>
                </c:pt>
                <c:pt idx="2485">
                  <c:v>7.4619999999999997</c:v>
                </c:pt>
                <c:pt idx="2486">
                  <c:v>7.4219999999999997</c:v>
                </c:pt>
                <c:pt idx="2487">
                  <c:v>7.2720000000000002</c:v>
                </c:pt>
                <c:pt idx="2488">
                  <c:v>7.367</c:v>
                </c:pt>
                <c:pt idx="2489">
                  <c:v>7.367</c:v>
                </c:pt>
                <c:pt idx="2490">
                  <c:v>7.367</c:v>
                </c:pt>
                <c:pt idx="2491">
                  <c:v>7.335</c:v>
                </c:pt>
                <c:pt idx="2492">
                  <c:v>7.335</c:v>
                </c:pt>
                <c:pt idx="2493">
                  <c:v>7.31</c:v>
                </c:pt>
                <c:pt idx="2494">
                  <c:v>7.31</c:v>
                </c:pt>
                <c:pt idx="2495">
                  <c:v>7.274</c:v>
                </c:pt>
                <c:pt idx="2496">
                  <c:v>7.274</c:v>
                </c:pt>
                <c:pt idx="2497">
                  <c:v>7.274</c:v>
                </c:pt>
                <c:pt idx="2498">
                  <c:v>7.3470000000000004</c:v>
                </c:pt>
                <c:pt idx="2499">
                  <c:v>7.1630000000000003</c:v>
                </c:pt>
                <c:pt idx="2500">
                  <c:v>7.1539999999999999</c:v>
                </c:pt>
                <c:pt idx="2501">
                  <c:v>7.0919999999999996</c:v>
                </c:pt>
                <c:pt idx="2502">
                  <c:v>7.0019999999999998</c:v>
                </c:pt>
                <c:pt idx="2503">
                  <c:v>7.0019999999999998</c:v>
                </c:pt>
                <c:pt idx="2504">
                  <c:v>7.0019999999999998</c:v>
                </c:pt>
                <c:pt idx="2505">
                  <c:v>7.0919999999999996</c:v>
                </c:pt>
                <c:pt idx="2506">
                  <c:v>6.9560000000000004</c:v>
                </c:pt>
                <c:pt idx="2507">
                  <c:v>6.9720000000000004</c:v>
                </c:pt>
                <c:pt idx="2508">
                  <c:v>6.9720000000000004</c:v>
                </c:pt>
                <c:pt idx="2509">
                  <c:v>6.9050000000000002</c:v>
                </c:pt>
                <c:pt idx="2510">
                  <c:v>6.9050000000000002</c:v>
                </c:pt>
                <c:pt idx="2511">
                  <c:v>6.9050000000000002</c:v>
                </c:pt>
                <c:pt idx="2512">
                  <c:v>7.01</c:v>
                </c:pt>
                <c:pt idx="2513">
                  <c:v>7.0030000000000001</c:v>
                </c:pt>
                <c:pt idx="2514">
                  <c:v>6.9770000000000003</c:v>
                </c:pt>
                <c:pt idx="2515">
                  <c:v>6.883</c:v>
                </c:pt>
                <c:pt idx="2516">
                  <c:v>6.8540000000000001</c:v>
                </c:pt>
                <c:pt idx="2517">
                  <c:v>6.8540000000000001</c:v>
                </c:pt>
                <c:pt idx="2518">
                  <c:v>6.8540000000000001</c:v>
                </c:pt>
                <c:pt idx="2519">
                  <c:v>6.9139999999999997</c:v>
                </c:pt>
                <c:pt idx="2520">
                  <c:v>6.9660000000000002</c:v>
                </c:pt>
                <c:pt idx="2521">
                  <c:v>7.0549999999999997</c:v>
                </c:pt>
                <c:pt idx="2522">
                  <c:v>7.0549999999999997</c:v>
                </c:pt>
                <c:pt idx="2523">
                  <c:v>7.093</c:v>
                </c:pt>
                <c:pt idx="2524">
                  <c:v>7.093</c:v>
                </c:pt>
                <c:pt idx="2525">
                  <c:v>7.093</c:v>
                </c:pt>
                <c:pt idx="2526">
                  <c:v>7.0670000000000002</c:v>
                </c:pt>
                <c:pt idx="2527">
                  <c:v>6.9379999999999997</c:v>
                </c:pt>
                <c:pt idx="2528">
                  <c:v>6.6340000000000003</c:v>
                </c:pt>
                <c:pt idx="2529">
                  <c:v>6.516</c:v>
                </c:pt>
                <c:pt idx="2530">
                  <c:v>6.4029999999999996</c:v>
                </c:pt>
                <c:pt idx="2531">
                  <c:v>6.4029999999999996</c:v>
                </c:pt>
                <c:pt idx="2532">
                  <c:v>6.4029999999999996</c:v>
                </c:pt>
                <c:pt idx="2533">
                  <c:v>6.085</c:v>
                </c:pt>
                <c:pt idx="2534">
                  <c:v>6.085</c:v>
                </c:pt>
                <c:pt idx="2535">
                  <c:v>5.8070000000000004</c:v>
                </c:pt>
                <c:pt idx="2536">
                  <c:v>5.657</c:v>
                </c:pt>
                <c:pt idx="2537">
                  <c:v>5.3819999999999997</c:v>
                </c:pt>
                <c:pt idx="2538">
                  <c:v>5.3819999999999997</c:v>
                </c:pt>
                <c:pt idx="2539">
                  <c:v>5.3819999999999997</c:v>
                </c:pt>
                <c:pt idx="2540">
                  <c:v>5.5209999999999999</c:v>
                </c:pt>
                <c:pt idx="2541">
                  <c:v>5.4859999999999998</c:v>
                </c:pt>
                <c:pt idx="2542">
                  <c:v>5.4690000000000003</c:v>
                </c:pt>
                <c:pt idx="2543">
                  <c:v>5.3949999999999996</c:v>
                </c:pt>
                <c:pt idx="2544">
                  <c:v>5.3179999999999996</c:v>
                </c:pt>
                <c:pt idx="2545">
                  <c:v>5.3179999999999996</c:v>
                </c:pt>
                <c:pt idx="2546">
                  <c:v>5.3179999999999996</c:v>
                </c:pt>
                <c:pt idx="2547">
                  <c:v>5.3710000000000004</c:v>
                </c:pt>
                <c:pt idx="2548">
                  <c:v>6.383</c:v>
                </c:pt>
                <c:pt idx="2549">
                  <c:v>5.44</c:v>
                </c:pt>
                <c:pt idx="2550">
                  <c:v>5.44</c:v>
                </c:pt>
                <c:pt idx="2551">
                  <c:v>5.258</c:v>
                </c:pt>
                <c:pt idx="2552">
                  <c:v>5.258</c:v>
                </c:pt>
                <c:pt idx="2553">
                  <c:v>5.258</c:v>
                </c:pt>
                <c:pt idx="2554">
                  <c:v>5.0609999999999999</c:v>
                </c:pt>
                <c:pt idx="2555">
                  <c:v>5.0890000000000004</c:v>
                </c:pt>
                <c:pt idx="2556">
                  <c:v>5.0149999999999997</c:v>
                </c:pt>
                <c:pt idx="2557">
                  <c:v>4.7949999999999999</c:v>
                </c:pt>
                <c:pt idx="2558">
                  <c:v>4.7519999999999998</c:v>
                </c:pt>
                <c:pt idx="2559">
                  <c:v>4.7519999999999998</c:v>
                </c:pt>
                <c:pt idx="2560">
                  <c:v>4.7519999999999998</c:v>
                </c:pt>
                <c:pt idx="2561">
                  <c:v>4.4580000000000002</c:v>
                </c:pt>
                <c:pt idx="2562">
                  <c:v>4.4379999999999997</c:v>
                </c:pt>
                <c:pt idx="2563">
                  <c:v>4.5209999999999999</c:v>
                </c:pt>
                <c:pt idx="2564">
                  <c:v>4.5209999999999999</c:v>
                </c:pt>
                <c:pt idx="2565">
                  <c:v>4.6340000000000003</c:v>
                </c:pt>
                <c:pt idx="2566">
                  <c:v>4.6340000000000003</c:v>
                </c:pt>
                <c:pt idx="2567">
                  <c:v>4.6340000000000003</c:v>
                </c:pt>
                <c:pt idx="2568">
                  <c:v>4.7050000000000001</c:v>
                </c:pt>
                <c:pt idx="2569">
                  <c:v>4.6269999999999998</c:v>
                </c:pt>
                <c:pt idx="2570">
                  <c:v>4.5469999999999997</c:v>
                </c:pt>
                <c:pt idx="2571">
                  <c:v>4.59</c:v>
                </c:pt>
                <c:pt idx="2572">
                  <c:v>4.5780000000000003</c:v>
                </c:pt>
                <c:pt idx="2573">
                  <c:v>4.5780000000000003</c:v>
                </c:pt>
                <c:pt idx="2574">
                  <c:v>4.5780000000000003</c:v>
                </c:pt>
                <c:pt idx="2575">
                  <c:v>4.5510000000000002</c:v>
                </c:pt>
                <c:pt idx="2576">
                  <c:v>4.5579999999999998</c:v>
                </c:pt>
                <c:pt idx="2577">
                  <c:v>4.6449999999999996</c:v>
                </c:pt>
                <c:pt idx="2578">
                  <c:v>4.7140000000000004</c:v>
                </c:pt>
                <c:pt idx="2579">
                  <c:v>4.6609999999999996</c:v>
                </c:pt>
                <c:pt idx="2580">
                  <c:v>4.6609999999999996</c:v>
                </c:pt>
                <c:pt idx="2581">
                  <c:v>4.6609999999999996</c:v>
                </c:pt>
                <c:pt idx="2582">
                  <c:v>4.6609999999999996</c:v>
                </c:pt>
                <c:pt idx="2583">
                  <c:v>4.5620000000000003</c:v>
                </c:pt>
                <c:pt idx="2584">
                  <c:v>4.4850000000000003</c:v>
                </c:pt>
                <c:pt idx="2585">
                  <c:v>4.681</c:v>
                </c:pt>
                <c:pt idx="2586">
                  <c:v>4.6029999999999998</c:v>
                </c:pt>
                <c:pt idx="2587">
                  <c:v>4.6029999999999998</c:v>
                </c:pt>
                <c:pt idx="2588">
                  <c:v>4.6029999999999998</c:v>
                </c:pt>
                <c:pt idx="2589">
                  <c:v>4.609</c:v>
                </c:pt>
                <c:pt idx="2590">
                  <c:v>4.5919999999999996</c:v>
                </c:pt>
                <c:pt idx="2591">
                  <c:v>4.5860000000000003</c:v>
                </c:pt>
                <c:pt idx="2592">
                  <c:v>4.5860000000000003</c:v>
                </c:pt>
                <c:pt idx="2593">
                  <c:v>4.5570000000000004</c:v>
                </c:pt>
                <c:pt idx="2594">
                  <c:v>4.5570000000000004</c:v>
                </c:pt>
                <c:pt idx="2595">
                  <c:v>4.5570000000000004</c:v>
                </c:pt>
                <c:pt idx="2596">
                  <c:v>4.5570000000000004</c:v>
                </c:pt>
                <c:pt idx="2597">
                  <c:v>4.5999999999999996</c:v>
                </c:pt>
                <c:pt idx="2598">
                  <c:v>4.6740000000000004</c:v>
                </c:pt>
                <c:pt idx="2599">
                  <c:v>4.6029999999999998</c:v>
                </c:pt>
                <c:pt idx="2600">
                  <c:v>4.5330000000000004</c:v>
                </c:pt>
                <c:pt idx="2601">
                  <c:v>4.5330000000000004</c:v>
                </c:pt>
                <c:pt idx="2602">
                  <c:v>4.5330000000000004</c:v>
                </c:pt>
                <c:pt idx="2603">
                  <c:v>4.5940000000000003</c:v>
                </c:pt>
                <c:pt idx="2604">
                  <c:v>4.734</c:v>
                </c:pt>
                <c:pt idx="2605">
                  <c:v>4.7649999999999997</c:v>
                </c:pt>
                <c:pt idx="2606">
                  <c:v>4.6820000000000004</c:v>
                </c:pt>
                <c:pt idx="2607">
                  <c:v>4.694</c:v>
                </c:pt>
                <c:pt idx="2608">
                  <c:v>4.694</c:v>
                </c:pt>
                <c:pt idx="2609">
                  <c:v>4.694</c:v>
                </c:pt>
                <c:pt idx="2610">
                  <c:v>4.694</c:v>
                </c:pt>
                <c:pt idx="2611">
                  <c:v>4.7309999999999999</c:v>
                </c:pt>
                <c:pt idx="2612">
                  <c:v>4.8479999999999999</c:v>
                </c:pt>
                <c:pt idx="2613">
                  <c:v>4.7539999999999996</c:v>
                </c:pt>
                <c:pt idx="2614">
                  <c:v>4.6859999999999999</c:v>
                </c:pt>
                <c:pt idx="2615">
                  <c:v>4.6859999999999999</c:v>
                </c:pt>
                <c:pt idx="2616">
                  <c:v>4.6859999999999999</c:v>
                </c:pt>
                <c:pt idx="2617">
                  <c:v>4.7210000000000001</c:v>
                </c:pt>
                <c:pt idx="2618">
                  <c:v>4.7110000000000003</c:v>
                </c:pt>
                <c:pt idx="2619">
                  <c:v>4.7009999999999996</c:v>
                </c:pt>
                <c:pt idx="2620">
                  <c:v>4.67</c:v>
                </c:pt>
                <c:pt idx="2621">
                  <c:v>4.7249999999999996</c:v>
                </c:pt>
                <c:pt idx="2622">
                  <c:v>4.7249999999999996</c:v>
                </c:pt>
                <c:pt idx="2623">
                  <c:v>4.7249999999999996</c:v>
                </c:pt>
                <c:pt idx="2624">
                  <c:v>4.9589999999999996</c:v>
                </c:pt>
                <c:pt idx="2625">
                  <c:v>4.9589999999999996</c:v>
                </c:pt>
                <c:pt idx="2626">
                  <c:v>4.9589999999999996</c:v>
                </c:pt>
                <c:pt idx="2627">
                  <c:v>4.7990000000000004</c:v>
                </c:pt>
                <c:pt idx="2628">
                  <c:v>5.0410000000000004</c:v>
                </c:pt>
                <c:pt idx="2629">
                  <c:v>5.0410000000000004</c:v>
                </c:pt>
                <c:pt idx="2630">
                  <c:v>5.0410000000000004</c:v>
                </c:pt>
                <c:pt idx="2631">
                  <c:v>5.0209999999999999</c:v>
                </c:pt>
                <c:pt idx="2632">
                  <c:v>5.0730000000000004</c:v>
                </c:pt>
                <c:pt idx="2633">
                  <c:v>4.9779999999999998</c:v>
                </c:pt>
                <c:pt idx="2634">
                  <c:v>5.0570000000000004</c:v>
                </c:pt>
                <c:pt idx="2635">
                  <c:v>5.0289999999999999</c:v>
                </c:pt>
                <c:pt idx="2636">
                  <c:v>5.0289999999999999</c:v>
                </c:pt>
                <c:pt idx="2637">
                  <c:v>5.0289999999999999</c:v>
                </c:pt>
                <c:pt idx="2638">
                  <c:v>4.9870000000000001</c:v>
                </c:pt>
                <c:pt idx="2639">
                  <c:v>5.1079999999999997</c:v>
                </c:pt>
                <c:pt idx="2640">
                  <c:v>5.0940000000000003</c:v>
                </c:pt>
                <c:pt idx="2641">
                  <c:v>5.1760000000000002</c:v>
                </c:pt>
                <c:pt idx="2642">
                  <c:v>5.1760000000000002</c:v>
                </c:pt>
                <c:pt idx="2643">
                  <c:v>5.1760000000000002</c:v>
                </c:pt>
                <c:pt idx="2644">
                  <c:v>5.1760000000000002</c:v>
                </c:pt>
                <c:pt idx="2645">
                  <c:v>5.298</c:v>
                </c:pt>
                <c:pt idx="2646">
                  <c:v>5.16</c:v>
                </c:pt>
                <c:pt idx="2647">
                  <c:v>5.16</c:v>
                </c:pt>
                <c:pt idx="2648">
                  <c:v>5.0220000000000002</c:v>
                </c:pt>
                <c:pt idx="2649">
                  <c:v>5.0220000000000002</c:v>
                </c:pt>
                <c:pt idx="2650">
                  <c:v>5.0220000000000002</c:v>
                </c:pt>
                <c:pt idx="2651">
                  <c:v>5.0220000000000002</c:v>
                </c:pt>
                <c:pt idx="2652">
                  <c:v>4.7380000000000004</c:v>
                </c:pt>
                <c:pt idx="2653">
                  <c:v>4.7380000000000004</c:v>
                </c:pt>
                <c:pt idx="2654">
                  <c:v>4.6539999999999999</c:v>
                </c:pt>
                <c:pt idx="2655">
                  <c:v>4.4450000000000003</c:v>
                </c:pt>
                <c:pt idx="2656">
                  <c:v>4.4450000000000003</c:v>
                </c:pt>
                <c:pt idx="2657">
                  <c:v>4.4450000000000003</c:v>
                </c:pt>
                <c:pt idx="2658">
                  <c:v>4.4450000000000003</c:v>
                </c:pt>
                <c:pt idx="2659">
                  <c:v>4.3840000000000003</c:v>
                </c:pt>
                <c:pt idx="2660">
                  <c:v>4.3840000000000003</c:v>
                </c:pt>
                <c:pt idx="2661">
                  <c:v>4.3869999999999996</c:v>
                </c:pt>
                <c:pt idx="2662">
                  <c:v>4.3730000000000002</c:v>
                </c:pt>
                <c:pt idx="2663">
                  <c:v>4.3739999999999997</c:v>
                </c:pt>
                <c:pt idx="2664">
                  <c:v>4.3739999999999997</c:v>
                </c:pt>
                <c:pt idx="2665">
                  <c:v>4.3739999999999997</c:v>
                </c:pt>
                <c:pt idx="2666">
                  <c:v>4.3680000000000003</c:v>
                </c:pt>
                <c:pt idx="2667">
                  <c:v>4.2510000000000003</c:v>
                </c:pt>
                <c:pt idx="2668">
                  <c:v>4.0179999999999998</c:v>
                </c:pt>
                <c:pt idx="2669">
                  <c:v>4.0620000000000003</c:v>
                </c:pt>
                <c:pt idx="2670">
                  <c:v>4.2350000000000003</c:v>
                </c:pt>
                <c:pt idx="2671">
                  <c:v>4.2350000000000003</c:v>
                </c:pt>
                <c:pt idx="2672">
                  <c:v>4.2350000000000003</c:v>
                </c:pt>
                <c:pt idx="2673">
                  <c:v>4.016</c:v>
                </c:pt>
                <c:pt idx="2674">
                  <c:v>4.0389999999999997</c:v>
                </c:pt>
                <c:pt idx="2675">
                  <c:v>3.9329999999999998</c:v>
                </c:pt>
                <c:pt idx="2676">
                  <c:v>3.9329999999999998</c:v>
                </c:pt>
                <c:pt idx="2677">
                  <c:v>3.9329999999999998</c:v>
                </c:pt>
                <c:pt idx="2678">
                  <c:v>3.9329999999999998</c:v>
                </c:pt>
                <c:pt idx="2679">
                  <c:v>3.9329999999999998</c:v>
                </c:pt>
                <c:pt idx="2680">
                  <c:v>4.181</c:v>
                </c:pt>
                <c:pt idx="2681">
                  <c:v>4.1550000000000002</c:v>
                </c:pt>
                <c:pt idx="2682">
                  <c:v>4.1680000000000001</c:v>
                </c:pt>
                <c:pt idx="2683">
                  <c:v>4.1340000000000003</c:v>
                </c:pt>
                <c:pt idx="2684">
                  <c:v>4.1680000000000001</c:v>
                </c:pt>
                <c:pt idx="2685">
                  <c:v>4.1680000000000001</c:v>
                </c:pt>
                <c:pt idx="2686">
                  <c:v>4.1680000000000001</c:v>
                </c:pt>
                <c:pt idx="2687">
                  <c:v>4.2320000000000002</c:v>
                </c:pt>
                <c:pt idx="2688">
                  <c:v>4.1589999999999998</c:v>
                </c:pt>
                <c:pt idx="2689">
                  <c:v>4.1130000000000004</c:v>
                </c:pt>
                <c:pt idx="2690">
                  <c:v>4.1230000000000002</c:v>
                </c:pt>
                <c:pt idx="2691">
                  <c:v>4.1310000000000002</c:v>
                </c:pt>
                <c:pt idx="2692">
                  <c:v>4.1310000000000002</c:v>
                </c:pt>
                <c:pt idx="2693">
                  <c:v>4.1310000000000002</c:v>
                </c:pt>
                <c:pt idx="2694">
                  <c:v>4.1280000000000001</c:v>
                </c:pt>
                <c:pt idx="2695">
                  <c:v>3.9529999999999998</c:v>
                </c:pt>
                <c:pt idx="2696">
                  <c:v>4.03</c:v>
                </c:pt>
                <c:pt idx="2697">
                  <c:v>4.0410000000000004</c:v>
                </c:pt>
                <c:pt idx="2698">
                  <c:v>4.0430000000000001</c:v>
                </c:pt>
                <c:pt idx="2699">
                  <c:v>4.0430000000000001</c:v>
                </c:pt>
                <c:pt idx="2700">
                  <c:v>4.0430000000000001</c:v>
                </c:pt>
                <c:pt idx="2701">
                  <c:v>4.0369999999999999</c:v>
                </c:pt>
                <c:pt idx="2702">
                  <c:v>4.0609999999999999</c:v>
                </c:pt>
                <c:pt idx="2703">
                  <c:v>4.085</c:v>
                </c:pt>
                <c:pt idx="2704">
                  <c:v>4.09</c:v>
                </c:pt>
                <c:pt idx="2705">
                  <c:v>4.1689999999999996</c:v>
                </c:pt>
                <c:pt idx="2706">
                  <c:v>4.1689999999999996</c:v>
                </c:pt>
                <c:pt idx="2707">
                  <c:v>4.1689999999999996</c:v>
                </c:pt>
                <c:pt idx="2708">
                  <c:v>4.12</c:v>
                </c:pt>
                <c:pt idx="2709">
                  <c:v>4.2380000000000004</c:v>
                </c:pt>
                <c:pt idx="2710">
                  <c:v>4.1189999999999998</c:v>
                </c:pt>
                <c:pt idx="2711">
                  <c:v>4.0010000000000003</c:v>
                </c:pt>
                <c:pt idx="2712">
                  <c:v>4.1100000000000003</c:v>
                </c:pt>
                <c:pt idx="2713">
                  <c:v>4.1100000000000003</c:v>
                </c:pt>
                <c:pt idx="2714">
                  <c:v>4.1100000000000003</c:v>
                </c:pt>
                <c:pt idx="2715">
                  <c:v>4.09</c:v>
                </c:pt>
                <c:pt idx="2716">
                  <c:v>4.0819999999999999</c:v>
                </c:pt>
                <c:pt idx="2717">
                  <c:v>4.0780000000000003</c:v>
                </c:pt>
                <c:pt idx="2718">
                  <c:v>4.09</c:v>
                </c:pt>
                <c:pt idx="2719">
                  <c:v>4.1520000000000001</c:v>
                </c:pt>
                <c:pt idx="2720">
                  <c:v>4.1520000000000001</c:v>
                </c:pt>
                <c:pt idx="2721">
                  <c:v>4.1520000000000001</c:v>
                </c:pt>
                <c:pt idx="2722">
                  <c:v>4.1139999999999999</c:v>
                </c:pt>
                <c:pt idx="2723">
                  <c:v>4.0629999999999997</c:v>
                </c:pt>
                <c:pt idx="2724">
                  <c:v>4.1520000000000001</c:v>
                </c:pt>
                <c:pt idx="2725">
                  <c:v>4.226</c:v>
                </c:pt>
                <c:pt idx="2726">
                  <c:v>4.1509999999999998</c:v>
                </c:pt>
                <c:pt idx="2727">
                  <c:v>4.1509999999999998</c:v>
                </c:pt>
                <c:pt idx="2728">
                  <c:v>4.1509999999999998</c:v>
                </c:pt>
                <c:pt idx="2729">
                  <c:v>4.1769999999999996</c:v>
                </c:pt>
                <c:pt idx="2730">
                  <c:v>4.2290000000000001</c:v>
                </c:pt>
                <c:pt idx="2731">
                  <c:v>4.2930000000000001</c:v>
                </c:pt>
                <c:pt idx="2732">
                  <c:v>4.2469999999999999</c:v>
                </c:pt>
                <c:pt idx="2733">
                  <c:v>4.2149999999999999</c:v>
                </c:pt>
                <c:pt idx="2734">
                  <c:v>4.2149999999999999</c:v>
                </c:pt>
                <c:pt idx="2735">
                  <c:v>4.2149999999999999</c:v>
                </c:pt>
                <c:pt idx="2736">
                  <c:v>4.26</c:v>
                </c:pt>
                <c:pt idx="2737">
                  <c:v>4.2530000000000001</c:v>
                </c:pt>
                <c:pt idx="2738">
                  <c:v>4.2249999999999996</c:v>
                </c:pt>
                <c:pt idx="2739">
                  <c:v>4.1779999999999999</c:v>
                </c:pt>
                <c:pt idx="2740">
                  <c:v>4.1130000000000004</c:v>
                </c:pt>
                <c:pt idx="2741">
                  <c:v>4.1130000000000004</c:v>
                </c:pt>
                <c:pt idx="2742">
                  <c:v>4.1130000000000004</c:v>
                </c:pt>
                <c:pt idx="2743">
                  <c:v>4.0590000000000002</c:v>
                </c:pt>
                <c:pt idx="2744">
                  <c:v>4.0609999999999999</c:v>
                </c:pt>
                <c:pt idx="2745">
                  <c:v>4.048</c:v>
                </c:pt>
                <c:pt idx="2746">
                  <c:v>4.1399999999999997</c:v>
                </c:pt>
                <c:pt idx="2747">
                  <c:v>4.1779999999999999</c:v>
                </c:pt>
                <c:pt idx="2748">
                  <c:v>4.1779999999999999</c:v>
                </c:pt>
                <c:pt idx="2749">
                  <c:v>4.1779999999999999</c:v>
                </c:pt>
                <c:pt idx="2750">
                  <c:v>4.149</c:v>
                </c:pt>
                <c:pt idx="2751">
                  <c:v>4.0990000000000002</c:v>
                </c:pt>
                <c:pt idx="2752">
                  <c:v>4.0919999999999996</c:v>
                </c:pt>
                <c:pt idx="2753">
                  <c:v>4.1070000000000002</c:v>
                </c:pt>
                <c:pt idx="2754">
                  <c:v>4.0529999999999999</c:v>
                </c:pt>
                <c:pt idx="2755">
                  <c:v>4.0529999999999999</c:v>
                </c:pt>
                <c:pt idx="2756">
                  <c:v>4.0529999999999999</c:v>
                </c:pt>
                <c:pt idx="2757">
                  <c:v>4.0970000000000004</c:v>
                </c:pt>
                <c:pt idx="2758">
                  <c:v>4.0549999999999997</c:v>
                </c:pt>
                <c:pt idx="2759">
                  <c:v>4.0990000000000002</c:v>
                </c:pt>
                <c:pt idx="2760">
                  <c:v>4.0599999999999996</c:v>
                </c:pt>
                <c:pt idx="2761">
                  <c:v>4.0670000000000002</c:v>
                </c:pt>
                <c:pt idx="2762">
                  <c:v>4.0670000000000002</c:v>
                </c:pt>
                <c:pt idx="2763">
                  <c:v>4.0670000000000002</c:v>
                </c:pt>
                <c:pt idx="2764">
                  <c:v>4.0430000000000001</c:v>
                </c:pt>
                <c:pt idx="2765">
                  <c:v>4.0410000000000004</c:v>
                </c:pt>
                <c:pt idx="2766">
                  <c:v>4.0620000000000003</c:v>
                </c:pt>
                <c:pt idx="2767">
                  <c:v>4.0270000000000001</c:v>
                </c:pt>
                <c:pt idx="2768">
                  <c:v>4.077</c:v>
                </c:pt>
                <c:pt idx="2769">
                  <c:v>4.077</c:v>
                </c:pt>
                <c:pt idx="2770">
                  <c:v>4.077</c:v>
                </c:pt>
                <c:pt idx="2771">
                  <c:v>4.16</c:v>
                </c:pt>
                <c:pt idx="2772">
                  <c:v>4.1260000000000003</c:v>
                </c:pt>
                <c:pt idx="2773">
                  <c:v>4.3810000000000002</c:v>
                </c:pt>
                <c:pt idx="2774">
                  <c:v>4.2539999999999996</c:v>
                </c:pt>
                <c:pt idx="2775">
                  <c:v>4.226</c:v>
                </c:pt>
                <c:pt idx="2776">
                  <c:v>4.226</c:v>
                </c:pt>
                <c:pt idx="2777">
                  <c:v>4.226</c:v>
                </c:pt>
                <c:pt idx="2778">
                  <c:v>4.4400000000000004</c:v>
                </c:pt>
                <c:pt idx="2779">
                  <c:v>4.3470000000000004</c:v>
                </c:pt>
                <c:pt idx="2780">
                  <c:v>4.3579999999999997</c:v>
                </c:pt>
                <c:pt idx="2781">
                  <c:v>4.33</c:v>
                </c:pt>
                <c:pt idx="2782">
                  <c:v>4.2859999999999996</c:v>
                </c:pt>
                <c:pt idx="2783">
                  <c:v>4.2859999999999996</c:v>
                </c:pt>
                <c:pt idx="2784">
                  <c:v>4.2859999999999996</c:v>
                </c:pt>
                <c:pt idx="2785">
                  <c:v>4.468</c:v>
                </c:pt>
                <c:pt idx="2786">
                  <c:v>4.5220000000000002</c:v>
                </c:pt>
                <c:pt idx="2787">
                  <c:v>4.5220000000000002</c:v>
                </c:pt>
                <c:pt idx="2788">
                  <c:v>4.51</c:v>
                </c:pt>
                <c:pt idx="2789">
                  <c:v>4.5460000000000003</c:v>
                </c:pt>
                <c:pt idx="2790">
                  <c:v>4.5460000000000003</c:v>
                </c:pt>
                <c:pt idx="2791">
                  <c:v>4.5460000000000003</c:v>
                </c:pt>
                <c:pt idx="2792">
                  <c:v>4.5259999999999998</c:v>
                </c:pt>
                <c:pt idx="2793">
                  <c:v>4.5199999999999996</c:v>
                </c:pt>
                <c:pt idx="2794">
                  <c:v>4.4909999999999997</c:v>
                </c:pt>
                <c:pt idx="2795">
                  <c:v>4.6150000000000002</c:v>
                </c:pt>
                <c:pt idx="2796">
                  <c:v>4.758</c:v>
                </c:pt>
                <c:pt idx="2797">
                  <c:v>4.758</c:v>
                </c:pt>
                <c:pt idx="2798">
                  <c:v>4.758</c:v>
                </c:pt>
                <c:pt idx="2799">
                  <c:v>4.6360000000000001</c:v>
                </c:pt>
                <c:pt idx="2800">
                  <c:v>4.7720000000000002</c:v>
                </c:pt>
                <c:pt idx="2801">
                  <c:v>4.7480000000000002</c:v>
                </c:pt>
                <c:pt idx="2802">
                  <c:v>4.8099999999999996</c:v>
                </c:pt>
                <c:pt idx="2803">
                  <c:v>4.8319999999999999</c:v>
                </c:pt>
                <c:pt idx="2804">
                  <c:v>4.8319999999999999</c:v>
                </c:pt>
                <c:pt idx="2805">
                  <c:v>4.8319999999999999</c:v>
                </c:pt>
                <c:pt idx="2806">
                  <c:v>4.8070000000000004</c:v>
                </c:pt>
                <c:pt idx="2807">
                  <c:v>4.72</c:v>
                </c:pt>
                <c:pt idx="2808">
                  <c:v>4.7850000000000001</c:v>
                </c:pt>
                <c:pt idx="2809">
                  <c:v>4.6769999999999996</c:v>
                </c:pt>
                <c:pt idx="2810">
                  <c:v>4.62</c:v>
                </c:pt>
                <c:pt idx="2811">
                  <c:v>4.62</c:v>
                </c:pt>
                <c:pt idx="2812">
                  <c:v>4.62</c:v>
                </c:pt>
                <c:pt idx="2813">
                  <c:v>4.5149999999999997</c:v>
                </c:pt>
                <c:pt idx="2814">
                  <c:v>4.5949999999999998</c:v>
                </c:pt>
                <c:pt idx="2815">
                  <c:v>4.6890000000000001</c:v>
                </c:pt>
                <c:pt idx="2816">
                  <c:v>4.5579999999999998</c:v>
                </c:pt>
                <c:pt idx="2817">
                  <c:v>4.4580000000000002</c:v>
                </c:pt>
                <c:pt idx="2818">
                  <c:v>4.4580000000000002</c:v>
                </c:pt>
                <c:pt idx="2819">
                  <c:v>4.4580000000000002</c:v>
                </c:pt>
                <c:pt idx="2820">
                  <c:v>4.4580000000000002</c:v>
                </c:pt>
                <c:pt idx="2821">
                  <c:v>4.46</c:v>
                </c:pt>
                <c:pt idx="2822">
                  <c:v>4.5789999999999997</c:v>
                </c:pt>
                <c:pt idx="2823">
                  <c:v>4.431</c:v>
                </c:pt>
                <c:pt idx="2824">
                  <c:v>4.3810000000000002</c:v>
                </c:pt>
                <c:pt idx="2825">
                  <c:v>4.3810000000000002</c:v>
                </c:pt>
                <c:pt idx="2826">
                  <c:v>4.3810000000000002</c:v>
                </c:pt>
                <c:pt idx="2827">
                  <c:v>4.3810000000000002</c:v>
                </c:pt>
                <c:pt idx="2828">
                  <c:v>4.3949999999999996</c:v>
                </c:pt>
                <c:pt idx="2829">
                  <c:v>4.3949999999999996</c:v>
                </c:pt>
                <c:pt idx="2830">
                  <c:v>4.5039999999999996</c:v>
                </c:pt>
                <c:pt idx="2831">
                  <c:v>4.5039999999999996</c:v>
                </c:pt>
                <c:pt idx="2832">
                  <c:v>4.5039999999999996</c:v>
                </c:pt>
                <c:pt idx="2833">
                  <c:v>4.5039999999999996</c:v>
                </c:pt>
                <c:pt idx="2834">
                  <c:v>4.4260000000000002</c:v>
                </c:pt>
                <c:pt idx="2835">
                  <c:v>4.4109999999999996</c:v>
                </c:pt>
                <c:pt idx="2836">
                  <c:v>4.5019999999999998</c:v>
                </c:pt>
                <c:pt idx="2837">
                  <c:v>4.4809999999999999</c:v>
                </c:pt>
                <c:pt idx="2838">
                  <c:v>4.3789999999999996</c:v>
                </c:pt>
                <c:pt idx="2839">
                  <c:v>4.3789999999999996</c:v>
                </c:pt>
                <c:pt idx="2840">
                  <c:v>4.3789999999999996</c:v>
                </c:pt>
                <c:pt idx="2841">
                  <c:v>4.4790000000000001</c:v>
                </c:pt>
                <c:pt idx="2842">
                  <c:v>4.4790000000000001</c:v>
                </c:pt>
                <c:pt idx="2843">
                  <c:v>4.5039999999999996</c:v>
                </c:pt>
                <c:pt idx="2844">
                  <c:v>4.5549999999999997</c:v>
                </c:pt>
                <c:pt idx="2845">
                  <c:v>4.5359999999999996</c:v>
                </c:pt>
                <c:pt idx="2846">
                  <c:v>4.5359999999999996</c:v>
                </c:pt>
                <c:pt idx="2847">
                  <c:v>4.5359999999999996</c:v>
                </c:pt>
                <c:pt idx="2848">
                  <c:v>4.5359999999999996</c:v>
                </c:pt>
                <c:pt idx="2849">
                  <c:v>4.4850000000000003</c:v>
                </c:pt>
                <c:pt idx="2850">
                  <c:v>4.4820000000000002</c:v>
                </c:pt>
                <c:pt idx="2851">
                  <c:v>4.4630000000000001</c:v>
                </c:pt>
                <c:pt idx="2852">
                  <c:v>4.5090000000000003</c:v>
                </c:pt>
                <c:pt idx="2853">
                  <c:v>4.5090000000000003</c:v>
                </c:pt>
                <c:pt idx="2854">
                  <c:v>4.5090000000000003</c:v>
                </c:pt>
                <c:pt idx="2855">
                  <c:v>4.4870000000000001</c:v>
                </c:pt>
                <c:pt idx="2856">
                  <c:v>4.5049999999999999</c:v>
                </c:pt>
                <c:pt idx="2857">
                  <c:v>4.5039999999999996</c:v>
                </c:pt>
                <c:pt idx="2858">
                  <c:v>4.5629999999999997</c:v>
                </c:pt>
                <c:pt idx="2859">
                  <c:v>4.5389999999999997</c:v>
                </c:pt>
                <c:pt idx="2860">
                  <c:v>4.5389999999999997</c:v>
                </c:pt>
                <c:pt idx="2861">
                  <c:v>4.5389999999999997</c:v>
                </c:pt>
                <c:pt idx="2862">
                  <c:v>4.5389999999999997</c:v>
                </c:pt>
                <c:pt idx="2863">
                  <c:v>4.5279999999999996</c:v>
                </c:pt>
                <c:pt idx="2864">
                  <c:v>4.4909999999999997</c:v>
                </c:pt>
                <c:pt idx="2865">
                  <c:v>4.5419999999999998</c:v>
                </c:pt>
                <c:pt idx="2866">
                  <c:v>4.62</c:v>
                </c:pt>
                <c:pt idx="2867">
                  <c:v>4.62</c:v>
                </c:pt>
                <c:pt idx="2868">
                  <c:v>4.62</c:v>
                </c:pt>
                <c:pt idx="2869">
                  <c:v>4.6550000000000002</c:v>
                </c:pt>
                <c:pt idx="2870">
                  <c:v>4.5999999999999996</c:v>
                </c:pt>
                <c:pt idx="2871">
                  <c:v>4.6900000000000004</c:v>
                </c:pt>
                <c:pt idx="2872">
                  <c:v>4.6859999999999999</c:v>
                </c:pt>
                <c:pt idx="2873">
                  <c:v>4.6180000000000003</c:v>
                </c:pt>
                <c:pt idx="2874">
                  <c:v>4.6180000000000003</c:v>
                </c:pt>
                <c:pt idx="2875">
                  <c:v>4.6180000000000003</c:v>
                </c:pt>
                <c:pt idx="2876">
                  <c:v>4.2690000000000001</c:v>
                </c:pt>
                <c:pt idx="2877">
                  <c:v>4.2709999999999999</c:v>
                </c:pt>
                <c:pt idx="2878">
                  <c:v>4.2729999999999997</c:v>
                </c:pt>
                <c:pt idx="2879">
                  <c:v>4.3170000000000002</c:v>
                </c:pt>
                <c:pt idx="2880">
                  <c:v>4.298</c:v>
                </c:pt>
                <c:pt idx="2881">
                  <c:v>4.298</c:v>
                </c:pt>
                <c:pt idx="2882">
                  <c:v>4.298</c:v>
                </c:pt>
                <c:pt idx="2883">
                  <c:v>4.3410000000000002</c:v>
                </c:pt>
                <c:pt idx="2884">
                  <c:v>4.3460000000000001</c:v>
                </c:pt>
                <c:pt idx="2885">
                  <c:v>4.3650000000000002</c:v>
                </c:pt>
                <c:pt idx="2886">
                  <c:v>4.3419999999999996</c:v>
                </c:pt>
                <c:pt idx="2887">
                  <c:v>4.37</c:v>
                </c:pt>
                <c:pt idx="2888">
                  <c:v>4.37</c:v>
                </c:pt>
                <c:pt idx="2889">
                  <c:v>4.37</c:v>
                </c:pt>
                <c:pt idx="2890">
                  <c:v>4.4960000000000004</c:v>
                </c:pt>
                <c:pt idx="2891">
                  <c:v>4.4119999999999999</c:v>
                </c:pt>
                <c:pt idx="2892">
                  <c:v>4.4560000000000004</c:v>
                </c:pt>
                <c:pt idx="2893">
                  <c:v>4.4539999999999997</c:v>
                </c:pt>
                <c:pt idx="2894">
                  <c:v>4.4859999999999998</c:v>
                </c:pt>
                <c:pt idx="2895">
                  <c:v>4.4859999999999998</c:v>
                </c:pt>
                <c:pt idx="2896">
                  <c:v>4.4859999999999998</c:v>
                </c:pt>
                <c:pt idx="2897">
                  <c:v>4.5039999999999996</c:v>
                </c:pt>
                <c:pt idx="2898">
                  <c:v>4.4749999999999996</c:v>
                </c:pt>
                <c:pt idx="2899">
                  <c:v>4.57</c:v>
                </c:pt>
                <c:pt idx="2900">
                  <c:v>4.444</c:v>
                </c:pt>
                <c:pt idx="2901">
                  <c:v>4.13</c:v>
                </c:pt>
                <c:pt idx="2902">
                  <c:v>4.13</c:v>
                </c:pt>
                <c:pt idx="2903">
                  <c:v>4.13</c:v>
                </c:pt>
                <c:pt idx="2904">
                  <c:v>4.4560000000000004</c:v>
                </c:pt>
                <c:pt idx="2905">
                  <c:v>4.46</c:v>
                </c:pt>
                <c:pt idx="2906">
                  <c:v>4.3769999999999998</c:v>
                </c:pt>
                <c:pt idx="2907">
                  <c:v>4.3520000000000003</c:v>
                </c:pt>
                <c:pt idx="2908">
                  <c:v>4.4180000000000001</c:v>
                </c:pt>
                <c:pt idx="2909">
                  <c:v>4.4180000000000001</c:v>
                </c:pt>
                <c:pt idx="2910">
                  <c:v>4.4180000000000001</c:v>
                </c:pt>
                <c:pt idx="2911">
                  <c:v>4.5030000000000001</c:v>
                </c:pt>
                <c:pt idx="2912">
                  <c:v>4.47</c:v>
                </c:pt>
                <c:pt idx="2913">
                  <c:v>4.4290000000000003</c:v>
                </c:pt>
                <c:pt idx="2914">
                  <c:v>4.4630000000000001</c:v>
                </c:pt>
                <c:pt idx="2915">
                  <c:v>4.4630000000000001</c:v>
                </c:pt>
                <c:pt idx="2916">
                  <c:v>4.4630000000000001</c:v>
                </c:pt>
                <c:pt idx="2917">
                  <c:v>4.4630000000000001</c:v>
                </c:pt>
                <c:pt idx="2918">
                  <c:v>4.4630000000000001</c:v>
                </c:pt>
                <c:pt idx="2919">
                  <c:v>4.4610000000000003</c:v>
                </c:pt>
                <c:pt idx="2920">
                  <c:v>4.4649999999999999</c:v>
                </c:pt>
                <c:pt idx="2921">
                  <c:v>4.3869999999999996</c:v>
                </c:pt>
                <c:pt idx="2922">
                  <c:v>4.3109999999999999</c:v>
                </c:pt>
                <c:pt idx="2923">
                  <c:v>4.3109999999999999</c:v>
                </c:pt>
                <c:pt idx="2924">
                  <c:v>4.3109999999999999</c:v>
                </c:pt>
                <c:pt idx="2925">
                  <c:v>4.4249999999999998</c:v>
                </c:pt>
                <c:pt idx="2926">
                  <c:v>4.4130000000000003</c:v>
                </c:pt>
                <c:pt idx="2927">
                  <c:v>4.4050000000000002</c:v>
                </c:pt>
                <c:pt idx="2928">
                  <c:v>4.3159999999999998</c:v>
                </c:pt>
                <c:pt idx="2929">
                  <c:v>4.3120000000000003</c:v>
                </c:pt>
                <c:pt idx="2930">
                  <c:v>4.3120000000000003</c:v>
                </c:pt>
                <c:pt idx="2931">
                  <c:v>4.3120000000000003</c:v>
                </c:pt>
                <c:pt idx="2932">
                  <c:v>4.3140000000000001</c:v>
                </c:pt>
                <c:pt idx="2933">
                  <c:v>4.3019999999999996</c:v>
                </c:pt>
                <c:pt idx="2934">
                  <c:v>4.3230000000000004</c:v>
                </c:pt>
                <c:pt idx="2935">
                  <c:v>4.3019999999999996</c:v>
                </c:pt>
                <c:pt idx="2936">
                  <c:v>4.367</c:v>
                </c:pt>
                <c:pt idx="2937">
                  <c:v>4.367</c:v>
                </c:pt>
                <c:pt idx="2938">
                  <c:v>4.367</c:v>
                </c:pt>
                <c:pt idx="2939">
                  <c:v>4.3760000000000003</c:v>
                </c:pt>
                <c:pt idx="2940">
                  <c:v>4.3789999999999996</c:v>
                </c:pt>
                <c:pt idx="2941">
                  <c:v>4.33</c:v>
                </c:pt>
                <c:pt idx="2942">
                  <c:v>4.4379999999999997</c:v>
                </c:pt>
                <c:pt idx="2943">
                  <c:v>4.3959999999999999</c:v>
                </c:pt>
                <c:pt idx="2944">
                  <c:v>4.3959999999999999</c:v>
                </c:pt>
                <c:pt idx="2945">
                  <c:v>4.3959999999999999</c:v>
                </c:pt>
                <c:pt idx="2946">
                  <c:v>4.4710000000000001</c:v>
                </c:pt>
                <c:pt idx="2947">
                  <c:v>4.4710000000000001</c:v>
                </c:pt>
                <c:pt idx="2948">
                  <c:v>4.4960000000000004</c:v>
                </c:pt>
                <c:pt idx="2949">
                  <c:v>4.5830000000000002</c:v>
                </c:pt>
                <c:pt idx="2950">
                  <c:v>4.5750000000000002</c:v>
                </c:pt>
                <c:pt idx="2951">
                  <c:v>4.5750000000000002</c:v>
                </c:pt>
                <c:pt idx="2952">
                  <c:v>4.5750000000000002</c:v>
                </c:pt>
                <c:pt idx="2953">
                  <c:v>4.3239999999999998</c:v>
                </c:pt>
                <c:pt idx="2954">
                  <c:v>5.1760000000000002</c:v>
                </c:pt>
                <c:pt idx="2955">
                  <c:v>5.1429999999999998</c:v>
                </c:pt>
                <c:pt idx="2956">
                  <c:v>5.14</c:v>
                </c:pt>
                <c:pt idx="2957">
                  <c:v>5.16</c:v>
                </c:pt>
                <c:pt idx="2958">
                  <c:v>5.16</c:v>
                </c:pt>
                <c:pt idx="2959">
                  <c:v>5.16</c:v>
                </c:pt>
                <c:pt idx="2960">
                  <c:v>5.157</c:v>
                </c:pt>
                <c:pt idx="2961">
                  <c:v>5.2089999999999996</c:v>
                </c:pt>
                <c:pt idx="2962">
                  <c:v>5.2130000000000001</c:v>
                </c:pt>
                <c:pt idx="2963">
                  <c:v>5.2249999999999996</c:v>
                </c:pt>
                <c:pt idx="2964">
                  <c:v>5.2249999999999996</c:v>
                </c:pt>
                <c:pt idx="2965">
                  <c:v>5.2249999999999996</c:v>
                </c:pt>
                <c:pt idx="2966">
                  <c:v>5.2249999999999996</c:v>
                </c:pt>
                <c:pt idx="2967">
                  <c:v>5.23</c:v>
                </c:pt>
                <c:pt idx="2968">
                  <c:v>5.2569999999999997</c:v>
                </c:pt>
                <c:pt idx="2969">
                  <c:v>5.2549999999999999</c:v>
                </c:pt>
                <c:pt idx="2970">
                  <c:v>5.3120000000000003</c:v>
                </c:pt>
                <c:pt idx="2971">
                  <c:v>5.3310000000000004</c:v>
                </c:pt>
                <c:pt idx="2972">
                  <c:v>5.3310000000000004</c:v>
                </c:pt>
                <c:pt idx="2973">
                  <c:v>5.3310000000000004</c:v>
                </c:pt>
                <c:pt idx="2974">
                  <c:v>5.298</c:v>
                </c:pt>
                <c:pt idx="2975">
                  <c:v>5.3310000000000004</c:v>
                </c:pt>
                <c:pt idx="2976">
                  <c:v>5.3319999999999999</c:v>
                </c:pt>
                <c:pt idx="2977">
                  <c:v>5.3150000000000004</c:v>
                </c:pt>
                <c:pt idx="2978">
                  <c:v>5.3380000000000001</c:v>
                </c:pt>
                <c:pt idx="2979">
                  <c:v>5.3380000000000001</c:v>
                </c:pt>
                <c:pt idx="2980">
                  <c:v>5.3380000000000001</c:v>
                </c:pt>
                <c:pt idx="2981">
                  <c:v>5.3380000000000001</c:v>
                </c:pt>
                <c:pt idx="2982">
                  <c:v>5.3419999999999996</c:v>
                </c:pt>
                <c:pt idx="2983">
                  <c:v>5.32</c:v>
                </c:pt>
                <c:pt idx="2984">
                  <c:v>5.3369999999999997</c:v>
                </c:pt>
                <c:pt idx="2985">
                  <c:v>5.359</c:v>
                </c:pt>
                <c:pt idx="2986">
                  <c:v>5.359</c:v>
                </c:pt>
                <c:pt idx="2987">
                  <c:v>5.359</c:v>
                </c:pt>
                <c:pt idx="2988">
                  <c:v>5.3650000000000002</c:v>
                </c:pt>
                <c:pt idx="2989">
                  <c:v>5.3479999999999999</c:v>
                </c:pt>
                <c:pt idx="2990">
                  <c:v>5.3789999999999996</c:v>
                </c:pt>
                <c:pt idx="2991">
                  <c:v>5.2750000000000004</c:v>
                </c:pt>
                <c:pt idx="2992">
                  <c:v>5.4169999999999998</c:v>
                </c:pt>
                <c:pt idx="2993">
                  <c:v>5.4169999999999998</c:v>
                </c:pt>
                <c:pt idx="2994">
                  <c:v>5.4169999999999998</c:v>
                </c:pt>
                <c:pt idx="2995">
                  <c:v>5.42</c:v>
                </c:pt>
                <c:pt idx="2996">
                  <c:v>5.42</c:v>
                </c:pt>
                <c:pt idx="2997">
                  <c:v>5.2489999999999997</c:v>
                </c:pt>
                <c:pt idx="2998">
                  <c:v>5.2309999999999999</c:v>
                </c:pt>
                <c:pt idx="2999">
                  <c:v>5.2569999999999997</c:v>
                </c:pt>
                <c:pt idx="3000">
                  <c:v>5.2569999999999997</c:v>
                </c:pt>
                <c:pt idx="3001">
                  <c:v>5.2569999999999997</c:v>
                </c:pt>
                <c:pt idx="3002">
                  <c:v>5.3129999999999997</c:v>
                </c:pt>
                <c:pt idx="3003">
                  <c:v>5.3639999999999999</c:v>
                </c:pt>
                <c:pt idx="3004">
                  <c:v>5.3639999999999999</c:v>
                </c:pt>
                <c:pt idx="3005">
                  <c:v>5.2830000000000004</c:v>
                </c:pt>
                <c:pt idx="3006">
                  <c:v>5.2569999999999997</c:v>
                </c:pt>
                <c:pt idx="3007">
                  <c:v>5.2569999999999997</c:v>
                </c:pt>
                <c:pt idx="3008">
                  <c:v>5.2569999999999997</c:v>
                </c:pt>
                <c:pt idx="3009">
                  <c:v>5.274</c:v>
                </c:pt>
                <c:pt idx="3010">
                  <c:v>5.1680000000000001</c:v>
                </c:pt>
                <c:pt idx="3011">
                  <c:v>5.1529999999999996</c:v>
                </c:pt>
                <c:pt idx="3012">
                  <c:v>5.1529999999999996</c:v>
                </c:pt>
                <c:pt idx="3013">
                  <c:v>5.1529999999999996</c:v>
                </c:pt>
                <c:pt idx="3014">
                  <c:v>5.1529999999999996</c:v>
                </c:pt>
                <c:pt idx="3015">
                  <c:v>5.1529999999999996</c:v>
                </c:pt>
                <c:pt idx="3016">
                  <c:v>5.226</c:v>
                </c:pt>
                <c:pt idx="3017">
                  <c:v>5.22</c:v>
                </c:pt>
                <c:pt idx="3018">
                  <c:v>5.1929999999999996</c:v>
                </c:pt>
                <c:pt idx="3019">
                  <c:v>5.1840000000000002</c:v>
                </c:pt>
                <c:pt idx="3020">
                  <c:v>5.2960000000000003</c:v>
                </c:pt>
                <c:pt idx="3021">
                  <c:v>5.2960000000000003</c:v>
                </c:pt>
                <c:pt idx="3022">
                  <c:v>5.2960000000000003</c:v>
                </c:pt>
                <c:pt idx="3023">
                  <c:v>5.2910000000000004</c:v>
                </c:pt>
                <c:pt idx="3024">
                  <c:v>5.2779999999999996</c:v>
                </c:pt>
                <c:pt idx="3025">
                  <c:v>5.2779999999999996</c:v>
                </c:pt>
                <c:pt idx="3026">
                  <c:v>5.4619999999999997</c:v>
                </c:pt>
                <c:pt idx="3027">
                  <c:v>5.415</c:v>
                </c:pt>
                <c:pt idx="3028">
                  <c:v>5.415</c:v>
                </c:pt>
                <c:pt idx="3029">
                  <c:v>5.415</c:v>
                </c:pt>
                <c:pt idx="3030">
                  <c:v>5.4930000000000003</c:v>
                </c:pt>
                <c:pt idx="3031">
                  <c:v>5.351</c:v>
                </c:pt>
                <c:pt idx="3032">
                  <c:v>5.319</c:v>
                </c:pt>
                <c:pt idx="3033">
                  <c:v>5.2619999999999996</c:v>
                </c:pt>
                <c:pt idx="3034">
                  <c:v>5.2859999999999996</c:v>
                </c:pt>
                <c:pt idx="3035">
                  <c:v>5.2859999999999996</c:v>
                </c:pt>
                <c:pt idx="3036">
                  <c:v>5.2859999999999996</c:v>
                </c:pt>
                <c:pt idx="3037">
                  <c:v>5.2880000000000003</c:v>
                </c:pt>
                <c:pt idx="3038">
                  <c:v>5.2869999999999999</c:v>
                </c:pt>
                <c:pt idx="3039">
                  <c:v>5.2549999999999999</c:v>
                </c:pt>
                <c:pt idx="3040">
                  <c:v>5.2359999999999998</c:v>
                </c:pt>
                <c:pt idx="3041">
                  <c:v>5.2190000000000003</c:v>
                </c:pt>
                <c:pt idx="3042">
                  <c:v>5.2190000000000003</c:v>
                </c:pt>
                <c:pt idx="3043">
                  <c:v>5.2190000000000003</c:v>
                </c:pt>
                <c:pt idx="3044">
                  <c:v>5.1989999999999998</c:v>
                </c:pt>
                <c:pt idx="3045">
                  <c:v>5.1050000000000004</c:v>
                </c:pt>
                <c:pt idx="3046">
                  <c:v>5.0359999999999996</c:v>
                </c:pt>
                <c:pt idx="3047">
                  <c:v>4.9589999999999996</c:v>
                </c:pt>
                <c:pt idx="3048">
                  <c:v>4.9320000000000004</c:v>
                </c:pt>
                <c:pt idx="3049">
                  <c:v>4.9320000000000004</c:v>
                </c:pt>
                <c:pt idx="3050">
                  <c:v>4.9320000000000004</c:v>
                </c:pt>
                <c:pt idx="3051">
                  <c:v>5.1219999999999999</c:v>
                </c:pt>
                <c:pt idx="3052">
                  <c:v>5.1040000000000001</c:v>
                </c:pt>
                <c:pt idx="3053">
                  <c:v>5.14</c:v>
                </c:pt>
                <c:pt idx="3054">
                  <c:v>5.12</c:v>
                </c:pt>
                <c:pt idx="3055">
                  <c:v>5.1139999999999999</c:v>
                </c:pt>
                <c:pt idx="3056">
                  <c:v>5.1139999999999999</c:v>
                </c:pt>
                <c:pt idx="3057">
                  <c:v>5.1139999999999999</c:v>
                </c:pt>
                <c:pt idx="3058">
                  <c:v>5.0650000000000004</c:v>
                </c:pt>
                <c:pt idx="3059">
                  <c:v>5.0990000000000002</c:v>
                </c:pt>
                <c:pt idx="3060">
                  <c:v>5.1059999999999999</c:v>
                </c:pt>
                <c:pt idx="3061">
                  <c:v>5.0869999999999997</c:v>
                </c:pt>
                <c:pt idx="3062">
                  <c:v>5.1189999999999998</c:v>
                </c:pt>
                <c:pt idx="3063">
                  <c:v>5.1189999999999998</c:v>
                </c:pt>
                <c:pt idx="3064">
                  <c:v>5.1189999999999998</c:v>
                </c:pt>
                <c:pt idx="3065">
                  <c:v>5.0819999999999999</c:v>
                </c:pt>
                <c:pt idx="3066">
                  <c:v>5.1109999999999998</c:v>
                </c:pt>
                <c:pt idx="3067">
                  <c:v>5.0869999999999997</c:v>
                </c:pt>
                <c:pt idx="3068">
                  <c:v>5.0869999999999997</c:v>
                </c:pt>
                <c:pt idx="3069">
                  <c:v>5.0949999999999998</c:v>
                </c:pt>
                <c:pt idx="3070">
                  <c:v>5.0949999999999998</c:v>
                </c:pt>
                <c:pt idx="3071">
                  <c:v>5.0949999999999998</c:v>
                </c:pt>
                <c:pt idx="3072">
                  <c:v>5.1050000000000004</c:v>
                </c:pt>
                <c:pt idx="3073">
                  <c:v>5.1349999999999998</c:v>
                </c:pt>
                <c:pt idx="3074">
                  <c:v>5.0869999999999997</c:v>
                </c:pt>
                <c:pt idx="3075">
                  <c:v>5.09</c:v>
                </c:pt>
                <c:pt idx="3076">
                  <c:v>5.0609999999999999</c:v>
                </c:pt>
                <c:pt idx="3077">
                  <c:v>5.0609999999999999</c:v>
                </c:pt>
                <c:pt idx="3078">
                  <c:v>5.0609999999999999</c:v>
                </c:pt>
                <c:pt idx="3079">
                  <c:v>5.0460000000000003</c:v>
                </c:pt>
                <c:pt idx="3080">
                  <c:v>5.1210000000000004</c:v>
                </c:pt>
                <c:pt idx="3081">
                  <c:v>5.0590000000000002</c:v>
                </c:pt>
                <c:pt idx="3082">
                  <c:v>5.0730000000000004</c:v>
                </c:pt>
                <c:pt idx="3083">
                  <c:v>5.1150000000000002</c:v>
                </c:pt>
                <c:pt idx="3084">
                  <c:v>5.1150000000000002</c:v>
                </c:pt>
                <c:pt idx="3085">
                  <c:v>5.1150000000000002</c:v>
                </c:pt>
                <c:pt idx="3086">
                  <c:v>5.2770000000000001</c:v>
                </c:pt>
                <c:pt idx="3087">
                  <c:v>5.4039999999999999</c:v>
                </c:pt>
                <c:pt idx="3088">
                  <c:v>5.3449999999999998</c:v>
                </c:pt>
                <c:pt idx="3089">
                  <c:v>5.3220000000000001</c:v>
                </c:pt>
                <c:pt idx="3090">
                  <c:v>5.3739999999999997</c:v>
                </c:pt>
                <c:pt idx="3091">
                  <c:v>5.3739999999999997</c:v>
                </c:pt>
                <c:pt idx="3092">
                  <c:v>5.3739999999999997</c:v>
                </c:pt>
                <c:pt idx="3093">
                  <c:v>5.367</c:v>
                </c:pt>
                <c:pt idx="3094">
                  <c:v>5.3890000000000002</c:v>
                </c:pt>
                <c:pt idx="3095">
                  <c:v>5.3630000000000004</c:v>
                </c:pt>
                <c:pt idx="3096">
                  <c:v>5.3739999999999997</c:v>
                </c:pt>
                <c:pt idx="3097">
                  <c:v>5.319</c:v>
                </c:pt>
                <c:pt idx="3098">
                  <c:v>5.319</c:v>
                </c:pt>
                <c:pt idx="3099">
                  <c:v>5.319</c:v>
                </c:pt>
                <c:pt idx="3100">
                  <c:v>5.4249999999999998</c:v>
                </c:pt>
                <c:pt idx="3101">
                  <c:v>5.4720000000000004</c:v>
                </c:pt>
                <c:pt idx="3102">
                  <c:v>5.4180000000000001</c:v>
                </c:pt>
                <c:pt idx="3103">
                  <c:v>5.4710000000000001</c:v>
                </c:pt>
                <c:pt idx="3104">
                  <c:v>5.3639999999999999</c:v>
                </c:pt>
                <c:pt idx="3105">
                  <c:v>5.3639999999999999</c:v>
                </c:pt>
                <c:pt idx="3106">
                  <c:v>5.3639999999999999</c:v>
                </c:pt>
                <c:pt idx="3107">
                  <c:v>5.7169999999999996</c:v>
                </c:pt>
                <c:pt idx="3108">
                  <c:v>5.7169999999999996</c:v>
                </c:pt>
                <c:pt idx="3109">
                  <c:v>5.7210000000000001</c:v>
                </c:pt>
                <c:pt idx="3110">
                  <c:v>5.758</c:v>
                </c:pt>
                <c:pt idx="3111">
                  <c:v>5.7990000000000004</c:v>
                </c:pt>
                <c:pt idx="3112">
                  <c:v>5.7990000000000004</c:v>
                </c:pt>
                <c:pt idx="3113">
                  <c:v>5.7990000000000004</c:v>
                </c:pt>
                <c:pt idx="3114">
                  <c:v>5.702</c:v>
                </c:pt>
                <c:pt idx="3115">
                  <c:v>5.7590000000000003</c:v>
                </c:pt>
                <c:pt idx="3116">
                  <c:v>5.7590000000000003</c:v>
                </c:pt>
                <c:pt idx="3117">
                  <c:v>5.7690000000000001</c:v>
                </c:pt>
                <c:pt idx="3118">
                  <c:v>5.7220000000000004</c:v>
                </c:pt>
                <c:pt idx="3119">
                  <c:v>5.7220000000000004</c:v>
                </c:pt>
                <c:pt idx="3120">
                  <c:v>5.7220000000000004</c:v>
                </c:pt>
                <c:pt idx="3121">
                  <c:v>5.6929999999999996</c:v>
                </c:pt>
                <c:pt idx="3122">
                  <c:v>5.7160000000000002</c:v>
                </c:pt>
                <c:pt idx="3123">
                  <c:v>5.7359999999999998</c:v>
                </c:pt>
                <c:pt idx="3124">
                  <c:v>5.681</c:v>
                </c:pt>
                <c:pt idx="3125">
                  <c:v>5.9160000000000004</c:v>
                </c:pt>
                <c:pt idx="3126">
                  <c:v>5.9160000000000004</c:v>
                </c:pt>
                <c:pt idx="3127">
                  <c:v>5.9160000000000004</c:v>
                </c:pt>
                <c:pt idx="3128">
                  <c:v>5.84</c:v>
                </c:pt>
                <c:pt idx="3129">
                  <c:v>5.8280000000000003</c:v>
                </c:pt>
                <c:pt idx="3130">
                  <c:v>5.8239999999999998</c:v>
                </c:pt>
                <c:pt idx="3131">
                  <c:v>6.1369999999999996</c:v>
                </c:pt>
                <c:pt idx="3132">
                  <c:v>6.37</c:v>
                </c:pt>
                <c:pt idx="3133">
                  <c:v>6.37</c:v>
                </c:pt>
                <c:pt idx="3134">
                  <c:v>6.37</c:v>
                </c:pt>
                <c:pt idx="3135">
                  <c:v>5.9160000000000004</c:v>
                </c:pt>
                <c:pt idx="3136">
                  <c:v>6.22</c:v>
                </c:pt>
                <c:pt idx="3137">
                  <c:v>6.32</c:v>
                </c:pt>
                <c:pt idx="3138">
                  <c:v>6.4710000000000001</c:v>
                </c:pt>
                <c:pt idx="3139">
                  <c:v>6.468</c:v>
                </c:pt>
                <c:pt idx="3140">
                  <c:v>6.468</c:v>
                </c:pt>
                <c:pt idx="3141">
                  <c:v>6.468</c:v>
                </c:pt>
                <c:pt idx="3142">
                  <c:v>6.49</c:v>
                </c:pt>
                <c:pt idx="3143">
                  <c:v>6.4160000000000004</c:v>
                </c:pt>
                <c:pt idx="3144">
                  <c:v>6.4139999999999997</c:v>
                </c:pt>
                <c:pt idx="3145">
                  <c:v>6.4039999999999999</c:v>
                </c:pt>
                <c:pt idx="3146">
                  <c:v>6.3780000000000001</c:v>
                </c:pt>
                <c:pt idx="3147">
                  <c:v>6.3780000000000001</c:v>
                </c:pt>
                <c:pt idx="3148">
                  <c:v>6.3780000000000001</c:v>
                </c:pt>
                <c:pt idx="3149">
                  <c:v>6.3719999999999999</c:v>
                </c:pt>
                <c:pt idx="3150">
                  <c:v>6.3579999999999997</c:v>
                </c:pt>
                <c:pt idx="3151">
                  <c:v>6.39</c:v>
                </c:pt>
                <c:pt idx="3152">
                  <c:v>6.39</c:v>
                </c:pt>
                <c:pt idx="3153">
                  <c:v>6.43</c:v>
                </c:pt>
                <c:pt idx="3154">
                  <c:v>6.43</c:v>
                </c:pt>
                <c:pt idx="3155">
                  <c:v>6.43</c:v>
                </c:pt>
                <c:pt idx="3156">
                  <c:v>6.4580000000000002</c:v>
                </c:pt>
                <c:pt idx="3157">
                  <c:v>6.4359999999999999</c:v>
                </c:pt>
                <c:pt idx="3158">
                  <c:v>6.4610000000000003</c:v>
                </c:pt>
                <c:pt idx="3159">
                  <c:v>6.5510000000000002</c:v>
                </c:pt>
                <c:pt idx="3160">
                  <c:v>6.5049999999999999</c:v>
                </c:pt>
                <c:pt idx="3161">
                  <c:v>6.5049999999999999</c:v>
                </c:pt>
                <c:pt idx="3162">
                  <c:v>6.5049999999999999</c:v>
                </c:pt>
                <c:pt idx="3163">
                  <c:v>6.5369999999999999</c:v>
                </c:pt>
                <c:pt idx="3164">
                  <c:v>6.5060000000000002</c:v>
                </c:pt>
                <c:pt idx="3165">
                  <c:v>6.4459999999999997</c:v>
                </c:pt>
                <c:pt idx="3166">
                  <c:v>6.4189999999999996</c:v>
                </c:pt>
                <c:pt idx="3167">
                  <c:v>6.3949999999999996</c:v>
                </c:pt>
                <c:pt idx="3168">
                  <c:v>6.3949999999999996</c:v>
                </c:pt>
                <c:pt idx="3169">
                  <c:v>6.3949999999999996</c:v>
                </c:pt>
                <c:pt idx="3170">
                  <c:v>6.415</c:v>
                </c:pt>
                <c:pt idx="3171">
                  <c:v>6.41</c:v>
                </c:pt>
                <c:pt idx="3172">
                  <c:v>6.3869999999999996</c:v>
                </c:pt>
                <c:pt idx="3173">
                  <c:v>6.4050000000000002</c:v>
                </c:pt>
                <c:pt idx="3174">
                  <c:v>6.4050000000000002</c:v>
                </c:pt>
                <c:pt idx="3175">
                  <c:v>6.4050000000000002</c:v>
                </c:pt>
                <c:pt idx="3176">
                  <c:v>6.4050000000000002</c:v>
                </c:pt>
                <c:pt idx="3177">
                  <c:v>6.3860000000000001</c:v>
                </c:pt>
                <c:pt idx="3178">
                  <c:v>6.4610000000000003</c:v>
                </c:pt>
                <c:pt idx="3179">
                  <c:v>6.3879999999999999</c:v>
                </c:pt>
                <c:pt idx="3180">
                  <c:v>6.5019999999999998</c:v>
                </c:pt>
                <c:pt idx="3181">
                  <c:v>6.5129999999999999</c:v>
                </c:pt>
                <c:pt idx="3182">
                  <c:v>6.5129999999999999</c:v>
                </c:pt>
                <c:pt idx="3183">
                  <c:v>6.5129999999999999</c:v>
                </c:pt>
                <c:pt idx="3184">
                  <c:v>6.4409999999999998</c:v>
                </c:pt>
                <c:pt idx="3185">
                  <c:v>6.4359999999999999</c:v>
                </c:pt>
                <c:pt idx="3186">
                  <c:v>6.5730000000000004</c:v>
                </c:pt>
                <c:pt idx="3187">
                  <c:v>6.6719999999999997</c:v>
                </c:pt>
                <c:pt idx="3188">
                  <c:v>6.5970000000000004</c:v>
                </c:pt>
                <c:pt idx="3189">
                  <c:v>6.5970000000000004</c:v>
                </c:pt>
                <c:pt idx="3190">
                  <c:v>6.5970000000000004</c:v>
                </c:pt>
                <c:pt idx="3191">
                  <c:v>6.5679999999999996</c:v>
                </c:pt>
                <c:pt idx="3192">
                  <c:v>6.5359999999999996</c:v>
                </c:pt>
                <c:pt idx="3193">
                  <c:v>6.5570000000000004</c:v>
                </c:pt>
                <c:pt idx="3194">
                  <c:v>6.5570000000000004</c:v>
                </c:pt>
                <c:pt idx="3195">
                  <c:v>6.5110000000000001</c:v>
                </c:pt>
                <c:pt idx="3196">
                  <c:v>6.5110000000000001</c:v>
                </c:pt>
                <c:pt idx="3197">
                  <c:v>6.5110000000000001</c:v>
                </c:pt>
                <c:pt idx="3198">
                  <c:v>6.4989999999999997</c:v>
                </c:pt>
                <c:pt idx="3199">
                  <c:v>6.5140000000000002</c:v>
                </c:pt>
                <c:pt idx="3200">
                  <c:v>6.5270000000000001</c:v>
                </c:pt>
                <c:pt idx="3201">
                  <c:v>6.6829999999999998</c:v>
                </c:pt>
                <c:pt idx="3202">
                  <c:v>6.62</c:v>
                </c:pt>
                <c:pt idx="3203">
                  <c:v>6.62</c:v>
                </c:pt>
                <c:pt idx="3204">
                  <c:v>6.62</c:v>
                </c:pt>
                <c:pt idx="3205">
                  <c:v>6.6349999999999998</c:v>
                </c:pt>
                <c:pt idx="3206">
                  <c:v>6.6710000000000003</c:v>
                </c:pt>
                <c:pt idx="3207">
                  <c:v>6.7130000000000001</c:v>
                </c:pt>
                <c:pt idx="3208">
                  <c:v>6.7320000000000002</c:v>
                </c:pt>
                <c:pt idx="3209">
                  <c:v>6.7149999999999999</c:v>
                </c:pt>
                <c:pt idx="3210">
                  <c:v>6.7149999999999999</c:v>
                </c:pt>
                <c:pt idx="3211">
                  <c:v>6.7149999999999999</c:v>
                </c:pt>
                <c:pt idx="3212">
                  <c:v>6.7389999999999999</c:v>
                </c:pt>
                <c:pt idx="3213">
                  <c:v>6.7610000000000001</c:v>
                </c:pt>
                <c:pt idx="3214">
                  <c:v>6.8140000000000001</c:v>
                </c:pt>
                <c:pt idx="3215">
                  <c:v>6.8479999999999999</c:v>
                </c:pt>
                <c:pt idx="3216">
                  <c:v>6.907</c:v>
                </c:pt>
                <c:pt idx="3217">
                  <c:v>6.907</c:v>
                </c:pt>
                <c:pt idx="3218">
                  <c:v>6.907</c:v>
                </c:pt>
                <c:pt idx="3219">
                  <c:v>6.8570000000000002</c:v>
                </c:pt>
                <c:pt idx="3220">
                  <c:v>6.8730000000000002</c:v>
                </c:pt>
                <c:pt idx="3221">
                  <c:v>6.9050000000000002</c:v>
                </c:pt>
                <c:pt idx="3222">
                  <c:v>6.9219999999999997</c:v>
                </c:pt>
                <c:pt idx="3223">
                  <c:v>6.883</c:v>
                </c:pt>
                <c:pt idx="3224">
                  <c:v>6.883</c:v>
                </c:pt>
                <c:pt idx="3225">
                  <c:v>6.883</c:v>
                </c:pt>
                <c:pt idx="3226">
                  <c:v>6.8689999999999998</c:v>
                </c:pt>
                <c:pt idx="3227">
                  <c:v>6.8</c:v>
                </c:pt>
                <c:pt idx="3228">
                  <c:v>6.8289999999999997</c:v>
                </c:pt>
                <c:pt idx="3229">
                  <c:v>6.7450000000000001</c:v>
                </c:pt>
                <c:pt idx="3230">
                  <c:v>6.7450000000000001</c:v>
                </c:pt>
                <c:pt idx="3231">
                  <c:v>6.7450000000000001</c:v>
                </c:pt>
                <c:pt idx="3232">
                  <c:v>6.7450000000000001</c:v>
                </c:pt>
                <c:pt idx="3233">
                  <c:v>6.7380000000000004</c:v>
                </c:pt>
                <c:pt idx="3234">
                  <c:v>6.7640000000000002</c:v>
                </c:pt>
                <c:pt idx="3235">
                  <c:v>6.78</c:v>
                </c:pt>
                <c:pt idx="3236">
                  <c:v>7.0730000000000004</c:v>
                </c:pt>
                <c:pt idx="3237">
                  <c:v>7.0720000000000001</c:v>
                </c:pt>
                <c:pt idx="3238">
                  <c:v>7.0720000000000001</c:v>
                </c:pt>
                <c:pt idx="3239">
                  <c:v>7.0720000000000001</c:v>
                </c:pt>
                <c:pt idx="3240">
                  <c:v>7.0810000000000004</c:v>
                </c:pt>
                <c:pt idx="3241">
                  <c:v>7.1139999999999999</c:v>
                </c:pt>
                <c:pt idx="3242">
                  <c:v>7.1139999999999999</c:v>
                </c:pt>
                <c:pt idx="3243">
                  <c:v>7.0659999999999998</c:v>
                </c:pt>
                <c:pt idx="3244">
                  <c:v>7.0720000000000001</c:v>
                </c:pt>
                <c:pt idx="3245">
                  <c:v>7.0720000000000001</c:v>
                </c:pt>
                <c:pt idx="3246">
                  <c:v>7.0720000000000001</c:v>
                </c:pt>
                <c:pt idx="3247">
                  <c:v>7.0910000000000002</c:v>
                </c:pt>
                <c:pt idx="3248">
                  <c:v>7.0460000000000003</c:v>
                </c:pt>
                <c:pt idx="3249">
                  <c:v>7.0270000000000001</c:v>
                </c:pt>
                <c:pt idx="3250">
                  <c:v>6.9539999999999997</c:v>
                </c:pt>
                <c:pt idx="3251">
                  <c:v>6.92</c:v>
                </c:pt>
                <c:pt idx="3252">
                  <c:v>6.92</c:v>
                </c:pt>
                <c:pt idx="3253">
                  <c:v>6.92</c:v>
                </c:pt>
                <c:pt idx="3254">
                  <c:v>6.8490000000000002</c:v>
                </c:pt>
                <c:pt idx="3255">
                  <c:v>6.875</c:v>
                </c:pt>
                <c:pt idx="3256">
                  <c:v>6.9039999999999999</c:v>
                </c:pt>
                <c:pt idx="3257">
                  <c:v>7.0949999999999998</c:v>
                </c:pt>
                <c:pt idx="3258">
                  <c:v>7.1</c:v>
                </c:pt>
                <c:pt idx="3259">
                  <c:v>7.1</c:v>
                </c:pt>
                <c:pt idx="3260">
                  <c:v>7.1</c:v>
                </c:pt>
                <c:pt idx="3261">
                  <c:v>7.19</c:v>
                </c:pt>
                <c:pt idx="3262">
                  <c:v>7.1970000000000001</c:v>
                </c:pt>
                <c:pt idx="3263">
                  <c:v>7.1479999999999997</c:v>
                </c:pt>
                <c:pt idx="3264">
                  <c:v>7.19</c:v>
                </c:pt>
                <c:pt idx="3265">
                  <c:v>7.4029999999999996</c:v>
                </c:pt>
                <c:pt idx="3266">
                  <c:v>7.4029999999999996</c:v>
                </c:pt>
                <c:pt idx="3267">
                  <c:v>7.4029999999999996</c:v>
                </c:pt>
                <c:pt idx="3268">
                  <c:v>7.4509999999999996</c:v>
                </c:pt>
                <c:pt idx="3269">
                  <c:v>7.4470000000000001</c:v>
                </c:pt>
                <c:pt idx="3270">
                  <c:v>7.4980000000000002</c:v>
                </c:pt>
                <c:pt idx="3271">
                  <c:v>7.4210000000000003</c:v>
                </c:pt>
                <c:pt idx="3272">
                  <c:v>7.4210000000000003</c:v>
                </c:pt>
                <c:pt idx="3273">
                  <c:v>7.4210000000000003</c:v>
                </c:pt>
                <c:pt idx="3274">
                  <c:v>7.4210000000000003</c:v>
                </c:pt>
                <c:pt idx="3275">
                  <c:v>7.4320000000000004</c:v>
                </c:pt>
                <c:pt idx="3276">
                  <c:v>7.391</c:v>
                </c:pt>
                <c:pt idx="3277">
                  <c:v>7.3620000000000001</c:v>
                </c:pt>
                <c:pt idx="3278">
                  <c:v>7.431</c:v>
                </c:pt>
                <c:pt idx="3279">
                  <c:v>7.3769999999999998</c:v>
                </c:pt>
                <c:pt idx="3280">
                  <c:v>7.3769999999999998</c:v>
                </c:pt>
                <c:pt idx="3281">
                  <c:v>7.3769999999999998</c:v>
                </c:pt>
                <c:pt idx="3282">
                  <c:v>7.3630000000000004</c:v>
                </c:pt>
                <c:pt idx="3283">
                  <c:v>7.33</c:v>
                </c:pt>
                <c:pt idx="3284">
                  <c:v>7.4080000000000004</c:v>
                </c:pt>
                <c:pt idx="3285">
                  <c:v>7.3639999999999999</c:v>
                </c:pt>
                <c:pt idx="3286">
                  <c:v>7.2880000000000003</c:v>
                </c:pt>
                <c:pt idx="3287">
                  <c:v>7.2880000000000003</c:v>
                </c:pt>
                <c:pt idx="3288">
                  <c:v>7.2880000000000003</c:v>
                </c:pt>
                <c:pt idx="3289">
                  <c:v>7.4909999999999997</c:v>
                </c:pt>
                <c:pt idx="3290">
                  <c:v>7.4580000000000002</c:v>
                </c:pt>
                <c:pt idx="3291">
                  <c:v>7.3959999999999999</c:v>
                </c:pt>
                <c:pt idx="3292">
                  <c:v>7.4089999999999998</c:v>
                </c:pt>
                <c:pt idx="3293">
                  <c:v>7.4169999999999998</c:v>
                </c:pt>
                <c:pt idx="3294">
                  <c:v>7.4169999999999998</c:v>
                </c:pt>
                <c:pt idx="3295">
                  <c:v>7.4169999999999998</c:v>
                </c:pt>
                <c:pt idx="3296">
                  <c:v>7.4569999999999999</c:v>
                </c:pt>
                <c:pt idx="3297">
                  <c:v>7.4640000000000004</c:v>
                </c:pt>
                <c:pt idx="3298">
                  <c:v>7.4930000000000003</c:v>
                </c:pt>
                <c:pt idx="3299">
                  <c:v>7.5179999999999998</c:v>
                </c:pt>
                <c:pt idx="3300">
                  <c:v>7.516</c:v>
                </c:pt>
                <c:pt idx="3301">
                  <c:v>7.516</c:v>
                </c:pt>
                <c:pt idx="3302">
                  <c:v>7.516</c:v>
                </c:pt>
                <c:pt idx="3303">
                  <c:v>7.548</c:v>
                </c:pt>
                <c:pt idx="3304">
                  <c:v>7.6260000000000003</c:v>
                </c:pt>
                <c:pt idx="3305">
                  <c:v>7.6589999999999998</c:v>
                </c:pt>
                <c:pt idx="3306">
                  <c:v>7.6719999999999997</c:v>
                </c:pt>
                <c:pt idx="3307">
                  <c:v>7.6150000000000002</c:v>
                </c:pt>
                <c:pt idx="3308">
                  <c:v>7.6150000000000002</c:v>
                </c:pt>
                <c:pt idx="3309">
                  <c:v>7.6150000000000002</c:v>
                </c:pt>
                <c:pt idx="3310">
                  <c:v>7.7089999999999996</c:v>
                </c:pt>
                <c:pt idx="3311">
                  <c:v>7.5540000000000003</c:v>
                </c:pt>
                <c:pt idx="3312">
                  <c:v>7.5540000000000003</c:v>
                </c:pt>
                <c:pt idx="3313">
                  <c:v>7.5529999999999999</c:v>
                </c:pt>
                <c:pt idx="3314">
                  <c:v>7.5720000000000001</c:v>
                </c:pt>
                <c:pt idx="3315">
                  <c:v>7.5720000000000001</c:v>
                </c:pt>
                <c:pt idx="3316">
                  <c:v>7.5720000000000001</c:v>
                </c:pt>
                <c:pt idx="3317">
                  <c:v>7.5919999999999996</c:v>
                </c:pt>
                <c:pt idx="3318">
                  <c:v>7.6269999999999998</c:v>
                </c:pt>
                <c:pt idx="3319">
                  <c:v>7.5869999999999997</c:v>
                </c:pt>
                <c:pt idx="3320">
                  <c:v>7.56</c:v>
                </c:pt>
                <c:pt idx="3321">
                  <c:v>7.609</c:v>
                </c:pt>
                <c:pt idx="3322">
                  <c:v>7.609</c:v>
                </c:pt>
                <c:pt idx="3323">
                  <c:v>7.609</c:v>
                </c:pt>
                <c:pt idx="3324">
                  <c:v>7.6429999999999998</c:v>
                </c:pt>
                <c:pt idx="3325">
                  <c:v>7.6109999999999998</c:v>
                </c:pt>
                <c:pt idx="3326">
                  <c:v>7.6020000000000003</c:v>
                </c:pt>
                <c:pt idx="3327">
                  <c:v>7.5730000000000004</c:v>
                </c:pt>
                <c:pt idx="3328">
                  <c:v>7.5590000000000002</c:v>
                </c:pt>
                <c:pt idx="3329">
                  <c:v>7.5590000000000002</c:v>
                </c:pt>
                <c:pt idx="3330">
                  <c:v>7.5590000000000002</c:v>
                </c:pt>
                <c:pt idx="3331">
                  <c:v>7.5380000000000003</c:v>
                </c:pt>
                <c:pt idx="3332">
                  <c:v>7.4829999999999997</c:v>
                </c:pt>
                <c:pt idx="3333">
                  <c:v>7.4829999999999997</c:v>
                </c:pt>
                <c:pt idx="3334">
                  <c:v>7.49</c:v>
                </c:pt>
                <c:pt idx="3335">
                  <c:v>7.5289999999999999</c:v>
                </c:pt>
                <c:pt idx="3336">
                  <c:v>7.5289999999999999</c:v>
                </c:pt>
                <c:pt idx="3337">
                  <c:v>7.5289999999999999</c:v>
                </c:pt>
                <c:pt idx="3338">
                  <c:v>7.5640000000000001</c:v>
                </c:pt>
                <c:pt idx="3339">
                  <c:v>7.5579999999999998</c:v>
                </c:pt>
                <c:pt idx="3340">
                  <c:v>7.5449999999999999</c:v>
                </c:pt>
                <c:pt idx="3341">
                  <c:v>7.56</c:v>
                </c:pt>
                <c:pt idx="3342">
                  <c:v>7.5949999999999998</c:v>
                </c:pt>
                <c:pt idx="3343">
                  <c:v>7.5949999999999998</c:v>
                </c:pt>
                <c:pt idx="3344">
                  <c:v>7.5949999999999998</c:v>
                </c:pt>
                <c:pt idx="3345">
                  <c:v>7.5220000000000002</c:v>
                </c:pt>
                <c:pt idx="3346">
                  <c:v>7.5679999999999996</c:v>
                </c:pt>
                <c:pt idx="3347">
                  <c:v>7.5679999999999996</c:v>
                </c:pt>
                <c:pt idx="3348">
                  <c:v>7.4720000000000004</c:v>
                </c:pt>
                <c:pt idx="3349">
                  <c:v>7.5609999999999999</c:v>
                </c:pt>
                <c:pt idx="3350">
                  <c:v>7.5609999999999999</c:v>
                </c:pt>
                <c:pt idx="3351">
                  <c:v>7.5609999999999999</c:v>
                </c:pt>
                <c:pt idx="3352">
                  <c:v>7.5179999999999998</c:v>
                </c:pt>
                <c:pt idx="3353">
                  <c:v>7.5369999999999999</c:v>
                </c:pt>
                <c:pt idx="3354">
                  <c:v>7.5579999999999998</c:v>
                </c:pt>
                <c:pt idx="3355">
                  <c:v>7.5620000000000003</c:v>
                </c:pt>
                <c:pt idx="3356">
                  <c:v>7.5209999999999999</c:v>
                </c:pt>
                <c:pt idx="3357">
                  <c:v>7.5209999999999999</c:v>
                </c:pt>
                <c:pt idx="3358">
                  <c:v>7.5209999999999999</c:v>
                </c:pt>
                <c:pt idx="3359">
                  <c:v>7.4720000000000004</c:v>
                </c:pt>
                <c:pt idx="3360">
                  <c:v>7.4850000000000003</c:v>
                </c:pt>
                <c:pt idx="3361">
                  <c:v>7.4820000000000002</c:v>
                </c:pt>
                <c:pt idx="3362">
                  <c:v>7.4930000000000003</c:v>
                </c:pt>
                <c:pt idx="3363">
                  <c:v>7.4969999999999999</c:v>
                </c:pt>
                <c:pt idx="3364">
                  <c:v>7.4969999999999999</c:v>
                </c:pt>
                <c:pt idx="3365">
                  <c:v>7.4969999999999999</c:v>
                </c:pt>
                <c:pt idx="3366">
                  <c:v>7.5170000000000003</c:v>
                </c:pt>
                <c:pt idx="3367">
                  <c:v>7.532</c:v>
                </c:pt>
                <c:pt idx="3368">
                  <c:v>7.5369999999999999</c:v>
                </c:pt>
                <c:pt idx="3369">
                  <c:v>7.5919999999999996</c:v>
                </c:pt>
                <c:pt idx="3370">
                  <c:v>7.5369999999999999</c:v>
                </c:pt>
                <c:pt idx="3371">
                  <c:v>7.5369999999999999</c:v>
                </c:pt>
                <c:pt idx="3372">
                  <c:v>7.5369999999999999</c:v>
                </c:pt>
                <c:pt idx="3373">
                  <c:v>7.53</c:v>
                </c:pt>
                <c:pt idx="3374">
                  <c:v>7.5389999999999997</c:v>
                </c:pt>
                <c:pt idx="3375">
                  <c:v>7.5620000000000003</c:v>
                </c:pt>
                <c:pt idx="3376">
                  <c:v>7.5259999999999998</c:v>
                </c:pt>
                <c:pt idx="3377">
                  <c:v>7.5259999999999998</c:v>
                </c:pt>
                <c:pt idx="3378">
                  <c:v>7.5259999999999998</c:v>
                </c:pt>
                <c:pt idx="3379">
                  <c:v>7.5259999999999998</c:v>
                </c:pt>
                <c:pt idx="3380">
                  <c:v>7.5259999999999998</c:v>
                </c:pt>
                <c:pt idx="3381">
                  <c:v>7.4889999999999999</c:v>
                </c:pt>
                <c:pt idx="3382">
                  <c:v>7.4909999999999997</c:v>
                </c:pt>
                <c:pt idx="3383">
                  <c:v>7.5170000000000003</c:v>
                </c:pt>
                <c:pt idx="3384">
                  <c:v>7.5229999999999997</c:v>
                </c:pt>
                <c:pt idx="3385">
                  <c:v>7.5229999999999997</c:v>
                </c:pt>
                <c:pt idx="3386">
                  <c:v>7.5229999999999997</c:v>
                </c:pt>
                <c:pt idx="3387">
                  <c:v>7.6050000000000004</c:v>
                </c:pt>
                <c:pt idx="3388">
                  <c:v>7.6050000000000004</c:v>
                </c:pt>
                <c:pt idx="3389">
                  <c:v>7.5869999999999997</c:v>
                </c:pt>
                <c:pt idx="3390">
                  <c:v>7.5869999999999997</c:v>
                </c:pt>
                <c:pt idx="3391">
                  <c:v>7.5979999999999999</c:v>
                </c:pt>
                <c:pt idx="3392">
                  <c:v>7.5979999999999999</c:v>
                </c:pt>
                <c:pt idx="3393">
                  <c:v>7.5979999999999999</c:v>
                </c:pt>
                <c:pt idx="3394">
                  <c:v>7.6070000000000002</c:v>
                </c:pt>
                <c:pt idx="3395">
                  <c:v>7.6749999999999998</c:v>
                </c:pt>
                <c:pt idx="3396">
                  <c:v>7.7220000000000004</c:v>
                </c:pt>
                <c:pt idx="3397">
                  <c:v>7.782</c:v>
                </c:pt>
                <c:pt idx="3398">
                  <c:v>7.782</c:v>
                </c:pt>
                <c:pt idx="3399">
                  <c:v>7.782</c:v>
                </c:pt>
                <c:pt idx="3400">
                  <c:v>7.782</c:v>
                </c:pt>
                <c:pt idx="3401">
                  <c:v>7.7750000000000004</c:v>
                </c:pt>
                <c:pt idx="3402">
                  <c:v>7.8150000000000004</c:v>
                </c:pt>
                <c:pt idx="3403">
                  <c:v>7.8179999999999996</c:v>
                </c:pt>
                <c:pt idx="3404">
                  <c:v>7.819</c:v>
                </c:pt>
                <c:pt idx="3405">
                  <c:v>7.8280000000000003</c:v>
                </c:pt>
                <c:pt idx="3406">
                  <c:v>7.8280000000000003</c:v>
                </c:pt>
                <c:pt idx="3407">
                  <c:v>7.8280000000000003</c:v>
                </c:pt>
                <c:pt idx="3408">
                  <c:v>7.835</c:v>
                </c:pt>
                <c:pt idx="3409">
                  <c:v>7.8869999999999996</c:v>
                </c:pt>
                <c:pt idx="3410">
                  <c:v>7.9649999999999999</c:v>
                </c:pt>
                <c:pt idx="3411">
                  <c:v>8.0449999999999999</c:v>
                </c:pt>
                <c:pt idx="3412">
                  <c:v>8.0440000000000005</c:v>
                </c:pt>
                <c:pt idx="3413">
                  <c:v>8.0440000000000005</c:v>
                </c:pt>
                <c:pt idx="3414">
                  <c:v>8.0440000000000005</c:v>
                </c:pt>
                <c:pt idx="3415">
                  <c:v>8.0410000000000004</c:v>
                </c:pt>
                <c:pt idx="3416">
                  <c:v>8.0589999999999993</c:v>
                </c:pt>
                <c:pt idx="3417">
                  <c:v>8.1020000000000003</c:v>
                </c:pt>
                <c:pt idx="3418">
                  <c:v>8.1010000000000009</c:v>
                </c:pt>
                <c:pt idx="3419">
                  <c:v>8.0879999999999992</c:v>
                </c:pt>
                <c:pt idx="3420">
                  <c:v>8.0879999999999992</c:v>
                </c:pt>
                <c:pt idx="3421">
                  <c:v>8.0879999999999992</c:v>
                </c:pt>
                <c:pt idx="3422">
                  <c:v>8.0960000000000001</c:v>
                </c:pt>
                <c:pt idx="3423">
                  <c:v>8.0960000000000001</c:v>
                </c:pt>
                <c:pt idx="3424">
                  <c:v>8.125</c:v>
                </c:pt>
                <c:pt idx="3425">
                  <c:v>8.1669999999999998</c:v>
                </c:pt>
                <c:pt idx="3426">
                  <c:v>8.1780000000000008</c:v>
                </c:pt>
                <c:pt idx="3427">
                  <c:v>8.1780000000000008</c:v>
                </c:pt>
                <c:pt idx="3428">
                  <c:v>8.1780000000000008</c:v>
                </c:pt>
                <c:pt idx="3429">
                  <c:v>8.2330000000000005</c:v>
                </c:pt>
                <c:pt idx="3430">
                  <c:v>8.2189999999999994</c:v>
                </c:pt>
                <c:pt idx="3431">
                  <c:v>8.2249999999999996</c:v>
                </c:pt>
                <c:pt idx="3432">
                  <c:v>8.2230000000000008</c:v>
                </c:pt>
                <c:pt idx="3433">
                  <c:v>8.2289999999999992</c:v>
                </c:pt>
                <c:pt idx="3434">
                  <c:v>8.2289999999999992</c:v>
                </c:pt>
                <c:pt idx="3435">
                  <c:v>8.2289999999999992</c:v>
                </c:pt>
                <c:pt idx="3436">
                  <c:v>8.2569999999999997</c:v>
                </c:pt>
                <c:pt idx="3437">
                  <c:v>8.25</c:v>
                </c:pt>
                <c:pt idx="3438">
                  <c:v>8.266</c:v>
                </c:pt>
                <c:pt idx="3439">
                  <c:v>8.2319999999999993</c:v>
                </c:pt>
                <c:pt idx="3440">
                  <c:v>8.2260000000000009</c:v>
                </c:pt>
                <c:pt idx="3441">
                  <c:v>8.2260000000000009</c:v>
                </c:pt>
                <c:pt idx="3442">
                  <c:v>8.2260000000000009</c:v>
                </c:pt>
                <c:pt idx="3443">
                  <c:v>8.2119999999999997</c:v>
                </c:pt>
                <c:pt idx="3444">
                  <c:v>8.2279999999999998</c:v>
                </c:pt>
                <c:pt idx="3445">
                  <c:v>8.2360000000000007</c:v>
                </c:pt>
                <c:pt idx="3446">
                  <c:v>8.19</c:v>
                </c:pt>
                <c:pt idx="3447">
                  <c:v>8.2140000000000004</c:v>
                </c:pt>
                <c:pt idx="3448">
                  <c:v>8.2140000000000004</c:v>
                </c:pt>
                <c:pt idx="3449">
                  <c:v>8.2140000000000004</c:v>
                </c:pt>
                <c:pt idx="3450">
                  <c:v>8.27</c:v>
                </c:pt>
                <c:pt idx="3451">
                  <c:v>8.2240000000000002</c:v>
                </c:pt>
                <c:pt idx="3452">
                  <c:v>8.2449999999999992</c:v>
                </c:pt>
                <c:pt idx="3453">
                  <c:v>8.2189999999999994</c:v>
                </c:pt>
                <c:pt idx="3454">
                  <c:v>8.18</c:v>
                </c:pt>
                <c:pt idx="3455">
                  <c:v>8.18</c:v>
                </c:pt>
                <c:pt idx="3456">
                  <c:v>8.18</c:v>
                </c:pt>
                <c:pt idx="3457">
                  <c:v>8.07</c:v>
                </c:pt>
                <c:pt idx="3458">
                  <c:v>8.0649999999999995</c:v>
                </c:pt>
                <c:pt idx="3459">
                  <c:v>8.0649999999999995</c:v>
                </c:pt>
                <c:pt idx="3460">
                  <c:v>8.0039999999999996</c:v>
                </c:pt>
                <c:pt idx="3461">
                  <c:v>8.0660000000000007</c:v>
                </c:pt>
                <c:pt idx="3462">
                  <c:v>8.0660000000000007</c:v>
                </c:pt>
                <c:pt idx="3463">
                  <c:v>8.0660000000000007</c:v>
                </c:pt>
                <c:pt idx="3464">
                  <c:v>8.0280000000000005</c:v>
                </c:pt>
                <c:pt idx="3465">
                  <c:v>8.02</c:v>
                </c:pt>
                <c:pt idx="3466">
                  <c:v>8.1180000000000003</c:v>
                </c:pt>
                <c:pt idx="3467">
                  <c:v>8.1289999999999996</c:v>
                </c:pt>
                <c:pt idx="3468">
                  <c:v>8.1319999999999997</c:v>
                </c:pt>
                <c:pt idx="3469">
                  <c:v>8.1319999999999997</c:v>
                </c:pt>
                <c:pt idx="3470">
                  <c:v>8.1319999999999997</c:v>
                </c:pt>
                <c:pt idx="3471">
                  <c:v>8.1579999999999995</c:v>
                </c:pt>
                <c:pt idx="3472">
                  <c:v>8.0850000000000009</c:v>
                </c:pt>
                <c:pt idx="3473">
                  <c:v>8.173</c:v>
                </c:pt>
                <c:pt idx="3474">
                  <c:v>8.1329999999999991</c:v>
                </c:pt>
                <c:pt idx="3475">
                  <c:v>8.1</c:v>
                </c:pt>
                <c:pt idx="3476">
                  <c:v>8.1</c:v>
                </c:pt>
                <c:pt idx="3477">
                  <c:v>8.1</c:v>
                </c:pt>
                <c:pt idx="3478">
                  <c:v>8.0589999999999993</c:v>
                </c:pt>
                <c:pt idx="3479">
                  <c:v>8.077</c:v>
                </c:pt>
                <c:pt idx="3480">
                  <c:v>8.1059999999999999</c:v>
                </c:pt>
                <c:pt idx="3481">
                  <c:v>8.093</c:v>
                </c:pt>
                <c:pt idx="3482">
                  <c:v>8.048</c:v>
                </c:pt>
                <c:pt idx="3483">
                  <c:v>8.048</c:v>
                </c:pt>
                <c:pt idx="3484">
                  <c:v>8.048</c:v>
                </c:pt>
                <c:pt idx="3485">
                  <c:v>8.0419999999999998</c:v>
                </c:pt>
                <c:pt idx="3486">
                  <c:v>8.0090000000000003</c:v>
                </c:pt>
                <c:pt idx="3487">
                  <c:v>8.0429999999999993</c:v>
                </c:pt>
                <c:pt idx="3488">
                  <c:v>8.0619999999999994</c:v>
                </c:pt>
                <c:pt idx="3489">
                  <c:v>8.1679999999999993</c:v>
                </c:pt>
                <c:pt idx="3490">
                  <c:v>8.1679999999999993</c:v>
                </c:pt>
                <c:pt idx="3491">
                  <c:v>8.1679999999999993</c:v>
                </c:pt>
                <c:pt idx="3492">
                  <c:v>8.2240000000000002</c:v>
                </c:pt>
                <c:pt idx="3493">
                  <c:v>8.2379999999999995</c:v>
                </c:pt>
                <c:pt idx="3494">
                  <c:v>8.3279999999999994</c:v>
                </c:pt>
                <c:pt idx="3495">
                  <c:v>8.3740000000000006</c:v>
                </c:pt>
                <c:pt idx="3496">
                  <c:v>8.3780000000000001</c:v>
                </c:pt>
                <c:pt idx="3497">
                  <c:v>8.3780000000000001</c:v>
                </c:pt>
                <c:pt idx="3498">
                  <c:v>8.3780000000000001</c:v>
                </c:pt>
                <c:pt idx="3499">
                  <c:v>8.3550000000000004</c:v>
                </c:pt>
                <c:pt idx="3500">
                  <c:v>8.4009999999999998</c:v>
                </c:pt>
                <c:pt idx="3501">
                  <c:v>8.3919999999999995</c:v>
                </c:pt>
                <c:pt idx="3502">
                  <c:v>8.3680000000000003</c:v>
                </c:pt>
                <c:pt idx="3503">
                  <c:v>8.3219999999999992</c:v>
                </c:pt>
                <c:pt idx="3504">
                  <c:v>8.3219999999999992</c:v>
                </c:pt>
                <c:pt idx="3505">
                  <c:v>8.3219999999999992</c:v>
                </c:pt>
                <c:pt idx="3506">
                  <c:v>8.19</c:v>
                </c:pt>
                <c:pt idx="3507">
                  <c:v>8.1890000000000001</c:v>
                </c:pt>
                <c:pt idx="3508">
                  <c:v>8.1539999999999999</c:v>
                </c:pt>
                <c:pt idx="3509">
                  <c:v>8.1639999999999997</c:v>
                </c:pt>
                <c:pt idx="3510">
                  <c:v>8.1720000000000006</c:v>
                </c:pt>
                <c:pt idx="3511">
                  <c:v>8.1720000000000006</c:v>
                </c:pt>
                <c:pt idx="3512">
                  <c:v>8.1720000000000006</c:v>
                </c:pt>
                <c:pt idx="3513">
                  <c:v>8.1720000000000006</c:v>
                </c:pt>
                <c:pt idx="3514">
                  <c:v>8.2029999999999994</c:v>
                </c:pt>
                <c:pt idx="3515">
                  <c:v>8.31</c:v>
                </c:pt>
                <c:pt idx="3516">
                  <c:v>8.2420000000000009</c:v>
                </c:pt>
                <c:pt idx="3517">
                  <c:v>8.2210000000000001</c:v>
                </c:pt>
                <c:pt idx="3518">
                  <c:v>8.2210000000000001</c:v>
                </c:pt>
                <c:pt idx="3519">
                  <c:v>8.2210000000000001</c:v>
                </c:pt>
                <c:pt idx="3520">
                  <c:v>8.19</c:v>
                </c:pt>
                <c:pt idx="3521">
                  <c:v>8.2149999999999999</c:v>
                </c:pt>
                <c:pt idx="3522">
                  <c:v>8.2059999999999995</c:v>
                </c:pt>
                <c:pt idx="3523">
                  <c:v>8.1850000000000005</c:v>
                </c:pt>
                <c:pt idx="3524">
                  <c:v>8.2720000000000002</c:v>
                </c:pt>
                <c:pt idx="3525">
                  <c:v>8.2720000000000002</c:v>
                </c:pt>
                <c:pt idx="3526">
                  <c:v>8.2720000000000002</c:v>
                </c:pt>
                <c:pt idx="3527">
                  <c:v>8.2289999999999992</c:v>
                </c:pt>
                <c:pt idx="3528">
                  <c:v>8.26</c:v>
                </c:pt>
                <c:pt idx="3529">
                  <c:v>8.26</c:v>
                </c:pt>
                <c:pt idx="3530">
                  <c:v>8.26</c:v>
                </c:pt>
                <c:pt idx="3531">
                  <c:v>8.2550000000000008</c:v>
                </c:pt>
                <c:pt idx="3532">
                  <c:v>8.2550000000000008</c:v>
                </c:pt>
                <c:pt idx="3533">
                  <c:v>8.2550000000000008</c:v>
                </c:pt>
                <c:pt idx="3534">
                  <c:v>8.2929999999999993</c:v>
                </c:pt>
                <c:pt idx="3535">
                  <c:v>8.2889999999999997</c:v>
                </c:pt>
                <c:pt idx="3536">
                  <c:v>8.2970000000000006</c:v>
                </c:pt>
                <c:pt idx="3537">
                  <c:v>8.2479999999999993</c:v>
                </c:pt>
                <c:pt idx="3538">
                  <c:v>8.2639999999999993</c:v>
                </c:pt>
                <c:pt idx="3539">
                  <c:v>8.2639999999999993</c:v>
                </c:pt>
                <c:pt idx="3540">
                  <c:v>8.2639999999999993</c:v>
                </c:pt>
                <c:pt idx="3541">
                  <c:v>8.2680000000000007</c:v>
                </c:pt>
                <c:pt idx="3542">
                  <c:v>8.3569999999999993</c:v>
                </c:pt>
                <c:pt idx="3543">
                  <c:v>8.3510000000000009</c:v>
                </c:pt>
                <c:pt idx="3544">
                  <c:v>8.3780000000000001</c:v>
                </c:pt>
                <c:pt idx="3545">
                  <c:v>8.3650000000000002</c:v>
                </c:pt>
                <c:pt idx="3546">
                  <c:v>8.3650000000000002</c:v>
                </c:pt>
                <c:pt idx="3547">
                  <c:v>8.3650000000000002</c:v>
                </c:pt>
                <c:pt idx="3548">
                  <c:v>8.3510000000000009</c:v>
                </c:pt>
                <c:pt idx="3549">
                  <c:v>8.3849999999999998</c:v>
                </c:pt>
                <c:pt idx="3550">
                  <c:v>8.3759999999999994</c:v>
                </c:pt>
                <c:pt idx="3551">
                  <c:v>8.3740000000000006</c:v>
                </c:pt>
                <c:pt idx="3552">
                  <c:v>8.3919999999999995</c:v>
                </c:pt>
                <c:pt idx="3553">
                  <c:v>8.3919999999999995</c:v>
                </c:pt>
                <c:pt idx="3554">
                  <c:v>8.3919999999999995</c:v>
                </c:pt>
                <c:pt idx="3555">
                  <c:v>8.4039999999999999</c:v>
                </c:pt>
                <c:pt idx="3556">
                  <c:v>8.3670000000000009</c:v>
                </c:pt>
                <c:pt idx="3557">
                  <c:v>8.3330000000000002</c:v>
                </c:pt>
                <c:pt idx="3558">
                  <c:v>8.3339999999999996</c:v>
                </c:pt>
                <c:pt idx="3559">
                  <c:v>8.327</c:v>
                </c:pt>
                <c:pt idx="3560">
                  <c:v>8.327</c:v>
                </c:pt>
                <c:pt idx="3561">
                  <c:v>8.327</c:v>
                </c:pt>
                <c:pt idx="3562">
                  <c:v>8.3699999999999992</c:v>
                </c:pt>
                <c:pt idx="3563">
                  <c:v>8.3770000000000007</c:v>
                </c:pt>
                <c:pt idx="3564">
                  <c:v>8.4290000000000003</c:v>
                </c:pt>
                <c:pt idx="3565">
                  <c:v>8.5329999999999995</c:v>
                </c:pt>
                <c:pt idx="3566">
                  <c:v>8.4309999999999992</c:v>
                </c:pt>
                <c:pt idx="3567">
                  <c:v>8.4309999999999992</c:v>
                </c:pt>
                <c:pt idx="3568">
                  <c:v>8.4309999999999992</c:v>
                </c:pt>
                <c:pt idx="3569">
                  <c:v>8.4139999999999997</c:v>
                </c:pt>
                <c:pt idx="3570">
                  <c:v>8.5060000000000002</c:v>
                </c:pt>
                <c:pt idx="3571">
                  <c:v>8.5990000000000002</c:v>
                </c:pt>
                <c:pt idx="3572">
                  <c:v>8.4710000000000001</c:v>
                </c:pt>
                <c:pt idx="3573">
                  <c:v>8.4930000000000003</c:v>
                </c:pt>
                <c:pt idx="3574">
                  <c:v>8.4930000000000003</c:v>
                </c:pt>
                <c:pt idx="3575">
                  <c:v>8.4930000000000003</c:v>
                </c:pt>
                <c:pt idx="3576">
                  <c:v>8.532</c:v>
                </c:pt>
                <c:pt idx="3577">
                  <c:v>8.5380000000000003</c:v>
                </c:pt>
                <c:pt idx="3578">
                  <c:v>8.6059999999999999</c:v>
                </c:pt>
                <c:pt idx="3579">
                  <c:v>8.5890000000000004</c:v>
                </c:pt>
                <c:pt idx="3580">
                  <c:v>8.67</c:v>
                </c:pt>
                <c:pt idx="3581">
                  <c:v>8.67</c:v>
                </c:pt>
                <c:pt idx="3582">
                  <c:v>8.67</c:v>
                </c:pt>
                <c:pt idx="3583">
                  <c:v>8.673</c:v>
                </c:pt>
                <c:pt idx="3584">
                  <c:v>8.6219999999999999</c:v>
                </c:pt>
                <c:pt idx="3585">
                  <c:v>8.641</c:v>
                </c:pt>
                <c:pt idx="3586">
                  <c:v>8.641</c:v>
                </c:pt>
                <c:pt idx="3587">
                  <c:v>8.7100000000000009</c:v>
                </c:pt>
                <c:pt idx="3588">
                  <c:v>8.7100000000000009</c:v>
                </c:pt>
                <c:pt idx="3589">
                  <c:v>8.7100000000000009</c:v>
                </c:pt>
                <c:pt idx="3590">
                  <c:v>8.6660000000000004</c:v>
                </c:pt>
                <c:pt idx="3591">
                  <c:v>8.6880000000000006</c:v>
                </c:pt>
                <c:pt idx="3592">
                  <c:v>8.6310000000000002</c:v>
                </c:pt>
                <c:pt idx="3593">
                  <c:v>8.6210000000000004</c:v>
                </c:pt>
                <c:pt idx="3594">
                  <c:v>8.6620000000000008</c:v>
                </c:pt>
                <c:pt idx="3595">
                  <c:v>8.6620000000000008</c:v>
                </c:pt>
                <c:pt idx="3596">
                  <c:v>8.6620000000000008</c:v>
                </c:pt>
                <c:pt idx="3597">
                  <c:v>8.6620000000000008</c:v>
                </c:pt>
                <c:pt idx="3598">
                  <c:v>8.6720000000000006</c:v>
                </c:pt>
                <c:pt idx="3599">
                  <c:v>8.7899999999999991</c:v>
                </c:pt>
                <c:pt idx="3600">
                  <c:v>8.7889999999999997</c:v>
                </c:pt>
                <c:pt idx="3601">
                  <c:v>8.7439999999999998</c:v>
                </c:pt>
                <c:pt idx="3602">
                  <c:v>8.7439999999999998</c:v>
                </c:pt>
                <c:pt idx="3603">
                  <c:v>8.7439999999999998</c:v>
                </c:pt>
                <c:pt idx="3604">
                  <c:v>8.7840000000000007</c:v>
                </c:pt>
                <c:pt idx="3605">
                  <c:v>8.734</c:v>
                </c:pt>
                <c:pt idx="3606">
                  <c:v>8.7870000000000008</c:v>
                </c:pt>
                <c:pt idx="3607">
                  <c:v>8.7690000000000001</c:v>
                </c:pt>
                <c:pt idx="3608">
                  <c:v>8.7720000000000002</c:v>
                </c:pt>
                <c:pt idx="3609">
                  <c:v>8.7720000000000002</c:v>
                </c:pt>
                <c:pt idx="3610">
                  <c:v>8.7720000000000002</c:v>
                </c:pt>
                <c:pt idx="3611">
                  <c:v>8.7460000000000004</c:v>
                </c:pt>
                <c:pt idx="3612">
                  <c:v>8.7059999999999995</c:v>
                </c:pt>
                <c:pt idx="3613">
                  <c:v>8.6959999999999997</c:v>
                </c:pt>
                <c:pt idx="3614">
                  <c:v>8.6969999999999992</c:v>
                </c:pt>
                <c:pt idx="3615">
                  <c:v>8.84</c:v>
                </c:pt>
                <c:pt idx="3616">
                  <c:v>8.84</c:v>
                </c:pt>
                <c:pt idx="3617">
                  <c:v>8.84</c:v>
                </c:pt>
                <c:pt idx="3618">
                  <c:v>8.8569999999999993</c:v>
                </c:pt>
                <c:pt idx="3619">
                  <c:v>8.8670000000000009</c:v>
                </c:pt>
                <c:pt idx="3620">
                  <c:v>8.7620000000000005</c:v>
                </c:pt>
                <c:pt idx="3621">
                  <c:v>8.7119999999999997</c:v>
                </c:pt>
                <c:pt idx="3622">
                  <c:v>8.6760000000000002</c:v>
                </c:pt>
                <c:pt idx="3623">
                  <c:v>8.6760000000000002</c:v>
                </c:pt>
                <c:pt idx="3624">
                  <c:v>8.6760000000000002</c:v>
                </c:pt>
                <c:pt idx="3625">
                  <c:v>8.6310000000000002</c:v>
                </c:pt>
                <c:pt idx="3626">
                  <c:v>8.593</c:v>
                </c:pt>
                <c:pt idx="3627">
                  <c:v>8.5640000000000001</c:v>
                </c:pt>
                <c:pt idx="3628">
                  <c:v>8.5470000000000006</c:v>
                </c:pt>
                <c:pt idx="3629">
                  <c:v>8.5299999999999994</c:v>
                </c:pt>
                <c:pt idx="3630">
                  <c:v>8.5299999999999994</c:v>
                </c:pt>
                <c:pt idx="3631">
                  <c:v>8.5299999999999994</c:v>
                </c:pt>
                <c:pt idx="3632">
                  <c:v>8.5359999999999996</c:v>
                </c:pt>
                <c:pt idx="3633">
                  <c:v>8.5960000000000001</c:v>
                </c:pt>
                <c:pt idx="3634">
                  <c:v>8.5470000000000006</c:v>
                </c:pt>
                <c:pt idx="3635">
                  <c:v>8.6479999999999997</c:v>
                </c:pt>
                <c:pt idx="3636">
                  <c:v>8.5969999999999995</c:v>
                </c:pt>
                <c:pt idx="3637">
                  <c:v>8.5969999999999995</c:v>
                </c:pt>
                <c:pt idx="3638">
                  <c:v>8.5969999999999995</c:v>
                </c:pt>
                <c:pt idx="3639">
                  <c:v>8.5879999999999992</c:v>
                </c:pt>
                <c:pt idx="3640">
                  <c:v>8.5839999999999996</c:v>
                </c:pt>
                <c:pt idx="3641">
                  <c:v>8.51</c:v>
                </c:pt>
                <c:pt idx="3642">
                  <c:v>8.4890000000000008</c:v>
                </c:pt>
                <c:pt idx="3643">
                  <c:v>8.4350000000000005</c:v>
                </c:pt>
                <c:pt idx="3644">
                  <c:v>8.4350000000000005</c:v>
                </c:pt>
                <c:pt idx="3645">
                  <c:v>8.4350000000000005</c:v>
                </c:pt>
                <c:pt idx="3646">
                  <c:v>8.5</c:v>
                </c:pt>
                <c:pt idx="3647">
                  <c:v>8.4250000000000007</c:v>
                </c:pt>
                <c:pt idx="3648">
                  <c:v>8.4320000000000004</c:v>
                </c:pt>
                <c:pt idx="3649">
                  <c:v>8.5109999999999992</c:v>
                </c:pt>
                <c:pt idx="3650">
                  <c:v>8.4659999999999993</c:v>
                </c:pt>
                <c:pt idx="3651">
                  <c:v>8.4659999999999993</c:v>
                </c:pt>
                <c:pt idx="3652">
                  <c:v>8.4659999999999993</c:v>
                </c:pt>
                <c:pt idx="3653">
                  <c:v>8.4489999999999998</c:v>
                </c:pt>
                <c:pt idx="3654">
                  <c:v>8.0389999999999997</c:v>
                </c:pt>
                <c:pt idx="3655">
                  <c:v>8.0709999999999997</c:v>
                </c:pt>
                <c:pt idx="3656">
                  <c:v>8.0730000000000004</c:v>
                </c:pt>
                <c:pt idx="3657">
                  <c:v>8.0730000000000004</c:v>
                </c:pt>
                <c:pt idx="3658">
                  <c:v>8.0730000000000004</c:v>
                </c:pt>
                <c:pt idx="3659">
                  <c:v>8.0730000000000004</c:v>
                </c:pt>
                <c:pt idx="3660">
                  <c:v>8.0120000000000005</c:v>
                </c:pt>
                <c:pt idx="3661">
                  <c:v>7.8860000000000001</c:v>
                </c:pt>
                <c:pt idx="3662">
                  <c:v>7.9260000000000002</c:v>
                </c:pt>
                <c:pt idx="3663">
                  <c:v>8.0760000000000005</c:v>
                </c:pt>
                <c:pt idx="3664">
                  <c:v>7.9980000000000002</c:v>
                </c:pt>
                <c:pt idx="3665">
                  <c:v>7.9980000000000002</c:v>
                </c:pt>
                <c:pt idx="3666">
                  <c:v>7.9980000000000002</c:v>
                </c:pt>
                <c:pt idx="3667">
                  <c:v>8</c:v>
                </c:pt>
                <c:pt idx="3668">
                  <c:v>8.0030000000000001</c:v>
                </c:pt>
                <c:pt idx="3669">
                  <c:v>8.0410000000000004</c:v>
                </c:pt>
                <c:pt idx="3670">
                  <c:v>7.9980000000000002</c:v>
                </c:pt>
                <c:pt idx="3671">
                  <c:v>8.0440000000000005</c:v>
                </c:pt>
                <c:pt idx="3672">
                  <c:v>8.0440000000000005</c:v>
                </c:pt>
                <c:pt idx="3673">
                  <c:v>8.0440000000000005</c:v>
                </c:pt>
                <c:pt idx="3674">
                  <c:v>8.0470000000000006</c:v>
                </c:pt>
                <c:pt idx="3675">
                  <c:v>8.0909999999999993</c:v>
                </c:pt>
                <c:pt idx="3676">
                  <c:v>8.202</c:v>
                </c:pt>
                <c:pt idx="3677">
                  <c:v>8.2010000000000005</c:v>
                </c:pt>
                <c:pt idx="3678">
                  <c:v>8.2149999999999999</c:v>
                </c:pt>
                <c:pt idx="3679">
                  <c:v>8.2149999999999999</c:v>
                </c:pt>
                <c:pt idx="3680">
                  <c:v>8.2149999999999999</c:v>
                </c:pt>
                <c:pt idx="3681">
                  <c:v>8.1159999999999997</c:v>
                </c:pt>
                <c:pt idx="3682">
                  <c:v>8.0510000000000002</c:v>
                </c:pt>
                <c:pt idx="3683">
                  <c:v>8.0530000000000008</c:v>
                </c:pt>
                <c:pt idx="3684">
                  <c:v>8.0760000000000005</c:v>
                </c:pt>
                <c:pt idx="3685">
                  <c:v>8.0790000000000006</c:v>
                </c:pt>
                <c:pt idx="3686">
                  <c:v>8.0790000000000006</c:v>
                </c:pt>
                <c:pt idx="3687">
                  <c:v>8.0790000000000006</c:v>
                </c:pt>
                <c:pt idx="3688">
                  <c:v>8.08</c:v>
                </c:pt>
                <c:pt idx="3689">
                  <c:v>8.0670000000000002</c:v>
                </c:pt>
                <c:pt idx="3690">
                  <c:v>8.1829999999999998</c:v>
                </c:pt>
                <c:pt idx="3691">
                  <c:v>8.1859999999999999</c:v>
                </c:pt>
                <c:pt idx="3692">
                  <c:v>8.1460000000000008</c:v>
                </c:pt>
                <c:pt idx="3693">
                  <c:v>8.1460000000000008</c:v>
                </c:pt>
                <c:pt idx="3694">
                  <c:v>8.1460000000000008</c:v>
                </c:pt>
                <c:pt idx="3695">
                  <c:v>8.1430000000000007</c:v>
                </c:pt>
                <c:pt idx="3696">
                  <c:v>8.1280000000000001</c:v>
                </c:pt>
                <c:pt idx="3697">
                  <c:v>8.1039999999999992</c:v>
                </c:pt>
                <c:pt idx="3698">
                  <c:v>8.141</c:v>
                </c:pt>
                <c:pt idx="3699">
                  <c:v>8.1479999999999997</c:v>
                </c:pt>
                <c:pt idx="3700">
                  <c:v>8.1479999999999997</c:v>
                </c:pt>
                <c:pt idx="3701">
                  <c:v>8.1479999999999997</c:v>
                </c:pt>
                <c:pt idx="3702">
                  <c:v>8.1479999999999997</c:v>
                </c:pt>
                <c:pt idx="3703">
                  <c:v>8.1769999999999996</c:v>
                </c:pt>
                <c:pt idx="3704">
                  <c:v>8.1560000000000006</c:v>
                </c:pt>
                <c:pt idx="3705">
                  <c:v>8.1869999999999994</c:v>
                </c:pt>
                <c:pt idx="3706">
                  <c:v>8.1890000000000001</c:v>
                </c:pt>
                <c:pt idx="3707">
                  <c:v>8.1890000000000001</c:v>
                </c:pt>
                <c:pt idx="3708">
                  <c:v>8.1890000000000001</c:v>
                </c:pt>
                <c:pt idx="3709">
                  <c:v>8.1620000000000008</c:v>
                </c:pt>
                <c:pt idx="3710">
                  <c:v>8.1669999999999998</c:v>
                </c:pt>
                <c:pt idx="3711">
                  <c:v>8.1709999999999994</c:v>
                </c:pt>
                <c:pt idx="3712">
                  <c:v>8.1709999999999994</c:v>
                </c:pt>
                <c:pt idx="3713">
                  <c:v>8.2309999999999999</c:v>
                </c:pt>
                <c:pt idx="3714">
                  <c:v>8.2309999999999999</c:v>
                </c:pt>
                <c:pt idx="3715">
                  <c:v>8.2309999999999999</c:v>
                </c:pt>
                <c:pt idx="3716">
                  <c:v>8.2729999999999997</c:v>
                </c:pt>
                <c:pt idx="3717">
                  <c:v>8.23</c:v>
                </c:pt>
                <c:pt idx="3718">
                  <c:v>8.2080000000000002</c:v>
                </c:pt>
                <c:pt idx="3719">
                  <c:v>8.2080000000000002</c:v>
                </c:pt>
                <c:pt idx="3720">
                  <c:v>8.2080000000000002</c:v>
                </c:pt>
                <c:pt idx="3721">
                  <c:v>8.2080000000000002</c:v>
                </c:pt>
                <c:pt idx="3722">
                  <c:v>8.2080000000000002</c:v>
                </c:pt>
                <c:pt idx="3723">
                  <c:v>8.1859999999999999</c:v>
                </c:pt>
                <c:pt idx="3724">
                  <c:v>8.1460000000000008</c:v>
                </c:pt>
                <c:pt idx="3725">
                  <c:v>8.1579999999999995</c:v>
                </c:pt>
                <c:pt idx="3726">
                  <c:v>8.1530000000000005</c:v>
                </c:pt>
                <c:pt idx="3727">
                  <c:v>8.202</c:v>
                </c:pt>
                <c:pt idx="3728">
                  <c:v>8.202</c:v>
                </c:pt>
                <c:pt idx="3729">
                  <c:v>8.202</c:v>
                </c:pt>
                <c:pt idx="3730">
                  <c:v>8.1959999999999997</c:v>
                </c:pt>
                <c:pt idx="3731">
                  <c:v>8.1639999999999997</c:v>
                </c:pt>
                <c:pt idx="3732">
                  <c:v>8.1999999999999993</c:v>
                </c:pt>
                <c:pt idx="3733">
                  <c:v>8.1489999999999991</c:v>
                </c:pt>
                <c:pt idx="3734">
                  <c:v>8.1489999999999991</c:v>
                </c:pt>
                <c:pt idx="3735">
                  <c:v>8.1489999999999991</c:v>
                </c:pt>
                <c:pt idx="3736">
                  <c:v>8.1489999999999991</c:v>
                </c:pt>
                <c:pt idx="3737">
                  <c:v>8.16</c:v>
                </c:pt>
                <c:pt idx="3738">
                  <c:v>8.0990000000000002</c:v>
                </c:pt>
                <c:pt idx="3739">
                  <c:v>8.2189999999999994</c:v>
                </c:pt>
                <c:pt idx="3740">
                  <c:v>8.3119999999999994</c:v>
                </c:pt>
                <c:pt idx="3741">
                  <c:v>8.2029999999999994</c:v>
                </c:pt>
                <c:pt idx="3742">
                  <c:v>8.2029999999999994</c:v>
                </c:pt>
                <c:pt idx="3743">
                  <c:v>8.2029999999999994</c:v>
                </c:pt>
                <c:pt idx="3744">
                  <c:v>8.2029999999999994</c:v>
                </c:pt>
                <c:pt idx="3745">
                  <c:v>8.3010000000000002</c:v>
                </c:pt>
                <c:pt idx="3746">
                  <c:v>8.2609999999999992</c:v>
                </c:pt>
                <c:pt idx="3747">
                  <c:v>8.2080000000000002</c:v>
                </c:pt>
                <c:pt idx="3748">
                  <c:v>8.2080000000000002</c:v>
                </c:pt>
                <c:pt idx="3749">
                  <c:v>8.2080000000000002</c:v>
                </c:pt>
                <c:pt idx="3750">
                  <c:v>8.2080000000000002</c:v>
                </c:pt>
                <c:pt idx="3751">
                  <c:v>8.3179999999999996</c:v>
                </c:pt>
                <c:pt idx="3752">
                  <c:v>8.1690000000000005</c:v>
                </c:pt>
                <c:pt idx="3753">
                  <c:v>8.1780000000000008</c:v>
                </c:pt>
                <c:pt idx="3754">
                  <c:v>8.0950000000000006</c:v>
                </c:pt>
                <c:pt idx="3755">
                  <c:v>8.2260000000000009</c:v>
                </c:pt>
                <c:pt idx="3756">
                  <c:v>8.2260000000000009</c:v>
                </c:pt>
                <c:pt idx="3757">
                  <c:v>8.2260000000000009</c:v>
                </c:pt>
                <c:pt idx="3758">
                  <c:v>8.1050000000000004</c:v>
                </c:pt>
                <c:pt idx="3759">
                  <c:v>7.9969999999999999</c:v>
                </c:pt>
                <c:pt idx="3760">
                  <c:v>7.9870000000000001</c:v>
                </c:pt>
                <c:pt idx="3761">
                  <c:v>8.0990000000000002</c:v>
                </c:pt>
                <c:pt idx="3762">
                  <c:v>8.1059999999999999</c:v>
                </c:pt>
                <c:pt idx="3763">
                  <c:v>8.1059999999999999</c:v>
                </c:pt>
                <c:pt idx="3764">
                  <c:v>8.1059999999999999</c:v>
                </c:pt>
                <c:pt idx="3765">
                  <c:v>8.1940000000000008</c:v>
                </c:pt>
                <c:pt idx="3766">
                  <c:v>8.218</c:v>
                </c:pt>
                <c:pt idx="3767">
                  <c:v>8.2650000000000006</c:v>
                </c:pt>
                <c:pt idx="3768">
                  <c:v>8.2390000000000008</c:v>
                </c:pt>
                <c:pt idx="3769">
                  <c:v>8.2289999999999992</c:v>
                </c:pt>
                <c:pt idx="3770">
                  <c:v>8.2289999999999992</c:v>
                </c:pt>
                <c:pt idx="3771">
                  <c:v>8.2289999999999992</c:v>
                </c:pt>
                <c:pt idx="3772">
                  <c:v>8.0879999999999992</c:v>
                </c:pt>
                <c:pt idx="3773">
                  <c:v>8.0630000000000006</c:v>
                </c:pt>
                <c:pt idx="3774">
                  <c:v>8.0370000000000008</c:v>
                </c:pt>
                <c:pt idx="3775">
                  <c:v>8.0350000000000001</c:v>
                </c:pt>
                <c:pt idx="3776">
                  <c:v>8.1129999999999995</c:v>
                </c:pt>
                <c:pt idx="3777">
                  <c:v>8.1129999999999995</c:v>
                </c:pt>
                <c:pt idx="3778">
                  <c:v>8.1129999999999995</c:v>
                </c:pt>
                <c:pt idx="3779">
                  <c:v>8.1140000000000008</c:v>
                </c:pt>
                <c:pt idx="3780">
                  <c:v>8.0850000000000009</c:v>
                </c:pt>
                <c:pt idx="3781">
                  <c:v>8.0640000000000001</c:v>
                </c:pt>
                <c:pt idx="3782">
                  <c:v>8.0950000000000006</c:v>
                </c:pt>
                <c:pt idx="3783">
                  <c:v>8.1020000000000003</c:v>
                </c:pt>
                <c:pt idx="3784">
                  <c:v>8.1020000000000003</c:v>
                </c:pt>
                <c:pt idx="3785">
                  <c:v>8.1020000000000003</c:v>
                </c:pt>
                <c:pt idx="3786">
                  <c:v>8.1039999999999992</c:v>
                </c:pt>
                <c:pt idx="3787">
                  <c:v>8.109</c:v>
                </c:pt>
                <c:pt idx="3788">
                  <c:v>8.09</c:v>
                </c:pt>
                <c:pt idx="3789">
                  <c:v>8.1319999999999997</c:v>
                </c:pt>
                <c:pt idx="3790">
                  <c:v>8.1609999999999996</c:v>
                </c:pt>
                <c:pt idx="3791">
                  <c:v>8.1609999999999996</c:v>
                </c:pt>
                <c:pt idx="3792">
                  <c:v>8.1609999999999996</c:v>
                </c:pt>
                <c:pt idx="3793">
                  <c:v>8.1069999999999993</c:v>
                </c:pt>
                <c:pt idx="3794">
                  <c:v>8.1150000000000002</c:v>
                </c:pt>
                <c:pt idx="3795">
                  <c:v>8.09</c:v>
                </c:pt>
                <c:pt idx="3796">
                  <c:v>8.1170000000000009</c:v>
                </c:pt>
                <c:pt idx="3797">
                  <c:v>8.1229999999999993</c:v>
                </c:pt>
                <c:pt idx="3798">
                  <c:v>8.1229999999999993</c:v>
                </c:pt>
                <c:pt idx="3799">
                  <c:v>8.1229999999999993</c:v>
                </c:pt>
                <c:pt idx="3800">
                  <c:v>8.1240000000000006</c:v>
                </c:pt>
                <c:pt idx="3801">
                  <c:v>8.141</c:v>
                </c:pt>
                <c:pt idx="3802">
                  <c:v>8.1240000000000006</c:v>
                </c:pt>
                <c:pt idx="3803">
                  <c:v>8.1259999999999994</c:v>
                </c:pt>
                <c:pt idx="3804">
                  <c:v>8.0839999999999996</c:v>
                </c:pt>
                <c:pt idx="3805">
                  <c:v>8.0839999999999996</c:v>
                </c:pt>
                <c:pt idx="3806">
                  <c:v>8.0839999999999996</c:v>
                </c:pt>
                <c:pt idx="3807">
                  <c:v>8.0860000000000003</c:v>
                </c:pt>
                <c:pt idx="3808">
                  <c:v>8.0250000000000004</c:v>
                </c:pt>
                <c:pt idx="3809">
                  <c:v>7.9980000000000002</c:v>
                </c:pt>
                <c:pt idx="3810">
                  <c:v>7.9980000000000002</c:v>
                </c:pt>
                <c:pt idx="3811">
                  <c:v>7.9980000000000002</c:v>
                </c:pt>
                <c:pt idx="3812">
                  <c:v>7.9980000000000002</c:v>
                </c:pt>
                <c:pt idx="3813">
                  <c:v>7.9980000000000002</c:v>
                </c:pt>
                <c:pt idx="3814">
                  <c:v>7.9989999999999997</c:v>
                </c:pt>
                <c:pt idx="3815">
                  <c:v>7.907</c:v>
                </c:pt>
                <c:pt idx="3816">
                  <c:v>7.9320000000000004</c:v>
                </c:pt>
                <c:pt idx="3817">
                  <c:v>7.9340000000000002</c:v>
                </c:pt>
                <c:pt idx="3818">
                  <c:v>7.9340000000000002</c:v>
                </c:pt>
                <c:pt idx="3819">
                  <c:v>7.9340000000000002</c:v>
                </c:pt>
                <c:pt idx="3820">
                  <c:v>7.9340000000000002</c:v>
                </c:pt>
                <c:pt idx="3821">
                  <c:v>7.9340000000000002</c:v>
                </c:pt>
                <c:pt idx="3822">
                  <c:v>7.9340000000000002</c:v>
                </c:pt>
                <c:pt idx="3823">
                  <c:v>8.0380000000000003</c:v>
                </c:pt>
                <c:pt idx="3824">
                  <c:v>8.08</c:v>
                </c:pt>
                <c:pt idx="3825">
                  <c:v>8.0210000000000008</c:v>
                </c:pt>
                <c:pt idx="3826">
                  <c:v>8.0210000000000008</c:v>
                </c:pt>
                <c:pt idx="3827">
                  <c:v>8.0210000000000008</c:v>
                </c:pt>
                <c:pt idx="3828">
                  <c:v>8.0220000000000002</c:v>
                </c:pt>
                <c:pt idx="3829">
                  <c:v>8.06</c:v>
                </c:pt>
                <c:pt idx="3830">
                  <c:v>7.98</c:v>
                </c:pt>
                <c:pt idx="3831">
                  <c:v>7.9790000000000001</c:v>
                </c:pt>
                <c:pt idx="3832">
                  <c:v>7.9850000000000003</c:v>
                </c:pt>
                <c:pt idx="3833">
                  <c:v>7.9850000000000003</c:v>
                </c:pt>
                <c:pt idx="3834">
                  <c:v>7.9850000000000003</c:v>
                </c:pt>
                <c:pt idx="3835">
                  <c:v>7.9850000000000003</c:v>
                </c:pt>
                <c:pt idx="3836">
                  <c:v>7.9889999999999999</c:v>
                </c:pt>
                <c:pt idx="3837">
                  <c:v>7.9870000000000001</c:v>
                </c:pt>
                <c:pt idx="3838">
                  <c:v>7.9870000000000001</c:v>
                </c:pt>
                <c:pt idx="3839">
                  <c:v>7.9930000000000003</c:v>
                </c:pt>
                <c:pt idx="3840">
                  <c:v>7.9930000000000003</c:v>
                </c:pt>
                <c:pt idx="3841">
                  <c:v>7.9930000000000003</c:v>
                </c:pt>
                <c:pt idx="3842">
                  <c:v>7.9950000000000001</c:v>
                </c:pt>
                <c:pt idx="3843">
                  <c:v>7.9930000000000003</c:v>
                </c:pt>
                <c:pt idx="3844">
                  <c:v>7.9550000000000001</c:v>
                </c:pt>
                <c:pt idx="3845">
                  <c:v>7.915</c:v>
                </c:pt>
                <c:pt idx="3846">
                  <c:v>8.0079999999999991</c:v>
                </c:pt>
                <c:pt idx="3847">
                  <c:v>8.0079999999999991</c:v>
                </c:pt>
                <c:pt idx="3848">
                  <c:v>8.0079999999999991</c:v>
                </c:pt>
                <c:pt idx="3849">
                  <c:v>8.01</c:v>
                </c:pt>
                <c:pt idx="3850">
                  <c:v>7.9930000000000003</c:v>
                </c:pt>
                <c:pt idx="3851">
                  <c:v>7.944</c:v>
                </c:pt>
                <c:pt idx="3852">
                  <c:v>7.9669999999999996</c:v>
                </c:pt>
                <c:pt idx="3853">
                  <c:v>7.96</c:v>
                </c:pt>
                <c:pt idx="3854">
                  <c:v>7.96</c:v>
                </c:pt>
                <c:pt idx="3855">
                  <c:v>7.96</c:v>
                </c:pt>
                <c:pt idx="3856">
                  <c:v>7.88</c:v>
                </c:pt>
                <c:pt idx="3857">
                  <c:v>7.8810000000000002</c:v>
                </c:pt>
                <c:pt idx="3858">
                  <c:v>7.8860000000000001</c:v>
                </c:pt>
                <c:pt idx="3859">
                  <c:v>7.9320000000000004</c:v>
                </c:pt>
                <c:pt idx="3860">
                  <c:v>7.9560000000000004</c:v>
                </c:pt>
                <c:pt idx="3861">
                  <c:v>7.9560000000000004</c:v>
                </c:pt>
                <c:pt idx="3862">
                  <c:v>7.9560000000000004</c:v>
                </c:pt>
                <c:pt idx="3863">
                  <c:v>7.9640000000000004</c:v>
                </c:pt>
                <c:pt idx="3864">
                  <c:v>8.0820000000000007</c:v>
                </c:pt>
                <c:pt idx="3865">
                  <c:v>8.2370000000000001</c:v>
                </c:pt>
                <c:pt idx="3866">
                  <c:v>8.0449999999999999</c:v>
                </c:pt>
                <c:pt idx="3867">
                  <c:v>8.0030000000000001</c:v>
                </c:pt>
                <c:pt idx="3868">
                  <c:v>8.0030000000000001</c:v>
                </c:pt>
                <c:pt idx="3869">
                  <c:v>8.0030000000000001</c:v>
                </c:pt>
                <c:pt idx="3870">
                  <c:v>8.0050000000000008</c:v>
                </c:pt>
                <c:pt idx="3871">
                  <c:v>8.0060000000000002</c:v>
                </c:pt>
                <c:pt idx="3872">
                  <c:v>7.9980000000000002</c:v>
                </c:pt>
                <c:pt idx="3873">
                  <c:v>8.0109999999999992</c:v>
                </c:pt>
                <c:pt idx="3874">
                  <c:v>8.0169999999999995</c:v>
                </c:pt>
                <c:pt idx="3875">
                  <c:v>8.0169999999999995</c:v>
                </c:pt>
                <c:pt idx="3876">
                  <c:v>8.0169999999999995</c:v>
                </c:pt>
                <c:pt idx="3877">
                  <c:v>8.0190000000000001</c:v>
                </c:pt>
                <c:pt idx="3878">
                  <c:v>8.0229999999999997</c:v>
                </c:pt>
                <c:pt idx="3879">
                  <c:v>8.0210000000000008</c:v>
                </c:pt>
                <c:pt idx="3880">
                  <c:v>8.0269999999999992</c:v>
                </c:pt>
                <c:pt idx="3881">
                  <c:v>8.0350000000000001</c:v>
                </c:pt>
                <c:pt idx="3882">
                  <c:v>8.0350000000000001</c:v>
                </c:pt>
                <c:pt idx="3883">
                  <c:v>8.0350000000000001</c:v>
                </c:pt>
                <c:pt idx="3884">
                  <c:v>8.0350000000000001</c:v>
                </c:pt>
                <c:pt idx="3885">
                  <c:v>8.0589999999999993</c:v>
                </c:pt>
                <c:pt idx="3886">
                  <c:v>8.0410000000000004</c:v>
                </c:pt>
                <c:pt idx="3887">
                  <c:v>8.0329999999999995</c:v>
                </c:pt>
                <c:pt idx="3888">
                  <c:v>8.0370000000000008</c:v>
                </c:pt>
                <c:pt idx="3889">
                  <c:v>8.0370000000000008</c:v>
                </c:pt>
                <c:pt idx="3890">
                  <c:v>8.0370000000000008</c:v>
                </c:pt>
                <c:pt idx="3891">
                  <c:v>8.0530000000000008</c:v>
                </c:pt>
                <c:pt idx="3892">
                  <c:v>8.0440000000000005</c:v>
                </c:pt>
                <c:pt idx="3893">
                  <c:v>8.0329999999999995</c:v>
                </c:pt>
                <c:pt idx="3894">
                  <c:v>7.9539999999999997</c:v>
                </c:pt>
                <c:pt idx="3895">
                  <c:v>7.96</c:v>
                </c:pt>
                <c:pt idx="3896">
                  <c:v>7.96</c:v>
                </c:pt>
                <c:pt idx="3897">
                  <c:v>7.96</c:v>
                </c:pt>
                <c:pt idx="3898">
                  <c:v>7.9619999999999997</c:v>
                </c:pt>
                <c:pt idx="3899">
                  <c:v>7.9509999999999996</c:v>
                </c:pt>
                <c:pt idx="3900">
                  <c:v>7.9969999999999999</c:v>
                </c:pt>
                <c:pt idx="3901">
                  <c:v>8.0079999999999991</c:v>
                </c:pt>
                <c:pt idx="3902">
                  <c:v>8.0220000000000002</c:v>
                </c:pt>
                <c:pt idx="3903">
                  <c:v>8.0220000000000002</c:v>
                </c:pt>
                <c:pt idx="3904">
                  <c:v>8.0220000000000002</c:v>
                </c:pt>
                <c:pt idx="3905">
                  <c:v>8.0050000000000008</c:v>
                </c:pt>
                <c:pt idx="3906">
                  <c:v>8.0150000000000006</c:v>
                </c:pt>
                <c:pt idx="3907">
                  <c:v>8.016</c:v>
                </c:pt>
                <c:pt idx="3908">
                  <c:v>8.0169999999999995</c:v>
                </c:pt>
                <c:pt idx="3909">
                  <c:v>8.0190000000000001</c:v>
                </c:pt>
                <c:pt idx="3910">
                  <c:v>8.0190000000000001</c:v>
                </c:pt>
                <c:pt idx="3911">
                  <c:v>8.0190000000000001</c:v>
                </c:pt>
                <c:pt idx="3912">
                  <c:v>8.0210000000000008</c:v>
                </c:pt>
                <c:pt idx="3913">
                  <c:v>8.0210000000000008</c:v>
                </c:pt>
                <c:pt idx="3914">
                  <c:v>8.0210000000000008</c:v>
                </c:pt>
                <c:pt idx="3915">
                  <c:v>8.0090000000000003</c:v>
                </c:pt>
                <c:pt idx="3916">
                  <c:v>8.0329999999999995</c:v>
                </c:pt>
                <c:pt idx="3917">
                  <c:v>8.0329999999999995</c:v>
                </c:pt>
                <c:pt idx="3918">
                  <c:v>8.0329999999999995</c:v>
                </c:pt>
                <c:pt idx="3919">
                  <c:v>8.0340000000000007</c:v>
                </c:pt>
                <c:pt idx="3920">
                  <c:v>8.0500000000000007</c:v>
                </c:pt>
                <c:pt idx="3921">
                  <c:v>8.0530000000000008</c:v>
                </c:pt>
                <c:pt idx="3922">
                  <c:v>8.0329999999999995</c:v>
                </c:pt>
                <c:pt idx="3923">
                  <c:v>8.01</c:v>
                </c:pt>
                <c:pt idx="3924">
                  <c:v>8.01</c:v>
                </c:pt>
                <c:pt idx="3925">
                  <c:v>8.01</c:v>
                </c:pt>
                <c:pt idx="3926">
                  <c:v>8.0139999999999993</c:v>
                </c:pt>
                <c:pt idx="3927">
                  <c:v>8.0139999999999993</c:v>
                </c:pt>
                <c:pt idx="3928">
                  <c:v>8.0009999999999994</c:v>
                </c:pt>
                <c:pt idx="3929">
                  <c:v>7.9989999999999997</c:v>
                </c:pt>
                <c:pt idx="3930">
                  <c:v>8.0050000000000008</c:v>
                </c:pt>
                <c:pt idx="3931">
                  <c:v>8.0050000000000008</c:v>
                </c:pt>
                <c:pt idx="3932">
                  <c:v>8.0050000000000008</c:v>
                </c:pt>
                <c:pt idx="3933">
                  <c:v>8.016</c:v>
                </c:pt>
                <c:pt idx="3934">
                  <c:v>7.9669999999999996</c:v>
                </c:pt>
                <c:pt idx="3935">
                  <c:v>8.0920000000000005</c:v>
                </c:pt>
                <c:pt idx="3936">
                  <c:v>8.0050000000000008</c:v>
                </c:pt>
                <c:pt idx="3937">
                  <c:v>8.0069999999999997</c:v>
                </c:pt>
                <c:pt idx="3938">
                  <c:v>8.0069999999999997</c:v>
                </c:pt>
                <c:pt idx="3939">
                  <c:v>8.0069999999999997</c:v>
                </c:pt>
                <c:pt idx="3940">
                  <c:v>8.0090000000000003</c:v>
                </c:pt>
                <c:pt idx="3941">
                  <c:v>8.0210000000000008</c:v>
                </c:pt>
                <c:pt idx="3942">
                  <c:v>8.0109999999999992</c:v>
                </c:pt>
                <c:pt idx="3943">
                  <c:v>7.9660000000000002</c:v>
                </c:pt>
                <c:pt idx="3944">
                  <c:v>7.9669999999999996</c:v>
                </c:pt>
                <c:pt idx="3945">
                  <c:v>7.9669999999999996</c:v>
                </c:pt>
                <c:pt idx="3946">
                  <c:v>7.9669999999999996</c:v>
                </c:pt>
                <c:pt idx="3947">
                  <c:v>7.9690000000000003</c:v>
                </c:pt>
                <c:pt idx="3948">
                  <c:v>7.9690000000000003</c:v>
                </c:pt>
                <c:pt idx="3949">
                  <c:v>7.9690000000000003</c:v>
                </c:pt>
                <c:pt idx="3950">
                  <c:v>7.9690000000000003</c:v>
                </c:pt>
                <c:pt idx="3951">
                  <c:v>7.9690000000000003</c:v>
                </c:pt>
                <c:pt idx="3952">
                  <c:v>7.9690000000000003</c:v>
                </c:pt>
                <c:pt idx="3953">
                  <c:v>7.9690000000000003</c:v>
                </c:pt>
                <c:pt idx="3954">
                  <c:v>7.968</c:v>
                </c:pt>
                <c:pt idx="3955">
                  <c:v>7.9390000000000001</c:v>
                </c:pt>
                <c:pt idx="3956">
                  <c:v>8.0709999999999997</c:v>
                </c:pt>
                <c:pt idx="3957">
                  <c:v>8.0570000000000004</c:v>
                </c:pt>
                <c:pt idx="3958">
                  <c:v>7.9790000000000001</c:v>
                </c:pt>
                <c:pt idx="3959">
                  <c:v>7.9790000000000001</c:v>
                </c:pt>
                <c:pt idx="3960">
                  <c:v>7.9790000000000001</c:v>
                </c:pt>
                <c:pt idx="3961">
                  <c:v>7.9809999999999999</c:v>
                </c:pt>
                <c:pt idx="3962">
                  <c:v>8.0429999999999993</c:v>
                </c:pt>
                <c:pt idx="3963">
                  <c:v>8.0459999999999994</c:v>
                </c:pt>
                <c:pt idx="3964">
                  <c:v>8.048</c:v>
                </c:pt>
                <c:pt idx="3965">
                  <c:v>8.048</c:v>
                </c:pt>
                <c:pt idx="3966">
                  <c:v>8.048</c:v>
                </c:pt>
                <c:pt idx="3967">
                  <c:v>8.048</c:v>
                </c:pt>
                <c:pt idx="3968">
                  <c:v>8.048</c:v>
                </c:pt>
                <c:pt idx="3969">
                  <c:v>8.048</c:v>
                </c:pt>
                <c:pt idx="3970">
                  <c:v>8.048</c:v>
                </c:pt>
                <c:pt idx="3971">
                  <c:v>8.048</c:v>
                </c:pt>
                <c:pt idx="3972">
                  <c:v>8.048</c:v>
                </c:pt>
                <c:pt idx="3973">
                  <c:v>8.048</c:v>
                </c:pt>
                <c:pt idx="3974">
                  <c:v>8.048</c:v>
                </c:pt>
                <c:pt idx="3975">
                  <c:v>8.048</c:v>
                </c:pt>
                <c:pt idx="3976">
                  <c:v>8.048</c:v>
                </c:pt>
                <c:pt idx="3977">
                  <c:v>8.048</c:v>
                </c:pt>
                <c:pt idx="3978">
                  <c:v>8.048</c:v>
                </c:pt>
                <c:pt idx="3979">
                  <c:v>8.048</c:v>
                </c:pt>
                <c:pt idx="3980">
                  <c:v>8.048</c:v>
                </c:pt>
                <c:pt idx="3981">
                  <c:v>8.048</c:v>
                </c:pt>
                <c:pt idx="3982">
                  <c:v>8.0419999999999998</c:v>
                </c:pt>
                <c:pt idx="3983">
                  <c:v>8.0459999999999994</c:v>
                </c:pt>
                <c:pt idx="3984">
                  <c:v>8.0459999999999994</c:v>
                </c:pt>
                <c:pt idx="3985">
                  <c:v>8.0459999999999994</c:v>
                </c:pt>
                <c:pt idx="3986">
                  <c:v>8.0459999999999994</c:v>
                </c:pt>
                <c:pt idx="3987">
                  <c:v>8.0459999999999994</c:v>
                </c:pt>
                <c:pt idx="3988">
                  <c:v>8.0459999999999994</c:v>
                </c:pt>
                <c:pt idx="3989">
                  <c:v>8.0459999999999994</c:v>
                </c:pt>
                <c:pt idx="3990">
                  <c:v>8.0459999999999994</c:v>
                </c:pt>
                <c:pt idx="3991">
                  <c:v>8.0739999999999998</c:v>
                </c:pt>
                <c:pt idx="3992">
                  <c:v>8.0429999999999993</c:v>
                </c:pt>
                <c:pt idx="3993">
                  <c:v>8.0519999999999996</c:v>
                </c:pt>
                <c:pt idx="3994">
                  <c:v>8.0519999999999996</c:v>
                </c:pt>
                <c:pt idx="3995">
                  <c:v>8.0519999999999996</c:v>
                </c:pt>
                <c:pt idx="3996">
                  <c:v>8.0519999999999996</c:v>
                </c:pt>
                <c:pt idx="3997">
                  <c:v>8.0830000000000002</c:v>
                </c:pt>
                <c:pt idx="3998">
                  <c:v>8.0860000000000003</c:v>
                </c:pt>
                <c:pt idx="3999">
                  <c:v>8.0730000000000004</c:v>
                </c:pt>
                <c:pt idx="4000">
                  <c:v>7.9859999999999998</c:v>
                </c:pt>
                <c:pt idx="4001">
                  <c:v>7.9859999999999998</c:v>
                </c:pt>
                <c:pt idx="4002">
                  <c:v>7.9859999999999998</c:v>
                </c:pt>
                <c:pt idx="4003">
                  <c:v>8.1020000000000003</c:v>
                </c:pt>
                <c:pt idx="4004">
                  <c:v>8.0660000000000007</c:v>
                </c:pt>
                <c:pt idx="4005">
                  <c:v>8.0690000000000008</c:v>
                </c:pt>
                <c:pt idx="4006">
                  <c:v>8.0109999999999992</c:v>
                </c:pt>
                <c:pt idx="4007">
                  <c:v>8.0169999999999995</c:v>
                </c:pt>
                <c:pt idx="4008">
                  <c:v>8.0169999999999995</c:v>
                </c:pt>
                <c:pt idx="4009">
                  <c:v>8.0169999999999995</c:v>
                </c:pt>
                <c:pt idx="4010">
                  <c:v>8.0229999999999997</c:v>
                </c:pt>
                <c:pt idx="4011">
                  <c:v>8.0229999999999997</c:v>
                </c:pt>
                <c:pt idx="4012">
                  <c:v>8.0139999999999993</c:v>
                </c:pt>
                <c:pt idx="4013">
                  <c:v>8.0060000000000002</c:v>
                </c:pt>
                <c:pt idx="4014">
                  <c:v>8.0050000000000008</c:v>
                </c:pt>
                <c:pt idx="4015">
                  <c:v>8.0050000000000008</c:v>
                </c:pt>
                <c:pt idx="4016">
                  <c:v>8.0050000000000008</c:v>
                </c:pt>
                <c:pt idx="4017">
                  <c:v>7.9930000000000003</c:v>
                </c:pt>
                <c:pt idx="4018">
                  <c:v>7.9749999999999996</c:v>
                </c:pt>
                <c:pt idx="4019">
                  <c:v>7.9359999999999999</c:v>
                </c:pt>
                <c:pt idx="4020">
                  <c:v>7.9359999999999999</c:v>
                </c:pt>
                <c:pt idx="4021">
                  <c:v>7.9359999999999999</c:v>
                </c:pt>
                <c:pt idx="4022">
                  <c:v>7.9359999999999999</c:v>
                </c:pt>
                <c:pt idx="4023">
                  <c:v>7.9359999999999999</c:v>
                </c:pt>
                <c:pt idx="4024">
                  <c:v>7.9359999999999999</c:v>
                </c:pt>
                <c:pt idx="4025">
                  <c:v>7.9359999999999999</c:v>
                </c:pt>
                <c:pt idx="4026">
                  <c:v>7.9359999999999999</c:v>
                </c:pt>
                <c:pt idx="4027">
                  <c:v>7.9359999999999999</c:v>
                </c:pt>
                <c:pt idx="4028">
                  <c:v>7.9359999999999999</c:v>
                </c:pt>
                <c:pt idx="4029">
                  <c:v>7.9359999999999999</c:v>
                </c:pt>
                <c:pt idx="4030">
                  <c:v>7.9359999999999999</c:v>
                </c:pt>
                <c:pt idx="4031">
                  <c:v>7.9359999999999999</c:v>
                </c:pt>
                <c:pt idx="4032">
                  <c:v>7.8310000000000004</c:v>
                </c:pt>
                <c:pt idx="4033">
                  <c:v>7.835</c:v>
                </c:pt>
                <c:pt idx="4034">
                  <c:v>7.835</c:v>
                </c:pt>
                <c:pt idx="4035">
                  <c:v>7.835</c:v>
                </c:pt>
                <c:pt idx="4036">
                  <c:v>7.835</c:v>
                </c:pt>
                <c:pt idx="4037">
                  <c:v>7.835</c:v>
                </c:pt>
                <c:pt idx="4038">
                  <c:v>7.835</c:v>
                </c:pt>
                <c:pt idx="4039">
                  <c:v>7.8570000000000002</c:v>
                </c:pt>
                <c:pt idx="4040">
                  <c:v>7.8570000000000002</c:v>
                </c:pt>
                <c:pt idx="4041">
                  <c:v>7.8570000000000002</c:v>
                </c:pt>
                <c:pt idx="4042">
                  <c:v>7.8570000000000002</c:v>
                </c:pt>
                <c:pt idx="4043">
                  <c:v>7.8570000000000002</c:v>
                </c:pt>
                <c:pt idx="4044">
                  <c:v>7.8570000000000002</c:v>
                </c:pt>
                <c:pt idx="4045">
                  <c:v>7.9210000000000003</c:v>
                </c:pt>
                <c:pt idx="4046">
                  <c:v>7.875</c:v>
                </c:pt>
                <c:pt idx="4047">
                  <c:v>7.87</c:v>
                </c:pt>
                <c:pt idx="4048">
                  <c:v>7.819</c:v>
                </c:pt>
                <c:pt idx="4049">
                  <c:v>7.8280000000000003</c:v>
                </c:pt>
                <c:pt idx="4050">
                  <c:v>7.8280000000000003</c:v>
                </c:pt>
                <c:pt idx="4051">
                  <c:v>7.8280000000000003</c:v>
                </c:pt>
                <c:pt idx="4052">
                  <c:v>7.8520000000000003</c:v>
                </c:pt>
                <c:pt idx="4053">
                  <c:v>7.8150000000000004</c:v>
                </c:pt>
                <c:pt idx="4054">
                  <c:v>7.8330000000000002</c:v>
                </c:pt>
                <c:pt idx="4055">
                  <c:v>7.8259999999999996</c:v>
                </c:pt>
                <c:pt idx="4056">
                  <c:v>7.8090000000000002</c:v>
                </c:pt>
                <c:pt idx="4057">
                  <c:v>7.8090000000000002</c:v>
                </c:pt>
                <c:pt idx="4058">
                  <c:v>7.8090000000000002</c:v>
                </c:pt>
                <c:pt idx="4059">
                  <c:v>7.82</c:v>
                </c:pt>
                <c:pt idx="4060">
                  <c:v>7.8280000000000003</c:v>
                </c:pt>
                <c:pt idx="4061">
                  <c:v>7.8239999999999998</c:v>
                </c:pt>
                <c:pt idx="4062">
                  <c:v>7.81</c:v>
                </c:pt>
                <c:pt idx="4063">
                  <c:v>7.8</c:v>
                </c:pt>
                <c:pt idx="4064">
                  <c:v>7.8</c:v>
                </c:pt>
                <c:pt idx="4065">
                  <c:v>7.8</c:v>
                </c:pt>
                <c:pt idx="4066">
                  <c:v>7.8019999999999996</c:v>
                </c:pt>
                <c:pt idx="4067">
                  <c:v>7.8019999999999996</c:v>
                </c:pt>
                <c:pt idx="4068">
                  <c:v>7.7889999999999997</c:v>
                </c:pt>
                <c:pt idx="4069">
                  <c:v>7.7930000000000001</c:v>
                </c:pt>
                <c:pt idx="4070">
                  <c:v>7.8049999999999997</c:v>
                </c:pt>
                <c:pt idx="4071">
                  <c:v>7.8049999999999997</c:v>
                </c:pt>
                <c:pt idx="4072">
                  <c:v>7.8049999999999997</c:v>
                </c:pt>
                <c:pt idx="4073">
                  <c:v>7.8</c:v>
                </c:pt>
                <c:pt idx="4074">
                  <c:v>7.81</c:v>
                </c:pt>
                <c:pt idx="4075">
                  <c:v>7.7960000000000003</c:v>
                </c:pt>
                <c:pt idx="4076">
                  <c:v>7.8250000000000002</c:v>
                </c:pt>
                <c:pt idx="4077">
                  <c:v>7.8380000000000001</c:v>
                </c:pt>
                <c:pt idx="4078">
                  <c:v>7.8380000000000001</c:v>
                </c:pt>
                <c:pt idx="4079">
                  <c:v>7.8380000000000001</c:v>
                </c:pt>
                <c:pt idx="4080">
                  <c:v>7.8289999999999997</c:v>
                </c:pt>
                <c:pt idx="4081">
                  <c:v>7.827</c:v>
                </c:pt>
                <c:pt idx="4082">
                  <c:v>7.8310000000000004</c:v>
                </c:pt>
                <c:pt idx="4083">
                  <c:v>7.8129999999999997</c:v>
                </c:pt>
                <c:pt idx="4084">
                  <c:v>7.798</c:v>
                </c:pt>
                <c:pt idx="4085">
                  <c:v>7.798</c:v>
                </c:pt>
                <c:pt idx="4086">
                  <c:v>7.798</c:v>
                </c:pt>
                <c:pt idx="4087">
                  <c:v>7.8019999999999996</c:v>
                </c:pt>
                <c:pt idx="4088">
                  <c:v>7.8120000000000003</c:v>
                </c:pt>
                <c:pt idx="4089">
                  <c:v>7.8239999999999998</c:v>
                </c:pt>
                <c:pt idx="4090">
                  <c:v>7.8029999999999999</c:v>
                </c:pt>
                <c:pt idx="4091">
                  <c:v>7.8040000000000003</c:v>
                </c:pt>
                <c:pt idx="4092">
                  <c:v>7.8040000000000003</c:v>
                </c:pt>
                <c:pt idx="4093">
                  <c:v>7.8040000000000003</c:v>
                </c:pt>
                <c:pt idx="4094">
                  <c:v>7.8079999999999998</c:v>
                </c:pt>
                <c:pt idx="4095">
                  <c:v>7.8040000000000003</c:v>
                </c:pt>
                <c:pt idx="4096">
                  <c:v>7.8</c:v>
                </c:pt>
                <c:pt idx="4097">
                  <c:v>7.806</c:v>
                </c:pt>
                <c:pt idx="4098">
                  <c:v>7.819</c:v>
                </c:pt>
                <c:pt idx="4099">
                  <c:v>7.819</c:v>
                </c:pt>
                <c:pt idx="4100">
                  <c:v>7.819</c:v>
                </c:pt>
                <c:pt idx="4101">
                  <c:v>7.819</c:v>
                </c:pt>
                <c:pt idx="4102">
                  <c:v>7.819</c:v>
                </c:pt>
                <c:pt idx="4103">
                  <c:v>7.819</c:v>
                </c:pt>
                <c:pt idx="4104">
                  <c:v>7.819</c:v>
                </c:pt>
                <c:pt idx="4105">
                  <c:v>7.819</c:v>
                </c:pt>
                <c:pt idx="4106">
                  <c:v>7.819</c:v>
                </c:pt>
                <c:pt idx="4107">
                  <c:v>7.819</c:v>
                </c:pt>
                <c:pt idx="4108">
                  <c:v>7.819</c:v>
                </c:pt>
                <c:pt idx="4109">
                  <c:v>7.819</c:v>
                </c:pt>
                <c:pt idx="4110">
                  <c:v>7.702</c:v>
                </c:pt>
                <c:pt idx="4111">
                  <c:v>7.7080000000000002</c:v>
                </c:pt>
                <c:pt idx="4112">
                  <c:v>7.7450000000000001</c:v>
                </c:pt>
                <c:pt idx="4113">
                  <c:v>7.7450000000000001</c:v>
                </c:pt>
                <c:pt idx="4114">
                  <c:v>7.7450000000000001</c:v>
                </c:pt>
                <c:pt idx="4115">
                  <c:v>7.7489999999999997</c:v>
                </c:pt>
                <c:pt idx="4116">
                  <c:v>7.7069999999999999</c:v>
                </c:pt>
                <c:pt idx="4117">
                  <c:v>7.6989999999999998</c:v>
                </c:pt>
                <c:pt idx="4118">
                  <c:v>7.6989999999999998</c:v>
                </c:pt>
                <c:pt idx="4119">
                  <c:v>7.6790000000000003</c:v>
                </c:pt>
                <c:pt idx="4120">
                  <c:v>7.6790000000000003</c:v>
                </c:pt>
                <c:pt idx="4121">
                  <c:v>7.6790000000000003</c:v>
                </c:pt>
                <c:pt idx="4122">
                  <c:v>7.6529999999999996</c:v>
                </c:pt>
                <c:pt idx="4123">
                  <c:v>7.633</c:v>
                </c:pt>
                <c:pt idx="4124">
                  <c:v>7.59</c:v>
                </c:pt>
                <c:pt idx="4125">
                  <c:v>7.5940000000000003</c:v>
                </c:pt>
                <c:pt idx="4126">
                  <c:v>7.5940000000000003</c:v>
                </c:pt>
                <c:pt idx="4127">
                  <c:v>7.5940000000000003</c:v>
                </c:pt>
                <c:pt idx="4128">
                  <c:v>7.5940000000000003</c:v>
                </c:pt>
                <c:pt idx="4129">
                  <c:v>7.5609999999999999</c:v>
                </c:pt>
                <c:pt idx="4130">
                  <c:v>7.5720000000000001</c:v>
                </c:pt>
                <c:pt idx="4131">
                  <c:v>7.5720000000000001</c:v>
                </c:pt>
                <c:pt idx="4132">
                  <c:v>7.5030000000000001</c:v>
                </c:pt>
                <c:pt idx="4133">
                  <c:v>7.5170000000000003</c:v>
                </c:pt>
                <c:pt idx="4134">
                  <c:v>7.5170000000000003</c:v>
                </c:pt>
                <c:pt idx="4135">
                  <c:v>7.5170000000000003</c:v>
                </c:pt>
                <c:pt idx="4136">
                  <c:v>7.5209999999999999</c:v>
                </c:pt>
                <c:pt idx="4137">
                  <c:v>7.4870000000000001</c:v>
                </c:pt>
                <c:pt idx="4138">
                  <c:v>7.4870000000000001</c:v>
                </c:pt>
                <c:pt idx="4139">
                  <c:v>7.4870000000000001</c:v>
                </c:pt>
                <c:pt idx="4140">
                  <c:v>7.4939999999999998</c:v>
                </c:pt>
                <c:pt idx="4141">
                  <c:v>7.4939999999999998</c:v>
                </c:pt>
                <c:pt idx="4142">
                  <c:v>7.4939999999999998</c:v>
                </c:pt>
                <c:pt idx="4143">
                  <c:v>7.4980000000000002</c:v>
                </c:pt>
                <c:pt idx="4144">
                  <c:v>7.4909999999999997</c:v>
                </c:pt>
                <c:pt idx="4145">
                  <c:v>7.4950000000000001</c:v>
                </c:pt>
                <c:pt idx="4146">
                  <c:v>7.3179999999999996</c:v>
                </c:pt>
                <c:pt idx="4147">
                  <c:v>7.4139999999999997</c:v>
                </c:pt>
                <c:pt idx="4148">
                  <c:v>7.4139999999999997</c:v>
                </c:pt>
                <c:pt idx="4149">
                  <c:v>7.4139999999999997</c:v>
                </c:pt>
                <c:pt idx="4150">
                  <c:v>7.4180000000000001</c:v>
                </c:pt>
                <c:pt idx="4151">
                  <c:v>7.3949999999999996</c:v>
                </c:pt>
                <c:pt idx="4152">
                  <c:v>7.234</c:v>
                </c:pt>
                <c:pt idx="4153">
                  <c:v>7.2670000000000003</c:v>
                </c:pt>
                <c:pt idx="4154">
                  <c:v>7.2759999999999998</c:v>
                </c:pt>
                <c:pt idx="4155">
                  <c:v>7.2759999999999998</c:v>
                </c:pt>
                <c:pt idx="4156">
                  <c:v>7.2759999999999998</c:v>
                </c:pt>
                <c:pt idx="4157">
                  <c:v>7.2759999999999998</c:v>
                </c:pt>
                <c:pt idx="4158">
                  <c:v>7.258</c:v>
                </c:pt>
                <c:pt idx="4159">
                  <c:v>7.2759999999999998</c:v>
                </c:pt>
                <c:pt idx="4160">
                  <c:v>7.2679999999999998</c:v>
                </c:pt>
                <c:pt idx="4161">
                  <c:v>7.2640000000000002</c:v>
                </c:pt>
                <c:pt idx="4162">
                  <c:v>7.2640000000000002</c:v>
                </c:pt>
                <c:pt idx="4163">
                  <c:v>7.2640000000000002</c:v>
                </c:pt>
                <c:pt idx="4164">
                  <c:v>7.2670000000000003</c:v>
                </c:pt>
                <c:pt idx="4165">
                  <c:v>7.1859999999999999</c:v>
                </c:pt>
                <c:pt idx="4166">
                  <c:v>7.2309999999999999</c:v>
                </c:pt>
                <c:pt idx="4167">
                  <c:v>7.2809999999999997</c:v>
                </c:pt>
                <c:pt idx="4168">
                  <c:v>7.2910000000000004</c:v>
                </c:pt>
                <c:pt idx="4169">
                  <c:v>7.2910000000000004</c:v>
                </c:pt>
                <c:pt idx="4170">
                  <c:v>7.2910000000000004</c:v>
                </c:pt>
                <c:pt idx="4171">
                  <c:v>7.2939999999999996</c:v>
                </c:pt>
                <c:pt idx="4172">
                  <c:v>7.2939999999999996</c:v>
                </c:pt>
                <c:pt idx="4173">
                  <c:v>7.2939999999999996</c:v>
                </c:pt>
                <c:pt idx="4174">
                  <c:v>7.2939999999999996</c:v>
                </c:pt>
                <c:pt idx="4175">
                  <c:v>7.3079999999999998</c:v>
                </c:pt>
                <c:pt idx="4176">
                  <c:v>7.3079999999999998</c:v>
                </c:pt>
                <c:pt idx="4177">
                  <c:v>7.3079999999999998</c:v>
                </c:pt>
                <c:pt idx="4178">
                  <c:v>7.3109999999999999</c:v>
                </c:pt>
                <c:pt idx="4179">
                  <c:v>7.3109999999999999</c:v>
                </c:pt>
                <c:pt idx="4180">
                  <c:v>7.7409999999999997</c:v>
                </c:pt>
                <c:pt idx="4181">
                  <c:v>7.415</c:v>
                </c:pt>
                <c:pt idx="4182">
                  <c:v>7.4729999999999999</c:v>
                </c:pt>
                <c:pt idx="4183">
                  <c:v>7.4729999999999999</c:v>
                </c:pt>
                <c:pt idx="4184">
                  <c:v>7.4729999999999999</c:v>
                </c:pt>
                <c:pt idx="4185">
                  <c:v>7.3680000000000003</c:v>
                </c:pt>
                <c:pt idx="4186">
                  <c:v>7.3680000000000003</c:v>
                </c:pt>
                <c:pt idx="4187">
                  <c:v>7.3789999999999996</c:v>
                </c:pt>
                <c:pt idx="4188">
                  <c:v>7.4640000000000004</c:v>
                </c:pt>
                <c:pt idx="4189">
                  <c:v>7.4749999999999996</c:v>
                </c:pt>
                <c:pt idx="4190">
                  <c:v>7.4749999999999996</c:v>
                </c:pt>
                <c:pt idx="4191">
                  <c:v>7.4749999999999996</c:v>
                </c:pt>
                <c:pt idx="4192">
                  <c:v>7.4790000000000001</c:v>
                </c:pt>
                <c:pt idx="4193">
                  <c:v>7.7240000000000002</c:v>
                </c:pt>
                <c:pt idx="4194">
                  <c:v>7.7329999999999997</c:v>
                </c:pt>
                <c:pt idx="4195">
                  <c:v>7.7380000000000004</c:v>
                </c:pt>
                <c:pt idx="4196">
                  <c:v>7.7380000000000004</c:v>
                </c:pt>
                <c:pt idx="4197">
                  <c:v>7.7380000000000004</c:v>
                </c:pt>
                <c:pt idx="4198">
                  <c:v>7.7380000000000004</c:v>
                </c:pt>
                <c:pt idx="4199">
                  <c:v>7.7530000000000001</c:v>
                </c:pt>
                <c:pt idx="4200">
                  <c:v>7.758</c:v>
                </c:pt>
                <c:pt idx="4201">
                  <c:v>7.641</c:v>
                </c:pt>
                <c:pt idx="4202">
                  <c:v>7.6449999999999996</c:v>
                </c:pt>
                <c:pt idx="4203">
                  <c:v>7.6589999999999998</c:v>
                </c:pt>
                <c:pt idx="4204">
                  <c:v>7.6589999999999998</c:v>
                </c:pt>
                <c:pt idx="4205">
                  <c:v>7.6589999999999998</c:v>
                </c:pt>
                <c:pt idx="4206">
                  <c:v>7.7270000000000003</c:v>
                </c:pt>
                <c:pt idx="4207">
                  <c:v>7.7320000000000002</c:v>
                </c:pt>
                <c:pt idx="4208">
                  <c:v>7.7370000000000001</c:v>
                </c:pt>
                <c:pt idx="4209">
                  <c:v>7.641</c:v>
                </c:pt>
                <c:pt idx="4210">
                  <c:v>7.758</c:v>
                </c:pt>
                <c:pt idx="4211">
                  <c:v>7.758</c:v>
                </c:pt>
                <c:pt idx="4212">
                  <c:v>7.758</c:v>
                </c:pt>
                <c:pt idx="4213">
                  <c:v>7.7510000000000003</c:v>
                </c:pt>
                <c:pt idx="4214">
                  <c:v>7.7510000000000003</c:v>
                </c:pt>
                <c:pt idx="4215">
                  <c:v>7.7510000000000003</c:v>
                </c:pt>
                <c:pt idx="4216">
                  <c:v>9.1539999999999999</c:v>
                </c:pt>
                <c:pt idx="4217">
                  <c:v>9.1539999999999999</c:v>
                </c:pt>
                <c:pt idx="4218">
                  <c:v>9.1539999999999999</c:v>
                </c:pt>
                <c:pt idx="4219">
                  <c:v>9.1539999999999999</c:v>
                </c:pt>
                <c:pt idx="4220">
                  <c:v>9.1539999999999999</c:v>
                </c:pt>
                <c:pt idx="4221">
                  <c:v>9.1539999999999999</c:v>
                </c:pt>
                <c:pt idx="4222">
                  <c:v>9.1539999999999999</c:v>
                </c:pt>
                <c:pt idx="4223">
                  <c:v>9.1539999999999999</c:v>
                </c:pt>
                <c:pt idx="4224">
                  <c:v>9.1539999999999999</c:v>
                </c:pt>
                <c:pt idx="4225">
                  <c:v>9.1539999999999999</c:v>
                </c:pt>
                <c:pt idx="4226">
                  <c:v>9.1539999999999999</c:v>
                </c:pt>
                <c:pt idx="4227">
                  <c:v>9.1539999999999999</c:v>
                </c:pt>
                <c:pt idx="4228">
                  <c:v>9.1539999999999999</c:v>
                </c:pt>
                <c:pt idx="4229">
                  <c:v>10.776</c:v>
                </c:pt>
                <c:pt idx="4230">
                  <c:v>10.545</c:v>
                </c:pt>
                <c:pt idx="4231">
                  <c:v>10.545</c:v>
                </c:pt>
                <c:pt idx="4232">
                  <c:v>10.545</c:v>
                </c:pt>
                <c:pt idx="4233">
                  <c:v>10.545</c:v>
                </c:pt>
                <c:pt idx="4234">
                  <c:v>10.026</c:v>
                </c:pt>
                <c:pt idx="4235">
                  <c:v>10.497</c:v>
                </c:pt>
                <c:pt idx="4236">
                  <c:v>9.9969999999999999</c:v>
                </c:pt>
                <c:pt idx="4237">
                  <c:v>10.053000000000001</c:v>
                </c:pt>
                <c:pt idx="4238">
                  <c:v>10.053000000000001</c:v>
                </c:pt>
                <c:pt idx="4239">
                  <c:v>10.053000000000001</c:v>
                </c:pt>
                <c:pt idx="4240">
                  <c:v>10.053000000000001</c:v>
                </c:pt>
                <c:pt idx="4241">
                  <c:v>10.053000000000001</c:v>
                </c:pt>
                <c:pt idx="4242">
                  <c:v>10.053000000000001</c:v>
                </c:pt>
                <c:pt idx="4243">
                  <c:v>10.053000000000001</c:v>
                </c:pt>
                <c:pt idx="4244">
                  <c:v>10.053000000000001</c:v>
                </c:pt>
                <c:pt idx="4245">
                  <c:v>10.053000000000001</c:v>
                </c:pt>
                <c:pt idx="4246">
                  <c:v>10.053000000000001</c:v>
                </c:pt>
                <c:pt idx="4247">
                  <c:v>10.053000000000001</c:v>
                </c:pt>
                <c:pt idx="4248">
                  <c:v>10.053000000000001</c:v>
                </c:pt>
                <c:pt idx="4249">
                  <c:v>10.053000000000001</c:v>
                </c:pt>
                <c:pt idx="4250">
                  <c:v>10.244999999999999</c:v>
                </c:pt>
                <c:pt idx="4251">
                  <c:v>10.244999999999999</c:v>
                </c:pt>
                <c:pt idx="4252">
                  <c:v>10.244999999999999</c:v>
                </c:pt>
                <c:pt idx="4253">
                  <c:v>10.244999999999999</c:v>
                </c:pt>
                <c:pt idx="4254">
                  <c:v>10.244999999999999</c:v>
                </c:pt>
                <c:pt idx="4255">
                  <c:v>10.244999999999999</c:v>
                </c:pt>
                <c:pt idx="4256">
                  <c:v>10.244999999999999</c:v>
                </c:pt>
                <c:pt idx="4257">
                  <c:v>10.244999999999999</c:v>
                </c:pt>
                <c:pt idx="4258">
                  <c:v>10.779</c:v>
                </c:pt>
                <c:pt idx="4259">
                  <c:v>10.273</c:v>
                </c:pt>
                <c:pt idx="4260">
                  <c:v>10.273</c:v>
                </c:pt>
                <c:pt idx="4261">
                  <c:v>10.273</c:v>
                </c:pt>
                <c:pt idx="4262">
                  <c:v>10.273</c:v>
                </c:pt>
                <c:pt idx="4263">
                  <c:v>10.273</c:v>
                </c:pt>
                <c:pt idx="4264">
                  <c:v>10.273</c:v>
                </c:pt>
                <c:pt idx="4265">
                  <c:v>9.7149999999999999</c:v>
                </c:pt>
                <c:pt idx="4266">
                  <c:v>9.7040000000000006</c:v>
                </c:pt>
                <c:pt idx="4267">
                  <c:v>9.7040000000000006</c:v>
                </c:pt>
                <c:pt idx="4268">
                  <c:v>9.7040000000000006</c:v>
                </c:pt>
                <c:pt idx="4269">
                  <c:v>9.7040000000000006</c:v>
                </c:pt>
                <c:pt idx="4270">
                  <c:v>9.7040000000000006</c:v>
                </c:pt>
                <c:pt idx="4271">
                  <c:v>9.8000000000000007</c:v>
                </c:pt>
                <c:pt idx="4272">
                  <c:v>10.007999999999999</c:v>
                </c:pt>
                <c:pt idx="4273">
                  <c:v>9.8109999999999999</c:v>
                </c:pt>
                <c:pt idx="4274">
                  <c:v>9.8109999999999999</c:v>
                </c:pt>
                <c:pt idx="4275">
                  <c:v>9.8109999999999999</c:v>
                </c:pt>
                <c:pt idx="4276">
                  <c:v>9.8109999999999999</c:v>
                </c:pt>
                <c:pt idx="4277">
                  <c:v>9.8239999999999998</c:v>
                </c:pt>
                <c:pt idx="4278">
                  <c:v>9.7949999999999999</c:v>
                </c:pt>
                <c:pt idx="4279">
                  <c:v>9.7949999999999999</c:v>
                </c:pt>
                <c:pt idx="4280">
                  <c:v>9.7949999999999999</c:v>
                </c:pt>
                <c:pt idx="4281">
                  <c:v>9.7949999999999999</c:v>
                </c:pt>
                <c:pt idx="4282">
                  <c:v>9.7949999999999999</c:v>
                </c:pt>
                <c:pt idx="4283">
                  <c:v>9.7949999999999999</c:v>
                </c:pt>
                <c:pt idx="4284">
                  <c:v>9.7949999999999999</c:v>
                </c:pt>
                <c:pt idx="4285">
                  <c:v>9.6959999999999997</c:v>
                </c:pt>
                <c:pt idx="4286">
                  <c:v>9.3889999999999993</c:v>
                </c:pt>
                <c:pt idx="4287">
                  <c:v>9.3330000000000002</c:v>
                </c:pt>
                <c:pt idx="4288">
                  <c:v>9.3330000000000002</c:v>
                </c:pt>
                <c:pt idx="4289">
                  <c:v>9.3330000000000002</c:v>
                </c:pt>
                <c:pt idx="4290">
                  <c:v>9.1829999999999998</c:v>
                </c:pt>
                <c:pt idx="4291">
                  <c:v>9.19</c:v>
                </c:pt>
                <c:pt idx="4292">
                  <c:v>9.19</c:v>
                </c:pt>
                <c:pt idx="4293">
                  <c:v>9.19</c:v>
                </c:pt>
                <c:pt idx="4294">
                  <c:v>9.1029999999999998</c:v>
                </c:pt>
                <c:pt idx="4295">
                  <c:v>9.1029999999999998</c:v>
                </c:pt>
                <c:pt idx="4296">
                  <c:v>9.1029999999999998</c:v>
                </c:pt>
                <c:pt idx="4297">
                  <c:v>9.1029999999999998</c:v>
                </c:pt>
                <c:pt idx="4298">
                  <c:v>8.7810000000000006</c:v>
                </c:pt>
                <c:pt idx="4299">
                  <c:v>8.8800000000000008</c:v>
                </c:pt>
                <c:pt idx="4300">
                  <c:v>8.8930000000000007</c:v>
                </c:pt>
                <c:pt idx="4301">
                  <c:v>8.9120000000000008</c:v>
                </c:pt>
                <c:pt idx="4302">
                  <c:v>8.9120000000000008</c:v>
                </c:pt>
                <c:pt idx="4303">
                  <c:v>8.9120000000000008</c:v>
                </c:pt>
                <c:pt idx="4304">
                  <c:v>8.9960000000000004</c:v>
                </c:pt>
                <c:pt idx="4305">
                  <c:v>9.0489999999999995</c:v>
                </c:pt>
                <c:pt idx="4306">
                  <c:v>9.0489999999999995</c:v>
                </c:pt>
                <c:pt idx="4307">
                  <c:v>8.9779999999999998</c:v>
                </c:pt>
                <c:pt idx="4308">
                  <c:v>9</c:v>
                </c:pt>
                <c:pt idx="4309">
                  <c:v>9</c:v>
                </c:pt>
                <c:pt idx="4310">
                  <c:v>9</c:v>
                </c:pt>
                <c:pt idx="4311">
                  <c:v>8.8480000000000008</c:v>
                </c:pt>
                <c:pt idx="4312">
                  <c:v>9.0890000000000004</c:v>
                </c:pt>
                <c:pt idx="4313">
                  <c:v>9.1150000000000002</c:v>
                </c:pt>
                <c:pt idx="4314">
                  <c:v>9.1150000000000002</c:v>
                </c:pt>
                <c:pt idx="4315">
                  <c:v>9.1150000000000002</c:v>
                </c:pt>
                <c:pt idx="4316">
                  <c:v>9.1150000000000002</c:v>
                </c:pt>
                <c:pt idx="4317">
                  <c:v>9.1150000000000002</c:v>
                </c:pt>
                <c:pt idx="4318">
                  <c:v>8.6150000000000002</c:v>
                </c:pt>
                <c:pt idx="4319">
                  <c:v>8.8539999999999992</c:v>
                </c:pt>
                <c:pt idx="4320">
                  <c:v>8.9619999999999997</c:v>
                </c:pt>
                <c:pt idx="4321">
                  <c:v>8.9619999999999997</c:v>
                </c:pt>
                <c:pt idx="4322">
                  <c:v>8.6959999999999997</c:v>
                </c:pt>
                <c:pt idx="4323">
                  <c:v>8.6959999999999997</c:v>
                </c:pt>
                <c:pt idx="4324">
                  <c:v>8.6959999999999997</c:v>
                </c:pt>
                <c:pt idx="4325">
                  <c:v>8.6959999999999997</c:v>
                </c:pt>
                <c:pt idx="4326">
                  <c:v>8.67</c:v>
                </c:pt>
                <c:pt idx="4327">
                  <c:v>8.7639999999999993</c:v>
                </c:pt>
                <c:pt idx="4328">
                  <c:v>8.7780000000000005</c:v>
                </c:pt>
                <c:pt idx="4329">
                  <c:v>8.8800000000000008</c:v>
                </c:pt>
                <c:pt idx="4330">
                  <c:v>8.8800000000000008</c:v>
                </c:pt>
                <c:pt idx="4331">
                  <c:v>8.8800000000000008</c:v>
                </c:pt>
                <c:pt idx="4332">
                  <c:v>9.0109999999999992</c:v>
                </c:pt>
                <c:pt idx="4333">
                  <c:v>9.0109999999999992</c:v>
                </c:pt>
                <c:pt idx="4334">
                  <c:v>9.0109999999999992</c:v>
                </c:pt>
                <c:pt idx="4335">
                  <c:v>8.952</c:v>
                </c:pt>
                <c:pt idx="4336">
                  <c:v>8.952</c:v>
                </c:pt>
                <c:pt idx="4337">
                  <c:v>8.952</c:v>
                </c:pt>
                <c:pt idx="4338">
                  <c:v>8.952</c:v>
                </c:pt>
                <c:pt idx="4339">
                  <c:v>8.9710000000000001</c:v>
                </c:pt>
                <c:pt idx="4340">
                  <c:v>8.9410000000000007</c:v>
                </c:pt>
                <c:pt idx="4341">
                  <c:v>9.0169999999999995</c:v>
                </c:pt>
                <c:pt idx="4342">
                  <c:v>9.0310000000000006</c:v>
                </c:pt>
                <c:pt idx="4343">
                  <c:v>9.02</c:v>
                </c:pt>
                <c:pt idx="4344">
                  <c:v>9.02</c:v>
                </c:pt>
                <c:pt idx="4345">
                  <c:v>9.02</c:v>
                </c:pt>
                <c:pt idx="4346">
                  <c:v>9.0500000000000007</c:v>
                </c:pt>
                <c:pt idx="4347">
                  <c:v>9.0220000000000002</c:v>
                </c:pt>
                <c:pt idx="4348">
                  <c:v>9.0210000000000008</c:v>
                </c:pt>
                <c:pt idx="4349">
                  <c:v>8.99</c:v>
                </c:pt>
                <c:pt idx="4350">
                  <c:v>9.0120000000000005</c:v>
                </c:pt>
                <c:pt idx="4351">
                  <c:v>9.0120000000000005</c:v>
                </c:pt>
                <c:pt idx="4352">
                  <c:v>9.0120000000000005</c:v>
                </c:pt>
                <c:pt idx="4353">
                  <c:v>8.9239999999999995</c:v>
                </c:pt>
                <c:pt idx="4354">
                  <c:v>8.8659999999999997</c:v>
                </c:pt>
                <c:pt idx="4355">
                  <c:v>8.8490000000000002</c:v>
                </c:pt>
                <c:pt idx="4356">
                  <c:v>8.8149999999999995</c:v>
                </c:pt>
                <c:pt idx="4357">
                  <c:v>8.8829999999999991</c:v>
                </c:pt>
                <c:pt idx="4358">
                  <c:v>8.8829999999999991</c:v>
                </c:pt>
                <c:pt idx="4359">
                  <c:v>8.8829999999999991</c:v>
                </c:pt>
                <c:pt idx="4360">
                  <c:v>8.9410000000000007</c:v>
                </c:pt>
                <c:pt idx="4361">
                  <c:v>8.8800000000000008</c:v>
                </c:pt>
                <c:pt idx="4362">
                  <c:v>8.8409999999999993</c:v>
                </c:pt>
                <c:pt idx="4363">
                  <c:v>8.8290000000000006</c:v>
                </c:pt>
                <c:pt idx="4364">
                  <c:v>8.8810000000000002</c:v>
                </c:pt>
                <c:pt idx="4365">
                  <c:v>8.8810000000000002</c:v>
                </c:pt>
                <c:pt idx="4366">
                  <c:v>8.8810000000000002</c:v>
                </c:pt>
                <c:pt idx="4367">
                  <c:v>8.9459999999999997</c:v>
                </c:pt>
                <c:pt idx="4368">
                  <c:v>8.9499999999999993</c:v>
                </c:pt>
                <c:pt idx="4369">
                  <c:v>8.859</c:v>
                </c:pt>
                <c:pt idx="4370">
                  <c:v>8.8230000000000004</c:v>
                </c:pt>
                <c:pt idx="4371">
                  <c:v>8.8640000000000008</c:v>
                </c:pt>
                <c:pt idx="4372">
                  <c:v>8.8640000000000008</c:v>
                </c:pt>
                <c:pt idx="4373">
                  <c:v>8.8640000000000008</c:v>
                </c:pt>
                <c:pt idx="4374">
                  <c:v>8.8659999999999997</c:v>
                </c:pt>
                <c:pt idx="4375">
                  <c:v>8.8800000000000008</c:v>
                </c:pt>
                <c:pt idx="4376">
                  <c:v>8.8800000000000008</c:v>
                </c:pt>
                <c:pt idx="4377">
                  <c:v>8.923</c:v>
                </c:pt>
                <c:pt idx="4378">
                  <c:v>8.952</c:v>
                </c:pt>
                <c:pt idx="4379">
                  <c:v>8.952</c:v>
                </c:pt>
                <c:pt idx="4380">
                  <c:v>8.952</c:v>
                </c:pt>
                <c:pt idx="4381">
                  <c:v>8.8960000000000008</c:v>
                </c:pt>
                <c:pt idx="4382">
                  <c:v>8.8379999999999992</c:v>
                </c:pt>
                <c:pt idx="4383">
                  <c:v>8.8059999999999992</c:v>
                </c:pt>
                <c:pt idx="4384">
                  <c:v>8.7279999999999998</c:v>
                </c:pt>
                <c:pt idx="4385">
                  <c:v>8.5500000000000007</c:v>
                </c:pt>
                <c:pt idx="4386">
                  <c:v>8.5500000000000007</c:v>
                </c:pt>
                <c:pt idx="4387">
                  <c:v>8.5500000000000007</c:v>
                </c:pt>
                <c:pt idx="4388">
                  <c:v>8.5519999999999996</c:v>
                </c:pt>
                <c:pt idx="4389">
                  <c:v>8.577</c:v>
                </c:pt>
                <c:pt idx="4390">
                  <c:v>8.6769999999999996</c:v>
                </c:pt>
                <c:pt idx="4391">
                  <c:v>8.593</c:v>
                </c:pt>
                <c:pt idx="4392">
                  <c:v>8.4670000000000005</c:v>
                </c:pt>
                <c:pt idx="4393">
                  <c:v>8.4670000000000005</c:v>
                </c:pt>
                <c:pt idx="4394">
                  <c:v>8.4670000000000005</c:v>
                </c:pt>
                <c:pt idx="4395">
                  <c:v>8.5779999999999994</c:v>
                </c:pt>
                <c:pt idx="4396">
                  <c:v>8.5760000000000005</c:v>
                </c:pt>
                <c:pt idx="4397">
                  <c:v>8.4540000000000006</c:v>
                </c:pt>
                <c:pt idx="4398">
                  <c:v>8.4290000000000003</c:v>
                </c:pt>
                <c:pt idx="4399">
                  <c:v>8.5169999999999995</c:v>
                </c:pt>
                <c:pt idx="4400">
                  <c:v>8.5169999999999995</c:v>
                </c:pt>
                <c:pt idx="4401">
                  <c:v>8.5169999999999995</c:v>
                </c:pt>
                <c:pt idx="4402">
                  <c:v>8.3330000000000002</c:v>
                </c:pt>
                <c:pt idx="4403">
                  <c:v>8.5280000000000005</c:v>
                </c:pt>
                <c:pt idx="4404">
                  <c:v>8.5239999999999991</c:v>
                </c:pt>
                <c:pt idx="4405">
                  <c:v>8.5510000000000002</c:v>
                </c:pt>
                <c:pt idx="4406">
                  <c:v>8.4510000000000005</c:v>
                </c:pt>
                <c:pt idx="4407">
                  <c:v>8.4510000000000005</c:v>
                </c:pt>
                <c:pt idx="4408">
                  <c:v>8.4510000000000005</c:v>
                </c:pt>
                <c:pt idx="4409">
                  <c:v>8.4510000000000005</c:v>
                </c:pt>
                <c:pt idx="4410">
                  <c:v>8.3859999999999992</c:v>
                </c:pt>
                <c:pt idx="4411">
                  <c:v>8.4009999999999998</c:v>
                </c:pt>
                <c:pt idx="4412">
                  <c:v>8.5090000000000003</c:v>
                </c:pt>
                <c:pt idx="4413">
                  <c:v>8.5229999999999997</c:v>
                </c:pt>
                <c:pt idx="4414">
                  <c:v>8.5229999999999997</c:v>
                </c:pt>
                <c:pt idx="4415">
                  <c:v>8.5229999999999997</c:v>
                </c:pt>
                <c:pt idx="4416">
                  <c:v>8.6460000000000008</c:v>
                </c:pt>
                <c:pt idx="4417">
                  <c:v>8.51</c:v>
                </c:pt>
                <c:pt idx="4418">
                  <c:v>8.5009999999999994</c:v>
                </c:pt>
                <c:pt idx="4419">
                  <c:v>8.4979999999999993</c:v>
                </c:pt>
                <c:pt idx="4420">
                  <c:v>8.4580000000000002</c:v>
                </c:pt>
                <c:pt idx="4421">
                  <c:v>8.4580000000000002</c:v>
                </c:pt>
                <c:pt idx="4422">
                  <c:v>8.4580000000000002</c:v>
                </c:pt>
                <c:pt idx="4423">
                  <c:v>8.766</c:v>
                </c:pt>
                <c:pt idx="4424">
                  <c:v>8.6720000000000006</c:v>
                </c:pt>
                <c:pt idx="4425">
                  <c:v>8.68</c:v>
                </c:pt>
                <c:pt idx="4426">
                  <c:v>8.766</c:v>
                </c:pt>
                <c:pt idx="4427">
                  <c:v>8.68</c:v>
                </c:pt>
                <c:pt idx="4428">
                  <c:v>8.68</c:v>
                </c:pt>
                <c:pt idx="4429">
                  <c:v>8.68</c:v>
                </c:pt>
                <c:pt idx="4430">
                  <c:v>8.68</c:v>
                </c:pt>
                <c:pt idx="4431">
                  <c:v>9.9890000000000008</c:v>
                </c:pt>
                <c:pt idx="4432">
                  <c:v>9.9890000000000008</c:v>
                </c:pt>
                <c:pt idx="4433">
                  <c:v>8.6549999999999994</c:v>
                </c:pt>
                <c:pt idx="4434">
                  <c:v>8.5609999999999999</c:v>
                </c:pt>
                <c:pt idx="4435">
                  <c:v>8.5609999999999999</c:v>
                </c:pt>
                <c:pt idx="4436">
                  <c:v>8.5609999999999999</c:v>
                </c:pt>
                <c:pt idx="4437">
                  <c:v>8.5980000000000008</c:v>
                </c:pt>
                <c:pt idx="4438">
                  <c:v>8.6280000000000001</c:v>
                </c:pt>
                <c:pt idx="4439">
                  <c:v>8.6850000000000005</c:v>
                </c:pt>
                <c:pt idx="4440">
                  <c:v>8.6170000000000009</c:v>
                </c:pt>
                <c:pt idx="4441">
                  <c:v>8.6170000000000009</c:v>
                </c:pt>
                <c:pt idx="4442">
                  <c:v>8.6170000000000009</c:v>
                </c:pt>
                <c:pt idx="4443">
                  <c:v>8.6170000000000009</c:v>
                </c:pt>
                <c:pt idx="4444">
                  <c:v>8.7189999999999994</c:v>
                </c:pt>
                <c:pt idx="4445">
                  <c:v>8.7420000000000009</c:v>
                </c:pt>
                <c:pt idx="4446">
                  <c:v>8.74</c:v>
                </c:pt>
                <c:pt idx="4447">
                  <c:v>8.6630000000000003</c:v>
                </c:pt>
                <c:pt idx="4448">
                  <c:v>8.6229999999999993</c:v>
                </c:pt>
                <c:pt idx="4449">
                  <c:v>8.6229999999999993</c:v>
                </c:pt>
                <c:pt idx="4450">
                  <c:v>8.6229999999999993</c:v>
                </c:pt>
                <c:pt idx="4451">
                  <c:v>8.6229999999999993</c:v>
                </c:pt>
                <c:pt idx="4452">
                  <c:v>8.6790000000000003</c:v>
                </c:pt>
                <c:pt idx="4453">
                  <c:v>8.5690000000000008</c:v>
                </c:pt>
                <c:pt idx="4454">
                  <c:v>8.6310000000000002</c:v>
                </c:pt>
                <c:pt idx="4455">
                  <c:v>8.6050000000000004</c:v>
                </c:pt>
                <c:pt idx="4456">
                  <c:v>8.6050000000000004</c:v>
                </c:pt>
                <c:pt idx="4457">
                  <c:v>8.6050000000000004</c:v>
                </c:pt>
                <c:pt idx="4458">
                  <c:v>8.6050000000000004</c:v>
                </c:pt>
                <c:pt idx="4459">
                  <c:v>8.6750000000000007</c:v>
                </c:pt>
                <c:pt idx="4460">
                  <c:v>8.7110000000000003</c:v>
                </c:pt>
                <c:pt idx="4461">
                  <c:v>8.7210000000000001</c:v>
                </c:pt>
                <c:pt idx="4462">
                  <c:v>8.6530000000000005</c:v>
                </c:pt>
                <c:pt idx="4463">
                  <c:v>8.6530000000000005</c:v>
                </c:pt>
                <c:pt idx="4464">
                  <c:v>8.6530000000000005</c:v>
                </c:pt>
                <c:pt idx="4465">
                  <c:v>8.6959999999999997</c:v>
                </c:pt>
                <c:pt idx="4466">
                  <c:v>8.6609999999999996</c:v>
                </c:pt>
                <c:pt idx="4467">
                  <c:v>8.734</c:v>
                </c:pt>
                <c:pt idx="4468">
                  <c:v>8.7170000000000005</c:v>
                </c:pt>
                <c:pt idx="4469">
                  <c:v>8.5950000000000006</c:v>
                </c:pt>
                <c:pt idx="4470">
                  <c:v>8.5950000000000006</c:v>
                </c:pt>
                <c:pt idx="4471">
                  <c:v>8.5950000000000006</c:v>
                </c:pt>
                <c:pt idx="4472">
                  <c:v>8.5950000000000006</c:v>
                </c:pt>
                <c:pt idx="4473">
                  <c:v>8.5950000000000006</c:v>
                </c:pt>
                <c:pt idx="4474">
                  <c:v>8.76</c:v>
                </c:pt>
                <c:pt idx="4475">
                  <c:v>8.718</c:v>
                </c:pt>
                <c:pt idx="4476">
                  <c:v>8.734</c:v>
                </c:pt>
                <c:pt idx="4477">
                  <c:v>8.734</c:v>
                </c:pt>
                <c:pt idx="4478">
                  <c:v>8.734</c:v>
                </c:pt>
                <c:pt idx="4479">
                  <c:v>8.657</c:v>
                </c:pt>
                <c:pt idx="4480">
                  <c:v>8.6539999999999999</c:v>
                </c:pt>
                <c:pt idx="4481">
                  <c:v>8.7840000000000007</c:v>
                </c:pt>
                <c:pt idx="4482">
                  <c:v>8.6449999999999996</c:v>
                </c:pt>
                <c:pt idx="4483">
                  <c:v>8.6259999999999994</c:v>
                </c:pt>
                <c:pt idx="4484">
                  <c:v>8.6259999999999994</c:v>
                </c:pt>
                <c:pt idx="4485">
                  <c:v>8.6259999999999994</c:v>
                </c:pt>
                <c:pt idx="4486">
                  <c:v>8.6259999999999994</c:v>
                </c:pt>
                <c:pt idx="4487">
                  <c:v>8.6839999999999993</c:v>
                </c:pt>
                <c:pt idx="4488">
                  <c:v>8.7189999999999994</c:v>
                </c:pt>
                <c:pt idx="4489">
                  <c:v>8.6</c:v>
                </c:pt>
                <c:pt idx="4490">
                  <c:v>8.5990000000000002</c:v>
                </c:pt>
                <c:pt idx="4491">
                  <c:v>8.5990000000000002</c:v>
                </c:pt>
                <c:pt idx="4492">
                  <c:v>8.5990000000000002</c:v>
                </c:pt>
                <c:pt idx="4493">
                  <c:v>8.5990000000000002</c:v>
                </c:pt>
                <c:pt idx="4494">
                  <c:v>8.6069999999999993</c:v>
                </c:pt>
                <c:pt idx="4495">
                  <c:v>8.6560000000000006</c:v>
                </c:pt>
                <c:pt idx="4496">
                  <c:v>8.6549999999999994</c:v>
                </c:pt>
                <c:pt idx="4497">
                  <c:v>8.6280000000000001</c:v>
                </c:pt>
                <c:pt idx="4498">
                  <c:v>8.6280000000000001</c:v>
                </c:pt>
                <c:pt idx="4499">
                  <c:v>8.6280000000000001</c:v>
                </c:pt>
                <c:pt idx="4500">
                  <c:v>8.6280000000000001</c:v>
                </c:pt>
                <c:pt idx="4501">
                  <c:v>8.6349999999999998</c:v>
                </c:pt>
                <c:pt idx="4502">
                  <c:v>8.641</c:v>
                </c:pt>
                <c:pt idx="4503">
                  <c:v>8.64</c:v>
                </c:pt>
                <c:pt idx="4504">
                  <c:v>8.6050000000000004</c:v>
                </c:pt>
                <c:pt idx="4505">
                  <c:v>8.6050000000000004</c:v>
                </c:pt>
                <c:pt idx="4506">
                  <c:v>8.6050000000000004</c:v>
                </c:pt>
                <c:pt idx="4507">
                  <c:v>8.5410000000000004</c:v>
                </c:pt>
                <c:pt idx="4508">
                  <c:v>8.5679999999999996</c:v>
                </c:pt>
                <c:pt idx="4509">
                  <c:v>8.5690000000000008</c:v>
                </c:pt>
                <c:pt idx="4510">
                  <c:v>8.5530000000000008</c:v>
                </c:pt>
                <c:pt idx="4511">
                  <c:v>8.5350000000000001</c:v>
                </c:pt>
                <c:pt idx="4512">
                  <c:v>8.5350000000000001</c:v>
                </c:pt>
                <c:pt idx="4513">
                  <c:v>8.5350000000000001</c:v>
                </c:pt>
                <c:pt idx="4514">
                  <c:v>8.5830000000000002</c:v>
                </c:pt>
                <c:pt idx="4515">
                  <c:v>8.5820000000000007</c:v>
                </c:pt>
                <c:pt idx="4516">
                  <c:v>8.5809999999999995</c:v>
                </c:pt>
                <c:pt idx="4517">
                  <c:v>8.5229999999999997</c:v>
                </c:pt>
                <c:pt idx="4518">
                  <c:v>8.4730000000000008</c:v>
                </c:pt>
                <c:pt idx="4519">
                  <c:v>8.4730000000000008</c:v>
                </c:pt>
                <c:pt idx="4520">
                  <c:v>8.4730000000000008</c:v>
                </c:pt>
                <c:pt idx="4521">
                  <c:v>8.4079999999999995</c:v>
                </c:pt>
                <c:pt idx="4522">
                  <c:v>8.468</c:v>
                </c:pt>
                <c:pt idx="4523">
                  <c:v>8.4380000000000006</c:v>
                </c:pt>
                <c:pt idx="4524">
                  <c:v>8.4700000000000006</c:v>
                </c:pt>
                <c:pt idx="4525">
                  <c:v>8.3810000000000002</c:v>
                </c:pt>
                <c:pt idx="4526">
                  <c:v>8.3810000000000002</c:v>
                </c:pt>
                <c:pt idx="4527">
                  <c:v>8.3810000000000002</c:v>
                </c:pt>
                <c:pt idx="4528">
                  <c:v>8.5079999999999991</c:v>
                </c:pt>
                <c:pt idx="4529">
                  <c:v>8.3629999999999995</c:v>
                </c:pt>
                <c:pt idx="4530">
                  <c:v>8.2989999999999995</c:v>
                </c:pt>
                <c:pt idx="4531">
                  <c:v>8.3889999999999993</c:v>
                </c:pt>
                <c:pt idx="4532">
                  <c:v>8.298</c:v>
                </c:pt>
                <c:pt idx="4533">
                  <c:v>8.298</c:v>
                </c:pt>
                <c:pt idx="4534">
                  <c:v>8.298</c:v>
                </c:pt>
                <c:pt idx="4535">
                  <c:v>8.298</c:v>
                </c:pt>
                <c:pt idx="4536">
                  <c:v>8.3919999999999995</c:v>
                </c:pt>
                <c:pt idx="4537">
                  <c:v>8.3079999999999998</c:v>
                </c:pt>
                <c:pt idx="4538">
                  <c:v>8.2829999999999995</c:v>
                </c:pt>
                <c:pt idx="4539">
                  <c:v>8.2620000000000005</c:v>
                </c:pt>
                <c:pt idx="4540">
                  <c:v>8.2620000000000005</c:v>
                </c:pt>
                <c:pt idx="4541">
                  <c:v>8.2620000000000005</c:v>
                </c:pt>
                <c:pt idx="4542">
                  <c:v>8.2149999999999999</c:v>
                </c:pt>
                <c:pt idx="4543">
                  <c:v>8.2170000000000005</c:v>
                </c:pt>
                <c:pt idx="4544">
                  <c:v>8.1300000000000008</c:v>
                </c:pt>
                <c:pt idx="4545">
                  <c:v>9.2140000000000004</c:v>
                </c:pt>
                <c:pt idx="4546">
                  <c:v>9.1489999999999991</c:v>
                </c:pt>
                <c:pt idx="4547">
                  <c:v>9.1489999999999991</c:v>
                </c:pt>
                <c:pt idx="4548">
                  <c:v>9.1489999999999991</c:v>
                </c:pt>
                <c:pt idx="4549">
                  <c:v>9.1489999999999991</c:v>
                </c:pt>
                <c:pt idx="4550">
                  <c:v>9.1489999999999991</c:v>
                </c:pt>
                <c:pt idx="4551">
                  <c:v>8.5440000000000005</c:v>
                </c:pt>
                <c:pt idx="4552">
                  <c:v>8.5359999999999996</c:v>
                </c:pt>
                <c:pt idx="4553">
                  <c:v>8.5359999999999996</c:v>
                </c:pt>
                <c:pt idx="4554">
                  <c:v>8.5359999999999996</c:v>
                </c:pt>
                <c:pt idx="4555">
                  <c:v>8.5359999999999996</c:v>
                </c:pt>
                <c:pt idx="4556">
                  <c:v>8.5359999999999996</c:v>
                </c:pt>
                <c:pt idx="4557">
                  <c:v>8.4779999999999998</c:v>
                </c:pt>
                <c:pt idx="4558">
                  <c:v>8.4689999999999994</c:v>
                </c:pt>
                <c:pt idx="4559">
                  <c:v>8.3879999999999999</c:v>
                </c:pt>
                <c:pt idx="4560">
                  <c:v>8.3970000000000002</c:v>
                </c:pt>
                <c:pt idx="4561">
                  <c:v>8.3970000000000002</c:v>
                </c:pt>
                <c:pt idx="4562">
                  <c:v>8.3970000000000002</c:v>
                </c:pt>
                <c:pt idx="4563">
                  <c:v>8.3970000000000002</c:v>
                </c:pt>
                <c:pt idx="4564">
                  <c:v>8.4039999999999999</c:v>
                </c:pt>
                <c:pt idx="4565">
                  <c:v>8.407</c:v>
                </c:pt>
                <c:pt idx="4566">
                  <c:v>8.4659999999999993</c:v>
                </c:pt>
                <c:pt idx="4567">
                  <c:v>8.4659999999999993</c:v>
                </c:pt>
                <c:pt idx="4568">
                  <c:v>8.4659999999999993</c:v>
                </c:pt>
                <c:pt idx="4569">
                  <c:v>8.4659999999999993</c:v>
                </c:pt>
                <c:pt idx="4570">
                  <c:v>8.4659999999999993</c:v>
                </c:pt>
                <c:pt idx="4571">
                  <c:v>8.4659999999999993</c:v>
                </c:pt>
                <c:pt idx="4572">
                  <c:v>8.4659999999999993</c:v>
                </c:pt>
                <c:pt idx="4573">
                  <c:v>8.48</c:v>
                </c:pt>
                <c:pt idx="4574">
                  <c:v>8.48</c:v>
                </c:pt>
                <c:pt idx="4575">
                  <c:v>8.48</c:v>
                </c:pt>
                <c:pt idx="4576">
                  <c:v>8.48</c:v>
                </c:pt>
                <c:pt idx="4577">
                  <c:v>8.48</c:v>
                </c:pt>
                <c:pt idx="4578">
                  <c:v>8.718</c:v>
                </c:pt>
                <c:pt idx="4579">
                  <c:v>8.6859999999999999</c:v>
                </c:pt>
                <c:pt idx="4580">
                  <c:v>8.6890000000000001</c:v>
                </c:pt>
                <c:pt idx="4581">
                  <c:v>8.6980000000000004</c:v>
                </c:pt>
                <c:pt idx="4582">
                  <c:v>8.6980000000000004</c:v>
                </c:pt>
                <c:pt idx="4583">
                  <c:v>8.6980000000000004</c:v>
                </c:pt>
                <c:pt idx="4584">
                  <c:v>8.6980000000000004</c:v>
                </c:pt>
                <c:pt idx="4585">
                  <c:v>8.64</c:v>
                </c:pt>
                <c:pt idx="4586">
                  <c:v>8.6709999999999994</c:v>
                </c:pt>
                <c:pt idx="4587">
                  <c:v>8.5399999999999991</c:v>
                </c:pt>
                <c:pt idx="4588">
                  <c:v>8.5120000000000005</c:v>
                </c:pt>
                <c:pt idx="4589">
                  <c:v>8.5120000000000005</c:v>
                </c:pt>
                <c:pt idx="4590">
                  <c:v>8.5120000000000005</c:v>
                </c:pt>
                <c:pt idx="4591">
                  <c:v>8.5120000000000005</c:v>
                </c:pt>
                <c:pt idx="4592">
                  <c:v>8.5120000000000005</c:v>
                </c:pt>
                <c:pt idx="4593">
                  <c:v>8.5120000000000005</c:v>
                </c:pt>
                <c:pt idx="4594">
                  <c:v>8.5120000000000005</c:v>
                </c:pt>
                <c:pt idx="4595">
                  <c:v>8.6660000000000004</c:v>
                </c:pt>
                <c:pt idx="4596">
                  <c:v>8.6660000000000004</c:v>
                </c:pt>
                <c:pt idx="4597">
                  <c:v>8.6660000000000004</c:v>
                </c:pt>
                <c:pt idx="4598">
                  <c:v>8.6739999999999995</c:v>
                </c:pt>
                <c:pt idx="4599">
                  <c:v>8.7579999999999991</c:v>
                </c:pt>
                <c:pt idx="4600">
                  <c:v>8.8369999999999997</c:v>
                </c:pt>
                <c:pt idx="4601">
                  <c:v>8.7080000000000002</c:v>
                </c:pt>
                <c:pt idx="4602">
                  <c:v>8.7230000000000008</c:v>
                </c:pt>
                <c:pt idx="4603">
                  <c:v>8.7230000000000008</c:v>
                </c:pt>
                <c:pt idx="4604">
                  <c:v>8.7230000000000008</c:v>
                </c:pt>
                <c:pt idx="4605">
                  <c:v>8.7040000000000006</c:v>
                </c:pt>
                <c:pt idx="4606">
                  <c:v>8.7080000000000002</c:v>
                </c:pt>
                <c:pt idx="4607">
                  <c:v>8.7119999999999997</c:v>
                </c:pt>
                <c:pt idx="4608">
                  <c:v>8.7170000000000005</c:v>
                </c:pt>
                <c:pt idx="4609">
                  <c:v>8.75</c:v>
                </c:pt>
                <c:pt idx="4610">
                  <c:v>8.75</c:v>
                </c:pt>
                <c:pt idx="4611">
                  <c:v>8.75</c:v>
                </c:pt>
                <c:pt idx="4612">
                  <c:v>8.75</c:v>
                </c:pt>
                <c:pt idx="4613">
                  <c:v>8.7390000000000008</c:v>
                </c:pt>
                <c:pt idx="4614">
                  <c:v>8.6489999999999991</c:v>
                </c:pt>
                <c:pt idx="4615">
                  <c:v>8.66</c:v>
                </c:pt>
                <c:pt idx="4616">
                  <c:v>8.6609999999999996</c:v>
                </c:pt>
                <c:pt idx="4617">
                  <c:v>8.6609999999999996</c:v>
                </c:pt>
                <c:pt idx="4618">
                  <c:v>8.6609999999999996</c:v>
                </c:pt>
                <c:pt idx="4619">
                  <c:v>8.6649999999999991</c:v>
                </c:pt>
                <c:pt idx="4620">
                  <c:v>8.6609999999999996</c:v>
                </c:pt>
                <c:pt idx="4621">
                  <c:v>8.6489999999999991</c:v>
                </c:pt>
                <c:pt idx="4622">
                  <c:v>8.6769999999999996</c:v>
                </c:pt>
                <c:pt idx="4623">
                  <c:v>8.6769999999999996</c:v>
                </c:pt>
                <c:pt idx="4624">
                  <c:v>8.6769999999999996</c:v>
                </c:pt>
                <c:pt idx="4625">
                  <c:v>8.6769999999999996</c:v>
                </c:pt>
                <c:pt idx="4626">
                  <c:v>8.6769999999999996</c:v>
                </c:pt>
                <c:pt idx="4627">
                  <c:v>8.718</c:v>
                </c:pt>
                <c:pt idx="4628">
                  <c:v>8.6530000000000005</c:v>
                </c:pt>
                <c:pt idx="4629">
                  <c:v>8.6430000000000007</c:v>
                </c:pt>
                <c:pt idx="4630">
                  <c:v>8.6590000000000007</c:v>
                </c:pt>
                <c:pt idx="4631">
                  <c:v>8.6590000000000007</c:v>
                </c:pt>
                <c:pt idx="4632">
                  <c:v>8.6590000000000007</c:v>
                </c:pt>
                <c:pt idx="4633">
                  <c:v>8.6379999999999999</c:v>
                </c:pt>
                <c:pt idx="4634">
                  <c:v>8.673</c:v>
                </c:pt>
                <c:pt idx="4635">
                  <c:v>8.6660000000000004</c:v>
                </c:pt>
                <c:pt idx="4636">
                  <c:v>8.6509999999999998</c:v>
                </c:pt>
                <c:pt idx="4637">
                  <c:v>8.6790000000000003</c:v>
                </c:pt>
                <c:pt idx="4638">
                  <c:v>8.6790000000000003</c:v>
                </c:pt>
                <c:pt idx="4639">
                  <c:v>8.6790000000000003</c:v>
                </c:pt>
                <c:pt idx="4640">
                  <c:v>8.6430000000000007</c:v>
                </c:pt>
                <c:pt idx="4641">
                  <c:v>8.7460000000000004</c:v>
                </c:pt>
                <c:pt idx="4642">
                  <c:v>8.6549999999999994</c:v>
                </c:pt>
                <c:pt idx="4643">
                  <c:v>8.5830000000000002</c:v>
                </c:pt>
                <c:pt idx="4644">
                  <c:v>8.6359999999999992</c:v>
                </c:pt>
                <c:pt idx="4645">
                  <c:v>8.6359999999999992</c:v>
                </c:pt>
                <c:pt idx="4646">
                  <c:v>8.6359999999999992</c:v>
                </c:pt>
                <c:pt idx="4647">
                  <c:v>8.5250000000000004</c:v>
                </c:pt>
                <c:pt idx="4648">
                  <c:v>8.5969999999999995</c:v>
                </c:pt>
                <c:pt idx="4649">
                  <c:v>8.6069999999999993</c:v>
                </c:pt>
                <c:pt idx="4650">
                  <c:v>8.6370000000000005</c:v>
                </c:pt>
                <c:pt idx="4651">
                  <c:v>8.6159999999999997</c:v>
                </c:pt>
                <c:pt idx="4652">
                  <c:v>8.6159999999999997</c:v>
                </c:pt>
                <c:pt idx="4653">
                  <c:v>8.6159999999999997</c:v>
                </c:pt>
                <c:pt idx="4654">
                  <c:v>8.6289999999999996</c:v>
                </c:pt>
                <c:pt idx="4655">
                  <c:v>8.6660000000000004</c:v>
                </c:pt>
                <c:pt idx="4656">
                  <c:v>8.625</c:v>
                </c:pt>
                <c:pt idx="4657">
                  <c:v>8.6240000000000006</c:v>
                </c:pt>
                <c:pt idx="4658">
                  <c:v>8.6240000000000006</c:v>
                </c:pt>
                <c:pt idx="4659">
                  <c:v>8.6240000000000006</c:v>
                </c:pt>
                <c:pt idx="4660">
                  <c:v>8.6240000000000006</c:v>
                </c:pt>
                <c:pt idx="4661">
                  <c:v>8.6240000000000006</c:v>
                </c:pt>
                <c:pt idx="4662">
                  <c:v>8.6159999999999997</c:v>
                </c:pt>
                <c:pt idx="4663">
                  <c:v>8.5540000000000003</c:v>
                </c:pt>
                <c:pt idx="4664">
                  <c:v>8.59</c:v>
                </c:pt>
                <c:pt idx="4665">
                  <c:v>8.5980000000000008</c:v>
                </c:pt>
                <c:pt idx="4666">
                  <c:v>8.5980000000000008</c:v>
                </c:pt>
                <c:pt idx="4667">
                  <c:v>8.5980000000000008</c:v>
                </c:pt>
                <c:pt idx="4668">
                  <c:v>8.5920000000000005</c:v>
                </c:pt>
                <c:pt idx="4669">
                  <c:v>8.5790000000000006</c:v>
                </c:pt>
                <c:pt idx="4670">
                  <c:v>8.5790000000000006</c:v>
                </c:pt>
                <c:pt idx="4671">
                  <c:v>8.5679999999999996</c:v>
                </c:pt>
                <c:pt idx="4672">
                  <c:v>8.5370000000000008</c:v>
                </c:pt>
                <c:pt idx="4673">
                  <c:v>8.5370000000000008</c:v>
                </c:pt>
                <c:pt idx="4674">
                  <c:v>8.5370000000000008</c:v>
                </c:pt>
                <c:pt idx="4675">
                  <c:v>8.5210000000000008</c:v>
                </c:pt>
                <c:pt idx="4676">
                  <c:v>8.5190000000000001</c:v>
                </c:pt>
                <c:pt idx="4677">
                  <c:v>8.4949999999999992</c:v>
                </c:pt>
                <c:pt idx="4678">
                  <c:v>8.4969999999999999</c:v>
                </c:pt>
                <c:pt idx="4679">
                  <c:v>8.4969999999999999</c:v>
                </c:pt>
                <c:pt idx="4680">
                  <c:v>8.4969999999999999</c:v>
                </c:pt>
                <c:pt idx="4681">
                  <c:v>8.4969999999999999</c:v>
                </c:pt>
                <c:pt idx="4682">
                  <c:v>8.484</c:v>
                </c:pt>
                <c:pt idx="4683">
                  <c:v>8.4139999999999997</c:v>
                </c:pt>
                <c:pt idx="4684">
                  <c:v>8.4039999999999999</c:v>
                </c:pt>
                <c:pt idx="4685">
                  <c:v>8.3699999999999992</c:v>
                </c:pt>
                <c:pt idx="4686">
                  <c:v>8.3460000000000001</c:v>
                </c:pt>
                <c:pt idx="4687">
                  <c:v>8.3460000000000001</c:v>
                </c:pt>
                <c:pt idx="4688">
                  <c:v>8.3460000000000001</c:v>
                </c:pt>
                <c:pt idx="4689">
                  <c:v>8.3079999999999998</c:v>
                </c:pt>
                <c:pt idx="4690">
                  <c:v>8.3079999999999998</c:v>
                </c:pt>
                <c:pt idx="4691">
                  <c:v>8.2710000000000008</c:v>
                </c:pt>
                <c:pt idx="4692">
                  <c:v>8.2720000000000002</c:v>
                </c:pt>
                <c:pt idx="4693">
                  <c:v>8.2840000000000007</c:v>
                </c:pt>
                <c:pt idx="4694">
                  <c:v>8.2840000000000007</c:v>
                </c:pt>
                <c:pt idx="4695">
                  <c:v>8.2840000000000007</c:v>
                </c:pt>
                <c:pt idx="4696">
                  <c:v>8.2859999999999996</c:v>
                </c:pt>
                <c:pt idx="4697">
                  <c:v>8.3149999999999995</c:v>
                </c:pt>
                <c:pt idx="4698">
                  <c:v>8.3170000000000002</c:v>
                </c:pt>
                <c:pt idx="4699">
                  <c:v>8.3670000000000009</c:v>
                </c:pt>
                <c:pt idx="4700">
                  <c:v>8.343</c:v>
                </c:pt>
                <c:pt idx="4701">
                  <c:v>8.343</c:v>
                </c:pt>
                <c:pt idx="4702">
                  <c:v>8.343</c:v>
                </c:pt>
                <c:pt idx="4703">
                  <c:v>8.35</c:v>
                </c:pt>
                <c:pt idx="4704">
                  <c:v>8.3490000000000002</c:v>
                </c:pt>
                <c:pt idx="4705">
                  <c:v>8.3729999999999993</c:v>
                </c:pt>
                <c:pt idx="4706">
                  <c:v>8.3330000000000002</c:v>
                </c:pt>
                <c:pt idx="4707">
                  <c:v>8.3190000000000008</c:v>
                </c:pt>
                <c:pt idx="4708">
                  <c:v>8.3190000000000008</c:v>
                </c:pt>
                <c:pt idx="4709">
                  <c:v>8.3190000000000008</c:v>
                </c:pt>
                <c:pt idx="4710">
                  <c:v>8.3109999999999999</c:v>
                </c:pt>
                <c:pt idx="4711">
                  <c:v>8.3190000000000008</c:v>
                </c:pt>
                <c:pt idx="4712">
                  <c:v>8.3230000000000004</c:v>
                </c:pt>
                <c:pt idx="4713">
                  <c:v>8.3149999999999995</c:v>
                </c:pt>
                <c:pt idx="4714">
                  <c:v>8.2590000000000003</c:v>
                </c:pt>
                <c:pt idx="4715">
                  <c:v>8.2590000000000003</c:v>
                </c:pt>
                <c:pt idx="4716">
                  <c:v>8.2590000000000003</c:v>
                </c:pt>
                <c:pt idx="4717">
                  <c:v>8.2370000000000001</c:v>
                </c:pt>
                <c:pt idx="4718">
                  <c:v>8.2059999999999995</c:v>
                </c:pt>
                <c:pt idx="4719">
                  <c:v>8.2379999999999995</c:v>
                </c:pt>
                <c:pt idx="4720">
                  <c:v>8.2189999999999994</c:v>
                </c:pt>
                <c:pt idx="4721">
                  <c:v>8.2110000000000003</c:v>
                </c:pt>
                <c:pt idx="4722">
                  <c:v>8.2110000000000003</c:v>
                </c:pt>
                <c:pt idx="4723">
                  <c:v>8.2110000000000003</c:v>
                </c:pt>
                <c:pt idx="4724">
                  <c:v>8.1920000000000002</c:v>
                </c:pt>
                <c:pt idx="4725">
                  <c:v>8.1869999999999994</c:v>
                </c:pt>
                <c:pt idx="4726">
                  <c:v>8.1989999999999998</c:v>
                </c:pt>
                <c:pt idx="4727">
                  <c:v>8.1590000000000007</c:v>
                </c:pt>
                <c:pt idx="4728">
                  <c:v>8.1839999999999993</c:v>
                </c:pt>
                <c:pt idx="4729">
                  <c:v>8.1839999999999993</c:v>
                </c:pt>
                <c:pt idx="4730">
                  <c:v>8.1839999999999993</c:v>
                </c:pt>
                <c:pt idx="4731">
                  <c:v>8.1750000000000007</c:v>
                </c:pt>
                <c:pt idx="4732">
                  <c:v>8.2420000000000009</c:v>
                </c:pt>
                <c:pt idx="4733">
                  <c:v>8.2070000000000007</c:v>
                </c:pt>
                <c:pt idx="4734">
                  <c:v>8.3330000000000002</c:v>
                </c:pt>
                <c:pt idx="4735">
                  <c:v>8.1539999999999999</c:v>
                </c:pt>
                <c:pt idx="4736">
                  <c:v>8.1539999999999999</c:v>
                </c:pt>
                <c:pt idx="4737">
                  <c:v>8.1539999999999999</c:v>
                </c:pt>
                <c:pt idx="4738">
                  <c:v>8.1370000000000005</c:v>
                </c:pt>
                <c:pt idx="4739">
                  <c:v>8.2289999999999992</c:v>
                </c:pt>
                <c:pt idx="4740">
                  <c:v>8.2370000000000001</c:v>
                </c:pt>
                <c:pt idx="4741">
                  <c:v>8.2390000000000008</c:v>
                </c:pt>
                <c:pt idx="4742">
                  <c:v>8.3309999999999995</c:v>
                </c:pt>
                <c:pt idx="4743">
                  <c:v>8.3309999999999995</c:v>
                </c:pt>
                <c:pt idx="4744">
                  <c:v>8.3309999999999995</c:v>
                </c:pt>
                <c:pt idx="4745">
                  <c:v>8.1620000000000008</c:v>
                </c:pt>
                <c:pt idx="4746">
                  <c:v>8.4499999999999993</c:v>
                </c:pt>
                <c:pt idx="4747">
                  <c:v>8.3309999999999995</c:v>
                </c:pt>
                <c:pt idx="4748">
                  <c:v>8.298</c:v>
                </c:pt>
                <c:pt idx="4749">
                  <c:v>8.3049999999999997</c:v>
                </c:pt>
                <c:pt idx="4750">
                  <c:v>8.3049999999999997</c:v>
                </c:pt>
                <c:pt idx="4751">
                  <c:v>8.3049999999999997</c:v>
                </c:pt>
                <c:pt idx="4752">
                  <c:v>8.327</c:v>
                </c:pt>
                <c:pt idx="4753">
                  <c:v>8.3559999999999999</c:v>
                </c:pt>
                <c:pt idx="4754">
                  <c:v>8.359</c:v>
                </c:pt>
                <c:pt idx="4755">
                  <c:v>8.3239999999999998</c:v>
                </c:pt>
                <c:pt idx="4756">
                  <c:v>8.36</c:v>
                </c:pt>
                <c:pt idx="4757">
                  <c:v>8.36</c:v>
                </c:pt>
                <c:pt idx="4758">
                  <c:v>8.36</c:v>
                </c:pt>
                <c:pt idx="4759">
                  <c:v>8.3239999999999998</c:v>
                </c:pt>
                <c:pt idx="4760">
                  <c:v>8.3109999999999999</c:v>
                </c:pt>
                <c:pt idx="4761">
                  <c:v>8.2070000000000007</c:v>
                </c:pt>
                <c:pt idx="4762">
                  <c:v>7.9459999999999997</c:v>
                </c:pt>
                <c:pt idx="4763">
                  <c:v>7.9409999999999998</c:v>
                </c:pt>
                <c:pt idx="4764">
                  <c:v>7.9409999999999998</c:v>
                </c:pt>
                <c:pt idx="4765">
                  <c:v>7.9409999999999998</c:v>
                </c:pt>
                <c:pt idx="4766">
                  <c:v>7.9039999999999999</c:v>
                </c:pt>
                <c:pt idx="4767">
                  <c:v>7.9089999999999998</c:v>
                </c:pt>
                <c:pt idx="4768">
                  <c:v>7.923</c:v>
                </c:pt>
                <c:pt idx="4769">
                  <c:v>7.9809999999999999</c:v>
                </c:pt>
                <c:pt idx="4770">
                  <c:v>7.968</c:v>
                </c:pt>
                <c:pt idx="4771">
                  <c:v>7.968</c:v>
                </c:pt>
                <c:pt idx="4772">
                  <c:v>7.968</c:v>
                </c:pt>
                <c:pt idx="4773">
                  <c:v>7.968</c:v>
                </c:pt>
                <c:pt idx="4774">
                  <c:v>8.0060000000000002</c:v>
                </c:pt>
                <c:pt idx="4775">
                  <c:v>8.0299999999999994</c:v>
                </c:pt>
                <c:pt idx="4776">
                  <c:v>8.0719999999999992</c:v>
                </c:pt>
                <c:pt idx="4777">
                  <c:v>8.08</c:v>
                </c:pt>
                <c:pt idx="4778">
                  <c:v>8.08</c:v>
                </c:pt>
                <c:pt idx="4779">
                  <c:v>8.08</c:v>
                </c:pt>
                <c:pt idx="4780">
                  <c:v>8.0429999999999993</c:v>
                </c:pt>
                <c:pt idx="4781">
                  <c:v>8.0830000000000002</c:v>
                </c:pt>
                <c:pt idx="4782">
                  <c:v>8.1579999999999995</c:v>
                </c:pt>
                <c:pt idx="4783">
                  <c:v>8.1479999999999997</c:v>
                </c:pt>
                <c:pt idx="4784">
                  <c:v>8.1750000000000007</c:v>
                </c:pt>
                <c:pt idx="4785">
                  <c:v>8.1750000000000007</c:v>
                </c:pt>
                <c:pt idx="4786">
                  <c:v>8.1750000000000007</c:v>
                </c:pt>
                <c:pt idx="4787">
                  <c:v>8.1620000000000008</c:v>
                </c:pt>
                <c:pt idx="4788">
                  <c:v>8.1709999999999994</c:v>
                </c:pt>
                <c:pt idx="4789">
                  <c:v>8.1869999999999994</c:v>
                </c:pt>
                <c:pt idx="4790">
                  <c:v>8.1769999999999996</c:v>
                </c:pt>
                <c:pt idx="4791">
                  <c:v>8.2129999999999992</c:v>
                </c:pt>
                <c:pt idx="4792">
                  <c:v>8.2129999999999992</c:v>
                </c:pt>
                <c:pt idx="4793">
                  <c:v>8.2129999999999992</c:v>
                </c:pt>
                <c:pt idx="4794">
                  <c:v>8.2040000000000006</c:v>
                </c:pt>
                <c:pt idx="4795">
                  <c:v>8.2040000000000006</c:v>
                </c:pt>
                <c:pt idx="4796">
                  <c:v>8.2319999999999993</c:v>
                </c:pt>
                <c:pt idx="4797">
                  <c:v>8.2319999999999993</c:v>
                </c:pt>
                <c:pt idx="4798">
                  <c:v>8.2129999999999992</c:v>
                </c:pt>
                <c:pt idx="4799">
                  <c:v>8.2129999999999992</c:v>
                </c:pt>
                <c:pt idx="4800">
                  <c:v>8.2129999999999992</c:v>
                </c:pt>
                <c:pt idx="4801">
                  <c:v>8.2270000000000003</c:v>
                </c:pt>
                <c:pt idx="4802">
                  <c:v>8.2750000000000004</c:v>
                </c:pt>
                <c:pt idx="4803">
                  <c:v>8.327</c:v>
                </c:pt>
                <c:pt idx="4804">
                  <c:v>8.3729999999999993</c:v>
                </c:pt>
                <c:pt idx="4805">
                  <c:v>8.3979999999999997</c:v>
                </c:pt>
                <c:pt idx="4806">
                  <c:v>8.3979999999999997</c:v>
                </c:pt>
                <c:pt idx="4807">
                  <c:v>8.3979999999999997</c:v>
                </c:pt>
                <c:pt idx="4808">
                  <c:v>8.3889999999999993</c:v>
                </c:pt>
                <c:pt idx="4809">
                  <c:v>8.0310000000000006</c:v>
                </c:pt>
                <c:pt idx="4810">
                  <c:v>7.8330000000000002</c:v>
                </c:pt>
                <c:pt idx="4811">
                  <c:v>7.9130000000000003</c:v>
                </c:pt>
                <c:pt idx="4812">
                  <c:v>7.9109999999999996</c:v>
                </c:pt>
                <c:pt idx="4813">
                  <c:v>7.9109999999999996</c:v>
                </c:pt>
                <c:pt idx="4814">
                  <c:v>7.9109999999999996</c:v>
                </c:pt>
                <c:pt idx="4815">
                  <c:v>7.915</c:v>
                </c:pt>
                <c:pt idx="4816">
                  <c:v>7.9450000000000003</c:v>
                </c:pt>
                <c:pt idx="4817">
                  <c:v>7.9379999999999997</c:v>
                </c:pt>
                <c:pt idx="4818">
                  <c:v>7.9450000000000003</c:v>
                </c:pt>
                <c:pt idx="4819">
                  <c:v>7.9880000000000004</c:v>
                </c:pt>
                <c:pt idx="4820">
                  <c:v>7.9880000000000004</c:v>
                </c:pt>
                <c:pt idx="4821">
                  <c:v>7.9880000000000004</c:v>
                </c:pt>
                <c:pt idx="4822">
                  <c:v>7.9880000000000004</c:v>
                </c:pt>
                <c:pt idx="4823">
                  <c:v>7.9710000000000001</c:v>
                </c:pt>
                <c:pt idx="4824">
                  <c:v>7.9740000000000002</c:v>
                </c:pt>
                <c:pt idx="4825">
                  <c:v>7.931</c:v>
                </c:pt>
                <c:pt idx="4826">
                  <c:v>7.8940000000000001</c:v>
                </c:pt>
                <c:pt idx="4827">
                  <c:v>7.8940000000000001</c:v>
                </c:pt>
                <c:pt idx="4828">
                  <c:v>7.8940000000000001</c:v>
                </c:pt>
                <c:pt idx="4829">
                  <c:v>7.9340000000000002</c:v>
                </c:pt>
                <c:pt idx="4830">
                  <c:v>7.9349999999999996</c:v>
                </c:pt>
                <c:pt idx="4831">
                  <c:v>7.9249999999999998</c:v>
                </c:pt>
                <c:pt idx="4832">
                  <c:v>7.9210000000000003</c:v>
                </c:pt>
                <c:pt idx="4833">
                  <c:v>7.8920000000000003</c:v>
                </c:pt>
                <c:pt idx="4834">
                  <c:v>7.8920000000000003</c:v>
                </c:pt>
                <c:pt idx="4835">
                  <c:v>7.8920000000000003</c:v>
                </c:pt>
                <c:pt idx="4836">
                  <c:v>7.9059999999999997</c:v>
                </c:pt>
                <c:pt idx="4837">
                  <c:v>7.8780000000000001</c:v>
                </c:pt>
                <c:pt idx="4838">
                  <c:v>7.8970000000000002</c:v>
                </c:pt>
                <c:pt idx="4839">
                  <c:v>7.8970000000000002</c:v>
                </c:pt>
                <c:pt idx="4840">
                  <c:v>7.8970000000000002</c:v>
                </c:pt>
                <c:pt idx="4841">
                  <c:v>7.8970000000000002</c:v>
                </c:pt>
                <c:pt idx="4842">
                  <c:v>7.8970000000000002</c:v>
                </c:pt>
                <c:pt idx="4843">
                  <c:v>7.8120000000000003</c:v>
                </c:pt>
                <c:pt idx="4844">
                  <c:v>7.891</c:v>
                </c:pt>
                <c:pt idx="4845">
                  <c:v>7.8780000000000001</c:v>
                </c:pt>
                <c:pt idx="4846">
                  <c:v>7.8959999999999999</c:v>
                </c:pt>
                <c:pt idx="4847">
                  <c:v>7.9020000000000001</c:v>
                </c:pt>
                <c:pt idx="4848">
                  <c:v>7.9020000000000001</c:v>
                </c:pt>
                <c:pt idx="4849">
                  <c:v>7.9020000000000001</c:v>
                </c:pt>
                <c:pt idx="4850">
                  <c:v>7.9189999999999996</c:v>
                </c:pt>
                <c:pt idx="4851">
                  <c:v>7.9189999999999996</c:v>
                </c:pt>
                <c:pt idx="4852">
                  <c:v>7.8719999999999999</c:v>
                </c:pt>
                <c:pt idx="4853">
                  <c:v>7.8849999999999998</c:v>
                </c:pt>
                <c:pt idx="4854">
                  <c:v>7.8959999999999999</c:v>
                </c:pt>
                <c:pt idx="4855">
                  <c:v>7.8959999999999999</c:v>
                </c:pt>
                <c:pt idx="4856">
                  <c:v>7.8959999999999999</c:v>
                </c:pt>
                <c:pt idx="4857">
                  <c:v>7.883</c:v>
                </c:pt>
                <c:pt idx="4858">
                  <c:v>7.8810000000000002</c:v>
                </c:pt>
                <c:pt idx="4859">
                  <c:v>7.8609999999999998</c:v>
                </c:pt>
                <c:pt idx="4860">
                  <c:v>7.8470000000000004</c:v>
                </c:pt>
                <c:pt idx="4861">
                  <c:v>7.8760000000000003</c:v>
                </c:pt>
                <c:pt idx="4862">
                  <c:v>7.8760000000000003</c:v>
                </c:pt>
                <c:pt idx="4863">
                  <c:v>7.8760000000000003</c:v>
                </c:pt>
                <c:pt idx="4864">
                  <c:v>7.8630000000000004</c:v>
                </c:pt>
                <c:pt idx="4865">
                  <c:v>7.8719999999999999</c:v>
                </c:pt>
                <c:pt idx="4866">
                  <c:v>7.8680000000000003</c:v>
                </c:pt>
                <c:pt idx="4867">
                  <c:v>7.9219999999999997</c:v>
                </c:pt>
                <c:pt idx="4868">
                  <c:v>7.9219999999999997</c:v>
                </c:pt>
                <c:pt idx="4869">
                  <c:v>7.9219999999999997</c:v>
                </c:pt>
                <c:pt idx="4870">
                  <c:v>7.9219999999999997</c:v>
                </c:pt>
                <c:pt idx="4871">
                  <c:v>7.9219999999999997</c:v>
                </c:pt>
                <c:pt idx="4872">
                  <c:v>7.9189999999999996</c:v>
                </c:pt>
                <c:pt idx="4873">
                  <c:v>7.9569999999999999</c:v>
                </c:pt>
                <c:pt idx="4874">
                  <c:v>7.9720000000000004</c:v>
                </c:pt>
                <c:pt idx="4875">
                  <c:v>7.9649999999999999</c:v>
                </c:pt>
                <c:pt idx="4876">
                  <c:v>7.9649999999999999</c:v>
                </c:pt>
                <c:pt idx="4877">
                  <c:v>7.9649999999999999</c:v>
                </c:pt>
                <c:pt idx="4878">
                  <c:v>7.923</c:v>
                </c:pt>
                <c:pt idx="4879">
                  <c:v>7.9139999999999997</c:v>
                </c:pt>
                <c:pt idx="4880">
                  <c:v>7.9740000000000002</c:v>
                </c:pt>
                <c:pt idx="4881">
                  <c:v>7.9450000000000003</c:v>
                </c:pt>
                <c:pt idx="4882">
                  <c:v>7.968</c:v>
                </c:pt>
                <c:pt idx="4883">
                  <c:v>7.968</c:v>
                </c:pt>
                <c:pt idx="4884">
                  <c:v>7.968</c:v>
                </c:pt>
                <c:pt idx="4885">
                  <c:v>7.91</c:v>
                </c:pt>
                <c:pt idx="4886">
                  <c:v>7.867</c:v>
                </c:pt>
                <c:pt idx="4887">
                  <c:v>7.8029999999999999</c:v>
                </c:pt>
                <c:pt idx="4888">
                  <c:v>7.8010000000000002</c:v>
                </c:pt>
                <c:pt idx="4889">
                  <c:v>7.85</c:v>
                </c:pt>
                <c:pt idx="4890">
                  <c:v>7.85</c:v>
                </c:pt>
                <c:pt idx="4891">
                  <c:v>7.85</c:v>
                </c:pt>
                <c:pt idx="4892">
                  <c:v>7.7930000000000001</c:v>
                </c:pt>
                <c:pt idx="4893">
                  <c:v>7.782</c:v>
                </c:pt>
                <c:pt idx="4894">
                  <c:v>7.7539999999999996</c:v>
                </c:pt>
                <c:pt idx="4895">
                  <c:v>7.7249999999999996</c:v>
                </c:pt>
                <c:pt idx="4896">
                  <c:v>7.7779999999999996</c:v>
                </c:pt>
                <c:pt idx="4897">
                  <c:v>7.7779999999999996</c:v>
                </c:pt>
                <c:pt idx="4898">
                  <c:v>7.7779999999999996</c:v>
                </c:pt>
                <c:pt idx="4899">
                  <c:v>7.7240000000000002</c:v>
                </c:pt>
                <c:pt idx="4900">
                  <c:v>7.8630000000000004</c:v>
                </c:pt>
                <c:pt idx="4901">
                  <c:v>7.7160000000000002</c:v>
                </c:pt>
                <c:pt idx="4902">
                  <c:v>7.7569999999999997</c:v>
                </c:pt>
                <c:pt idx="4903">
                  <c:v>7.6870000000000003</c:v>
                </c:pt>
                <c:pt idx="4904">
                  <c:v>7.6870000000000003</c:v>
                </c:pt>
                <c:pt idx="4905">
                  <c:v>7.6870000000000003</c:v>
                </c:pt>
                <c:pt idx="4906">
                  <c:v>7.8579999999999997</c:v>
                </c:pt>
                <c:pt idx="4907">
                  <c:v>7.681</c:v>
                </c:pt>
                <c:pt idx="4908">
                  <c:v>7.6660000000000004</c:v>
                </c:pt>
                <c:pt idx="4909">
                  <c:v>7.7270000000000003</c:v>
                </c:pt>
                <c:pt idx="4910">
                  <c:v>7.7240000000000002</c:v>
                </c:pt>
                <c:pt idx="4911">
                  <c:v>7.7240000000000002</c:v>
                </c:pt>
                <c:pt idx="4912">
                  <c:v>7.7240000000000002</c:v>
                </c:pt>
                <c:pt idx="4913">
                  <c:v>7.72</c:v>
                </c:pt>
                <c:pt idx="4914">
                  <c:v>7.72</c:v>
                </c:pt>
                <c:pt idx="4915">
                  <c:v>7.702</c:v>
                </c:pt>
                <c:pt idx="4916">
                  <c:v>7.6769999999999996</c:v>
                </c:pt>
                <c:pt idx="4917">
                  <c:v>7.6820000000000004</c:v>
                </c:pt>
                <c:pt idx="4918">
                  <c:v>7.6820000000000004</c:v>
                </c:pt>
                <c:pt idx="4919">
                  <c:v>7.6820000000000004</c:v>
                </c:pt>
                <c:pt idx="4920">
                  <c:v>7.6529999999999996</c:v>
                </c:pt>
                <c:pt idx="4921">
                  <c:v>7.5670000000000002</c:v>
                </c:pt>
                <c:pt idx="4922">
                  <c:v>7.6539999999999999</c:v>
                </c:pt>
                <c:pt idx="4923">
                  <c:v>7.6970000000000001</c:v>
                </c:pt>
                <c:pt idx="4924">
                  <c:v>7.7030000000000003</c:v>
                </c:pt>
                <c:pt idx="4925">
                  <c:v>7.7030000000000003</c:v>
                </c:pt>
                <c:pt idx="4926">
                  <c:v>7.7030000000000003</c:v>
                </c:pt>
                <c:pt idx="4927">
                  <c:v>7.8280000000000003</c:v>
                </c:pt>
                <c:pt idx="4928">
                  <c:v>7.7149999999999999</c:v>
                </c:pt>
                <c:pt idx="4929">
                  <c:v>7.7</c:v>
                </c:pt>
                <c:pt idx="4930">
                  <c:v>7.6319999999999997</c:v>
                </c:pt>
                <c:pt idx="4931">
                  <c:v>7.6719999999999997</c:v>
                </c:pt>
                <c:pt idx="4932">
                  <c:v>7.6719999999999997</c:v>
                </c:pt>
                <c:pt idx="4933">
                  <c:v>7.6719999999999997</c:v>
                </c:pt>
                <c:pt idx="4934">
                  <c:v>7.7119999999999997</c:v>
                </c:pt>
                <c:pt idx="4935">
                  <c:v>7.6310000000000002</c:v>
                </c:pt>
                <c:pt idx="4936">
                  <c:v>7.5869999999999997</c:v>
                </c:pt>
                <c:pt idx="4937">
                  <c:v>7.5650000000000004</c:v>
                </c:pt>
                <c:pt idx="4938">
                  <c:v>7.6260000000000003</c:v>
                </c:pt>
                <c:pt idx="4939">
                  <c:v>7.6260000000000003</c:v>
                </c:pt>
                <c:pt idx="4940">
                  <c:v>7.6260000000000003</c:v>
                </c:pt>
                <c:pt idx="4941">
                  <c:v>7.5839999999999996</c:v>
                </c:pt>
                <c:pt idx="4942">
                  <c:v>7.59</c:v>
                </c:pt>
                <c:pt idx="4943">
                  <c:v>7.5960000000000001</c:v>
                </c:pt>
                <c:pt idx="4944">
                  <c:v>7.5890000000000004</c:v>
                </c:pt>
                <c:pt idx="4945">
                  <c:v>7.6029999999999998</c:v>
                </c:pt>
                <c:pt idx="4946">
                  <c:v>7.6029999999999998</c:v>
                </c:pt>
                <c:pt idx="4947">
                  <c:v>7.6029999999999998</c:v>
                </c:pt>
                <c:pt idx="4948">
                  <c:v>7.5860000000000003</c:v>
                </c:pt>
                <c:pt idx="4949">
                  <c:v>7.5759999999999996</c:v>
                </c:pt>
                <c:pt idx="4950">
                  <c:v>7.5890000000000004</c:v>
                </c:pt>
                <c:pt idx="4951">
                  <c:v>7.5860000000000003</c:v>
                </c:pt>
                <c:pt idx="4952">
                  <c:v>7.6130000000000004</c:v>
                </c:pt>
                <c:pt idx="4953">
                  <c:v>7.6130000000000004</c:v>
                </c:pt>
                <c:pt idx="4954">
                  <c:v>7.6130000000000004</c:v>
                </c:pt>
                <c:pt idx="4955">
                  <c:v>7.5970000000000004</c:v>
                </c:pt>
                <c:pt idx="4956">
                  <c:v>7.5990000000000002</c:v>
                </c:pt>
                <c:pt idx="4957">
                  <c:v>7.5990000000000002</c:v>
                </c:pt>
                <c:pt idx="4958">
                  <c:v>7.5990000000000002</c:v>
                </c:pt>
                <c:pt idx="4959">
                  <c:v>7.601</c:v>
                </c:pt>
                <c:pt idx="4960">
                  <c:v>7.601</c:v>
                </c:pt>
                <c:pt idx="4961">
                  <c:v>7.601</c:v>
                </c:pt>
                <c:pt idx="4962">
                  <c:v>7.6</c:v>
                </c:pt>
                <c:pt idx="4963">
                  <c:v>7.5960000000000001</c:v>
                </c:pt>
                <c:pt idx="4964">
                  <c:v>7.5819999999999999</c:v>
                </c:pt>
                <c:pt idx="4965">
                  <c:v>7.5830000000000002</c:v>
                </c:pt>
                <c:pt idx="4966">
                  <c:v>7.5750000000000002</c:v>
                </c:pt>
                <c:pt idx="4967">
                  <c:v>7.5750000000000002</c:v>
                </c:pt>
                <c:pt idx="4968">
                  <c:v>7.5750000000000002</c:v>
                </c:pt>
                <c:pt idx="4969">
                  <c:v>7.56</c:v>
                </c:pt>
                <c:pt idx="4970">
                  <c:v>7.5659999999999998</c:v>
                </c:pt>
                <c:pt idx="4971">
                  <c:v>7.5430000000000001</c:v>
                </c:pt>
                <c:pt idx="4972">
                  <c:v>7.5430000000000001</c:v>
                </c:pt>
                <c:pt idx="4973">
                  <c:v>7.5389999999999997</c:v>
                </c:pt>
                <c:pt idx="4974">
                  <c:v>7.5389999999999997</c:v>
                </c:pt>
                <c:pt idx="4975">
                  <c:v>7.5389999999999997</c:v>
                </c:pt>
                <c:pt idx="4976">
                  <c:v>7.508</c:v>
                </c:pt>
                <c:pt idx="4977">
                  <c:v>7.508</c:v>
                </c:pt>
                <c:pt idx="4978">
                  <c:v>7.4779999999999998</c:v>
                </c:pt>
                <c:pt idx="4979">
                  <c:v>7.4690000000000003</c:v>
                </c:pt>
                <c:pt idx="4980">
                  <c:v>7.4630000000000001</c:v>
                </c:pt>
                <c:pt idx="4981">
                  <c:v>7.4630000000000001</c:v>
                </c:pt>
                <c:pt idx="4982">
                  <c:v>7.4630000000000001</c:v>
                </c:pt>
                <c:pt idx="4983">
                  <c:v>7.46</c:v>
                </c:pt>
                <c:pt idx="4984">
                  <c:v>7.44</c:v>
                </c:pt>
                <c:pt idx="4985">
                  <c:v>7.43</c:v>
                </c:pt>
                <c:pt idx="4986">
                  <c:v>7.42</c:v>
                </c:pt>
                <c:pt idx="4987">
                  <c:v>7.4219999999999997</c:v>
                </c:pt>
                <c:pt idx="4988">
                  <c:v>7.4219999999999997</c:v>
                </c:pt>
                <c:pt idx="4989">
                  <c:v>7.4219999999999997</c:v>
                </c:pt>
                <c:pt idx="4990">
                  <c:v>7.4450000000000003</c:v>
                </c:pt>
                <c:pt idx="4991">
                  <c:v>7.4219999999999997</c:v>
                </c:pt>
                <c:pt idx="4992">
                  <c:v>7.423</c:v>
                </c:pt>
                <c:pt idx="4993">
                  <c:v>7.423</c:v>
                </c:pt>
                <c:pt idx="4994">
                  <c:v>7.4370000000000003</c:v>
                </c:pt>
                <c:pt idx="4995">
                  <c:v>7.4370000000000003</c:v>
                </c:pt>
                <c:pt idx="4996">
                  <c:v>7.4370000000000003</c:v>
                </c:pt>
                <c:pt idx="4997">
                  <c:v>7.4530000000000003</c:v>
                </c:pt>
                <c:pt idx="4998">
                  <c:v>7.4390000000000001</c:v>
                </c:pt>
                <c:pt idx="4999">
                  <c:v>7.4390000000000001</c:v>
                </c:pt>
                <c:pt idx="5000">
                  <c:v>7.4509999999999996</c:v>
                </c:pt>
                <c:pt idx="5001">
                  <c:v>7.4580000000000002</c:v>
                </c:pt>
                <c:pt idx="5002">
                  <c:v>7.4580000000000002</c:v>
                </c:pt>
                <c:pt idx="5003">
                  <c:v>7.4580000000000002</c:v>
                </c:pt>
                <c:pt idx="5004">
                  <c:v>7.444</c:v>
                </c:pt>
                <c:pt idx="5005">
                  <c:v>7.4509999999999996</c:v>
                </c:pt>
                <c:pt idx="5006">
                  <c:v>7.4580000000000002</c:v>
                </c:pt>
                <c:pt idx="5007">
                  <c:v>7.4569999999999999</c:v>
                </c:pt>
                <c:pt idx="5008">
                  <c:v>7.45</c:v>
                </c:pt>
                <c:pt idx="5009">
                  <c:v>7.45</c:v>
                </c:pt>
                <c:pt idx="5010">
                  <c:v>7.45</c:v>
                </c:pt>
                <c:pt idx="5011">
                  <c:v>7.4640000000000004</c:v>
                </c:pt>
                <c:pt idx="5012">
                  <c:v>7.4589999999999996</c:v>
                </c:pt>
                <c:pt idx="5013">
                  <c:v>7.431</c:v>
                </c:pt>
                <c:pt idx="5014">
                  <c:v>7.46</c:v>
                </c:pt>
                <c:pt idx="5015">
                  <c:v>7.4569999999999999</c:v>
                </c:pt>
                <c:pt idx="5016">
                  <c:v>7.4569999999999999</c:v>
                </c:pt>
                <c:pt idx="5017">
                  <c:v>7.4569999999999999</c:v>
                </c:pt>
                <c:pt idx="5018">
                  <c:v>7.43</c:v>
                </c:pt>
                <c:pt idx="5019">
                  <c:v>7.3019999999999996</c:v>
                </c:pt>
                <c:pt idx="5020">
                  <c:v>7.2460000000000004</c:v>
                </c:pt>
                <c:pt idx="5021">
                  <c:v>7.2919999999999998</c:v>
                </c:pt>
                <c:pt idx="5022">
                  <c:v>7.2939999999999996</c:v>
                </c:pt>
                <c:pt idx="5023">
                  <c:v>7.2939999999999996</c:v>
                </c:pt>
                <c:pt idx="5024">
                  <c:v>7.2939999999999996</c:v>
                </c:pt>
                <c:pt idx="5025">
                  <c:v>7.2</c:v>
                </c:pt>
                <c:pt idx="5026">
                  <c:v>7.1879999999999997</c:v>
                </c:pt>
                <c:pt idx="5027">
                  <c:v>7.1840000000000002</c:v>
                </c:pt>
                <c:pt idx="5028">
                  <c:v>7.1909999999999998</c:v>
                </c:pt>
                <c:pt idx="5029">
                  <c:v>7.1909999999999998</c:v>
                </c:pt>
                <c:pt idx="5030">
                  <c:v>7.1909999999999998</c:v>
                </c:pt>
                <c:pt idx="5031">
                  <c:v>7.1909999999999998</c:v>
                </c:pt>
                <c:pt idx="5032">
                  <c:v>7.1909999999999998</c:v>
                </c:pt>
                <c:pt idx="5033">
                  <c:v>7.1829999999999998</c:v>
                </c:pt>
                <c:pt idx="5034">
                  <c:v>7.1669999999999998</c:v>
                </c:pt>
                <c:pt idx="5035">
                  <c:v>7.1779999999999999</c:v>
                </c:pt>
                <c:pt idx="5036">
                  <c:v>7.1719999999999997</c:v>
                </c:pt>
                <c:pt idx="5037">
                  <c:v>7.1719999999999997</c:v>
                </c:pt>
                <c:pt idx="5038">
                  <c:v>7.1719999999999997</c:v>
                </c:pt>
                <c:pt idx="5039">
                  <c:v>7.1980000000000004</c:v>
                </c:pt>
                <c:pt idx="5040">
                  <c:v>7.1760000000000002</c:v>
                </c:pt>
                <c:pt idx="5041">
                  <c:v>7.17</c:v>
                </c:pt>
                <c:pt idx="5042">
                  <c:v>7.1680000000000001</c:v>
                </c:pt>
                <c:pt idx="5043">
                  <c:v>7.1749999999999998</c:v>
                </c:pt>
                <c:pt idx="5044">
                  <c:v>7.1749999999999998</c:v>
                </c:pt>
                <c:pt idx="5045">
                  <c:v>7.1749999999999998</c:v>
                </c:pt>
                <c:pt idx="5046">
                  <c:v>7.194</c:v>
                </c:pt>
                <c:pt idx="5047">
                  <c:v>7.1959999999999997</c:v>
                </c:pt>
                <c:pt idx="5048">
                  <c:v>7.2080000000000002</c:v>
                </c:pt>
                <c:pt idx="5049">
                  <c:v>7.21</c:v>
                </c:pt>
                <c:pt idx="5050">
                  <c:v>7.1950000000000003</c:v>
                </c:pt>
                <c:pt idx="5051">
                  <c:v>7.1950000000000003</c:v>
                </c:pt>
                <c:pt idx="5052">
                  <c:v>7.1950000000000003</c:v>
                </c:pt>
                <c:pt idx="5053">
                  <c:v>7.2089999999999996</c:v>
                </c:pt>
                <c:pt idx="5054">
                  <c:v>7.2060000000000004</c:v>
                </c:pt>
                <c:pt idx="5055">
                  <c:v>7.2089999999999996</c:v>
                </c:pt>
                <c:pt idx="5056">
                  <c:v>7.202</c:v>
                </c:pt>
                <c:pt idx="5057">
                  <c:v>7.2430000000000003</c:v>
                </c:pt>
                <c:pt idx="5058">
                  <c:v>7.2430000000000003</c:v>
                </c:pt>
                <c:pt idx="5059">
                  <c:v>7.2430000000000003</c:v>
                </c:pt>
                <c:pt idx="5060">
                  <c:v>7.2450000000000001</c:v>
                </c:pt>
                <c:pt idx="5061">
                  <c:v>7.2649999999999997</c:v>
                </c:pt>
                <c:pt idx="5062">
                  <c:v>7.2649999999999997</c:v>
                </c:pt>
                <c:pt idx="5063">
                  <c:v>7.2649999999999997</c:v>
                </c:pt>
                <c:pt idx="5064">
                  <c:v>7.2619999999999996</c:v>
                </c:pt>
                <c:pt idx="5065">
                  <c:v>7.2619999999999996</c:v>
                </c:pt>
                <c:pt idx="5066">
                  <c:v>7.2619999999999996</c:v>
                </c:pt>
                <c:pt idx="5067">
                  <c:v>7.258</c:v>
                </c:pt>
                <c:pt idx="5068">
                  <c:v>7.2359999999999998</c:v>
                </c:pt>
                <c:pt idx="5069">
                  <c:v>7.2370000000000001</c:v>
                </c:pt>
                <c:pt idx="5070">
                  <c:v>7.2229999999999999</c:v>
                </c:pt>
                <c:pt idx="5071">
                  <c:v>7.2530000000000001</c:v>
                </c:pt>
                <c:pt idx="5072">
                  <c:v>7.2530000000000001</c:v>
                </c:pt>
                <c:pt idx="5073">
                  <c:v>7.2530000000000001</c:v>
                </c:pt>
                <c:pt idx="5074">
                  <c:v>7.2560000000000002</c:v>
                </c:pt>
                <c:pt idx="5075">
                  <c:v>7.2850000000000001</c:v>
                </c:pt>
                <c:pt idx="5076">
                  <c:v>7.2850000000000001</c:v>
                </c:pt>
                <c:pt idx="5077">
                  <c:v>7.2590000000000003</c:v>
                </c:pt>
                <c:pt idx="5078">
                  <c:v>7.2480000000000002</c:v>
                </c:pt>
                <c:pt idx="5079">
                  <c:v>7.2480000000000002</c:v>
                </c:pt>
                <c:pt idx="5080">
                  <c:v>7.2480000000000002</c:v>
                </c:pt>
                <c:pt idx="5081">
                  <c:v>7.2480000000000002</c:v>
                </c:pt>
                <c:pt idx="5082">
                  <c:v>7.2489999999999997</c:v>
                </c:pt>
                <c:pt idx="5083">
                  <c:v>7.25</c:v>
                </c:pt>
                <c:pt idx="5084">
                  <c:v>7.25</c:v>
                </c:pt>
                <c:pt idx="5085">
                  <c:v>7.266</c:v>
                </c:pt>
                <c:pt idx="5086">
                  <c:v>7.266</c:v>
                </c:pt>
                <c:pt idx="5087">
                  <c:v>7.266</c:v>
                </c:pt>
                <c:pt idx="5088">
                  <c:v>7.2709999999999999</c:v>
                </c:pt>
                <c:pt idx="5089">
                  <c:v>7.2329999999999997</c:v>
                </c:pt>
                <c:pt idx="5090">
                  <c:v>7.242</c:v>
                </c:pt>
                <c:pt idx="5091">
                  <c:v>7.2290000000000001</c:v>
                </c:pt>
                <c:pt idx="5092">
                  <c:v>7.2309999999999999</c:v>
                </c:pt>
                <c:pt idx="5093">
                  <c:v>7.2309999999999999</c:v>
                </c:pt>
                <c:pt idx="5094">
                  <c:v>7.2309999999999999</c:v>
                </c:pt>
                <c:pt idx="5095">
                  <c:v>7.2460000000000004</c:v>
                </c:pt>
                <c:pt idx="5096">
                  <c:v>7.2350000000000003</c:v>
                </c:pt>
                <c:pt idx="5097">
                  <c:v>7.2359999999999998</c:v>
                </c:pt>
                <c:pt idx="5098">
                  <c:v>7.234</c:v>
                </c:pt>
                <c:pt idx="5099">
                  <c:v>7.2220000000000004</c:v>
                </c:pt>
                <c:pt idx="5100">
                  <c:v>7.2220000000000004</c:v>
                </c:pt>
                <c:pt idx="5101">
                  <c:v>7.2220000000000004</c:v>
                </c:pt>
                <c:pt idx="5102">
                  <c:v>7.2380000000000004</c:v>
                </c:pt>
                <c:pt idx="5103">
                  <c:v>7.2389999999999999</c:v>
                </c:pt>
                <c:pt idx="5104">
                  <c:v>7.23</c:v>
                </c:pt>
                <c:pt idx="5105">
                  <c:v>7.2290000000000001</c:v>
                </c:pt>
                <c:pt idx="5106">
                  <c:v>7.2290000000000001</c:v>
                </c:pt>
                <c:pt idx="5107">
                  <c:v>7.2290000000000001</c:v>
                </c:pt>
                <c:pt idx="5108">
                  <c:v>7.2290000000000001</c:v>
                </c:pt>
                <c:pt idx="5109">
                  <c:v>7.2409999999999997</c:v>
                </c:pt>
                <c:pt idx="5110">
                  <c:v>7.2770000000000001</c:v>
                </c:pt>
                <c:pt idx="5111">
                  <c:v>7.2949999999999999</c:v>
                </c:pt>
                <c:pt idx="5112">
                  <c:v>7.2969999999999997</c:v>
                </c:pt>
                <c:pt idx="5113">
                  <c:v>7.3250000000000002</c:v>
                </c:pt>
                <c:pt idx="5114">
                  <c:v>7.3250000000000002</c:v>
                </c:pt>
                <c:pt idx="5115">
                  <c:v>7.3250000000000002</c:v>
                </c:pt>
                <c:pt idx="5116">
                  <c:v>7.2720000000000002</c:v>
                </c:pt>
                <c:pt idx="5117">
                  <c:v>7.2569999999999997</c:v>
                </c:pt>
                <c:pt idx="5118">
                  <c:v>7.306</c:v>
                </c:pt>
                <c:pt idx="5119">
                  <c:v>7.2590000000000003</c:v>
                </c:pt>
                <c:pt idx="5120">
                  <c:v>7.2789999999999999</c:v>
                </c:pt>
                <c:pt idx="5121">
                  <c:v>7.2789999999999999</c:v>
                </c:pt>
                <c:pt idx="5122">
                  <c:v>7.2789999999999999</c:v>
                </c:pt>
                <c:pt idx="5123">
                  <c:v>7.266</c:v>
                </c:pt>
                <c:pt idx="5124">
                  <c:v>7.2480000000000002</c:v>
                </c:pt>
                <c:pt idx="5125">
                  <c:v>7.2510000000000003</c:v>
                </c:pt>
                <c:pt idx="5126">
                  <c:v>7.2510000000000003</c:v>
                </c:pt>
                <c:pt idx="5127">
                  <c:v>7.2549999999999999</c:v>
                </c:pt>
                <c:pt idx="5128">
                  <c:v>7.2549999999999999</c:v>
                </c:pt>
                <c:pt idx="5129">
                  <c:v>7.2549999999999999</c:v>
                </c:pt>
                <c:pt idx="5130">
                  <c:v>7.258</c:v>
                </c:pt>
                <c:pt idx="5131">
                  <c:v>7.242</c:v>
                </c:pt>
                <c:pt idx="5132">
                  <c:v>7.2249999999999996</c:v>
                </c:pt>
                <c:pt idx="5133">
                  <c:v>7.2270000000000003</c:v>
                </c:pt>
                <c:pt idx="5134">
                  <c:v>7.2409999999999997</c:v>
                </c:pt>
                <c:pt idx="5135">
                  <c:v>7.2409999999999997</c:v>
                </c:pt>
                <c:pt idx="5136">
                  <c:v>7.2409999999999997</c:v>
                </c:pt>
                <c:pt idx="5137">
                  <c:v>7.2140000000000004</c:v>
                </c:pt>
                <c:pt idx="5138">
                  <c:v>7.2140000000000004</c:v>
                </c:pt>
                <c:pt idx="5139">
                  <c:v>7.2160000000000002</c:v>
                </c:pt>
                <c:pt idx="5140">
                  <c:v>7.2130000000000001</c:v>
                </c:pt>
                <c:pt idx="5141">
                  <c:v>7.2539999999999996</c:v>
                </c:pt>
                <c:pt idx="5142">
                  <c:v>7.2539999999999996</c:v>
                </c:pt>
                <c:pt idx="5143">
                  <c:v>7.2539999999999996</c:v>
                </c:pt>
                <c:pt idx="5144">
                  <c:v>7.2169999999999996</c:v>
                </c:pt>
                <c:pt idx="5145">
                  <c:v>7.2640000000000002</c:v>
                </c:pt>
                <c:pt idx="5146">
                  <c:v>7.2610000000000001</c:v>
                </c:pt>
                <c:pt idx="5147">
                  <c:v>7.27</c:v>
                </c:pt>
                <c:pt idx="5148">
                  <c:v>7.2409999999999997</c:v>
                </c:pt>
                <c:pt idx="5149">
                  <c:v>7.2409999999999997</c:v>
                </c:pt>
                <c:pt idx="5150">
                  <c:v>7.2409999999999997</c:v>
                </c:pt>
                <c:pt idx="5151">
                  <c:v>7.3070000000000004</c:v>
                </c:pt>
                <c:pt idx="5152">
                  <c:v>7.2560000000000002</c:v>
                </c:pt>
                <c:pt idx="5153">
                  <c:v>7.2709999999999999</c:v>
                </c:pt>
                <c:pt idx="5154">
                  <c:v>7.2679999999999998</c:v>
                </c:pt>
                <c:pt idx="5155">
                  <c:v>7.2839999999999998</c:v>
                </c:pt>
                <c:pt idx="5156">
                  <c:v>7.2839999999999998</c:v>
                </c:pt>
                <c:pt idx="5157">
                  <c:v>7.2839999999999998</c:v>
                </c:pt>
                <c:pt idx="5158">
                  <c:v>7.2670000000000003</c:v>
                </c:pt>
                <c:pt idx="5159">
                  <c:v>7.3650000000000002</c:v>
                </c:pt>
                <c:pt idx="5160">
                  <c:v>7.2750000000000004</c:v>
                </c:pt>
                <c:pt idx="5161">
                  <c:v>7.3179999999999996</c:v>
                </c:pt>
                <c:pt idx="5162">
                  <c:v>7.319</c:v>
                </c:pt>
                <c:pt idx="5163">
                  <c:v>7.319</c:v>
                </c:pt>
                <c:pt idx="5164">
                  <c:v>7.319</c:v>
                </c:pt>
                <c:pt idx="5165">
                  <c:v>7.3730000000000002</c:v>
                </c:pt>
                <c:pt idx="5166">
                  <c:v>7.367</c:v>
                </c:pt>
                <c:pt idx="5167">
                  <c:v>7.3760000000000003</c:v>
                </c:pt>
                <c:pt idx="5168">
                  <c:v>7.37</c:v>
                </c:pt>
                <c:pt idx="5169">
                  <c:v>7.3840000000000003</c:v>
                </c:pt>
                <c:pt idx="5170">
                  <c:v>7.3840000000000003</c:v>
                </c:pt>
                <c:pt idx="5171">
                  <c:v>7.3840000000000003</c:v>
                </c:pt>
                <c:pt idx="5172">
                  <c:v>7.3440000000000003</c:v>
                </c:pt>
                <c:pt idx="5173">
                  <c:v>7.383</c:v>
                </c:pt>
                <c:pt idx="5174">
                  <c:v>7.27</c:v>
                </c:pt>
                <c:pt idx="5175">
                  <c:v>7.3090000000000002</c:v>
                </c:pt>
                <c:pt idx="5176">
                  <c:v>7.3070000000000004</c:v>
                </c:pt>
                <c:pt idx="5177">
                  <c:v>7.3070000000000004</c:v>
                </c:pt>
                <c:pt idx="5178">
                  <c:v>7.3070000000000004</c:v>
                </c:pt>
                <c:pt idx="5179">
                  <c:v>7.3070000000000004</c:v>
                </c:pt>
                <c:pt idx="5180">
                  <c:v>7.319</c:v>
                </c:pt>
                <c:pt idx="5181">
                  <c:v>7.3179999999999996</c:v>
                </c:pt>
                <c:pt idx="5182">
                  <c:v>7.3380000000000001</c:v>
                </c:pt>
                <c:pt idx="5183">
                  <c:v>7.3390000000000004</c:v>
                </c:pt>
                <c:pt idx="5184">
                  <c:v>7.3390000000000004</c:v>
                </c:pt>
                <c:pt idx="5185">
                  <c:v>7.3390000000000004</c:v>
                </c:pt>
                <c:pt idx="5186">
                  <c:v>7.3710000000000004</c:v>
                </c:pt>
                <c:pt idx="5187">
                  <c:v>7.3010000000000002</c:v>
                </c:pt>
                <c:pt idx="5188">
                  <c:v>7.3280000000000003</c:v>
                </c:pt>
                <c:pt idx="5189">
                  <c:v>7.3280000000000003</c:v>
                </c:pt>
                <c:pt idx="5190">
                  <c:v>7.35</c:v>
                </c:pt>
                <c:pt idx="5191">
                  <c:v>7.35</c:v>
                </c:pt>
                <c:pt idx="5192">
                  <c:v>7.35</c:v>
                </c:pt>
                <c:pt idx="5193">
                  <c:v>7.3220000000000001</c:v>
                </c:pt>
                <c:pt idx="5194">
                  <c:v>7.3170000000000002</c:v>
                </c:pt>
                <c:pt idx="5195">
                  <c:v>7.2779999999999996</c:v>
                </c:pt>
                <c:pt idx="5196">
                  <c:v>7.2789999999999999</c:v>
                </c:pt>
                <c:pt idx="5197">
                  <c:v>7.2789999999999999</c:v>
                </c:pt>
                <c:pt idx="5198">
                  <c:v>7.2789999999999999</c:v>
                </c:pt>
                <c:pt idx="5199">
                  <c:v>7.2789999999999999</c:v>
                </c:pt>
                <c:pt idx="5200">
                  <c:v>7.3029999999999999</c:v>
                </c:pt>
                <c:pt idx="5201">
                  <c:v>7.3369999999999997</c:v>
                </c:pt>
                <c:pt idx="5202">
                  <c:v>7.2930000000000001</c:v>
                </c:pt>
                <c:pt idx="5203">
                  <c:v>7.1929999999999996</c:v>
                </c:pt>
                <c:pt idx="5204">
                  <c:v>7.1929999999999996</c:v>
                </c:pt>
                <c:pt idx="5205">
                  <c:v>7.1929999999999996</c:v>
                </c:pt>
                <c:pt idx="5206">
                  <c:v>7.1929999999999996</c:v>
                </c:pt>
                <c:pt idx="5207">
                  <c:v>6.9640000000000004</c:v>
                </c:pt>
                <c:pt idx="5208">
                  <c:v>6.9889999999999999</c:v>
                </c:pt>
                <c:pt idx="5209">
                  <c:v>6.9809999999999999</c:v>
                </c:pt>
                <c:pt idx="5210">
                  <c:v>7.0549999999999997</c:v>
                </c:pt>
                <c:pt idx="5211">
                  <c:v>7.0529999999999999</c:v>
                </c:pt>
                <c:pt idx="5212">
                  <c:v>7.0529999999999999</c:v>
                </c:pt>
                <c:pt idx="5213">
                  <c:v>7.0529999999999999</c:v>
                </c:pt>
                <c:pt idx="5214">
                  <c:v>7.0519999999999996</c:v>
                </c:pt>
                <c:pt idx="5215">
                  <c:v>7.0510000000000002</c:v>
                </c:pt>
                <c:pt idx="5216">
                  <c:v>7.11</c:v>
                </c:pt>
                <c:pt idx="5217">
                  <c:v>7.11</c:v>
                </c:pt>
                <c:pt idx="5218">
                  <c:v>7.11</c:v>
                </c:pt>
                <c:pt idx="5219">
                  <c:v>7.11</c:v>
                </c:pt>
                <c:pt idx="5220">
                  <c:v>7.11</c:v>
                </c:pt>
                <c:pt idx="5221">
                  <c:v>7.0810000000000004</c:v>
                </c:pt>
                <c:pt idx="5222">
                  <c:v>7.0810000000000004</c:v>
                </c:pt>
                <c:pt idx="5223">
                  <c:v>7.0579999999999998</c:v>
                </c:pt>
                <c:pt idx="5224">
                  <c:v>7.0609999999999999</c:v>
                </c:pt>
                <c:pt idx="5225">
                  <c:v>7.0439999999999996</c:v>
                </c:pt>
                <c:pt idx="5226">
                  <c:v>7.0439999999999996</c:v>
                </c:pt>
                <c:pt idx="5227">
                  <c:v>7.0439999999999996</c:v>
                </c:pt>
                <c:pt idx="5228">
                  <c:v>7.085</c:v>
                </c:pt>
                <c:pt idx="5229">
                  <c:v>7.085</c:v>
                </c:pt>
                <c:pt idx="5230">
                  <c:v>7.085</c:v>
                </c:pt>
                <c:pt idx="5231">
                  <c:v>7.0990000000000002</c:v>
                </c:pt>
                <c:pt idx="5232">
                  <c:v>7.0549999999999997</c:v>
                </c:pt>
                <c:pt idx="5233">
                  <c:v>7.0549999999999997</c:v>
                </c:pt>
                <c:pt idx="5234">
                  <c:v>7.0549999999999997</c:v>
                </c:pt>
                <c:pt idx="5235">
                  <c:v>7.0650000000000004</c:v>
                </c:pt>
                <c:pt idx="5236">
                  <c:v>7.0629999999999997</c:v>
                </c:pt>
                <c:pt idx="5237">
                  <c:v>7.05</c:v>
                </c:pt>
                <c:pt idx="5238">
                  <c:v>7.0490000000000004</c:v>
                </c:pt>
                <c:pt idx="5239">
                  <c:v>7.0449999999999999</c:v>
                </c:pt>
                <c:pt idx="5240">
                  <c:v>7.0449999999999999</c:v>
                </c:pt>
                <c:pt idx="5241">
                  <c:v>7.0449999999999999</c:v>
                </c:pt>
                <c:pt idx="5242">
                  <c:v>7.0419999999999998</c:v>
                </c:pt>
                <c:pt idx="5243">
                  <c:v>7.0430000000000001</c:v>
                </c:pt>
                <c:pt idx="5244">
                  <c:v>7.0250000000000004</c:v>
                </c:pt>
                <c:pt idx="5245">
                  <c:v>7.0179999999999998</c:v>
                </c:pt>
                <c:pt idx="5246">
                  <c:v>7.0419999999999998</c:v>
                </c:pt>
                <c:pt idx="5247">
                  <c:v>7.0419999999999998</c:v>
                </c:pt>
                <c:pt idx="5248">
                  <c:v>7.0419999999999998</c:v>
                </c:pt>
                <c:pt idx="5249">
                  <c:v>7.0549999999999997</c:v>
                </c:pt>
                <c:pt idx="5250">
                  <c:v>7.0330000000000004</c:v>
                </c:pt>
                <c:pt idx="5251">
                  <c:v>7.0490000000000004</c:v>
                </c:pt>
                <c:pt idx="5252">
                  <c:v>7.0469999999999997</c:v>
                </c:pt>
                <c:pt idx="5253">
                  <c:v>7.0449999999999999</c:v>
                </c:pt>
                <c:pt idx="5254">
                  <c:v>7.0449999999999999</c:v>
                </c:pt>
                <c:pt idx="5255">
                  <c:v>7.0449999999999999</c:v>
                </c:pt>
                <c:pt idx="5256">
                  <c:v>7.0490000000000004</c:v>
                </c:pt>
                <c:pt idx="5257">
                  <c:v>7.0460000000000003</c:v>
                </c:pt>
                <c:pt idx="5258">
                  <c:v>7.0810000000000004</c:v>
                </c:pt>
                <c:pt idx="5259">
                  <c:v>7.0529999999999999</c:v>
                </c:pt>
                <c:pt idx="5260">
                  <c:v>7.0460000000000003</c:v>
                </c:pt>
                <c:pt idx="5261">
                  <c:v>7.0460000000000003</c:v>
                </c:pt>
                <c:pt idx="5262">
                  <c:v>7.0460000000000003</c:v>
                </c:pt>
                <c:pt idx="5263">
                  <c:v>7.0460000000000003</c:v>
                </c:pt>
                <c:pt idx="5264">
                  <c:v>7.0460000000000003</c:v>
                </c:pt>
                <c:pt idx="5265">
                  <c:v>7.048</c:v>
                </c:pt>
                <c:pt idx="5266">
                  <c:v>7.0439999999999996</c:v>
                </c:pt>
                <c:pt idx="5267">
                  <c:v>7.0380000000000003</c:v>
                </c:pt>
                <c:pt idx="5268">
                  <c:v>7.0380000000000003</c:v>
                </c:pt>
                <c:pt idx="5269">
                  <c:v>7.0380000000000003</c:v>
                </c:pt>
                <c:pt idx="5270">
                  <c:v>7.0359999999999996</c:v>
                </c:pt>
                <c:pt idx="5271">
                  <c:v>7.0359999999999996</c:v>
                </c:pt>
                <c:pt idx="5272">
                  <c:v>7.024</c:v>
                </c:pt>
                <c:pt idx="5273">
                  <c:v>7.0140000000000002</c:v>
                </c:pt>
                <c:pt idx="5274">
                  <c:v>7.0190000000000001</c:v>
                </c:pt>
                <c:pt idx="5275">
                  <c:v>7.0190000000000001</c:v>
                </c:pt>
                <c:pt idx="5276">
                  <c:v>7.0190000000000001</c:v>
                </c:pt>
                <c:pt idx="5277">
                  <c:v>7.0229999999999997</c:v>
                </c:pt>
                <c:pt idx="5278">
                  <c:v>7.01</c:v>
                </c:pt>
                <c:pt idx="5279">
                  <c:v>6.9980000000000002</c:v>
                </c:pt>
                <c:pt idx="5280">
                  <c:v>7.0010000000000003</c:v>
                </c:pt>
                <c:pt idx="5281">
                  <c:v>7.0049999999999999</c:v>
                </c:pt>
                <c:pt idx="5282">
                  <c:v>7.0049999999999999</c:v>
                </c:pt>
                <c:pt idx="5283">
                  <c:v>7.0049999999999999</c:v>
                </c:pt>
                <c:pt idx="5284">
                  <c:v>7.0279999999999996</c:v>
                </c:pt>
                <c:pt idx="5285">
                  <c:v>6.99</c:v>
                </c:pt>
                <c:pt idx="5286">
                  <c:v>6.99</c:v>
                </c:pt>
                <c:pt idx="5287">
                  <c:v>6.99</c:v>
                </c:pt>
                <c:pt idx="5288">
                  <c:v>7.0119999999999996</c:v>
                </c:pt>
                <c:pt idx="5289">
                  <c:v>7.0119999999999996</c:v>
                </c:pt>
                <c:pt idx="5290">
                  <c:v>7.0119999999999996</c:v>
                </c:pt>
                <c:pt idx="5291">
                  <c:v>6.984</c:v>
                </c:pt>
                <c:pt idx="5292">
                  <c:v>6.9809999999999999</c:v>
                </c:pt>
                <c:pt idx="5293">
                  <c:v>6.9820000000000002</c:v>
                </c:pt>
                <c:pt idx="5294">
                  <c:v>7.032</c:v>
                </c:pt>
                <c:pt idx="5295">
                  <c:v>6.96</c:v>
                </c:pt>
                <c:pt idx="5296">
                  <c:v>6.96</c:v>
                </c:pt>
                <c:pt idx="5297">
                  <c:v>6.96</c:v>
                </c:pt>
                <c:pt idx="5298">
                  <c:v>6.96</c:v>
                </c:pt>
                <c:pt idx="5299">
                  <c:v>6.9029999999999996</c:v>
                </c:pt>
                <c:pt idx="5300">
                  <c:v>6.9029999999999996</c:v>
                </c:pt>
                <c:pt idx="5301">
                  <c:v>6.9029999999999996</c:v>
                </c:pt>
                <c:pt idx="5302">
                  <c:v>6.9029999999999996</c:v>
                </c:pt>
                <c:pt idx="5303">
                  <c:v>6.9029999999999996</c:v>
                </c:pt>
                <c:pt idx="5304">
                  <c:v>6.9029999999999996</c:v>
                </c:pt>
                <c:pt idx="5305">
                  <c:v>6.8470000000000004</c:v>
                </c:pt>
                <c:pt idx="5306">
                  <c:v>6.8109999999999999</c:v>
                </c:pt>
                <c:pt idx="5307">
                  <c:v>6.8520000000000003</c:v>
                </c:pt>
                <c:pt idx="5308">
                  <c:v>6.8390000000000004</c:v>
                </c:pt>
                <c:pt idx="5309">
                  <c:v>6.8319999999999999</c:v>
                </c:pt>
                <c:pt idx="5310">
                  <c:v>6.8319999999999999</c:v>
                </c:pt>
                <c:pt idx="5311">
                  <c:v>6.8319999999999999</c:v>
                </c:pt>
                <c:pt idx="5312">
                  <c:v>6.843</c:v>
                </c:pt>
                <c:pt idx="5313">
                  <c:v>6.827</c:v>
                </c:pt>
                <c:pt idx="5314">
                  <c:v>6.81</c:v>
                </c:pt>
                <c:pt idx="5315">
                  <c:v>6.8109999999999999</c:v>
                </c:pt>
                <c:pt idx="5316">
                  <c:v>6.8</c:v>
                </c:pt>
                <c:pt idx="5317">
                  <c:v>6.8</c:v>
                </c:pt>
                <c:pt idx="5318">
                  <c:v>6.8</c:v>
                </c:pt>
                <c:pt idx="5319">
                  <c:v>6.8159999999999998</c:v>
                </c:pt>
                <c:pt idx="5320">
                  <c:v>6.8079999999999998</c:v>
                </c:pt>
                <c:pt idx="5321">
                  <c:v>6.8220000000000001</c:v>
                </c:pt>
                <c:pt idx="5322">
                  <c:v>6.8280000000000003</c:v>
                </c:pt>
                <c:pt idx="5323">
                  <c:v>6.82</c:v>
                </c:pt>
                <c:pt idx="5324">
                  <c:v>6.82</c:v>
                </c:pt>
                <c:pt idx="5325">
                  <c:v>6.82</c:v>
                </c:pt>
                <c:pt idx="5326">
                  <c:v>6.8419999999999996</c:v>
                </c:pt>
                <c:pt idx="5327">
                  <c:v>6.843</c:v>
                </c:pt>
                <c:pt idx="5328">
                  <c:v>6.859</c:v>
                </c:pt>
                <c:pt idx="5329">
                  <c:v>6.843</c:v>
                </c:pt>
                <c:pt idx="5330">
                  <c:v>6.8369999999999997</c:v>
                </c:pt>
                <c:pt idx="5331">
                  <c:v>6.8369999999999997</c:v>
                </c:pt>
                <c:pt idx="5332">
                  <c:v>6.8369999999999997</c:v>
                </c:pt>
                <c:pt idx="5333">
                  <c:v>6.8369999999999997</c:v>
                </c:pt>
                <c:pt idx="5334">
                  <c:v>6.8470000000000004</c:v>
                </c:pt>
                <c:pt idx="5335">
                  <c:v>6.8470000000000004</c:v>
                </c:pt>
                <c:pt idx="5336">
                  <c:v>6.8339999999999996</c:v>
                </c:pt>
                <c:pt idx="5337">
                  <c:v>6.83</c:v>
                </c:pt>
                <c:pt idx="5338">
                  <c:v>6.83</c:v>
                </c:pt>
                <c:pt idx="5339">
                  <c:v>6.83</c:v>
                </c:pt>
                <c:pt idx="5340">
                  <c:v>6.83</c:v>
                </c:pt>
                <c:pt idx="5341">
                  <c:v>6.8019999999999996</c:v>
                </c:pt>
                <c:pt idx="5342">
                  <c:v>6.8019999999999996</c:v>
                </c:pt>
                <c:pt idx="5343">
                  <c:v>6.8250000000000002</c:v>
                </c:pt>
                <c:pt idx="5344">
                  <c:v>6.8310000000000004</c:v>
                </c:pt>
                <c:pt idx="5345">
                  <c:v>6.8310000000000004</c:v>
                </c:pt>
                <c:pt idx="5346">
                  <c:v>6.8310000000000004</c:v>
                </c:pt>
                <c:pt idx="5347">
                  <c:v>6.82</c:v>
                </c:pt>
                <c:pt idx="5348">
                  <c:v>6.8479999999999999</c:v>
                </c:pt>
                <c:pt idx="5349">
                  <c:v>6.84</c:v>
                </c:pt>
                <c:pt idx="5350">
                  <c:v>6.8220000000000001</c:v>
                </c:pt>
                <c:pt idx="5351">
                  <c:v>6.8150000000000004</c:v>
                </c:pt>
                <c:pt idx="5352">
                  <c:v>6.8150000000000004</c:v>
                </c:pt>
                <c:pt idx="5353">
                  <c:v>6.8150000000000004</c:v>
                </c:pt>
                <c:pt idx="5354">
                  <c:v>6.8179999999999996</c:v>
                </c:pt>
                <c:pt idx="5355">
                  <c:v>6.8490000000000002</c:v>
                </c:pt>
                <c:pt idx="5356">
                  <c:v>6.8220000000000001</c:v>
                </c:pt>
                <c:pt idx="5357">
                  <c:v>6.8380000000000001</c:v>
                </c:pt>
                <c:pt idx="5358">
                  <c:v>6.8390000000000004</c:v>
                </c:pt>
                <c:pt idx="5359">
                  <c:v>6.8390000000000004</c:v>
                </c:pt>
                <c:pt idx="5360">
                  <c:v>6.8390000000000004</c:v>
                </c:pt>
                <c:pt idx="5361">
                  <c:v>6.8390000000000004</c:v>
                </c:pt>
                <c:pt idx="5362">
                  <c:v>6.8010000000000002</c:v>
                </c:pt>
                <c:pt idx="5363">
                  <c:v>6.7619999999999996</c:v>
                </c:pt>
                <c:pt idx="5364">
                  <c:v>6.782</c:v>
                </c:pt>
                <c:pt idx="5365">
                  <c:v>6.7990000000000004</c:v>
                </c:pt>
                <c:pt idx="5366">
                  <c:v>6.7990000000000004</c:v>
                </c:pt>
                <c:pt idx="5367">
                  <c:v>6.7990000000000004</c:v>
                </c:pt>
                <c:pt idx="5368">
                  <c:v>6.8</c:v>
                </c:pt>
                <c:pt idx="5369">
                  <c:v>6.7969999999999997</c:v>
                </c:pt>
                <c:pt idx="5370">
                  <c:v>6.7990000000000004</c:v>
                </c:pt>
                <c:pt idx="5371">
                  <c:v>6.7969999999999997</c:v>
                </c:pt>
                <c:pt idx="5372">
                  <c:v>6.7770000000000001</c:v>
                </c:pt>
                <c:pt idx="5373">
                  <c:v>6.7770000000000001</c:v>
                </c:pt>
                <c:pt idx="5374">
                  <c:v>6.7770000000000001</c:v>
                </c:pt>
                <c:pt idx="5375">
                  <c:v>6.7690000000000001</c:v>
                </c:pt>
                <c:pt idx="5376">
                  <c:v>6.7750000000000004</c:v>
                </c:pt>
                <c:pt idx="5377">
                  <c:v>6.7629999999999999</c:v>
                </c:pt>
                <c:pt idx="5378">
                  <c:v>6.7329999999999997</c:v>
                </c:pt>
                <c:pt idx="5379">
                  <c:v>6.702</c:v>
                </c:pt>
                <c:pt idx="5380">
                  <c:v>6.702</c:v>
                </c:pt>
                <c:pt idx="5381">
                  <c:v>6.702</c:v>
                </c:pt>
                <c:pt idx="5382">
                  <c:v>6.673</c:v>
                </c:pt>
                <c:pt idx="5383">
                  <c:v>6.6680000000000001</c:v>
                </c:pt>
                <c:pt idx="5384">
                  <c:v>6.6639999999999997</c:v>
                </c:pt>
                <c:pt idx="5385">
                  <c:v>6.6980000000000004</c:v>
                </c:pt>
                <c:pt idx="5386">
                  <c:v>6.6859999999999999</c:v>
                </c:pt>
                <c:pt idx="5387">
                  <c:v>6.6859999999999999</c:v>
                </c:pt>
                <c:pt idx="5388">
                  <c:v>6.6859999999999999</c:v>
                </c:pt>
                <c:pt idx="5389">
                  <c:v>6.649</c:v>
                </c:pt>
                <c:pt idx="5390">
                  <c:v>6.59</c:v>
                </c:pt>
                <c:pt idx="5391">
                  <c:v>6.5810000000000004</c:v>
                </c:pt>
                <c:pt idx="5392">
                  <c:v>6.5709999999999997</c:v>
                </c:pt>
                <c:pt idx="5393">
                  <c:v>6.5359999999999996</c:v>
                </c:pt>
                <c:pt idx="5394">
                  <c:v>6.5359999999999996</c:v>
                </c:pt>
                <c:pt idx="5395">
                  <c:v>6.5359999999999996</c:v>
                </c:pt>
                <c:pt idx="5396">
                  <c:v>6.5069999999999997</c:v>
                </c:pt>
                <c:pt idx="5397">
                  <c:v>6.5069999999999997</c:v>
                </c:pt>
                <c:pt idx="5398">
                  <c:v>6.5069999999999997</c:v>
                </c:pt>
                <c:pt idx="5399">
                  <c:v>6.5419999999999998</c:v>
                </c:pt>
                <c:pt idx="5400">
                  <c:v>6.52</c:v>
                </c:pt>
                <c:pt idx="5401">
                  <c:v>6.52</c:v>
                </c:pt>
                <c:pt idx="5402">
                  <c:v>6.52</c:v>
                </c:pt>
                <c:pt idx="5403">
                  <c:v>6.5490000000000004</c:v>
                </c:pt>
                <c:pt idx="5404">
                  <c:v>6.5979999999999999</c:v>
                </c:pt>
                <c:pt idx="5405">
                  <c:v>6.6120000000000001</c:v>
                </c:pt>
                <c:pt idx="5406">
                  <c:v>6.5590000000000002</c:v>
                </c:pt>
                <c:pt idx="5407">
                  <c:v>6.5549999999999997</c:v>
                </c:pt>
                <c:pt idx="5408">
                  <c:v>6.5549999999999997</c:v>
                </c:pt>
                <c:pt idx="5409">
                  <c:v>6.5549999999999997</c:v>
                </c:pt>
                <c:pt idx="5410">
                  <c:v>6.5469999999999997</c:v>
                </c:pt>
                <c:pt idx="5411">
                  <c:v>6.5510000000000002</c:v>
                </c:pt>
                <c:pt idx="5412">
                  <c:v>6.5359999999999996</c:v>
                </c:pt>
                <c:pt idx="5413">
                  <c:v>6.5389999999999997</c:v>
                </c:pt>
                <c:pt idx="5414">
                  <c:v>6.5129999999999999</c:v>
                </c:pt>
                <c:pt idx="5415">
                  <c:v>6.5129999999999999</c:v>
                </c:pt>
                <c:pt idx="5416">
                  <c:v>6.5129999999999999</c:v>
                </c:pt>
                <c:pt idx="5417">
                  <c:v>6.5129999999999999</c:v>
                </c:pt>
                <c:pt idx="5418">
                  <c:v>6.51</c:v>
                </c:pt>
                <c:pt idx="5419">
                  <c:v>6.5519999999999996</c:v>
                </c:pt>
                <c:pt idx="5420">
                  <c:v>6.5650000000000004</c:v>
                </c:pt>
                <c:pt idx="5421">
                  <c:v>6.5519999999999996</c:v>
                </c:pt>
                <c:pt idx="5422">
                  <c:v>6.5519999999999996</c:v>
                </c:pt>
                <c:pt idx="5423">
                  <c:v>6.5519999999999996</c:v>
                </c:pt>
                <c:pt idx="5424">
                  <c:v>6.5380000000000003</c:v>
                </c:pt>
                <c:pt idx="5425">
                  <c:v>6.532</c:v>
                </c:pt>
                <c:pt idx="5426">
                  <c:v>6.4509999999999996</c:v>
                </c:pt>
                <c:pt idx="5427">
                  <c:v>6.4390000000000001</c:v>
                </c:pt>
                <c:pt idx="5428">
                  <c:v>6.407</c:v>
                </c:pt>
                <c:pt idx="5429">
                  <c:v>6.407</c:v>
                </c:pt>
                <c:pt idx="5430">
                  <c:v>6.407</c:v>
                </c:pt>
                <c:pt idx="5431">
                  <c:v>6.407</c:v>
                </c:pt>
                <c:pt idx="5432">
                  <c:v>6.2789999999999999</c:v>
                </c:pt>
                <c:pt idx="5433">
                  <c:v>6.3609999999999998</c:v>
                </c:pt>
                <c:pt idx="5434">
                  <c:v>6.1820000000000004</c:v>
                </c:pt>
                <c:pt idx="5435">
                  <c:v>6.2060000000000004</c:v>
                </c:pt>
                <c:pt idx="5436">
                  <c:v>6.2060000000000004</c:v>
                </c:pt>
                <c:pt idx="5437">
                  <c:v>6.2060000000000004</c:v>
                </c:pt>
                <c:pt idx="5438">
                  <c:v>6.1950000000000003</c:v>
                </c:pt>
                <c:pt idx="5439">
                  <c:v>6.181</c:v>
                </c:pt>
                <c:pt idx="5440">
                  <c:v>6.1779999999999999</c:v>
                </c:pt>
                <c:pt idx="5441">
                  <c:v>6.0979999999999999</c:v>
                </c:pt>
                <c:pt idx="5442">
                  <c:v>6.1130000000000004</c:v>
                </c:pt>
                <c:pt idx="5443">
                  <c:v>6.1130000000000004</c:v>
                </c:pt>
                <c:pt idx="5444">
                  <c:v>6.1130000000000004</c:v>
                </c:pt>
                <c:pt idx="5445">
                  <c:v>6.2169999999999996</c:v>
                </c:pt>
                <c:pt idx="5446">
                  <c:v>6.0380000000000003</c:v>
                </c:pt>
                <c:pt idx="5447">
                  <c:v>6.0730000000000004</c:v>
                </c:pt>
                <c:pt idx="5448">
                  <c:v>6.03</c:v>
                </c:pt>
                <c:pt idx="5449">
                  <c:v>6.0720000000000001</c:v>
                </c:pt>
                <c:pt idx="5450">
                  <c:v>6.0720000000000001</c:v>
                </c:pt>
                <c:pt idx="5451">
                  <c:v>6.0720000000000001</c:v>
                </c:pt>
                <c:pt idx="5452">
                  <c:v>6.2039999999999997</c:v>
                </c:pt>
                <c:pt idx="5453">
                  <c:v>6.1559999999999997</c:v>
                </c:pt>
                <c:pt idx="5454">
                  <c:v>6.0670000000000002</c:v>
                </c:pt>
                <c:pt idx="5455">
                  <c:v>6.2779999999999996</c:v>
                </c:pt>
                <c:pt idx="5456">
                  <c:v>6.2750000000000004</c:v>
                </c:pt>
                <c:pt idx="5457">
                  <c:v>6.2750000000000004</c:v>
                </c:pt>
                <c:pt idx="5458">
                  <c:v>6.2750000000000004</c:v>
                </c:pt>
                <c:pt idx="5459">
                  <c:v>6.2750000000000004</c:v>
                </c:pt>
                <c:pt idx="5460">
                  <c:v>6.298</c:v>
                </c:pt>
                <c:pt idx="5461">
                  <c:v>6.2750000000000004</c:v>
                </c:pt>
                <c:pt idx="5462">
                  <c:v>6.3609999999999998</c:v>
                </c:pt>
                <c:pt idx="5463">
                  <c:v>6.3550000000000004</c:v>
                </c:pt>
                <c:pt idx="5464">
                  <c:v>6.3550000000000004</c:v>
                </c:pt>
                <c:pt idx="5465">
                  <c:v>6.3550000000000004</c:v>
                </c:pt>
                <c:pt idx="5466">
                  <c:v>6.3659999999999997</c:v>
                </c:pt>
                <c:pt idx="5467">
                  <c:v>6.41</c:v>
                </c:pt>
                <c:pt idx="5468">
                  <c:v>6.4020000000000001</c:v>
                </c:pt>
                <c:pt idx="5469">
                  <c:v>6.39</c:v>
                </c:pt>
                <c:pt idx="5470">
                  <c:v>6.3949999999999996</c:v>
                </c:pt>
                <c:pt idx="5471">
                  <c:v>6.3949999999999996</c:v>
                </c:pt>
                <c:pt idx="5472">
                  <c:v>6.3949999999999996</c:v>
                </c:pt>
                <c:pt idx="5473">
                  <c:v>6.3929999999999998</c:v>
                </c:pt>
                <c:pt idx="5474">
                  <c:v>6.4089999999999998</c:v>
                </c:pt>
                <c:pt idx="5475">
                  <c:v>6.4009999999999998</c:v>
                </c:pt>
                <c:pt idx="5476">
                  <c:v>6.3650000000000002</c:v>
                </c:pt>
                <c:pt idx="5477">
                  <c:v>6.4080000000000004</c:v>
                </c:pt>
                <c:pt idx="5478">
                  <c:v>6.4080000000000004</c:v>
                </c:pt>
                <c:pt idx="5479">
                  <c:v>6.4080000000000004</c:v>
                </c:pt>
                <c:pt idx="5480">
                  <c:v>6.4169999999999998</c:v>
                </c:pt>
                <c:pt idx="5481">
                  <c:v>6.46</c:v>
                </c:pt>
                <c:pt idx="5482">
                  <c:v>6.2850000000000001</c:v>
                </c:pt>
                <c:pt idx="5483">
                  <c:v>6.3230000000000004</c:v>
                </c:pt>
                <c:pt idx="5484">
                  <c:v>6.2910000000000004</c:v>
                </c:pt>
                <c:pt idx="5485">
                  <c:v>6.2910000000000004</c:v>
                </c:pt>
                <c:pt idx="5486">
                  <c:v>6.2910000000000004</c:v>
                </c:pt>
                <c:pt idx="5487">
                  <c:v>6.2910000000000004</c:v>
                </c:pt>
                <c:pt idx="5488">
                  <c:v>6.3710000000000004</c:v>
                </c:pt>
                <c:pt idx="5489">
                  <c:v>6.2770000000000001</c:v>
                </c:pt>
                <c:pt idx="5490">
                  <c:v>6.2569999999999997</c:v>
                </c:pt>
                <c:pt idx="5491">
                  <c:v>6.2649999999999997</c:v>
                </c:pt>
                <c:pt idx="5492">
                  <c:v>6.2649999999999997</c:v>
                </c:pt>
                <c:pt idx="5493">
                  <c:v>6.2649999999999997</c:v>
                </c:pt>
                <c:pt idx="5494">
                  <c:v>6.2779999999999996</c:v>
                </c:pt>
                <c:pt idx="5495">
                  <c:v>6.25</c:v>
                </c:pt>
                <c:pt idx="5496">
                  <c:v>6.2640000000000002</c:v>
                </c:pt>
                <c:pt idx="5497">
                  <c:v>6.2690000000000001</c:v>
                </c:pt>
                <c:pt idx="5498">
                  <c:v>6.3019999999999996</c:v>
                </c:pt>
                <c:pt idx="5499">
                  <c:v>6.3019999999999996</c:v>
                </c:pt>
                <c:pt idx="5500">
                  <c:v>6.3019999999999996</c:v>
                </c:pt>
                <c:pt idx="5501">
                  <c:v>6.298</c:v>
                </c:pt>
                <c:pt idx="5502">
                  <c:v>6.2770000000000001</c:v>
                </c:pt>
                <c:pt idx="5503">
                  <c:v>6.2789999999999999</c:v>
                </c:pt>
                <c:pt idx="5504">
                  <c:v>6.2789999999999999</c:v>
                </c:pt>
                <c:pt idx="5505">
                  <c:v>6.2949999999999999</c:v>
                </c:pt>
                <c:pt idx="5506">
                  <c:v>6.2949999999999999</c:v>
                </c:pt>
                <c:pt idx="5507">
                  <c:v>6.2949999999999999</c:v>
                </c:pt>
                <c:pt idx="5508">
                  <c:v>6.266</c:v>
                </c:pt>
                <c:pt idx="5509">
                  <c:v>6.274</c:v>
                </c:pt>
                <c:pt idx="5510">
                  <c:v>6.2489999999999997</c:v>
                </c:pt>
                <c:pt idx="5511">
                  <c:v>6.2160000000000002</c:v>
                </c:pt>
                <c:pt idx="5512">
                  <c:v>6.2009999999999996</c:v>
                </c:pt>
                <c:pt idx="5513">
                  <c:v>6.2009999999999996</c:v>
                </c:pt>
                <c:pt idx="5514">
                  <c:v>6.2009999999999996</c:v>
                </c:pt>
                <c:pt idx="5515">
                  <c:v>6.2089999999999996</c:v>
                </c:pt>
                <c:pt idx="5516">
                  <c:v>6.2050000000000001</c:v>
                </c:pt>
                <c:pt idx="5517">
                  <c:v>6.4219999999999997</c:v>
                </c:pt>
                <c:pt idx="5518">
                  <c:v>6.4539999999999997</c:v>
                </c:pt>
                <c:pt idx="5519">
                  <c:v>6.43</c:v>
                </c:pt>
                <c:pt idx="5520">
                  <c:v>6.43</c:v>
                </c:pt>
                <c:pt idx="5521">
                  <c:v>6.43</c:v>
                </c:pt>
                <c:pt idx="5522">
                  <c:v>6.391</c:v>
                </c:pt>
                <c:pt idx="5523">
                  <c:v>6.4080000000000004</c:v>
                </c:pt>
                <c:pt idx="5524">
                  <c:v>6.3689999999999998</c:v>
                </c:pt>
                <c:pt idx="5525">
                  <c:v>6.3179999999999996</c:v>
                </c:pt>
                <c:pt idx="5526">
                  <c:v>6.3630000000000004</c:v>
                </c:pt>
                <c:pt idx="5527">
                  <c:v>6.3630000000000004</c:v>
                </c:pt>
                <c:pt idx="5528">
                  <c:v>6.3630000000000004</c:v>
                </c:pt>
                <c:pt idx="5529">
                  <c:v>6.4059999999999997</c:v>
                </c:pt>
                <c:pt idx="5530">
                  <c:v>6.4059999999999997</c:v>
                </c:pt>
                <c:pt idx="5531">
                  <c:v>6.38</c:v>
                </c:pt>
                <c:pt idx="5532">
                  <c:v>6.3710000000000004</c:v>
                </c:pt>
                <c:pt idx="5533">
                  <c:v>6.3710000000000004</c:v>
                </c:pt>
                <c:pt idx="5534">
                  <c:v>6.3710000000000004</c:v>
                </c:pt>
                <c:pt idx="5535">
                  <c:v>6.3710000000000004</c:v>
                </c:pt>
                <c:pt idx="5536">
                  <c:v>6.3179999999999996</c:v>
                </c:pt>
                <c:pt idx="5537">
                  <c:v>6.343</c:v>
                </c:pt>
                <c:pt idx="5538">
                  <c:v>6.3860000000000001</c:v>
                </c:pt>
                <c:pt idx="5539">
                  <c:v>6.3819999999999997</c:v>
                </c:pt>
                <c:pt idx="5540">
                  <c:v>6.3639999999999999</c:v>
                </c:pt>
                <c:pt idx="5541">
                  <c:v>6.3639999999999999</c:v>
                </c:pt>
                <c:pt idx="5542">
                  <c:v>6.3639999999999999</c:v>
                </c:pt>
                <c:pt idx="5543">
                  <c:v>6.359</c:v>
                </c:pt>
                <c:pt idx="5544">
                  <c:v>6.3659999999999997</c:v>
                </c:pt>
                <c:pt idx="5545">
                  <c:v>6.3550000000000004</c:v>
                </c:pt>
                <c:pt idx="5546">
                  <c:v>6.3470000000000004</c:v>
                </c:pt>
                <c:pt idx="5547">
                  <c:v>6.3650000000000002</c:v>
                </c:pt>
                <c:pt idx="5548">
                  <c:v>6.3650000000000002</c:v>
                </c:pt>
                <c:pt idx="5549">
                  <c:v>6.3650000000000002</c:v>
                </c:pt>
                <c:pt idx="5550">
                  <c:v>6.3650000000000002</c:v>
                </c:pt>
                <c:pt idx="5551">
                  <c:v>6.3529999999999998</c:v>
                </c:pt>
                <c:pt idx="5552">
                  <c:v>6.3410000000000002</c:v>
                </c:pt>
                <c:pt idx="5553">
                  <c:v>6.3449999999999998</c:v>
                </c:pt>
                <c:pt idx="5554">
                  <c:v>6.335</c:v>
                </c:pt>
                <c:pt idx="5555">
                  <c:v>6.335</c:v>
                </c:pt>
                <c:pt idx="5556">
                  <c:v>6.335</c:v>
                </c:pt>
                <c:pt idx="5557">
                  <c:v>6.3289999999999997</c:v>
                </c:pt>
                <c:pt idx="5558">
                  <c:v>6.319</c:v>
                </c:pt>
                <c:pt idx="5559">
                  <c:v>6.3049999999999997</c:v>
                </c:pt>
                <c:pt idx="5560">
                  <c:v>6.3120000000000003</c:v>
                </c:pt>
                <c:pt idx="5561">
                  <c:v>6.2519999999999998</c:v>
                </c:pt>
                <c:pt idx="5562">
                  <c:v>6.2519999999999998</c:v>
                </c:pt>
                <c:pt idx="5563">
                  <c:v>6.2519999999999998</c:v>
                </c:pt>
                <c:pt idx="5564">
                  <c:v>6.2729999999999997</c:v>
                </c:pt>
                <c:pt idx="5565">
                  <c:v>6.2729999999999997</c:v>
                </c:pt>
                <c:pt idx="5566">
                  <c:v>6.2809999999999997</c:v>
                </c:pt>
                <c:pt idx="5567">
                  <c:v>6.2809999999999997</c:v>
                </c:pt>
                <c:pt idx="5568">
                  <c:v>6.2629999999999999</c:v>
                </c:pt>
                <c:pt idx="5569">
                  <c:v>6.2629999999999999</c:v>
                </c:pt>
                <c:pt idx="5570">
                  <c:v>6.2629999999999999</c:v>
                </c:pt>
                <c:pt idx="5571">
                  <c:v>6.2519999999999998</c:v>
                </c:pt>
                <c:pt idx="5572">
                  <c:v>6.2519999999999998</c:v>
                </c:pt>
                <c:pt idx="5573">
                  <c:v>6.2779999999999996</c:v>
                </c:pt>
                <c:pt idx="5574">
                  <c:v>6.48</c:v>
                </c:pt>
                <c:pt idx="5575">
                  <c:v>6.423</c:v>
                </c:pt>
                <c:pt idx="5576">
                  <c:v>6.423</c:v>
                </c:pt>
                <c:pt idx="5577">
                  <c:v>6.423</c:v>
                </c:pt>
                <c:pt idx="5578">
                  <c:v>6.3849999999999998</c:v>
                </c:pt>
                <c:pt idx="5579">
                  <c:v>6.3849999999999998</c:v>
                </c:pt>
                <c:pt idx="5580">
                  <c:v>6.4050000000000002</c:v>
                </c:pt>
                <c:pt idx="5581">
                  <c:v>6.3929999999999998</c:v>
                </c:pt>
                <c:pt idx="5582">
                  <c:v>6.3929999999999998</c:v>
                </c:pt>
                <c:pt idx="5583">
                  <c:v>6.3929999999999998</c:v>
                </c:pt>
                <c:pt idx="5584">
                  <c:v>6.3929999999999998</c:v>
                </c:pt>
                <c:pt idx="5585">
                  <c:v>6.4169999999999998</c:v>
                </c:pt>
                <c:pt idx="5586">
                  <c:v>6.48</c:v>
                </c:pt>
                <c:pt idx="5587">
                  <c:v>6.4</c:v>
                </c:pt>
                <c:pt idx="5588">
                  <c:v>6.3940000000000001</c:v>
                </c:pt>
                <c:pt idx="5589">
                  <c:v>6.4450000000000003</c:v>
                </c:pt>
                <c:pt idx="5590">
                  <c:v>6.4450000000000003</c:v>
                </c:pt>
                <c:pt idx="5591">
                  <c:v>6.4450000000000003</c:v>
                </c:pt>
                <c:pt idx="5592">
                  <c:v>6.431</c:v>
                </c:pt>
                <c:pt idx="5593">
                  <c:v>6.4589999999999996</c:v>
                </c:pt>
                <c:pt idx="5594">
                  <c:v>6.5270000000000001</c:v>
                </c:pt>
                <c:pt idx="5595">
                  <c:v>6.5529999999999999</c:v>
                </c:pt>
                <c:pt idx="5596">
                  <c:v>6.5419999999999998</c:v>
                </c:pt>
                <c:pt idx="5597">
                  <c:v>6.5419999999999998</c:v>
                </c:pt>
                <c:pt idx="5598">
                  <c:v>6.5419999999999998</c:v>
                </c:pt>
                <c:pt idx="5599">
                  <c:v>6.5419999999999998</c:v>
                </c:pt>
                <c:pt idx="5600">
                  <c:v>6.5209999999999999</c:v>
                </c:pt>
                <c:pt idx="5601">
                  <c:v>6.5659999999999998</c:v>
                </c:pt>
                <c:pt idx="5602">
                  <c:v>6.55</c:v>
                </c:pt>
                <c:pt idx="5603">
                  <c:v>6.5229999999999997</c:v>
                </c:pt>
                <c:pt idx="5604">
                  <c:v>6.5229999999999997</c:v>
                </c:pt>
                <c:pt idx="5605">
                  <c:v>6.5229999999999997</c:v>
                </c:pt>
                <c:pt idx="5606">
                  <c:v>6.5659999999999998</c:v>
                </c:pt>
                <c:pt idx="5607">
                  <c:v>6.5270000000000001</c:v>
                </c:pt>
                <c:pt idx="5608">
                  <c:v>6.5270000000000001</c:v>
                </c:pt>
                <c:pt idx="5609">
                  <c:v>6.4470000000000001</c:v>
                </c:pt>
                <c:pt idx="5610">
                  <c:v>6.4950000000000001</c:v>
                </c:pt>
                <c:pt idx="5611">
                  <c:v>6.4950000000000001</c:v>
                </c:pt>
                <c:pt idx="5612">
                  <c:v>6.4950000000000001</c:v>
                </c:pt>
                <c:pt idx="5613">
                  <c:v>6.4359999999999999</c:v>
                </c:pt>
                <c:pt idx="5614">
                  <c:v>6.4290000000000003</c:v>
                </c:pt>
                <c:pt idx="5615">
                  <c:v>6.4779999999999998</c:v>
                </c:pt>
                <c:pt idx="5616">
                  <c:v>6.5289999999999999</c:v>
                </c:pt>
                <c:pt idx="5617">
                  <c:v>6.52</c:v>
                </c:pt>
                <c:pt idx="5618">
                  <c:v>6.52</c:v>
                </c:pt>
                <c:pt idx="5619">
                  <c:v>6.52</c:v>
                </c:pt>
                <c:pt idx="5620">
                  <c:v>6.5149999999999997</c:v>
                </c:pt>
                <c:pt idx="5621">
                  <c:v>6.51</c:v>
                </c:pt>
                <c:pt idx="5622">
                  <c:v>6.4649999999999999</c:v>
                </c:pt>
                <c:pt idx="5623">
                  <c:v>6.4829999999999997</c:v>
                </c:pt>
                <c:pt idx="5624">
                  <c:v>6.4969999999999999</c:v>
                </c:pt>
                <c:pt idx="5625">
                  <c:v>6.4969999999999999</c:v>
                </c:pt>
                <c:pt idx="5626">
                  <c:v>6.4969999999999999</c:v>
                </c:pt>
                <c:pt idx="5627">
                  <c:v>6.556</c:v>
                </c:pt>
                <c:pt idx="5628">
                  <c:v>6.5460000000000003</c:v>
                </c:pt>
                <c:pt idx="5629">
                  <c:v>6.5289999999999999</c:v>
                </c:pt>
                <c:pt idx="5630">
                  <c:v>6.51</c:v>
                </c:pt>
                <c:pt idx="5631">
                  <c:v>6.5430000000000001</c:v>
                </c:pt>
                <c:pt idx="5632">
                  <c:v>6.5430000000000001</c:v>
                </c:pt>
                <c:pt idx="5633">
                  <c:v>6.5430000000000001</c:v>
                </c:pt>
                <c:pt idx="5634">
                  <c:v>6.52</c:v>
                </c:pt>
                <c:pt idx="5635">
                  <c:v>6.5140000000000002</c:v>
                </c:pt>
                <c:pt idx="5636">
                  <c:v>6.4530000000000003</c:v>
                </c:pt>
                <c:pt idx="5637">
                  <c:v>6.4109999999999996</c:v>
                </c:pt>
                <c:pt idx="5638">
                  <c:v>6.4290000000000003</c:v>
                </c:pt>
                <c:pt idx="5639">
                  <c:v>6.4290000000000003</c:v>
                </c:pt>
                <c:pt idx="5640">
                  <c:v>6.4290000000000003</c:v>
                </c:pt>
                <c:pt idx="5641">
                  <c:v>6.4039999999999999</c:v>
                </c:pt>
                <c:pt idx="5642">
                  <c:v>6.3929999999999998</c:v>
                </c:pt>
                <c:pt idx="5643">
                  <c:v>6.3970000000000002</c:v>
                </c:pt>
                <c:pt idx="5644">
                  <c:v>6.3970000000000002</c:v>
                </c:pt>
                <c:pt idx="5645">
                  <c:v>6.3860000000000001</c:v>
                </c:pt>
                <c:pt idx="5646">
                  <c:v>6.3860000000000001</c:v>
                </c:pt>
                <c:pt idx="5647">
                  <c:v>6.3860000000000001</c:v>
                </c:pt>
                <c:pt idx="5648">
                  <c:v>6.39</c:v>
                </c:pt>
                <c:pt idx="5649">
                  <c:v>6.3789999999999996</c:v>
                </c:pt>
                <c:pt idx="5650">
                  <c:v>6.3940000000000001</c:v>
                </c:pt>
                <c:pt idx="5651">
                  <c:v>6.4</c:v>
                </c:pt>
                <c:pt idx="5652">
                  <c:v>6.4009999999999998</c:v>
                </c:pt>
                <c:pt idx="5653">
                  <c:v>6.4009999999999998</c:v>
                </c:pt>
                <c:pt idx="5654">
                  <c:v>6.4009999999999998</c:v>
                </c:pt>
                <c:pt idx="5655">
                  <c:v>6.4009999999999998</c:v>
                </c:pt>
                <c:pt idx="5656">
                  <c:v>6.4050000000000002</c:v>
                </c:pt>
                <c:pt idx="5657">
                  <c:v>6.415</c:v>
                </c:pt>
                <c:pt idx="5658">
                  <c:v>6.4219999999999997</c:v>
                </c:pt>
                <c:pt idx="5659">
                  <c:v>6.4219999999999997</c:v>
                </c:pt>
                <c:pt idx="5660">
                  <c:v>6.4219999999999997</c:v>
                </c:pt>
                <c:pt idx="5661">
                  <c:v>6.4219999999999997</c:v>
                </c:pt>
                <c:pt idx="5662">
                  <c:v>6.4169999999999998</c:v>
                </c:pt>
                <c:pt idx="5663">
                  <c:v>6.4240000000000004</c:v>
                </c:pt>
                <c:pt idx="5664">
                  <c:v>6.4210000000000003</c:v>
                </c:pt>
                <c:pt idx="5665">
                  <c:v>6.415</c:v>
                </c:pt>
                <c:pt idx="5666">
                  <c:v>6.4329999999999998</c:v>
                </c:pt>
                <c:pt idx="5667">
                  <c:v>6.4329999999999998</c:v>
                </c:pt>
                <c:pt idx="5668">
                  <c:v>6.4329999999999998</c:v>
                </c:pt>
                <c:pt idx="5669">
                  <c:v>6.4210000000000003</c:v>
                </c:pt>
                <c:pt idx="5670">
                  <c:v>6.391</c:v>
                </c:pt>
                <c:pt idx="5671">
                  <c:v>6.4329999999999998</c:v>
                </c:pt>
                <c:pt idx="5672">
                  <c:v>6.42</c:v>
                </c:pt>
                <c:pt idx="5673">
                  <c:v>6.4180000000000001</c:v>
                </c:pt>
                <c:pt idx="5674">
                  <c:v>6.4180000000000001</c:v>
                </c:pt>
                <c:pt idx="5675">
                  <c:v>6.4180000000000001</c:v>
                </c:pt>
                <c:pt idx="5676">
                  <c:v>6.4550000000000001</c:v>
                </c:pt>
                <c:pt idx="5677">
                  <c:v>6.4359999999999999</c:v>
                </c:pt>
                <c:pt idx="5678">
                  <c:v>6.3769999999999998</c:v>
                </c:pt>
                <c:pt idx="5679">
                  <c:v>6.3810000000000002</c:v>
                </c:pt>
                <c:pt idx="5680">
                  <c:v>6.34</c:v>
                </c:pt>
                <c:pt idx="5681">
                  <c:v>6.34</c:v>
                </c:pt>
                <c:pt idx="5682">
                  <c:v>6.34</c:v>
                </c:pt>
                <c:pt idx="5683">
                  <c:v>6.3380000000000001</c:v>
                </c:pt>
                <c:pt idx="5684">
                  <c:v>6.33</c:v>
                </c:pt>
                <c:pt idx="5685">
                  <c:v>6.3289999999999997</c:v>
                </c:pt>
                <c:pt idx="5686">
                  <c:v>6.3019999999999996</c:v>
                </c:pt>
                <c:pt idx="5687">
                  <c:v>6.29</c:v>
                </c:pt>
                <c:pt idx="5688">
                  <c:v>6.29</c:v>
                </c:pt>
                <c:pt idx="5689">
                  <c:v>6.29</c:v>
                </c:pt>
                <c:pt idx="5690">
                  <c:v>6.2949999999999999</c:v>
                </c:pt>
                <c:pt idx="5691">
                  <c:v>6.2839999999999998</c:v>
                </c:pt>
                <c:pt idx="5692">
                  <c:v>6.2619999999999996</c:v>
                </c:pt>
                <c:pt idx="5693">
                  <c:v>6.2759999999999998</c:v>
                </c:pt>
                <c:pt idx="5694">
                  <c:v>6.1849999999999996</c:v>
                </c:pt>
                <c:pt idx="5695">
                  <c:v>6.1849999999999996</c:v>
                </c:pt>
                <c:pt idx="5696">
                  <c:v>6.1849999999999996</c:v>
                </c:pt>
                <c:pt idx="5697">
                  <c:v>6.1849999999999996</c:v>
                </c:pt>
                <c:pt idx="5698">
                  <c:v>6.2569999999999997</c:v>
                </c:pt>
                <c:pt idx="5699">
                  <c:v>6.2450000000000001</c:v>
                </c:pt>
                <c:pt idx="5700">
                  <c:v>6.2460000000000004</c:v>
                </c:pt>
                <c:pt idx="5701">
                  <c:v>6.2910000000000004</c:v>
                </c:pt>
                <c:pt idx="5702">
                  <c:v>6.2910000000000004</c:v>
                </c:pt>
                <c:pt idx="5703">
                  <c:v>6.2910000000000004</c:v>
                </c:pt>
                <c:pt idx="5704">
                  <c:v>6.2539999999999996</c:v>
                </c:pt>
                <c:pt idx="5705">
                  <c:v>6.2539999999999996</c:v>
                </c:pt>
                <c:pt idx="5706">
                  <c:v>6.28</c:v>
                </c:pt>
                <c:pt idx="5707">
                  <c:v>6.28</c:v>
                </c:pt>
                <c:pt idx="5708">
                  <c:v>6.28</c:v>
                </c:pt>
                <c:pt idx="5709">
                  <c:v>6.28</c:v>
                </c:pt>
                <c:pt idx="5710">
                  <c:v>6.28</c:v>
                </c:pt>
                <c:pt idx="5711">
                  <c:v>6.28</c:v>
                </c:pt>
                <c:pt idx="5712">
                  <c:v>6.2619999999999996</c:v>
                </c:pt>
                <c:pt idx="5713">
                  <c:v>6.2619999999999996</c:v>
                </c:pt>
                <c:pt idx="5714">
                  <c:v>6.1749999999999998</c:v>
                </c:pt>
                <c:pt idx="5715">
                  <c:v>6.1749999999999998</c:v>
                </c:pt>
                <c:pt idx="5716">
                  <c:v>6.1749999999999998</c:v>
                </c:pt>
                <c:pt idx="5717">
                  <c:v>6.1749999999999998</c:v>
                </c:pt>
                <c:pt idx="5718">
                  <c:v>6.1349999999999998</c:v>
                </c:pt>
                <c:pt idx="5719">
                  <c:v>6.1349999999999998</c:v>
                </c:pt>
                <c:pt idx="5720">
                  <c:v>6.1210000000000004</c:v>
                </c:pt>
                <c:pt idx="5721">
                  <c:v>6.1420000000000003</c:v>
                </c:pt>
                <c:pt idx="5722">
                  <c:v>6.1210000000000004</c:v>
                </c:pt>
                <c:pt idx="5723">
                  <c:v>6.1210000000000004</c:v>
                </c:pt>
                <c:pt idx="5724">
                  <c:v>6.1210000000000004</c:v>
                </c:pt>
                <c:pt idx="5725">
                  <c:v>6.133</c:v>
                </c:pt>
                <c:pt idx="5726">
                  <c:v>6.1539999999999999</c:v>
                </c:pt>
                <c:pt idx="5727">
                  <c:v>6.1050000000000004</c:v>
                </c:pt>
                <c:pt idx="5728">
                  <c:v>6.2240000000000002</c:v>
                </c:pt>
                <c:pt idx="5729">
                  <c:v>6.2240000000000002</c:v>
                </c:pt>
                <c:pt idx="5730">
                  <c:v>6.2240000000000002</c:v>
                </c:pt>
                <c:pt idx="5731">
                  <c:v>6.2240000000000002</c:v>
                </c:pt>
                <c:pt idx="5732">
                  <c:v>6.2309999999999999</c:v>
                </c:pt>
                <c:pt idx="5733">
                  <c:v>6.2409999999999997</c:v>
                </c:pt>
                <c:pt idx="5734">
                  <c:v>6.2160000000000002</c:v>
                </c:pt>
                <c:pt idx="5735">
                  <c:v>6.2160000000000002</c:v>
                </c:pt>
                <c:pt idx="5736">
                  <c:v>6.2160000000000002</c:v>
                </c:pt>
                <c:pt idx="5737">
                  <c:v>6.2160000000000002</c:v>
                </c:pt>
                <c:pt idx="5738">
                  <c:v>6.2160000000000002</c:v>
                </c:pt>
                <c:pt idx="5739">
                  <c:v>6.226</c:v>
                </c:pt>
                <c:pt idx="5740">
                  <c:v>6.2359999999999998</c:v>
                </c:pt>
                <c:pt idx="5741">
                  <c:v>6.2110000000000003</c:v>
                </c:pt>
                <c:pt idx="5742">
                  <c:v>6.2679999999999998</c:v>
                </c:pt>
                <c:pt idx="5743">
                  <c:v>6.2679999999999998</c:v>
                </c:pt>
                <c:pt idx="5744">
                  <c:v>6.2679999999999998</c:v>
                </c:pt>
                <c:pt idx="5745">
                  <c:v>6.2679999999999998</c:v>
                </c:pt>
                <c:pt idx="5746">
                  <c:v>6.2770000000000001</c:v>
                </c:pt>
                <c:pt idx="5747">
                  <c:v>6.2770000000000001</c:v>
                </c:pt>
                <c:pt idx="5748">
                  <c:v>6.2770000000000001</c:v>
                </c:pt>
                <c:pt idx="5749">
                  <c:v>6.2770000000000001</c:v>
                </c:pt>
                <c:pt idx="5750">
                  <c:v>6.2770000000000001</c:v>
                </c:pt>
                <c:pt idx="5751">
                  <c:v>6.2770000000000001</c:v>
                </c:pt>
                <c:pt idx="5752">
                  <c:v>6.2770000000000001</c:v>
                </c:pt>
                <c:pt idx="5753">
                  <c:v>6.2770000000000001</c:v>
                </c:pt>
                <c:pt idx="5754">
                  <c:v>6.2759999999999998</c:v>
                </c:pt>
                <c:pt idx="5755">
                  <c:v>6.2759999999999998</c:v>
                </c:pt>
                <c:pt idx="5756">
                  <c:v>6.173</c:v>
                </c:pt>
                <c:pt idx="5757">
                  <c:v>6.1539999999999999</c:v>
                </c:pt>
                <c:pt idx="5758">
                  <c:v>6.1539999999999999</c:v>
                </c:pt>
                <c:pt idx="5759">
                  <c:v>6.1539999999999999</c:v>
                </c:pt>
                <c:pt idx="5760">
                  <c:v>6.2</c:v>
                </c:pt>
                <c:pt idx="5761">
                  <c:v>6.1559999999999997</c:v>
                </c:pt>
                <c:pt idx="5762">
                  <c:v>6.1470000000000002</c:v>
                </c:pt>
                <c:pt idx="5763">
                  <c:v>6.1260000000000003</c:v>
                </c:pt>
                <c:pt idx="5764">
                  <c:v>6.14</c:v>
                </c:pt>
                <c:pt idx="5765">
                  <c:v>6.14</c:v>
                </c:pt>
                <c:pt idx="5766">
                  <c:v>6.14</c:v>
                </c:pt>
                <c:pt idx="5767">
                  <c:v>6.141</c:v>
                </c:pt>
                <c:pt idx="5768">
                  <c:v>6.1420000000000003</c:v>
                </c:pt>
                <c:pt idx="5769">
                  <c:v>6.1420000000000003</c:v>
                </c:pt>
                <c:pt idx="5770">
                  <c:v>6.1420000000000003</c:v>
                </c:pt>
                <c:pt idx="5771">
                  <c:v>6.1420000000000003</c:v>
                </c:pt>
                <c:pt idx="5772">
                  <c:v>6.1420000000000003</c:v>
                </c:pt>
                <c:pt idx="5773">
                  <c:v>6.1420000000000003</c:v>
                </c:pt>
                <c:pt idx="5774">
                  <c:v>6.1829999999999998</c:v>
                </c:pt>
                <c:pt idx="5775">
                  <c:v>6.1609999999999996</c:v>
                </c:pt>
                <c:pt idx="5776">
                  <c:v>6.1509999999999998</c:v>
                </c:pt>
                <c:pt idx="5777">
                  <c:v>6.17</c:v>
                </c:pt>
                <c:pt idx="5778">
                  <c:v>6.1680000000000001</c:v>
                </c:pt>
                <c:pt idx="5779">
                  <c:v>6.1680000000000001</c:v>
                </c:pt>
                <c:pt idx="5780">
                  <c:v>6.1680000000000001</c:v>
                </c:pt>
                <c:pt idx="5781">
                  <c:v>6.1609999999999996</c:v>
                </c:pt>
                <c:pt idx="5782">
                  <c:v>6.1680000000000001</c:v>
                </c:pt>
                <c:pt idx="5783">
                  <c:v>6.17</c:v>
                </c:pt>
                <c:pt idx="5784">
                  <c:v>6.17</c:v>
                </c:pt>
                <c:pt idx="5785">
                  <c:v>6.173</c:v>
                </c:pt>
                <c:pt idx="5786">
                  <c:v>6.173</c:v>
                </c:pt>
                <c:pt idx="5787">
                  <c:v>6.173</c:v>
                </c:pt>
                <c:pt idx="5788">
                  <c:v>6.1890000000000001</c:v>
                </c:pt>
                <c:pt idx="5789">
                  <c:v>6.1890000000000001</c:v>
                </c:pt>
                <c:pt idx="5790">
                  <c:v>6.18</c:v>
                </c:pt>
                <c:pt idx="5791">
                  <c:v>6.18</c:v>
                </c:pt>
                <c:pt idx="5792">
                  <c:v>6.2149999999999999</c:v>
                </c:pt>
                <c:pt idx="5793">
                  <c:v>6.2149999999999999</c:v>
                </c:pt>
                <c:pt idx="5794">
                  <c:v>6.2149999999999999</c:v>
                </c:pt>
                <c:pt idx="5795">
                  <c:v>6.2149999999999999</c:v>
                </c:pt>
                <c:pt idx="5796">
                  <c:v>6.2</c:v>
                </c:pt>
                <c:pt idx="5797">
                  <c:v>6.2</c:v>
                </c:pt>
                <c:pt idx="5798">
                  <c:v>6.1849999999999996</c:v>
                </c:pt>
                <c:pt idx="5799">
                  <c:v>6.1849999999999996</c:v>
                </c:pt>
                <c:pt idx="5800">
                  <c:v>6.1849999999999996</c:v>
                </c:pt>
                <c:pt idx="5801">
                  <c:v>6.1849999999999996</c:v>
                </c:pt>
                <c:pt idx="5802">
                  <c:v>6.1840000000000002</c:v>
                </c:pt>
                <c:pt idx="5803">
                  <c:v>6.2729999999999997</c:v>
                </c:pt>
                <c:pt idx="5804">
                  <c:v>6.2729999999999997</c:v>
                </c:pt>
                <c:pt idx="5805">
                  <c:v>6.2009999999999996</c:v>
                </c:pt>
                <c:pt idx="5806">
                  <c:v>6.2</c:v>
                </c:pt>
                <c:pt idx="5807">
                  <c:v>6.2</c:v>
                </c:pt>
                <c:pt idx="5808">
                  <c:v>6.2</c:v>
                </c:pt>
                <c:pt idx="5809">
                  <c:v>6.2</c:v>
                </c:pt>
                <c:pt idx="5810">
                  <c:v>6.1970000000000001</c:v>
                </c:pt>
                <c:pt idx="5811">
                  <c:v>6.1970000000000001</c:v>
                </c:pt>
                <c:pt idx="5812">
                  <c:v>6.1970000000000001</c:v>
                </c:pt>
                <c:pt idx="5813">
                  <c:v>6.1970000000000001</c:v>
                </c:pt>
                <c:pt idx="5814">
                  <c:v>6.1970000000000001</c:v>
                </c:pt>
                <c:pt idx="5815">
                  <c:v>6.1970000000000001</c:v>
                </c:pt>
                <c:pt idx="5816">
                  <c:v>6.2649999999999997</c:v>
                </c:pt>
                <c:pt idx="5817">
                  <c:v>6.2270000000000003</c:v>
                </c:pt>
                <c:pt idx="5818">
                  <c:v>6.3070000000000004</c:v>
                </c:pt>
                <c:pt idx="5819">
                  <c:v>6.2240000000000002</c:v>
                </c:pt>
                <c:pt idx="5820">
                  <c:v>6.2619999999999996</c:v>
                </c:pt>
                <c:pt idx="5821">
                  <c:v>6.2619999999999996</c:v>
                </c:pt>
                <c:pt idx="5822">
                  <c:v>6.2619999999999996</c:v>
                </c:pt>
                <c:pt idx="5823">
                  <c:v>6.2850000000000001</c:v>
                </c:pt>
                <c:pt idx="5824">
                  <c:v>6.2930000000000001</c:v>
                </c:pt>
                <c:pt idx="5825">
                  <c:v>6.2750000000000004</c:v>
                </c:pt>
                <c:pt idx="5826">
                  <c:v>6.2750000000000004</c:v>
                </c:pt>
                <c:pt idx="5827">
                  <c:v>6.2750000000000004</c:v>
                </c:pt>
                <c:pt idx="5828">
                  <c:v>6.2750000000000004</c:v>
                </c:pt>
                <c:pt idx="5829">
                  <c:v>6.2750000000000004</c:v>
                </c:pt>
                <c:pt idx="5830">
                  <c:v>6.2859999999999996</c:v>
                </c:pt>
                <c:pt idx="5831">
                  <c:v>6.2859999999999996</c:v>
                </c:pt>
                <c:pt idx="5832">
                  <c:v>6.2859999999999996</c:v>
                </c:pt>
                <c:pt idx="5833">
                  <c:v>6.2229999999999999</c:v>
                </c:pt>
                <c:pt idx="5834">
                  <c:v>6.2729999999999997</c:v>
                </c:pt>
                <c:pt idx="5835">
                  <c:v>6.2729999999999997</c:v>
                </c:pt>
                <c:pt idx="5836">
                  <c:v>6.2729999999999997</c:v>
                </c:pt>
                <c:pt idx="5837">
                  <c:v>6.2729999999999997</c:v>
                </c:pt>
                <c:pt idx="5838">
                  <c:v>6.2729999999999997</c:v>
                </c:pt>
                <c:pt idx="5839">
                  <c:v>6.3049999999999997</c:v>
                </c:pt>
                <c:pt idx="5840">
                  <c:v>6.343</c:v>
                </c:pt>
                <c:pt idx="5841">
                  <c:v>6.2770000000000001</c:v>
                </c:pt>
                <c:pt idx="5842">
                  <c:v>6.2770000000000001</c:v>
                </c:pt>
                <c:pt idx="5843">
                  <c:v>6.2770000000000001</c:v>
                </c:pt>
                <c:pt idx="5844">
                  <c:v>6.3140000000000001</c:v>
                </c:pt>
                <c:pt idx="5845">
                  <c:v>6.3959999999999999</c:v>
                </c:pt>
                <c:pt idx="5846">
                  <c:v>6.391</c:v>
                </c:pt>
                <c:pt idx="5847">
                  <c:v>6.3650000000000002</c:v>
                </c:pt>
                <c:pt idx="5848">
                  <c:v>6.351</c:v>
                </c:pt>
                <c:pt idx="5849">
                  <c:v>6.351</c:v>
                </c:pt>
                <c:pt idx="5850">
                  <c:v>6.351</c:v>
                </c:pt>
                <c:pt idx="5851">
                  <c:v>6.351</c:v>
                </c:pt>
                <c:pt idx="5852">
                  <c:v>6.3780000000000001</c:v>
                </c:pt>
                <c:pt idx="5853">
                  <c:v>6.6769999999999996</c:v>
                </c:pt>
                <c:pt idx="5854">
                  <c:v>6.6079999999999997</c:v>
                </c:pt>
                <c:pt idx="5855">
                  <c:v>6.6109999999999998</c:v>
                </c:pt>
                <c:pt idx="5856">
                  <c:v>6.6109999999999998</c:v>
                </c:pt>
                <c:pt idx="5857">
                  <c:v>6.6109999999999998</c:v>
                </c:pt>
                <c:pt idx="5858">
                  <c:v>6.61</c:v>
                </c:pt>
                <c:pt idx="5859">
                  <c:v>6.6239999999999997</c:v>
                </c:pt>
                <c:pt idx="5860">
                  <c:v>6.6239999999999997</c:v>
                </c:pt>
                <c:pt idx="5861">
                  <c:v>6.59</c:v>
                </c:pt>
                <c:pt idx="5862">
                  <c:v>6.593</c:v>
                </c:pt>
                <c:pt idx="5863">
                  <c:v>6.593</c:v>
                </c:pt>
                <c:pt idx="5864">
                  <c:v>6.593</c:v>
                </c:pt>
                <c:pt idx="5865">
                  <c:v>6.6150000000000002</c:v>
                </c:pt>
                <c:pt idx="5866">
                  <c:v>6.5839999999999996</c:v>
                </c:pt>
                <c:pt idx="5867">
                  <c:v>6.609</c:v>
                </c:pt>
                <c:pt idx="5868">
                  <c:v>6.609</c:v>
                </c:pt>
                <c:pt idx="5869">
                  <c:v>6.609</c:v>
                </c:pt>
                <c:pt idx="5870">
                  <c:v>6.609</c:v>
                </c:pt>
                <c:pt idx="5871">
                  <c:v>6.609</c:v>
                </c:pt>
                <c:pt idx="5872">
                  <c:v>6.7590000000000003</c:v>
                </c:pt>
                <c:pt idx="5873">
                  <c:v>6.6840000000000002</c:v>
                </c:pt>
                <c:pt idx="5874">
                  <c:v>6.6669999999999998</c:v>
                </c:pt>
                <c:pt idx="5875">
                  <c:v>6.6029999999999998</c:v>
                </c:pt>
                <c:pt idx="5876">
                  <c:v>6.67</c:v>
                </c:pt>
                <c:pt idx="5877">
                  <c:v>6.67</c:v>
                </c:pt>
                <c:pt idx="5878">
                  <c:v>6.67</c:v>
                </c:pt>
                <c:pt idx="5879">
                  <c:v>6.7389999999999999</c:v>
                </c:pt>
                <c:pt idx="5880">
                  <c:v>6.6929999999999996</c:v>
                </c:pt>
                <c:pt idx="5881">
                  <c:v>6.657</c:v>
                </c:pt>
                <c:pt idx="5882">
                  <c:v>6.6150000000000002</c:v>
                </c:pt>
                <c:pt idx="5883">
                  <c:v>6.641</c:v>
                </c:pt>
                <c:pt idx="5884">
                  <c:v>6.641</c:v>
                </c:pt>
                <c:pt idx="5885">
                  <c:v>6.641</c:v>
                </c:pt>
                <c:pt idx="5886">
                  <c:v>6.6</c:v>
                </c:pt>
                <c:pt idx="5887">
                  <c:v>6.6</c:v>
                </c:pt>
                <c:pt idx="5888">
                  <c:v>6.5819999999999999</c:v>
                </c:pt>
                <c:pt idx="5889">
                  <c:v>6.5970000000000004</c:v>
                </c:pt>
                <c:pt idx="5890">
                  <c:v>6.6130000000000004</c:v>
                </c:pt>
                <c:pt idx="5891">
                  <c:v>6.6130000000000004</c:v>
                </c:pt>
                <c:pt idx="5892">
                  <c:v>6.6130000000000004</c:v>
                </c:pt>
                <c:pt idx="5893">
                  <c:v>6.6130000000000004</c:v>
                </c:pt>
                <c:pt idx="5894">
                  <c:v>6.6479999999999997</c:v>
                </c:pt>
                <c:pt idx="5895">
                  <c:v>6.6550000000000002</c:v>
                </c:pt>
                <c:pt idx="5896">
                  <c:v>6.657</c:v>
                </c:pt>
                <c:pt idx="5897">
                  <c:v>6.6609999999999996</c:v>
                </c:pt>
                <c:pt idx="5898">
                  <c:v>6.6609999999999996</c:v>
                </c:pt>
                <c:pt idx="5899">
                  <c:v>6.6609999999999996</c:v>
                </c:pt>
                <c:pt idx="5900">
                  <c:v>6.6769999999999996</c:v>
                </c:pt>
                <c:pt idx="5901">
                  <c:v>6.6589999999999998</c:v>
                </c:pt>
                <c:pt idx="5902">
                  <c:v>6.6829999999999998</c:v>
                </c:pt>
                <c:pt idx="5903">
                  <c:v>6.7130000000000001</c:v>
                </c:pt>
                <c:pt idx="5904">
                  <c:v>6.7130000000000001</c:v>
                </c:pt>
                <c:pt idx="5905">
                  <c:v>6.7130000000000001</c:v>
                </c:pt>
                <c:pt idx="5906">
                  <c:v>6.7130000000000001</c:v>
                </c:pt>
                <c:pt idx="5907">
                  <c:v>6.6870000000000003</c:v>
                </c:pt>
                <c:pt idx="5908">
                  <c:v>6.7140000000000004</c:v>
                </c:pt>
                <c:pt idx="5909">
                  <c:v>6.6950000000000003</c:v>
                </c:pt>
                <c:pt idx="5910">
                  <c:v>6.6849999999999996</c:v>
                </c:pt>
                <c:pt idx="5911">
                  <c:v>6.6879999999999997</c:v>
                </c:pt>
                <c:pt idx="5912">
                  <c:v>6.6879999999999997</c:v>
                </c:pt>
                <c:pt idx="5913">
                  <c:v>6.6879999999999997</c:v>
                </c:pt>
                <c:pt idx="5914">
                  <c:v>6.63</c:v>
                </c:pt>
                <c:pt idx="5915">
                  <c:v>6.6319999999999997</c:v>
                </c:pt>
                <c:pt idx="5916">
                  <c:v>6.6239999999999997</c:v>
                </c:pt>
                <c:pt idx="5917">
                  <c:v>6.516</c:v>
                </c:pt>
                <c:pt idx="5918">
                  <c:v>6.6040000000000001</c:v>
                </c:pt>
                <c:pt idx="5919">
                  <c:v>6.6040000000000001</c:v>
                </c:pt>
                <c:pt idx="5920">
                  <c:v>6.6040000000000001</c:v>
                </c:pt>
                <c:pt idx="5921">
                  <c:v>6.524</c:v>
                </c:pt>
                <c:pt idx="5922">
                  <c:v>6.5250000000000004</c:v>
                </c:pt>
                <c:pt idx="5923">
                  <c:v>6.5759999999999996</c:v>
                </c:pt>
                <c:pt idx="5924">
                  <c:v>6.5739999999999998</c:v>
                </c:pt>
                <c:pt idx="5925">
                  <c:v>6.5410000000000004</c:v>
                </c:pt>
                <c:pt idx="5926">
                  <c:v>6.5410000000000004</c:v>
                </c:pt>
                <c:pt idx="5927">
                  <c:v>6.5410000000000004</c:v>
                </c:pt>
                <c:pt idx="5928">
                  <c:v>6.5460000000000003</c:v>
                </c:pt>
                <c:pt idx="5929">
                  <c:v>6.4729999999999999</c:v>
                </c:pt>
                <c:pt idx="5930">
                  <c:v>6.4480000000000004</c:v>
                </c:pt>
                <c:pt idx="5931">
                  <c:v>6.4480000000000004</c:v>
                </c:pt>
                <c:pt idx="5932">
                  <c:v>6.4480000000000004</c:v>
                </c:pt>
                <c:pt idx="5933">
                  <c:v>6.4480000000000004</c:v>
                </c:pt>
                <c:pt idx="5934">
                  <c:v>6.4480000000000004</c:v>
                </c:pt>
                <c:pt idx="5935">
                  <c:v>6.4480000000000004</c:v>
                </c:pt>
                <c:pt idx="5936">
                  <c:v>6.44</c:v>
                </c:pt>
                <c:pt idx="5937">
                  <c:v>6.431</c:v>
                </c:pt>
                <c:pt idx="5938">
                  <c:v>6.391</c:v>
                </c:pt>
                <c:pt idx="5939">
                  <c:v>6.4169999999999998</c:v>
                </c:pt>
                <c:pt idx="5940">
                  <c:v>6.4169999999999998</c:v>
                </c:pt>
                <c:pt idx="5941">
                  <c:v>6.4169999999999998</c:v>
                </c:pt>
                <c:pt idx="5942">
                  <c:v>6.4210000000000003</c:v>
                </c:pt>
                <c:pt idx="5943">
                  <c:v>6.4219999999999997</c:v>
                </c:pt>
                <c:pt idx="5944">
                  <c:v>6.5010000000000003</c:v>
                </c:pt>
                <c:pt idx="5945">
                  <c:v>6.4509999999999996</c:v>
                </c:pt>
                <c:pt idx="5946">
                  <c:v>6.5</c:v>
                </c:pt>
                <c:pt idx="5947">
                  <c:v>6.5</c:v>
                </c:pt>
                <c:pt idx="5948">
                  <c:v>6.5</c:v>
                </c:pt>
                <c:pt idx="5949">
                  <c:v>6.4820000000000002</c:v>
                </c:pt>
                <c:pt idx="5950">
                  <c:v>6.5229999999999997</c:v>
                </c:pt>
                <c:pt idx="5951">
                  <c:v>6.5309999999999997</c:v>
                </c:pt>
                <c:pt idx="5952">
                  <c:v>6.6</c:v>
                </c:pt>
                <c:pt idx="5953">
                  <c:v>6.6790000000000003</c:v>
                </c:pt>
                <c:pt idx="5954">
                  <c:v>6.6790000000000003</c:v>
                </c:pt>
                <c:pt idx="5955">
                  <c:v>6.6790000000000003</c:v>
                </c:pt>
                <c:pt idx="5956">
                  <c:v>6.7220000000000004</c:v>
                </c:pt>
                <c:pt idx="5957">
                  <c:v>6.6559999999999997</c:v>
                </c:pt>
                <c:pt idx="5958">
                  <c:v>6.7130000000000001</c:v>
                </c:pt>
                <c:pt idx="5959">
                  <c:v>6.6740000000000004</c:v>
                </c:pt>
                <c:pt idx="5960">
                  <c:v>6.7</c:v>
                </c:pt>
                <c:pt idx="5961">
                  <c:v>6.7</c:v>
                </c:pt>
                <c:pt idx="5962">
                  <c:v>6.7</c:v>
                </c:pt>
                <c:pt idx="5963">
                  <c:v>6.7</c:v>
                </c:pt>
                <c:pt idx="5964">
                  <c:v>6.7</c:v>
                </c:pt>
                <c:pt idx="5965">
                  <c:v>6.7510000000000003</c:v>
                </c:pt>
                <c:pt idx="5966">
                  <c:v>6.774</c:v>
                </c:pt>
                <c:pt idx="5967">
                  <c:v>6.7969999999999997</c:v>
                </c:pt>
                <c:pt idx="5968">
                  <c:v>6.7969999999999997</c:v>
                </c:pt>
                <c:pt idx="5969">
                  <c:v>6.7969999999999997</c:v>
                </c:pt>
                <c:pt idx="5970">
                  <c:v>6.7430000000000003</c:v>
                </c:pt>
                <c:pt idx="5971">
                  <c:v>6.7169999999999996</c:v>
                </c:pt>
                <c:pt idx="5972">
                  <c:v>6.7619999999999996</c:v>
                </c:pt>
                <c:pt idx="5973">
                  <c:v>6.8150000000000004</c:v>
                </c:pt>
                <c:pt idx="5974">
                  <c:v>6.7880000000000003</c:v>
                </c:pt>
                <c:pt idx="5975">
                  <c:v>6.7880000000000003</c:v>
                </c:pt>
                <c:pt idx="5976">
                  <c:v>6.7880000000000003</c:v>
                </c:pt>
                <c:pt idx="5977">
                  <c:v>6.8339999999999996</c:v>
                </c:pt>
                <c:pt idx="5978">
                  <c:v>6.8520000000000003</c:v>
                </c:pt>
                <c:pt idx="5979">
                  <c:v>6.9139999999999997</c:v>
                </c:pt>
                <c:pt idx="5980">
                  <c:v>6.9550000000000001</c:v>
                </c:pt>
                <c:pt idx="5981">
                  <c:v>6.7930000000000001</c:v>
                </c:pt>
                <c:pt idx="5982">
                  <c:v>6.7930000000000001</c:v>
                </c:pt>
                <c:pt idx="5983">
                  <c:v>6.7930000000000001</c:v>
                </c:pt>
                <c:pt idx="5984">
                  <c:v>6.875</c:v>
                </c:pt>
                <c:pt idx="5985">
                  <c:v>6.9009999999999998</c:v>
                </c:pt>
                <c:pt idx="5986">
                  <c:v>6.9080000000000004</c:v>
                </c:pt>
                <c:pt idx="5987">
                  <c:v>6.9119999999999999</c:v>
                </c:pt>
                <c:pt idx="5988">
                  <c:v>6.88</c:v>
                </c:pt>
                <c:pt idx="5989">
                  <c:v>6.88</c:v>
                </c:pt>
                <c:pt idx="5990">
                  <c:v>6.88</c:v>
                </c:pt>
                <c:pt idx="5991">
                  <c:v>6.915</c:v>
                </c:pt>
                <c:pt idx="5992">
                  <c:v>6.883</c:v>
                </c:pt>
                <c:pt idx="5993">
                  <c:v>6.883</c:v>
                </c:pt>
                <c:pt idx="5994">
                  <c:v>6.91</c:v>
                </c:pt>
                <c:pt idx="5995">
                  <c:v>6.9130000000000003</c:v>
                </c:pt>
                <c:pt idx="5996">
                  <c:v>6.9130000000000003</c:v>
                </c:pt>
                <c:pt idx="5997">
                  <c:v>6.9130000000000003</c:v>
                </c:pt>
                <c:pt idx="5998">
                  <c:v>6.9009999999999998</c:v>
                </c:pt>
                <c:pt idx="5999">
                  <c:v>6.8810000000000002</c:v>
                </c:pt>
                <c:pt idx="6000">
                  <c:v>6.8529999999999998</c:v>
                </c:pt>
                <c:pt idx="6001">
                  <c:v>6.9210000000000003</c:v>
                </c:pt>
                <c:pt idx="6002">
                  <c:v>6.867</c:v>
                </c:pt>
                <c:pt idx="6003">
                  <c:v>6.867</c:v>
                </c:pt>
                <c:pt idx="6004">
                  <c:v>6.867</c:v>
                </c:pt>
                <c:pt idx="6005">
                  <c:v>6.875</c:v>
                </c:pt>
                <c:pt idx="6006">
                  <c:v>6.8710000000000004</c:v>
                </c:pt>
                <c:pt idx="6007">
                  <c:v>6.9029999999999996</c:v>
                </c:pt>
                <c:pt idx="6008">
                  <c:v>6.907</c:v>
                </c:pt>
                <c:pt idx="6009">
                  <c:v>6.8860000000000001</c:v>
                </c:pt>
                <c:pt idx="6010">
                  <c:v>6.8860000000000001</c:v>
                </c:pt>
                <c:pt idx="6011">
                  <c:v>6.8860000000000001</c:v>
                </c:pt>
                <c:pt idx="6012">
                  <c:v>6.8849999999999998</c:v>
                </c:pt>
                <c:pt idx="6013">
                  <c:v>6.8769999999999998</c:v>
                </c:pt>
                <c:pt idx="6014">
                  <c:v>6.8630000000000004</c:v>
                </c:pt>
                <c:pt idx="6015">
                  <c:v>6.8159999999999998</c:v>
                </c:pt>
                <c:pt idx="6016">
                  <c:v>6.8319999999999999</c:v>
                </c:pt>
                <c:pt idx="6017">
                  <c:v>6.8319999999999999</c:v>
                </c:pt>
                <c:pt idx="6018">
                  <c:v>6.8319999999999999</c:v>
                </c:pt>
                <c:pt idx="6019">
                  <c:v>6.8959999999999999</c:v>
                </c:pt>
                <c:pt idx="6020">
                  <c:v>6.8440000000000003</c:v>
                </c:pt>
                <c:pt idx="6021">
                  <c:v>6.8789999999999996</c:v>
                </c:pt>
                <c:pt idx="6022">
                  <c:v>6.8959999999999999</c:v>
                </c:pt>
                <c:pt idx="6023">
                  <c:v>6.944</c:v>
                </c:pt>
                <c:pt idx="6024">
                  <c:v>6.944</c:v>
                </c:pt>
                <c:pt idx="6025">
                  <c:v>6.944</c:v>
                </c:pt>
                <c:pt idx="6026">
                  <c:v>6.9359999999999999</c:v>
                </c:pt>
                <c:pt idx="6027">
                  <c:v>6.9130000000000003</c:v>
                </c:pt>
                <c:pt idx="6028">
                  <c:v>6.9130000000000003</c:v>
                </c:pt>
                <c:pt idx="6029">
                  <c:v>6.9450000000000003</c:v>
                </c:pt>
                <c:pt idx="6030">
                  <c:v>6.931</c:v>
                </c:pt>
                <c:pt idx="6031">
                  <c:v>6.931</c:v>
                </c:pt>
                <c:pt idx="6032">
                  <c:v>6.931</c:v>
                </c:pt>
                <c:pt idx="6033">
                  <c:v>6.9219999999999997</c:v>
                </c:pt>
                <c:pt idx="6034">
                  <c:v>6.9080000000000004</c:v>
                </c:pt>
                <c:pt idx="6035">
                  <c:v>6.9080000000000004</c:v>
                </c:pt>
                <c:pt idx="6036">
                  <c:v>6.9409999999999998</c:v>
                </c:pt>
                <c:pt idx="6037">
                  <c:v>6.9169999999999998</c:v>
                </c:pt>
                <c:pt idx="6038">
                  <c:v>6.9169999999999998</c:v>
                </c:pt>
                <c:pt idx="6039">
                  <c:v>6.9169999999999998</c:v>
                </c:pt>
                <c:pt idx="6040">
                  <c:v>6.9420000000000002</c:v>
                </c:pt>
                <c:pt idx="6041">
                  <c:v>6.9370000000000003</c:v>
                </c:pt>
                <c:pt idx="6042">
                  <c:v>6.9320000000000004</c:v>
                </c:pt>
                <c:pt idx="6043">
                  <c:v>6.952</c:v>
                </c:pt>
                <c:pt idx="6044">
                  <c:v>6.9429999999999996</c:v>
                </c:pt>
                <c:pt idx="6045">
                  <c:v>6.9429999999999996</c:v>
                </c:pt>
                <c:pt idx="6046">
                  <c:v>6.9429999999999996</c:v>
                </c:pt>
                <c:pt idx="6047">
                  <c:v>6.9180000000000001</c:v>
                </c:pt>
                <c:pt idx="6048">
                  <c:v>6.9180000000000001</c:v>
                </c:pt>
                <c:pt idx="6049">
                  <c:v>6.9180000000000001</c:v>
                </c:pt>
                <c:pt idx="6050">
                  <c:v>6.923</c:v>
                </c:pt>
                <c:pt idx="6051">
                  <c:v>6.95</c:v>
                </c:pt>
                <c:pt idx="6052">
                  <c:v>6.95</c:v>
                </c:pt>
                <c:pt idx="6053">
                  <c:v>6.95</c:v>
                </c:pt>
                <c:pt idx="6054">
                  <c:v>6.97</c:v>
                </c:pt>
                <c:pt idx="6055">
                  <c:v>6.9340000000000002</c:v>
                </c:pt>
                <c:pt idx="6056">
                  <c:v>6.94</c:v>
                </c:pt>
                <c:pt idx="6057">
                  <c:v>6.8959999999999999</c:v>
                </c:pt>
                <c:pt idx="6058">
                  <c:v>6.9790000000000001</c:v>
                </c:pt>
                <c:pt idx="6059">
                  <c:v>6.9790000000000001</c:v>
                </c:pt>
                <c:pt idx="6060">
                  <c:v>6.9790000000000001</c:v>
                </c:pt>
                <c:pt idx="6061">
                  <c:v>6.9770000000000003</c:v>
                </c:pt>
                <c:pt idx="6062">
                  <c:v>7.2930000000000001</c:v>
                </c:pt>
                <c:pt idx="6063">
                  <c:v>7.2670000000000003</c:v>
                </c:pt>
                <c:pt idx="6064">
                  <c:v>7.2409999999999997</c:v>
                </c:pt>
                <c:pt idx="6065">
                  <c:v>7.2469999999999999</c:v>
                </c:pt>
                <c:pt idx="6066">
                  <c:v>7.2469999999999999</c:v>
                </c:pt>
                <c:pt idx="6067">
                  <c:v>7.2469999999999999</c:v>
                </c:pt>
                <c:pt idx="6068">
                  <c:v>7.2919999999999998</c:v>
                </c:pt>
                <c:pt idx="6069">
                  <c:v>7.2859999999999996</c:v>
                </c:pt>
                <c:pt idx="6070">
                  <c:v>7.2859999999999996</c:v>
                </c:pt>
                <c:pt idx="6071">
                  <c:v>7.3049999999999997</c:v>
                </c:pt>
                <c:pt idx="6072">
                  <c:v>7.3049999999999997</c:v>
                </c:pt>
                <c:pt idx="6073">
                  <c:v>7.3049999999999997</c:v>
                </c:pt>
                <c:pt idx="6074">
                  <c:v>7.3049999999999997</c:v>
                </c:pt>
                <c:pt idx="6075">
                  <c:v>7.2850000000000001</c:v>
                </c:pt>
                <c:pt idx="6076">
                  <c:v>7.2990000000000004</c:v>
                </c:pt>
                <c:pt idx="6077">
                  <c:v>7.2990000000000004</c:v>
                </c:pt>
                <c:pt idx="6078">
                  <c:v>7.3390000000000004</c:v>
                </c:pt>
                <c:pt idx="6079">
                  <c:v>7.2990000000000004</c:v>
                </c:pt>
                <c:pt idx="6080">
                  <c:v>7.2990000000000004</c:v>
                </c:pt>
                <c:pt idx="6081">
                  <c:v>7.2990000000000004</c:v>
                </c:pt>
                <c:pt idx="6082">
                  <c:v>7.3259999999999996</c:v>
                </c:pt>
                <c:pt idx="6083">
                  <c:v>7.3330000000000002</c:v>
                </c:pt>
                <c:pt idx="6084">
                  <c:v>7.3330000000000002</c:v>
                </c:pt>
                <c:pt idx="6085">
                  <c:v>7.3259999999999996</c:v>
                </c:pt>
                <c:pt idx="6086">
                  <c:v>7.3440000000000003</c:v>
                </c:pt>
                <c:pt idx="6087">
                  <c:v>7.3440000000000003</c:v>
                </c:pt>
                <c:pt idx="6088">
                  <c:v>7.3440000000000003</c:v>
                </c:pt>
                <c:pt idx="6089">
                  <c:v>7.3410000000000002</c:v>
                </c:pt>
                <c:pt idx="6090">
                  <c:v>7.5309999999999997</c:v>
                </c:pt>
                <c:pt idx="6091">
                  <c:v>7.4630000000000001</c:v>
                </c:pt>
                <c:pt idx="6092">
                  <c:v>7.5019999999999998</c:v>
                </c:pt>
                <c:pt idx="6093">
                  <c:v>7.5069999999999997</c:v>
                </c:pt>
                <c:pt idx="6094">
                  <c:v>7.5069999999999997</c:v>
                </c:pt>
                <c:pt idx="6095">
                  <c:v>7.5069999999999997</c:v>
                </c:pt>
                <c:pt idx="6096">
                  <c:v>7.5149999999999997</c:v>
                </c:pt>
                <c:pt idx="6097">
                  <c:v>7.5229999999999997</c:v>
                </c:pt>
                <c:pt idx="6098">
                  <c:v>7.5229999999999997</c:v>
                </c:pt>
                <c:pt idx="6099">
                  <c:v>7.5229999999999997</c:v>
                </c:pt>
                <c:pt idx="6100">
                  <c:v>7.5229999999999997</c:v>
                </c:pt>
                <c:pt idx="6101">
                  <c:v>7.5229999999999997</c:v>
                </c:pt>
                <c:pt idx="6102">
                  <c:v>7.5229999999999997</c:v>
                </c:pt>
                <c:pt idx="6103">
                  <c:v>7.5229999999999997</c:v>
                </c:pt>
                <c:pt idx="6104">
                  <c:v>7.5490000000000004</c:v>
                </c:pt>
                <c:pt idx="6105">
                  <c:v>7.5490000000000004</c:v>
                </c:pt>
                <c:pt idx="6106">
                  <c:v>7.5490000000000004</c:v>
                </c:pt>
                <c:pt idx="6107">
                  <c:v>7.5490000000000004</c:v>
                </c:pt>
                <c:pt idx="6108">
                  <c:v>7.5490000000000004</c:v>
                </c:pt>
                <c:pt idx="6109">
                  <c:v>7.5490000000000004</c:v>
                </c:pt>
                <c:pt idx="6110">
                  <c:v>7.5490000000000004</c:v>
                </c:pt>
                <c:pt idx="6111">
                  <c:v>7.6470000000000002</c:v>
                </c:pt>
                <c:pt idx="6112">
                  <c:v>7.5659999999999998</c:v>
                </c:pt>
                <c:pt idx="6113">
                  <c:v>7.5659999999999998</c:v>
                </c:pt>
                <c:pt idx="6114">
                  <c:v>7.548</c:v>
                </c:pt>
                <c:pt idx="6115">
                  <c:v>7.548</c:v>
                </c:pt>
                <c:pt idx="6116">
                  <c:v>7.548</c:v>
                </c:pt>
                <c:pt idx="6117">
                  <c:v>7.5659999999999998</c:v>
                </c:pt>
                <c:pt idx="6118">
                  <c:v>7.5659999999999998</c:v>
                </c:pt>
                <c:pt idx="6119">
                  <c:v>7.5819999999999999</c:v>
                </c:pt>
                <c:pt idx="6120">
                  <c:v>7.625</c:v>
                </c:pt>
                <c:pt idx="6121">
                  <c:v>7.4950000000000001</c:v>
                </c:pt>
                <c:pt idx="6122">
                  <c:v>7.4950000000000001</c:v>
                </c:pt>
                <c:pt idx="6123">
                  <c:v>7.4950000000000001</c:v>
                </c:pt>
                <c:pt idx="6124">
                  <c:v>7.5110000000000001</c:v>
                </c:pt>
                <c:pt idx="6125">
                  <c:v>7.5579999999999998</c:v>
                </c:pt>
                <c:pt idx="6126">
                  <c:v>7.5430000000000001</c:v>
                </c:pt>
                <c:pt idx="6127">
                  <c:v>7.5179999999999998</c:v>
                </c:pt>
                <c:pt idx="6128">
                  <c:v>7.51</c:v>
                </c:pt>
                <c:pt idx="6129">
                  <c:v>7.51</c:v>
                </c:pt>
                <c:pt idx="6130">
                  <c:v>7.51</c:v>
                </c:pt>
                <c:pt idx="6131">
                  <c:v>7.5129999999999999</c:v>
                </c:pt>
                <c:pt idx="6132">
                  <c:v>7.5010000000000003</c:v>
                </c:pt>
                <c:pt idx="6133">
                  <c:v>7.45</c:v>
                </c:pt>
                <c:pt idx="6134">
                  <c:v>7.45</c:v>
                </c:pt>
                <c:pt idx="6135">
                  <c:v>7.4539999999999997</c:v>
                </c:pt>
                <c:pt idx="6136">
                  <c:v>7.4539999999999997</c:v>
                </c:pt>
                <c:pt idx="6137">
                  <c:v>7.4539999999999997</c:v>
                </c:pt>
                <c:pt idx="6138">
                  <c:v>7.4640000000000004</c:v>
                </c:pt>
                <c:pt idx="6139">
                  <c:v>7.4589999999999996</c:v>
                </c:pt>
                <c:pt idx="6140">
                  <c:v>7.4610000000000003</c:v>
                </c:pt>
                <c:pt idx="6141">
                  <c:v>7.3970000000000002</c:v>
                </c:pt>
                <c:pt idx="6142">
                  <c:v>7.4249999999999998</c:v>
                </c:pt>
                <c:pt idx="6143">
                  <c:v>7.4249999999999998</c:v>
                </c:pt>
                <c:pt idx="6144">
                  <c:v>7.4249999999999998</c:v>
                </c:pt>
                <c:pt idx="6145">
                  <c:v>7.383</c:v>
                </c:pt>
                <c:pt idx="6146">
                  <c:v>7.383</c:v>
                </c:pt>
                <c:pt idx="6147">
                  <c:v>7.383</c:v>
                </c:pt>
                <c:pt idx="6148">
                  <c:v>7.3869999999999996</c:v>
                </c:pt>
                <c:pt idx="6149">
                  <c:v>7.3360000000000003</c:v>
                </c:pt>
                <c:pt idx="6150">
                  <c:v>7.3360000000000003</c:v>
                </c:pt>
                <c:pt idx="6151">
                  <c:v>7.3360000000000003</c:v>
                </c:pt>
                <c:pt idx="6152">
                  <c:v>7.41</c:v>
                </c:pt>
                <c:pt idx="6153">
                  <c:v>7.34</c:v>
                </c:pt>
                <c:pt idx="6154">
                  <c:v>7.34</c:v>
                </c:pt>
                <c:pt idx="6155">
                  <c:v>7.34</c:v>
                </c:pt>
                <c:pt idx="6156">
                  <c:v>7.3460000000000001</c:v>
                </c:pt>
                <c:pt idx="6157">
                  <c:v>7.3460000000000001</c:v>
                </c:pt>
                <c:pt idx="6158">
                  <c:v>7.3460000000000001</c:v>
                </c:pt>
                <c:pt idx="6159">
                  <c:v>7.3479999999999999</c:v>
                </c:pt>
                <c:pt idx="6160">
                  <c:v>7.3179999999999996</c:v>
                </c:pt>
                <c:pt idx="6161">
                  <c:v>7.2329999999999997</c:v>
                </c:pt>
                <c:pt idx="6162">
                  <c:v>7.2270000000000003</c:v>
                </c:pt>
                <c:pt idx="6163">
                  <c:v>7.2480000000000002</c:v>
                </c:pt>
                <c:pt idx="6164">
                  <c:v>7.2480000000000002</c:v>
                </c:pt>
                <c:pt idx="6165">
                  <c:v>7.2480000000000002</c:v>
                </c:pt>
                <c:pt idx="6166">
                  <c:v>7.2249999999999996</c:v>
                </c:pt>
                <c:pt idx="6167">
                  <c:v>7.2210000000000001</c:v>
                </c:pt>
                <c:pt idx="6168">
                  <c:v>7.2210000000000001</c:v>
                </c:pt>
                <c:pt idx="6169">
                  <c:v>7.1609999999999996</c:v>
                </c:pt>
                <c:pt idx="6170">
                  <c:v>7.1609999999999996</c:v>
                </c:pt>
                <c:pt idx="6171">
                  <c:v>7.1609999999999996</c:v>
                </c:pt>
                <c:pt idx="6172">
                  <c:v>7.1609999999999996</c:v>
                </c:pt>
                <c:pt idx="6173">
                  <c:v>7.1669999999999998</c:v>
                </c:pt>
                <c:pt idx="6174">
                  <c:v>7.1639999999999997</c:v>
                </c:pt>
                <c:pt idx="6175">
                  <c:v>7.1360000000000001</c:v>
                </c:pt>
                <c:pt idx="6176">
                  <c:v>7.1289999999999996</c:v>
                </c:pt>
                <c:pt idx="6177">
                  <c:v>7.0949999999999998</c:v>
                </c:pt>
                <c:pt idx="6178">
                  <c:v>7.0949999999999998</c:v>
                </c:pt>
                <c:pt idx="6179">
                  <c:v>7.0949999999999998</c:v>
                </c:pt>
                <c:pt idx="6180">
                  <c:v>7.1219999999999999</c:v>
                </c:pt>
                <c:pt idx="6181">
                  <c:v>7.1219999999999999</c:v>
                </c:pt>
                <c:pt idx="6182">
                  <c:v>7.0549999999999997</c:v>
                </c:pt>
                <c:pt idx="6183">
                  <c:v>7.0129999999999999</c:v>
                </c:pt>
                <c:pt idx="6184">
                  <c:v>7.0069999999999997</c:v>
                </c:pt>
                <c:pt idx="6185">
                  <c:v>7.0069999999999997</c:v>
                </c:pt>
                <c:pt idx="6186">
                  <c:v>7.0069999999999997</c:v>
                </c:pt>
                <c:pt idx="6187">
                  <c:v>7.07</c:v>
                </c:pt>
                <c:pt idx="6188">
                  <c:v>7.0270000000000001</c:v>
                </c:pt>
                <c:pt idx="6189">
                  <c:v>6.992</c:v>
                </c:pt>
                <c:pt idx="6190">
                  <c:v>6.9930000000000003</c:v>
                </c:pt>
                <c:pt idx="6191">
                  <c:v>7.0140000000000002</c:v>
                </c:pt>
                <c:pt idx="6192">
                  <c:v>7.0140000000000002</c:v>
                </c:pt>
                <c:pt idx="6193">
                  <c:v>7.0140000000000002</c:v>
                </c:pt>
                <c:pt idx="6194">
                  <c:v>7.069</c:v>
                </c:pt>
                <c:pt idx="6195">
                  <c:v>7.069</c:v>
                </c:pt>
                <c:pt idx="6196">
                  <c:v>6.9610000000000003</c:v>
                </c:pt>
                <c:pt idx="6197">
                  <c:v>6.9619999999999997</c:v>
                </c:pt>
                <c:pt idx="6198">
                  <c:v>6.9550000000000001</c:v>
                </c:pt>
                <c:pt idx="6199">
                  <c:v>6.9550000000000001</c:v>
                </c:pt>
                <c:pt idx="6200">
                  <c:v>6.9550000000000001</c:v>
                </c:pt>
                <c:pt idx="6201">
                  <c:v>6.9470000000000001</c:v>
                </c:pt>
                <c:pt idx="6202">
                  <c:v>6.9470000000000001</c:v>
                </c:pt>
                <c:pt idx="6203">
                  <c:v>6.91</c:v>
                </c:pt>
                <c:pt idx="6204">
                  <c:v>6.9109999999999996</c:v>
                </c:pt>
                <c:pt idx="6205">
                  <c:v>6.9119999999999999</c:v>
                </c:pt>
                <c:pt idx="6206">
                  <c:v>6.9119999999999999</c:v>
                </c:pt>
                <c:pt idx="6207">
                  <c:v>6.9119999999999999</c:v>
                </c:pt>
                <c:pt idx="6208">
                  <c:v>6.907</c:v>
                </c:pt>
                <c:pt idx="6209">
                  <c:v>6.8929999999999998</c:v>
                </c:pt>
                <c:pt idx="6210">
                  <c:v>6.7960000000000003</c:v>
                </c:pt>
                <c:pt idx="6211">
                  <c:v>6.7960000000000003</c:v>
                </c:pt>
                <c:pt idx="6212">
                  <c:v>6.7960000000000003</c:v>
                </c:pt>
                <c:pt idx="6213">
                  <c:v>6.7960000000000003</c:v>
                </c:pt>
                <c:pt idx="6214">
                  <c:v>6.7960000000000003</c:v>
                </c:pt>
                <c:pt idx="6215">
                  <c:v>6.89</c:v>
                </c:pt>
                <c:pt idx="6216">
                  <c:v>6.8330000000000002</c:v>
                </c:pt>
                <c:pt idx="6217">
                  <c:v>6.8170000000000002</c:v>
                </c:pt>
                <c:pt idx="6218">
                  <c:v>6.8259999999999996</c:v>
                </c:pt>
                <c:pt idx="6219">
                  <c:v>6.835</c:v>
                </c:pt>
                <c:pt idx="6220">
                  <c:v>6.835</c:v>
                </c:pt>
                <c:pt idx="6221">
                  <c:v>6.835</c:v>
                </c:pt>
                <c:pt idx="6222">
                  <c:v>6.806</c:v>
                </c:pt>
                <c:pt idx="6223">
                  <c:v>6.819</c:v>
                </c:pt>
                <c:pt idx="6224">
                  <c:v>6.8369999999999997</c:v>
                </c:pt>
                <c:pt idx="6225">
                  <c:v>6.8369999999999997</c:v>
                </c:pt>
                <c:pt idx="6226">
                  <c:v>6.8380000000000001</c:v>
                </c:pt>
                <c:pt idx="6227">
                  <c:v>6.8380000000000001</c:v>
                </c:pt>
                <c:pt idx="6228">
                  <c:v>6.8380000000000001</c:v>
                </c:pt>
                <c:pt idx="6229">
                  <c:v>6.8390000000000004</c:v>
                </c:pt>
                <c:pt idx="6230">
                  <c:v>6.8259999999999996</c:v>
                </c:pt>
                <c:pt idx="6231">
                  <c:v>6.8310000000000004</c:v>
                </c:pt>
                <c:pt idx="6232">
                  <c:v>6.8230000000000004</c:v>
                </c:pt>
                <c:pt idx="6233">
                  <c:v>6.8239999999999998</c:v>
                </c:pt>
                <c:pt idx="6234">
                  <c:v>6.8239999999999998</c:v>
                </c:pt>
                <c:pt idx="6235">
                  <c:v>6.8239999999999998</c:v>
                </c:pt>
                <c:pt idx="6236">
                  <c:v>6.8330000000000002</c:v>
                </c:pt>
                <c:pt idx="6237">
                  <c:v>6.8339999999999996</c:v>
                </c:pt>
                <c:pt idx="6238">
                  <c:v>6.8360000000000003</c:v>
                </c:pt>
                <c:pt idx="6239">
                  <c:v>6.7389999999999999</c:v>
                </c:pt>
                <c:pt idx="6240">
                  <c:v>6.782</c:v>
                </c:pt>
                <c:pt idx="6241">
                  <c:v>6.782</c:v>
                </c:pt>
                <c:pt idx="6242">
                  <c:v>6.782</c:v>
                </c:pt>
                <c:pt idx="6243">
                  <c:v>6.827</c:v>
                </c:pt>
                <c:pt idx="6244">
                  <c:v>6.81</c:v>
                </c:pt>
                <c:pt idx="6245">
                  <c:v>6.7830000000000004</c:v>
                </c:pt>
                <c:pt idx="6246">
                  <c:v>6.657</c:v>
                </c:pt>
                <c:pt idx="6247">
                  <c:v>6.6139999999999999</c:v>
                </c:pt>
                <c:pt idx="6248">
                  <c:v>6.6139999999999999</c:v>
                </c:pt>
                <c:pt idx="6249">
                  <c:v>6.6139999999999999</c:v>
                </c:pt>
                <c:pt idx="6250">
                  <c:v>6.6390000000000002</c:v>
                </c:pt>
                <c:pt idx="6251">
                  <c:v>6.6349999999999998</c:v>
                </c:pt>
                <c:pt idx="6252">
                  <c:v>6.548</c:v>
                </c:pt>
                <c:pt idx="6253">
                  <c:v>6.5389999999999997</c:v>
                </c:pt>
                <c:pt idx="6254">
                  <c:v>6.548</c:v>
                </c:pt>
                <c:pt idx="6255">
                  <c:v>6.548</c:v>
                </c:pt>
                <c:pt idx="6256">
                  <c:v>6.548</c:v>
                </c:pt>
                <c:pt idx="6257">
                  <c:v>6.5640000000000001</c:v>
                </c:pt>
                <c:pt idx="6258">
                  <c:v>6.5640000000000001</c:v>
                </c:pt>
                <c:pt idx="6259">
                  <c:v>6.5750000000000002</c:v>
                </c:pt>
                <c:pt idx="6260">
                  <c:v>6.5750000000000002</c:v>
                </c:pt>
                <c:pt idx="6261">
                  <c:v>6.5659999999999998</c:v>
                </c:pt>
                <c:pt idx="6262">
                  <c:v>6.5659999999999998</c:v>
                </c:pt>
                <c:pt idx="6263">
                  <c:v>6.5659999999999998</c:v>
                </c:pt>
                <c:pt idx="6264">
                  <c:v>6.57</c:v>
                </c:pt>
                <c:pt idx="6265">
                  <c:v>6.5650000000000004</c:v>
                </c:pt>
                <c:pt idx="6266">
                  <c:v>6.5940000000000003</c:v>
                </c:pt>
                <c:pt idx="6267">
                  <c:v>6.57</c:v>
                </c:pt>
                <c:pt idx="6268">
                  <c:v>6.57</c:v>
                </c:pt>
                <c:pt idx="6269">
                  <c:v>6.57</c:v>
                </c:pt>
                <c:pt idx="6270">
                  <c:v>6.57</c:v>
                </c:pt>
                <c:pt idx="6271">
                  <c:v>6.57</c:v>
                </c:pt>
                <c:pt idx="6272">
                  <c:v>6.5650000000000004</c:v>
                </c:pt>
                <c:pt idx="6273">
                  <c:v>6.5750000000000002</c:v>
                </c:pt>
                <c:pt idx="6274">
                  <c:v>6.5839999999999996</c:v>
                </c:pt>
                <c:pt idx="6275">
                  <c:v>6.5579999999999998</c:v>
                </c:pt>
                <c:pt idx="6276">
                  <c:v>6.5579999999999998</c:v>
                </c:pt>
                <c:pt idx="6277">
                  <c:v>6.5579999999999998</c:v>
                </c:pt>
                <c:pt idx="6278">
                  <c:v>6.5449999999999999</c:v>
                </c:pt>
                <c:pt idx="6279">
                  <c:v>6.55</c:v>
                </c:pt>
                <c:pt idx="6280">
                  <c:v>6.56</c:v>
                </c:pt>
                <c:pt idx="6281">
                  <c:v>6.5350000000000001</c:v>
                </c:pt>
                <c:pt idx="6282">
                  <c:v>6.5149999999999997</c:v>
                </c:pt>
                <c:pt idx="6283">
                  <c:v>6.5149999999999997</c:v>
                </c:pt>
                <c:pt idx="6284">
                  <c:v>6.5149999999999997</c:v>
                </c:pt>
                <c:pt idx="6285">
                  <c:v>6.5250000000000004</c:v>
                </c:pt>
                <c:pt idx="6286">
                  <c:v>6.5250000000000004</c:v>
                </c:pt>
                <c:pt idx="6287">
                  <c:v>6.5149999999999997</c:v>
                </c:pt>
                <c:pt idx="6288">
                  <c:v>6.5149999999999997</c:v>
                </c:pt>
                <c:pt idx="6289">
                  <c:v>6.5270000000000001</c:v>
                </c:pt>
                <c:pt idx="6290">
                  <c:v>6.5270000000000001</c:v>
                </c:pt>
                <c:pt idx="6291">
                  <c:v>6.5270000000000001</c:v>
                </c:pt>
                <c:pt idx="6292">
                  <c:v>6.51</c:v>
                </c:pt>
                <c:pt idx="6293">
                  <c:v>6.5170000000000003</c:v>
                </c:pt>
                <c:pt idx="6294">
                  <c:v>6.5250000000000004</c:v>
                </c:pt>
                <c:pt idx="6295">
                  <c:v>6.5190000000000001</c:v>
                </c:pt>
                <c:pt idx="6296">
                  <c:v>6.4320000000000004</c:v>
                </c:pt>
                <c:pt idx="6297">
                  <c:v>6.4320000000000004</c:v>
                </c:pt>
                <c:pt idx="6298">
                  <c:v>6.4320000000000004</c:v>
                </c:pt>
                <c:pt idx="6299">
                  <c:v>6.4320000000000004</c:v>
                </c:pt>
                <c:pt idx="6300">
                  <c:v>6.3959999999999999</c:v>
                </c:pt>
                <c:pt idx="6301">
                  <c:v>6.4</c:v>
                </c:pt>
                <c:pt idx="6302">
                  <c:v>6.452</c:v>
                </c:pt>
                <c:pt idx="6303">
                  <c:v>6.4409999999999998</c:v>
                </c:pt>
                <c:pt idx="6304">
                  <c:v>6.4409999999999998</c:v>
                </c:pt>
                <c:pt idx="6305">
                  <c:v>6.4409999999999998</c:v>
                </c:pt>
                <c:pt idx="6306">
                  <c:v>6.4930000000000003</c:v>
                </c:pt>
                <c:pt idx="6307">
                  <c:v>6.5289999999999999</c:v>
                </c:pt>
                <c:pt idx="6308">
                  <c:v>6.4909999999999997</c:v>
                </c:pt>
                <c:pt idx="6309">
                  <c:v>6.5119999999999996</c:v>
                </c:pt>
                <c:pt idx="6310">
                  <c:v>6.5119999999999996</c:v>
                </c:pt>
                <c:pt idx="6311">
                  <c:v>6.5119999999999996</c:v>
                </c:pt>
                <c:pt idx="6312">
                  <c:v>6.5119999999999996</c:v>
                </c:pt>
                <c:pt idx="6313">
                  <c:v>6.5140000000000002</c:v>
                </c:pt>
                <c:pt idx="6314">
                  <c:v>6.5289999999999999</c:v>
                </c:pt>
                <c:pt idx="6315">
                  <c:v>6.5289999999999999</c:v>
                </c:pt>
                <c:pt idx="6316">
                  <c:v>6.5369999999999999</c:v>
                </c:pt>
                <c:pt idx="6317">
                  <c:v>6.5369999999999999</c:v>
                </c:pt>
                <c:pt idx="6318">
                  <c:v>6.5369999999999999</c:v>
                </c:pt>
                <c:pt idx="6319">
                  <c:v>6.5369999999999999</c:v>
                </c:pt>
                <c:pt idx="6320">
                  <c:v>6.569</c:v>
                </c:pt>
                <c:pt idx="6321">
                  <c:v>6.5940000000000003</c:v>
                </c:pt>
                <c:pt idx="6322">
                  <c:v>6.5789999999999997</c:v>
                </c:pt>
                <c:pt idx="6323">
                  <c:v>6.59</c:v>
                </c:pt>
                <c:pt idx="6324">
                  <c:v>6.577</c:v>
                </c:pt>
                <c:pt idx="6325">
                  <c:v>6.577</c:v>
                </c:pt>
                <c:pt idx="6326">
                  <c:v>6.577</c:v>
                </c:pt>
                <c:pt idx="6327">
                  <c:v>6.577</c:v>
                </c:pt>
                <c:pt idx="6328">
                  <c:v>6.5709999999999997</c:v>
                </c:pt>
                <c:pt idx="6329">
                  <c:v>6.5709999999999997</c:v>
                </c:pt>
                <c:pt idx="6330">
                  <c:v>6.5620000000000003</c:v>
                </c:pt>
                <c:pt idx="6331">
                  <c:v>6.5629999999999997</c:v>
                </c:pt>
                <c:pt idx="6332">
                  <c:v>6.5629999999999997</c:v>
                </c:pt>
                <c:pt idx="6333">
                  <c:v>6.5629999999999997</c:v>
                </c:pt>
                <c:pt idx="6334">
                  <c:v>6.5910000000000002</c:v>
                </c:pt>
                <c:pt idx="6335">
                  <c:v>6.5620000000000003</c:v>
                </c:pt>
                <c:pt idx="6336">
                  <c:v>6.5620000000000003</c:v>
                </c:pt>
                <c:pt idx="6337">
                  <c:v>6.5609999999999999</c:v>
                </c:pt>
                <c:pt idx="6338">
                  <c:v>6.56</c:v>
                </c:pt>
                <c:pt idx="6339">
                  <c:v>6.56</c:v>
                </c:pt>
                <c:pt idx="6340">
                  <c:v>6.56</c:v>
                </c:pt>
                <c:pt idx="6341">
                  <c:v>6.5129999999999999</c:v>
                </c:pt>
                <c:pt idx="6342">
                  <c:v>6.524</c:v>
                </c:pt>
                <c:pt idx="6343">
                  <c:v>6.4880000000000004</c:v>
                </c:pt>
                <c:pt idx="6344">
                  <c:v>6.47</c:v>
                </c:pt>
                <c:pt idx="6345">
                  <c:v>6.468</c:v>
                </c:pt>
                <c:pt idx="6346">
                  <c:v>6.468</c:v>
                </c:pt>
                <c:pt idx="6347">
                  <c:v>6.468</c:v>
                </c:pt>
                <c:pt idx="6348">
                  <c:v>6.4260000000000002</c:v>
                </c:pt>
                <c:pt idx="6349">
                  <c:v>6.4160000000000004</c:v>
                </c:pt>
                <c:pt idx="6350">
                  <c:v>6.4009999999999998</c:v>
                </c:pt>
                <c:pt idx="6351">
                  <c:v>6.3760000000000003</c:v>
                </c:pt>
                <c:pt idx="6352">
                  <c:v>6.3609999999999998</c:v>
                </c:pt>
                <c:pt idx="6353">
                  <c:v>6.3609999999999998</c:v>
                </c:pt>
                <c:pt idx="6354">
                  <c:v>6.3609999999999998</c:v>
                </c:pt>
                <c:pt idx="6355">
                  <c:v>6.3390000000000004</c:v>
                </c:pt>
                <c:pt idx="6356">
                  <c:v>6.359</c:v>
                </c:pt>
                <c:pt idx="6357">
                  <c:v>6.3330000000000002</c:v>
                </c:pt>
                <c:pt idx="6358">
                  <c:v>6.3360000000000003</c:v>
                </c:pt>
                <c:pt idx="6359">
                  <c:v>6.2569999999999997</c:v>
                </c:pt>
                <c:pt idx="6360">
                  <c:v>6.2569999999999997</c:v>
                </c:pt>
                <c:pt idx="6361">
                  <c:v>6.2569999999999997</c:v>
                </c:pt>
                <c:pt idx="6362">
                  <c:v>6.194</c:v>
                </c:pt>
                <c:pt idx="6363">
                  <c:v>6.2279999999999998</c:v>
                </c:pt>
                <c:pt idx="6364">
                  <c:v>6.2279999999999998</c:v>
                </c:pt>
                <c:pt idx="6365">
                  <c:v>6.1520000000000001</c:v>
                </c:pt>
                <c:pt idx="6366">
                  <c:v>6.1470000000000002</c:v>
                </c:pt>
                <c:pt idx="6367">
                  <c:v>6.1470000000000002</c:v>
                </c:pt>
                <c:pt idx="6368">
                  <c:v>6.1470000000000002</c:v>
                </c:pt>
                <c:pt idx="6369">
                  <c:v>6.1950000000000003</c:v>
                </c:pt>
                <c:pt idx="6370">
                  <c:v>6.15</c:v>
                </c:pt>
                <c:pt idx="6371">
                  <c:v>6.1479999999999997</c:v>
                </c:pt>
                <c:pt idx="6372">
                  <c:v>6.1529999999999996</c:v>
                </c:pt>
                <c:pt idx="6373">
                  <c:v>6.1219999999999999</c:v>
                </c:pt>
                <c:pt idx="6374">
                  <c:v>6.1219999999999999</c:v>
                </c:pt>
                <c:pt idx="6375">
                  <c:v>6.1219999999999999</c:v>
                </c:pt>
                <c:pt idx="6376">
                  <c:v>6.12</c:v>
                </c:pt>
                <c:pt idx="6377">
                  <c:v>6.0670000000000002</c:v>
                </c:pt>
                <c:pt idx="6378">
                  <c:v>6.1029999999999998</c:v>
                </c:pt>
                <c:pt idx="6379">
                  <c:v>6.0759999999999996</c:v>
                </c:pt>
                <c:pt idx="6380">
                  <c:v>6.1219999999999999</c:v>
                </c:pt>
                <c:pt idx="6381">
                  <c:v>6.1219999999999999</c:v>
                </c:pt>
                <c:pt idx="6382">
                  <c:v>6.1219999999999999</c:v>
                </c:pt>
                <c:pt idx="6383">
                  <c:v>6.1589999999999998</c:v>
                </c:pt>
                <c:pt idx="6384">
                  <c:v>6.1180000000000003</c:v>
                </c:pt>
                <c:pt idx="6385">
                  <c:v>6.1289999999999996</c:v>
                </c:pt>
                <c:pt idx="6386">
                  <c:v>6.1139999999999999</c:v>
                </c:pt>
                <c:pt idx="6387">
                  <c:v>6.1890000000000001</c:v>
                </c:pt>
                <c:pt idx="6388">
                  <c:v>6.1890000000000001</c:v>
                </c:pt>
                <c:pt idx="6389">
                  <c:v>6.1890000000000001</c:v>
                </c:pt>
                <c:pt idx="6390">
                  <c:v>6.16</c:v>
                </c:pt>
                <c:pt idx="6391">
                  <c:v>6.1859999999999999</c:v>
                </c:pt>
                <c:pt idx="6392">
                  <c:v>6.1360000000000001</c:v>
                </c:pt>
                <c:pt idx="6393">
                  <c:v>6.101</c:v>
                </c:pt>
                <c:pt idx="6394">
                  <c:v>6.1230000000000002</c:v>
                </c:pt>
                <c:pt idx="6395">
                  <c:v>6.1230000000000002</c:v>
                </c:pt>
                <c:pt idx="6396">
                  <c:v>6.1230000000000002</c:v>
                </c:pt>
                <c:pt idx="6397">
                  <c:v>6.1360000000000001</c:v>
                </c:pt>
                <c:pt idx="6398">
                  <c:v>6.0910000000000002</c:v>
                </c:pt>
                <c:pt idx="6399">
                  <c:v>6.077</c:v>
                </c:pt>
                <c:pt idx="6400">
                  <c:v>6.0419999999999998</c:v>
                </c:pt>
                <c:pt idx="6401">
                  <c:v>6.0430000000000001</c:v>
                </c:pt>
                <c:pt idx="6402">
                  <c:v>6.0430000000000001</c:v>
                </c:pt>
                <c:pt idx="6403">
                  <c:v>6.0430000000000001</c:v>
                </c:pt>
                <c:pt idx="6404">
                  <c:v>6.0449999999999999</c:v>
                </c:pt>
                <c:pt idx="6405">
                  <c:v>5.9809999999999999</c:v>
                </c:pt>
                <c:pt idx="6406">
                  <c:v>5.8609999999999998</c:v>
                </c:pt>
                <c:pt idx="6407">
                  <c:v>5.952</c:v>
                </c:pt>
                <c:pt idx="6408">
                  <c:v>5.8380000000000001</c:v>
                </c:pt>
                <c:pt idx="6409">
                  <c:v>5.8380000000000001</c:v>
                </c:pt>
                <c:pt idx="6410">
                  <c:v>5.8380000000000001</c:v>
                </c:pt>
                <c:pt idx="6411">
                  <c:v>5.8559999999999999</c:v>
                </c:pt>
                <c:pt idx="6412">
                  <c:v>5.8630000000000004</c:v>
                </c:pt>
                <c:pt idx="6413">
                  <c:v>5.9050000000000002</c:v>
                </c:pt>
                <c:pt idx="6414">
                  <c:v>5.9009999999999998</c:v>
                </c:pt>
                <c:pt idx="6415">
                  <c:v>5.9359999999999999</c:v>
                </c:pt>
                <c:pt idx="6416">
                  <c:v>5.9359999999999999</c:v>
                </c:pt>
                <c:pt idx="6417">
                  <c:v>5.9359999999999999</c:v>
                </c:pt>
                <c:pt idx="6418">
                  <c:v>5.8719999999999999</c:v>
                </c:pt>
                <c:pt idx="6419">
                  <c:v>5.9340000000000002</c:v>
                </c:pt>
                <c:pt idx="6420">
                  <c:v>5.87</c:v>
                </c:pt>
                <c:pt idx="6421">
                  <c:v>5.8410000000000002</c:v>
                </c:pt>
                <c:pt idx="6422">
                  <c:v>5.79</c:v>
                </c:pt>
                <c:pt idx="6423">
                  <c:v>5.79</c:v>
                </c:pt>
                <c:pt idx="6424">
                  <c:v>5.79</c:v>
                </c:pt>
                <c:pt idx="6425">
                  <c:v>5.7789999999999999</c:v>
                </c:pt>
                <c:pt idx="6426">
                  <c:v>5.7880000000000003</c:v>
                </c:pt>
                <c:pt idx="6427">
                  <c:v>5.7110000000000003</c:v>
                </c:pt>
                <c:pt idx="6428">
                  <c:v>5.7149999999999999</c:v>
                </c:pt>
                <c:pt idx="6429">
                  <c:v>5.6769999999999996</c:v>
                </c:pt>
                <c:pt idx="6430">
                  <c:v>5.6769999999999996</c:v>
                </c:pt>
                <c:pt idx="6431">
                  <c:v>5.6769999999999996</c:v>
                </c:pt>
                <c:pt idx="6432">
                  <c:v>5.6769999999999996</c:v>
                </c:pt>
                <c:pt idx="6433">
                  <c:v>5.6849999999999996</c:v>
                </c:pt>
                <c:pt idx="6434">
                  <c:v>5.7560000000000002</c:v>
                </c:pt>
                <c:pt idx="6435">
                  <c:v>5.7560000000000002</c:v>
                </c:pt>
                <c:pt idx="6436">
                  <c:v>5.673</c:v>
                </c:pt>
                <c:pt idx="6437">
                  <c:v>5.673</c:v>
                </c:pt>
                <c:pt idx="6438">
                  <c:v>5.673</c:v>
                </c:pt>
                <c:pt idx="6439">
                  <c:v>5.6609999999999996</c:v>
                </c:pt>
                <c:pt idx="6440">
                  <c:v>5.657</c:v>
                </c:pt>
                <c:pt idx="6441">
                  <c:v>5.694</c:v>
                </c:pt>
                <c:pt idx="6442">
                  <c:v>5.649</c:v>
                </c:pt>
                <c:pt idx="6443">
                  <c:v>5.641</c:v>
                </c:pt>
                <c:pt idx="6444">
                  <c:v>5.641</c:v>
                </c:pt>
                <c:pt idx="6445">
                  <c:v>5.641</c:v>
                </c:pt>
                <c:pt idx="6446">
                  <c:v>5.6159999999999997</c:v>
                </c:pt>
                <c:pt idx="6447">
                  <c:v>5.6660000000000004</c:v>
                </c:pt>
                <c:pt idx="6448">
                  <c:v>5.6989999999999998</c:v>
                </c:pt>
                <c:pt idx="6449">
                  <c:v>5.6870000000000003</c:v>
                </c:pt>
                <c:pt idx="6450">
                  <c:v>5.6790000000000003</c:v>
                </c:pt>
                <c:pt idx="6451">
                  <c:v>5.6790000000000003</c:v>
                </c:pt>
                <c:pt idx="6452">
                  <c:v>5.6790000000000003</c:v>
                </c:pt>
                <c:pt idx="6453">
                  <c:v>5.6790000000000003</c:v>
                </c:pt>
                <c:pt idx="6454">
                  <c:v>5.6660000000000004</c:v>
                </c:pt>
                <c:pt idx="6455">
                  <c:v>5.6230000000000002</c:v>
                </c:pt>
                <c:pt idx="6456">
                  <c:v>5.6319999999999997</c:v>
                </c:pt>
                <c:pt idx="6457">
                  <c:v>5.6139999999999999</c:v>
                </c:pt>
                <c:pt idx="6458">
                  <c:v>5.6139999999999999</c:v>
                </c:pt>
                <c:pt idx="6459">
                  <c:v>5.6139999999999999</c:v>
                </c:pt>
                <c:pt idx="6460">
                  <c:v>5.641</c:v>
                </c:pt>
                <c:pt idx="6461">
                  <c:v>5.641</c:v>
                </c:pt>
                <c:pt idx="6462">
                  <c:v>5.6180000000000003</c:v>
                </c:pt>
                <c:pt idx="6463">
                  <c:v>5.6139999999999999</c:v>
                </c:pt>
                <c:pt idx="6464">
                  <c:v>5.6269999999999998</c:v>
                </c:pt>
                <c:pt idx="6465">
                  <c:v>5.6269999999999998</c:v>
                </c:pt>
                <c:pt idx="6466">
                  <c:v>5.6269999999999998</c:v>
                </c:pt>
                <c:pt idx="6467">
                  <c:v>5.6310000000000002</c:v>
                </c:pt>
                <c:pt idx="6468">
                  <c:v>5.6449999999999996</c:v>
                </c:pt>
                <c:pt idx="6469">
                  <c:v>5.5670000000000002</c:v>
                </c:pt>
                <c:pt idx="6470">
                  <c:v>5.58</c:v>
                </c:pt>
                <c:pt idx="6471">
                  <c:v>5.6029999999999998</c:v>
                </c:pt>
                <c:pt idx="6472">
                  <c:v>5.6029999999999998</c:v>
                </c:pt>
                <c:pt idx="6473">
                  <c:v>5.6029999999999998</c:v>
                </c:pt>
                <c:pt idx="6474">
                  <c:v>5.5979999999999999</c:v>
                </c:pt>
                <c:pt idx="6475">
                  <c:v>5.5739999999999998</c:v>
                </c:pt>
                <c:pt idx="6476">
                  <c:v>5.6269999999999998</c:v>
                </c:pt>
                <c:pt idx="6477">
                  <c:v>5.6219999999999999</c:v>
                </c:pt>
                <c:pt idx="6478">
                  <c:v>5.6459999999999999</c:v>
                </c:pt>
                <c:pt idx="6479">
                  <c:v>5.6459999999999999</c:v>
                </c:pt>
                <c:pt idx="6480">
                  <c:v>5.6459999999999999</c:v>
                </c:pt>
                <c:pt idx="6481">
                  <c:v>5.6020000000000003</c:v>
                </c:pt>
                <c:pt idx="6482">
                  <c:v>5.5720000000000001</c:v>
                </c:pt>
                <c:pt idx="6483">
                  <c:v>5.5720000000000001</c:v>
                </c:pt>
                <c:pt idx="6484">
                  <c:v>5.4880000000000004</c:v>
                </c:pt>
                <c:pt idx="6485">
                  <c:v>5.47</c:v>
                </c:pt>
                <c:pt idx="6486">
                  <c:v>5.47</c:v>
                </c:pt>
                <c:pt idx="6487">
                  <c:v>5.47</c:v>
                </c:pt>
                <c:pt idx="6488">
                  <c:v>5.47</c:v>
                </c:pt>
                <c:pt idx="6489">
                  <c:v>5.47</c:v>
                </c:pt>
                <c:pt idx="6490">
                  <c:v>5.47</c:v>
                </c:pt>
                <c:pt idx="6491">
                  <c:v>5.47</c:v>
                </c:pt>
                <c:pt idx="6492">
                  <c:v>5.47</c:v>
                </c:pt>
                <c:pt idx="6493">
                  <c:v>5.47</c:v>
                </c:pt>
                <c:pt idx="6494">
                  <c:v>5.47</c:v>
                </c:pt>
                <c:pt idx="6495">
                  <c:v>5.47</c:v>
                </c:pt>
                <c:pt idx="6496">
                  <c:v>5.47</c:v>
                </c:pt>
                <c:pt idx="6497">
                  <c:v>5.47</c:v>
                </c:pt>
                <c:pt idx="6498">
                  <c:v>5.47</c:v>
                </c:pt>
                <c:pt idx="6499">
                  <c:v>5.47</c:v>
                </c:pt>
                <c:pt idx="6500">
                  <c:v>5.47</c:v>
                </c:pt>
                <c:pt idx="6501">
                  <c:v>5.47</c:v>
                </c:pt>
                <c:pt idx="6502">
                  <c:v>5.47</c:v>
                </c:pt>
                <c:pt idx="6503">
                  <c:v>5.47</c:v>
                </c:pt>
                <c:pt idx="6504">
                  <c:v>5.47</c:v>
                </c:pt>
                <c:pt idx="6505">
                  <c:v>5.47</c:v>
                </c:pt>
                <c:pt idx="6506">
                  <c:v>5.47</c:v>
                </c:pt>
                <c:pt idx="6507">
                  <c:v>5.47</c:v>
                </c:pt>
                <c:pt idx="6508">
                  <c:v>5.47</c:v>
                </c:pt>
                <c:pt idx="6509">
                  <c:v>5.47</c:v>
                </c:pt>
                <c:pt idx="6510">
                  <c:v>5.47</c:v>
                </c:pt>
                <c:pt idx="6511">
                  <c:v>5.47</c:v>
                </c:pt>
                <c:pt idx="6512">
                  <c:v>5.47</c:v>
                </c:pt>
                <c:pt idx="6513">
                  <c:v>5.47</c:v>
                </c:pt>
                <c:pt idx="6514">
                  <c:v>5.47</c:v>
                </c:pt>
                <c:pt idx="6515">
                  <c:v>5.47</c:v>
                </c:pt>
                <c:pt idx="6516">
                  <c:v>5.47</c:v>
                </c:pt>
                <c:pt idx="6517">
                  <c:v>5.47</c:v>
                </c:pt>
                <c:pt idx="6518">
                  <c:v>5.47</c:v>
                </c:pt>
                <c:pt idx="6519">
                  <c:v>5.47</c:v>
                </c:pt>
                <c:pt idx="6520">
                  <c:v>5.47</c:v>
                </c:pt>
                <c:pt idx="6521">
                  <c:v>5.47</c:v>
                </c:pt>
                <c:pt idx="6522">
                  <c:v>5.47</c:v>
                </c:pt>
                <c:pt idx="6523">
                  <c:v>5.47</c:v>
                </c:pt>
                <c:pt idx="6524">
                  <c:v>5.47</c:v>
                </c:pt>
                <c:pt idx="6525">
                  <c:v>5.47</c:v>
                </c:pt>
                <c:pt idx="6526">
                  <c:v>5.47</c:v>
                </c:pt>
                <c:pt idx="6527">
                  <c:v>5.47</c:v>
                </c:pt>
                <c:pt idx="6528">
                  <c:v>5.47</c:v>
                </c:pt>
                <c:pt idx="6529">
                  <c:v>5.47</c:v>
                </c:pt>
                <c:pt idx="6530">
                  <c:v>5.47</c:v>
                </c:pt>
                <c:pt idx="6531">
                  <c:v>5.47</c:v>
                </c:pt>
                <c:pt idx="6532">
                  <c:v>5.47</c:v>
                </c:pt>
                <c:pt idx="6533">
                  <c:v>5.47</c:v>
                </c:pt>
                <c:pt idx="6534">
                  <c:v>5.47</c:v>
                </c:pt>
                <c:pt idx="6535">
                  <c:v>5.47</c:v>
                </c:pt>
                <c:pt idx="6536">
                  <c:v>5.47</c:v>
                </c:pt>
                <c:pt idx="6537">
                  <c:v>5.47</c:v>
                </c:pt>
                <c:pt idx="6538">
                  <c:v>5.47</c:v>
                </c:pt>
                <c:pt idx="6539">
                  <c:v>5.47</c:v>
                </c:pt>
                <c:pt idx="6540">
                  <c:v>5.47</c:v>
                </c:pt>
                <c:pt idx="6541">
                  <c:v>5.47</c:v>
                </c:pt>
                <c:pt idx="6542">
                  <c:v>5.47</c:v>
                </c:pt>
                <c:pt idx="6543">
                  <c:v>5.47</c:v>
                </c:pt>
                <c:pt idx="6544">
                  <c:v>5.47</c:v>
                </c:pt>
                <c:pt idx="6545">
                  <c:v>5.47</c:v>
                </c:pt>
                <c:pt idx="6546">
                  <c:v>5.47</c:v>
                </c:pt>
                <c:pt idx="6547">
                  <c:v>5.5060000000000002</c:v>
                </c:pt>
                <c:pt idx="6548">
                  <c:v>5.5019999999999998</c:v>
                </c:pt>
                <c:pt idx="6549">
                  <c:v>5.5019999999999998</c:v>
                </c:pt>
                <c:pt idx="6550">
                  <c:v>5.5019999999999998</c:v>
                </c:pt>
                <c:pt idx="6551">
                  <c:v>5.516</c:v>
                </c:pt>
                <c:pt idx="6552">
                  <c:v>5.54</c:v>
                </c:pt>
                <c:pt idx="6553">
                  <c:v>5.54</c:v>
                </c:pt>
                <c:pt idx="6554">
                  <c:v>5.5350000000000001</c:v>
                </c:pt>
                <c:pt idx="6555">
                  <c:v>5.5759999999999996</c:v>
                </c:pt>
                <c:pt idx="6556">
                  <c:v>5.5759999999999996</c:v>
                </c:pt>
                <c:pt idx="6557">
                  <c:v>5.5759999999999996</c:v>
                </c:pt>
                <c:pt idx="6558">
                  <c:v>5.5430000000000001</c:v>
                </c:pt>
                <c:pt idx="6559">
                  <c:v>5.5410000000000004</c:v>
                </c:pt>
                <c:pt idx="6560">
                  <c:v>5.5410000000000004</c:v>
                </c:pt>
                <c:pt idx="6561">
                  <c:v>5.516</c:v>
                </c:pt>
                <c:pt idx="6562">
                  <c:v>5.516</c:v>
                </c:pt>
                <c:pt idx="6563">
                  <c:v>5.516</c:v>
                </c:pt>
                <c:pt idx="6564">
                  <c:v>5.516</c:v>
                </c:pt>
                <c:pt idx="6565">
                  <c:v>5.5069999999999997</c:v>
                </c:pt>
                <c:pt idx="6566">
                  <c:v>5.524</c:v>
                </c:pt>
                <c:pt idx="6567">
                  <c:v>5.524</c:v>
                </c:pt>
                <c:pt idx="6568">
                  <c:v>5.5060000000000002</c:v>
                </c:pt>
                <c:pt idx="6569">
                  <c:v>5.5019999999999998</c:v>
                </c:pt>
                <c:pt idx="6570">
                  <c:v>5.5019999999999998</c:v>
                </c:pt>
                <c:pt idx="6571">
                  <c:v>5.5019999999999998</c:v>
                </c:pt>
                <c:pt idx="6572">
                  <c:v>5.548</c:v>
                </c:pt>
                <c:pt idx="6573">
                  <c:v>5.4809999999999999</c:v>
                </c:pt>
                <c:pt idx="6574">
                  <c:v>5.484</c:v>
                </c:pt>
                <c:pt idx="6575">
                  <c:v>5.46</c:v>
                </c:pt>
                <c:pt idx="6576">
                  <c:v>5.4580000000000002</c:v>
                </c:pt>
                <c:pt idx="6577">
                  <c:v>5.4580000000000002</c:v>
                </c:pt>
                <c:pt idx="6578">
                  <c:v>5.4580000000000002</c:v>
                </c:pt>
                <c:pt idx="6579">
                  <c:v>5.7720000000000002</c:v>
                </c:pt>
                <c:pt idx="6580">
                  <c:v>5.7370000000000001</c:v>
                </c:pt>
                <c:pt idx="6581">
                  <c:v>5.7240000000000002</c:v>
                </c:pt>
                <c:pt idx="6582">
                  <c:v>5.6870000000000003</c:v>
                </c:pt>
                <c:pt idx="6583">
                  <c:v>5.6849999999999996</c:v>
                </c:pt>
                <c:pt idx="6584">
                  <c:v>5.6849999999999996</c:v>
                </c:pt>
                <c:pt idx="6585">
                  <c:v>5.6849999999999996</c:v>
                </c:pt>
                <c:pt idx="6586">
                  <c:v>5.6840000000000002</c:v>
                </c:pt>
                <c:pt idx="6587">
                  <c:v>5.7050000000000001</c:v>
                </c:pt>
                <c:pt idx="6588">
                  <c:v>5.7039999999999997</c:v>
                </c:pt>
                <c:pt idx="6589">
                  <c:v>5.7030000000000003</c:v>
                </c:pt>
                <c:pt idx="6590">
                  <c:v>5.742</c:v>
                </c:pt>
                <c:pt idx="6591">
                  <c:v>5.742</c:v>
                </c:pt>
                <c:pt idx="6592">
                  <c:v>5.742</c:v>
                </c:pt>
                <c:pt idx="6593">
                  <c:v>5.7409999999999997</c:v>
                </c:pt>
                <c:pt idx="6594">
                  <c:v>5.7530000000000001</c:v>
                </c:pt>
                <c:pt idx="6595">
                  <c:v>5.75</c:v>
                </c:pt>
                <c:pt idx="6596">
                  <c:v>5.7380000000000004</c:v>
                </c:pt>
                <c:pt idx="6597">
                  <c:v>5.7</c:v>
                </c:pt>
                <c:pt idx="6598">
                  <c:v>5.7</c:v>
                </c:pt>
                <c:pt idx="6599">
                  <c:v>5.7</c:v>
                </c:pt>
                <c:pt idx="6600">
                  <c:v>5.67</c:v>
                </c:pt>
                <c:pt idx="6601">
                  <c:v>5.6760000000000002</c:v>
                </c:pt>
                <c:pt idx="6602">
                  <c:v>5.6749999999999998</c:v>
                </c:pt>
                <c:pt idx="6603">
                  <c:v>5.6609999999999996</c:v>
                </c:pt>
                <c:pt idx="6604">
                  <c:v>5.6580000000000004</c:v>
                </c:pt>
                <c:pt idx="6605">
                  <c:v>5.6580000000000004</c:v>
                </c:pt>
                <c:pt idx="6606">
                  <c:v>5.6580000000000004</c:v>
                </c:pt>
                <c:pt idx="6607">
                  <c:v>5.617</c:v>
                </c:pt>
                <c:pt idx="6608">
                  <c:v>5.6120000000000001</c:v>
                </c:pt>
                <c:pt idx="6609">
                  <c:v>5.5830000000000002</c:v>
                </c:pt>
                <c:pt idx="6610">
                  <c:v>5.5220000000000002</c:v>
                </c:pt>
                <c:pt idx="6611">
                  <c:v>5.4909999999999997</c:v>
                </c:pt>
                <c:pt idx="6612">
                  <c:v>5.4909999999999997</c:v>
                </c:pt>
                <c:pt idx="6613">
                  <c:v>5.4909999999999997</c:v>
                </c:pt>
                <c:pt idx="6614">
                  <c:v>5.4980000000000002</c:v>
                </c:pt>
                <c:pt idx="6615">
                  <c:v>5.4930000000000003</c:v>
                </c:pt>
                <c:pt idx="6616">
                  <c:v>5.4770000000000003</c:v>
                </c:pt>
                <c:pt idx="6617">
                  <c:v>5.4690000000000003</c:v>
                </c:pt>
                <c:pt idx="6618">
                  <c:v>5.4379999999999997</c:v>
                </c:pt>
                <c:pt idx="6619">
                  <c:v>5.4379999999999997</c:v>
                </c:pt>
                <c:pt idx="6620">
                  <c:v>5.4379999999999997</c:v>
                </c:pt>
                <c:pt idx="6621">
                  <c:v>5.4370000000000003</c:v>
                </c:pt>
                <c:pt idx="6622">
                  <c:v>5.4340000000000002</c:v>
                </c:pt>
                <c:pt idx="6623">
                  <c:v>5.4340000000000002</c:v>
                </c:pt>
                <c:pt idx="6624">
                  <c:v>5.4340000000000002</c:v>
                </c:pt>
                <c:pt idx="6625">
                  <c:v>5.4340000000000002</c:v>
                </c:pt>
                <c:pt idx="6626">
                  <c:v>5.4340000000000002</c:v>
                </c:pt>
                <c:pt idx="6627">
                  <c:v>5.4340000000000002</c:v>
                </c:pt>
                <c:pt idx="6628">
                  <c:v>5.3940000000000001</c:v>
                </c:pt>
                <c:pt idx="6629">
                  <c:v>5.3780000000000001</c:v>
                </c:pt>
                <c:pt idx="6630">
                  <c:v>5.359</c:v>
                </c:pt>
                <c:pt idx="6631">
                  <c:v>5.3579999999999997</c:v>
                </c:pt>
                <c:pt idx="6632">
                  <c:v>5.3280000000000003</c:v>
                </c:pt>
                <c:pt idx="6633">
                  <c:v>5.3280000000000003</c:v>
                </c:pt>
                <c:pt idx="6634">
                  <c:v>5.3280000000000003</c:v>
                </c:pt>
                <c:pt idx="6635">
                  <c:v>5.266</c:v>
                </c:pt>
                <c:pt idx="6636">
                  <c:v>5.2560000000000002</c:v>
                </c:pt>
                <c:pt idx="6637">
                  <c:v>5.125</c:v>
                </c:pt>
                <c:pt idx="6638">
                  <c:v>5.1760000000000002</c:v>
                </c:pt>
                <c:pt idx="6639">
                  <c:v>5.1520000000000001</c:v>
                </c:pt>
                <c:pt idx="6640">
                  <c:v>5.1520000000000001</c:v>
                </c:pt>
                <c:pt idx="6641">
                  <c:v>5.1520000000000001</c:v>
                </c:pt>
                <c:pt idx="6642">
                  <c:v>5.0730000000000004</c:v>
                </c:pt>
                <c:pt idx="6643">
                  <c:v>5.0730000000000004</c:v>
                </c:pt>
                <c:pt idx="6644">
                  <c:v>5.1020000000000003</c:v>
                </c:pt>
                <c:pt idx="6645">
                  <c:v>5.1479999999999997</c:v>
                </c:pt>
                <c:pt idx="6646">
                  <c:v>5.2569999999999997</c:v>
                </c:pt>
                <c:pt idx="6647">
                  <c:v>5.2569999999999997</c:v>
                </c:pt>
                <c:pt idx="6648">
                  <c:v>5.2569999999999997</c:v>
                </c:pt>
                <c:pt idx="6649">
                  <c:v>5.1379999999999999</c:v>
                </c:pt>
                <c:pt idx="6650">
                  <c:v>5.2489999999999997</c:v>
                </c:pt>
                <c:pt idx="6651">
                  <c:v>5.2750000000000004</c:v>
                </c:pt>
                <c:pt idx="6652">
                  <c:v>5.3440000000000003</c:v>
                </c:pt>
                <c:pt idx="6653">
                  <c:v>5.3440000000000003</c:v>
                </c:pt>
                <c:pt idx="6654">
                  <c:v>5.3440000000000003</c:v>
                </c:pt>
                <c:pt idx="6655">
                  <c:v>5.3440000000000003</c:v>
                </c:pt>
                <c:pt idx="6656">
                  <c:v>5.3070000000000004</c:v>
                </c:pt>
                <c:pt idx="6657">
                  <c:v>5.3070000000000004</c:v>
                </c:pt>
                <c:pt idx="6658">
                  <c:v>5.3070000000000004</c:v>
                </c:pt>
                <c:pt idx="6659">
                  <c:v>5.3</c:v>
                </c:pt>
                <c:pt idx="6660">
                  <c:v>4.9489999999999998</c:v>
                </c:pt>
                <c:pt idx="6661">
                  <c:v>4.9489999999999998</c:v>
                </c:pt>
                <c:pt idx="6662">
                  <c:v>4.9489999999999998</c:v>
                </c:pt>
                <c:pt idx="6663">
                  <c:v>5.1100000000000003</c:v>
                </c:pt>
                <c:pt idx="6664">
                  <c:v>4.9660000000000002</c:v>
                </c:pt>
                <c:pt idx="6665">
                  <c:v>4.9660000000000002</c:v>
                </c:pt>
                <c:pt idx="6666">
                  <c:v>4.9660000000000002</c:v>
                </c:pt>
                <c:pt idx="6667">
                  <c:v>4.8099999999999996</c:v>
                </c:pt>
                <c:pt idx="6668">
                  <c:v>4.8099999999999996</c:v>
                </c:pt>
                <c:pt idx="6669">
                  <c:v>4.8099999999999996</c:v>
                </c:pt>
                <c:pt idx="6670">
                  <c:v>4.8099999999999996</c:v>
                </c:pt>
                <c:pt idx="6671">
                  <c:v>4.7750000000000004</c:v>
                </c:pt>
                <c:pt idx="6672">
                  <c:v>4.7229999999999999</c:v>
                </c:pt>
                <c:pt idx="6673">
                  <c:v>4.7270000000000003</c:v>
                </c:pt>
                <c:pt idx="6674">
                  <c:v>4.7270000000000003</c:v>
                </c:pt>
                <c:pt idx="6675">
                  <c:v>4.7270000000000003</c:v>
                </c:pt>
                <c:pt idx="6676">
                  <c:v>4.7270000000000003</c:v>
                </c:pt>
                <c:pt idx="6677">
                  <c:v>4.6900000000000004</c:v>
                </c:pt>
                <c:pt idx="6678">
                  <c:v>4.6900000000000004</c:v>
                </c:pt>
                <c:pt idx="6679">
                  <c:v>4.5119999999999996</c:v>
                </c:pt>
                <c:pt idx="6680">
                  <c:v>4.492</c:v>
                </c:pt>
                <c:pt idx="6681">
                  <c:v>4.2750000000000004</c:v>
                </c:pt>
                <c:pt idx="6682">
                  <c:v>4.2750000000000004</c:v>
                </c:pt>
                <c:pt idx="6683">
                  <c:v>4.2750000000000004</c:v>
                </c:pt>
                <c:pt idx="6684">
                  <c:v>4.2539999999999996</c:v>
                </c:pt>
                <c:pt idx="6685">
                  <c:v>4.234</c:v>
                </c:pt>
                <c:pt idx="6686">
                  <c:v>4.056</c:v>
                </c:pt>
                <c:pt idx="6687">
                  <c:v>4.0679999999999996</c:v>
                </c:pt>
                <c:pt idx="6688">
                  <c:v>4.056</c:v>
                </c:pt>
                <c:pt idx="6689">
                  <c:v>4.056</c:v>
                </c:pt>
                <c:pt idx="6690">
                  <c:v>4.056</c:v>
                </c:pt>
                <c:pt idx="6691">
                  <c:v>4.0739999999999998</c:v>
                </c:pt>
                <c:pt idx="6692">
                  <c:v>4.0819999999999999</c:v>
                </c:pt>
                <c:pt idx="6693">
                  <c:v>4.09</c:v>
                </c:pt>
                <c:pt idx="6694">
                  <c:v>4.0830000000000002</c:v>
                </c:pt>
                <c:pt idx="6695">
                  <c:v>4.0830000000000002</c:v>
                </c:pt>
                <c:pt idx="6696">
                  <c:v>4.0830000000000002</c:v>
                </c:pt>
                <c:pt idx="6697">
                  <c:v>4.0830000000000002</c:v>
                </c:pt>
                <c:pt idx="6698">
                  <c:v>4.0250000000000004</c:v>
                </c:pt>
                <c:pt idx="6699">
                  <c:v>4.0330000000000004</c:v>
                </c:pt>
                <c:pt idx="6700">
                  <c:v>3.9849999999999999</c:v>
                </c:pt>
                <c:pt idx="6701">
                  <c:v>3.9849999999999999</c:v>
                </c:pt>
                <c:pt idx="6702">
                  <c:v>4.0129999999999999</c:v>
                </c:pt>
                <c:pt idx="6703">
                  <c:v>4.0129999999999999</c:v>
                </c:pt>
                <c:pt idx="6704">
                  <c:v>4.0129999999999999</c:v>
                </c:pt>
                <c:pt idx="6705">
                  <c:v>4.0430000000000001</c:v>
                </c:pt>
                <c:pt idx="6706">
                  <c:v>4.0039999999999996</c:v>
                </c:pt>
                <c:pt idx="6707">
                  <c:v>3.9470000000000001</c:v>
                </c:pt>
                <c:pt idx="6708">
                  <c:v>3.9809999999999999</c:v>
                </c:pt>
                <c:pt idx="6709">
                  <c:v>3.9809999999999999</c:v>
                </c:pt>
                <c:pt idx="6710">
                  <c:v>3.9809999999999999</c:v>
                </c:pt>
                <c:pt idx="6711">
                  <c:v>3.9809999999999999</c:v>
                </c:pt>
                <c:pt idx="6712">
                  <c:v>3.948</c:v>
                </c:pt>
                <c:pt idx="6713">
                  <c:v>3.9910000000000001</c:v>
                </c:pt>
                <c:pt idx="6714">
                  <c:v>3.9820000000000002</c:v>
                </c:pt>
                <c:pt idx="6715">
                  <c:v>3.968</c:v>
                </c:pt>
                <c:pt idx="6716">
                  <c:v>3.8849999999999998</c:v>
                </c:pt>
                <c:pt idx="6717">
                  <c:v>3.8849999999999998</c:v>
                </c:pt>
                <c:pt idx="6718">
                  <c:v>3.8849999999999998</c:v>
                </c:pt>
                <c:pt idx="6719">
                  <c:v>3.8849999999999998</c:v>
                </c:pt>
                <c:pt idx="6720">
                  <c:v>3.871</c:v>
                </c:pt>
                <c:pt idx="6721">
                  <c:v>3.8559999999999999</c:v>
                </c:pt>
                <c:pt idx="6722">
                  <c:v>3.8239999999999998</c:v>
                </c:pt>
                <c:pt idx="6723">
                  <c:v>3.8220000000000001</c:v>
                </c:pt>
                <c:pt idx="6724">
                  <c:v>3.8220000000000001</c:v>
                </c:pt>
                <c:pt idx="6725">
                  <c:v>3.8220000000000001</c:v>
                </c:pt>
                <c:pt idx="6726">
                  <c:v>3.8159999999999998</c:v>
                </c:pt>
                <c:pt idx="6727">
                  <c:v>3.8159999999999998</c:v>
                </c:pt>
                <c:pt idx="6728">
                  <c:v>3.778</c:v>
                </c:pt>
                <c:pt idx="6729">
                  <c:v>3.7730000000000001</c:v>
                </c:pt>
                <c:pt idx="6730">
                  <c:v>3.7919999999999998</c:v>
                </c:pt>
                <c:pt idx="6731">
                  <c:v>3.7919999999999998</c:v>
                </c:pt>
                <c:pt idx="6732">
                  <c:v>3.7919999999999998</c:v>
                </c:pt>
                <c:pt idx="6733">
                  <c:v>3.786</c:v>
                </c:pt>
                <c:pt idx="6734">
                  <c:v>3.7909999999999999</c:v>
                </c:pt>
                <c:pt idx="6735">
                  <c:v>3.7839999999999998</c:v>
                </c:pt>
                <c:pt idx="6736">
                  <c:v>3.7690000000000001</c:v>
                </c:pt>
                <c:pt idx="6737">
                  <c:v>3.7890000000000001</c:v>
                </c:pt>
                <c:pt idx="6738">
                  <c:v>3.7890000000000001</c:v>
                </c:pt>
                <c:pt idx="6739">
                  <c:v>3.7890000000000001</c:v>
                </c:pt>
                <c:pt idx="6740">
                  <c:v>3.7930000000000001</c:v>
                </c:pt>
                <c:pt idx="6741">
                  <c:v>3.8340000000000001</c:v>
                </c:pt>
                <c:pt idx="6742">
                  <c:v>3.7719999999999998</c:v>
                </c:pt>
                <c:pt idx="6743">
                  <c:v>3.7559999999999998</c:v>
                </c:pt>
                <c:pt idx="6744">
                  <c:v>3.738</c:v>
                </c:pt>
                <c:pt idx="6745">
                  <c:v>3.738</c:v>
                </c:pt>
                <c:pt idx="6746">
                  <c:v>3.738</c:v>
                </c:pt>
                <c:pt idx="6747">
                  <c:v>3.7229999999999999</c:v>
                </c:pt>
                <c:pt idx="6748">
                  <c:v>3.7240000000000002</c:v>
                </c:pt>
                <c:pt idx="6749">
                  <c:v>3.7160000000000002</c:v>
                </c:pt>
                <c:pt idx="6750">
                  <c:v>3.7240000000000002</c:v>
                </c:pt>
                <c:pt idx="6751">
                  <c:v>3.6909999999999998</c:v>
                </c:pt>
                <c:pt idx="6752">
                  <c:v>3.6909999999999998</c:v>
                </c:pt>
                <c:pt idx="6753">
                  <c:v>3.6909999999999998</c:v>
                </c:pt>
                <c:pt idx="6754">
                  <c:v>3.6970000000000001</c:v>
                </c:pt>
                <c:pt idx="6755">
                  <c:v>3.7290000000000001</c:v>
                </c:pt>
                <c:pt idx="6756">
                  <c:v>3.6669999999999998</c:v>
                </c:pt>
                <c:pt idx="6757">
                  <c:v>3.7040000000000002</c:v>
                </c:pt>
                <c:pt idx="6758">
                  <c:v>3.7010000000000001</c:v>
                </c:pt>
                <c:pt idx="6759">
                  <c:v>3.7010000000000001</c:v>
                </c:pt>
                <c:pt idx="6760">
                  <c:v>3.7010000000000001</c:v>
                </c:pt>
                <c:pt idx="6761">
                  <c:v>3.7040000000000002</c:v>
                </c:pt>
                <c:pt idx="6762">
                  <c:v>3.6779999999999999</c:v>
                </c:pt>
                <c:pt idx="6763">
                  <c:v>3.6720000000000002</c:v>
                </c:pt>
                <c:pt idx="6764">
                  <c:v>3.6749999999999998</c:v>
                </c:pt>
                <c:pt idx="6765">
                  <c:v>3.6259999999999999</c:v>
                </c:pt>
                <c:pt idx="6766">
                  <c:v>3.6259999999999999</c:v>
                </c:pt>
                <c:pt idx="6767">
                  <c:v>3.6259999999999999</c:v>
                </c:pt>
                <c:pt idx="6768">
                  <c:v>3.649</c:v>
                </c:pt>
                <c:pt idx="6769">
                  <c:v>3.653</c:v>
                </c:pt>
                <c:pt idx="6770">
                  <c:v>3.6280000000000001</c:v>
                </c:pt>
                <c:pt idx="6771">
                  <c:v>3.5880000000000001</c:v>
                </c:pt>
                <c:pt idx="6772">
                  <c:v>3.577</c:v>
                </c:pt>
                <c:pt idx="6773">
                  <c:v>3.577</c:v>
                </c:pt>
                <c:pt idx="6774">
                  <c:v>3.577</c:v>
                </c:pt>
                <c:pt idx="6775">
                  <c:v>3.5950000000000002</c:v>
                </c:pt>
                <c:pt idx="6776">
                  <c:v>3.6139999999999999</c:v>
                </c:pt>
                <c:pt idx="6777">
                  <c:v>3.63</c:v>
                </c:pt>
                <c:pt idx="6778">
                  <c:v>3.6280000000000001</c:v>
                </c:pt>
                <c:pt idx="6779">
                  <c:v>3.63</c:v>
                </c:pt>
                <c:pt idx="6780">
                  <c:v>3.63</c:v>
                </c:pt>
                <c:pt idx="6781">
                  <c:v>3.63</c:v>
                </c:pt>
                <c:pt idx="6782">
                  <c:v>3.6429999999999998</c:v>
                </c:pt>
                <c:pt idx="6783">
                  <c:v>3.6680000000000001</c:v>
                </c:pt>
                <c:pt idx="6784">
                  <c:v>3.661</c:v>
                </c:pt>
                <c:pt idx="6785">
                  <c:v>3.661</c:v>
                </c:pt>
                <c:pt idx="6786">
                  <c:v>3.66</c:v>
                </c:pt>
                <c:pt idx="6787">
                  <c:v>3.66</c:v>
                </c:pt>
                <c:pt idx="6788">
                  <c:v>3.66</c:v>
                </c:pt>
                <c:pt idx="6789">
                  <c:v>3.65</c:v>
                </c:pt>
                <c:pt idx="6790">
                  <c:v>3.6349999999999998</c:v>
                </c:pt>
                <c:pt idx="6791">
                  <c:v>3.617</c:v>
                </c:pt>
                <c:pt idx="6792">
                  <c:v>3.5880000000000001</c:v>
                </c:pt>
                <c:pt idx="6793">
                  <c:v>3.6240000000000001</c:v>
                </c:pt>
                <c:pt idx="6794">
                  <c:v>3.6240000000000001</c:v>
                </c:pt>
                <c:pt idx="6795">
                  <c:v>3.6240000000000001</c:v>
                </c:pt>
                <c:pt idx="6796">
                  <c:v>3.6230000000000002</c:v>
                </c:pt>
                <c:pt idx="6797">
                  <c:v>3.6480000000000001</c:v>
                </c:pt>
                <c:pt idx="6798">
                  <c:v>3.6349999999999998</c:v>
                </c:pt>
                <c:pt idx="6799">
                  <c:v>3.6110000000000002</c:v>
                </c:pt>
                <c:pt idx="6800">
                  <c:v>3.6110000000000002</c:v>
                </c:pt>
                <c:pt idx="6801">
                  <c:v>3.6110000000000002</c:v>
                </c:pt>
                <c:pt idx="6802">
                  <c:v>3.6110000000000002</c:v>
                </c:pt>
                <c:pt idx="6803">
                  <c:v>3.6139999999999999</c:v>
                </c:pt>
                <c:pt idx="6804">
                  <c:v>3.617</c:v>
                </c:pt>
                <c:pt idx="6805">
                  <c:v>3.6150000000000002</c:v>
                </c:pt>
                <c:pt idx="6806">
                  <c:v>3.61</c:v>
                </c:pt>
                <c:pt idx="6807">
                  <c:v>3.7480000000000002</c:v>
                </c:pt>
                <c:pt idx="6808">
                  <c:v>3.7480000000000002</c:v>
                </c:pt>
                <c:pt idx="6809">
                  <c:v>3.7480000000000002</c:v>
                </c:pt>
                <c:pt idx="6810">
                  <c:v>3.74</c:v>
                </c:pt>
                <c:pt idx="6811">
                  <c:v>3.71</c:v>
                </c:pt>
                <c:pt idx="6812">
                  <c:v>3.7480000000000002</c:v>
                </c:pt>
                <c:pt idx="6813">
                  <c:v>3.72</c:v>
                </c:pt>
                <c:pt idx="6814">
                  <c:v>3.7490000000000001</c:v>
                </c:pt>
                <c:pt idx="6815">
                  <c:v>3.7490000000000001</c:v>
                </c:pt>
                <c:pt idx="6816">
                  <c:v>3.7490000000000001</c:v>
                </c:pt>
                <c:pt idx="6817">
                  <c:v>3.7469999999999999</c:v>
                </c:pt>
                <c:pt idx="6818">
                  <c:v>3.6869999999999998</c:v>
                </c:pt>
                <c:pt idx="6819">
                  <c:v>3.633</c:v>
                </c:pt>
                <c:pt idx="6820">
                  <c:v>3.6949999999999998</c:v>
                </c:pt>
                <c:pt idx="6821">
                  <c:v>3.6419999999999999</c:v>
                </c:pt>
                <c:pt idx="6822">
                  <c:v>3.6419999999999999</c:v>
                </c:pt>
                <c:pt idx="6823">
                  <c:v>3.6419999999999999</c:v>
                </c:pt>
                <c:pt idx="6824">
                  <c:v>3.6749999999999998</c:v>
                </c:pt>
                <c:pt idx="6825">
                  <c:v>3.726</c:v>
                </c:pt>
                <c:pt idx="6826">
                  <c:v>3.7010000000000001</c:v>
                </c:pt>
                <c:pt idx="6827">
                  <c:v>3.746</c:v>
                </c:pt>
                <c:pt idx="6828">
                  <c:v>3.746</c:v>
                </c:pt>
                <c:pt idx="6829">
                  <c:v>3.746</c:v>
                </c:pt>
                <c:pt idx="6830">
                  <c:v>3.746</c:v>
                </c:pt>
                <c:pt idx="6831">
                  <c:v>3.7269999999999999</c:v>
                </c:pt>
                <c:pt idx="6832">
                  <c:v>3.7269999999999999</c:v>
                </c:pt>
                <c:pt idx="6833">
                  <c:v>3.7269999999999999</c:v>
                </c:pt>
                <c:pt idx="6834">
                  <c:v>3.7269999999999999</c:v>
                </c:pt>
                <c:pt idx="6835">
                  <c:v>3.6659999999999999</c:v>
                </c:pt>
                <c:pt idx="6836">
                  <c:v>3.6659999999999999</c:v>
                </c:pt>
                <c:pt idx="6837">
                  <c:v>3.6659999999999999</c:v>
                </c:pt>
                <c:pt idx="6838">
                  <c:v>3.7010000000000001</c:v>
                </c:pt>
                <c:pt idx="6839">
                  <c:v>3.73</c:v>
                </c:pt>
                <c:pt idx="6840">
                  <c:v>3.734</c:v>
                </c:pt>
                <c:pt idx="6841">
                  <c:v>3.7480000000000002</c:v>
                </c:pt>
                <c:pt idx="6842">
                  <c:v>3.7330000000000001</c:v>
                </c:pt>
                <c:pt idx="6843">
                  <c:v>3.7330000000000001</c:v>
                </c:pt>
                <c:pt idx="6844">
                  <c:v>3.7330000000000001</c:v>
                </c:pt>
                <c:pt idx="6845">
                  <c:v>3.75</c:v>
                </c:pt>
                <c:pt idx="6846">
                  <c:v>3.754</c:v>
                </c:pt>
                <c:pt idx="6847">
                  <c:v>3.7080000000000002</c:v>
                </c:pt>
                <c:pt idx="6848">
                  <c:v>3.7080000000000002</c:v>
                </c:pt>
                <c:pt idx="6849">
                  <c:v>3.7080000000000002</c:v>
                </c:pt>
                <c:pt idx="6850">
                  <c:v>3.7080000000000002</c:v>
                </c:pt>
                <c:pt idx="6851">
                  <c:v>3.7080000000000002</c:v>
                </c:pt>
                <c:pt idx="6852">
                  <c:v>3.6259999999999999</c:v>
                </c:pt>
                <c:pt idx="6853">
                  <c:v>3.617</c:v>
                </c:pt>
                <c:pt idx="6854">
                  <c:v>3.5819999999999999</c:v>
                </c:pt>
                <c:pt idx="6855">
                  <c:v>3.5859999999999999</c:v>
                </c:pt>
                <c:pt idx="6856">
                  <c:v>3.5720000000000001</c:v>
                </c:pt>
                <c:pt idx="6857">
                  <c:v>3.5720000000000001</c:v>
                </c:pt>
                <c:pt idx="6858">
                  <c:v>3.5720000000000001</c:v>
                </c:pt>
                <c:pt idx="6859">
                  <c:v>3.589</c:v>
                </c:pt>
                <c:pt idx="6860">
                  <c:v>3.5529999999999999</c:v>
                </c:pt>
                <c:pt idx="6861">
                  <c:v>3.5310000000000001</c:v>
                </c:pt>
                <c:pt idx="6862">
                  <c:v>3.528</c:v>
                </c:pt>
                <c:pt idx="6863">
                  <c:v>3.53</c:v>
                </c:pt>
                <c:pt idx="6864">
                  <c:v>3.53</c:v>
                </c:pt>
                <c:pt idx="6865">
                  <c:v>3.53</c:v>
                </c:pt>
                <c:pt idx="6866">
                  <c:v>3.516</c:v>
                </c:pt>
                <c:pt idx="6867">
                  <c:v>3.5030000000000001</c:v>
                </c:pt>
                <c:pt idx="6868">
                  <c:v>3.49</c:v>
                </c:pt>
                <c:pt idx="6869">
                  <c:v>3.456</c:v>
                </c:pt>
                <c:pt idx="6870">
                  <c:v>3.4359999999999999</c:v>
                </c:pt>
                <c:pt idx="6871">
                  <c:v>3.4359999999999999</c:v>
                </c:pt>
                <c:pt idx="6872">
                  <c:v>3.4359999999999999</c:v>
                </c:pt>
                <c:pt idx="6873">
                  <c:v>3.4540000000000002</c:v>
                </c:pt>
                <c:pt idx="6874">
                  <c:v>3.43</c:v>
                </c:pt>
                <c:pt idx="6875">
                  <c:v>3.444</c:v>
                </c:pt>
                <c:pt idx="6876">
                  <c:v>3.4729999999999999</c:v>
                </c:pt>
                <c:pt idx="6877">
                  <c:v>3.4729999999999999</c:v>
                </c:pt>
                <c:pt idx="6878">
                  <c:v>3.4729999999999999</c:v>
                </c:pt>
                <c:pt idx="6879">
                  <c:v>3.4729999999999999</c:v>
                </c:pt>
                <c:pt idx="6880">
                  <c:v>3.5419999999999998</c:v>
                </c:pt>
                <c:pt idx="6881">
                  <c:v>3.524</c:v>
                </c:pt>
                <c:pt idx="6882">
                  <c:v>3.4849999999999999</c:v>
                </c:pt>
                <c:pt idx="6883">
                  <c:v>3.46</c:v>
                </c:pt>
                <c:pt idx="6884">
                  <c:v>3.4609999999999999</c:v>
                </c:pt>
                <c:pt idx="6885">
                  <c:v>3.4609999999999999</c:v>
                </c:pt>
                <c:pt idx="6886">
                  <c:v>3.4609999999999999</c:v>
                </c:pt>
                <c:pt idx="6887">
                  <c:v>3.3740000000000001</c:v>
                </c:pt>
                <c:pt idx="6888">
                  <c:v>3.4660000000000002</c:v>
                </c:pt>
                <c:pt idx="6889">
                  <c:v>3.4660000000000002</c:v>
                </c:pt>
                <c:pt idx="6890">
                  <c:v>3.4</c:v>
                </c:pt>
                <c:pt idx="6891">
                  <c:v>3.3279999999999998</c:v>
                </c:pt>
                <c:pt idx="6892">
                  <c:v>3.3279999999999998</c:v>
                </c:pt>
                <c:pt idx="6893">
                  <c:v>3.3279999999999998</c:v>
                </c:pt>
                <c:pt idx="6894">
                  <c:v>3.3279999999999998</c:v>
                </c:pt>
                <c:pt idx="6895">
                  <c:v>3.3170000000000002</c:v>
                </c:pt>
                <c:pt idx="6896">
                  <c:v>3.3170000000000002</c:v>
                </c:pt>
                <c:pt idx="6897">
                  <c:v>3.3660000000000001</c:v>
                </c:pt>
                <c:pt idx="6898">
                  <c:v>3.3780000000000001</c:v>
                </c:pt>
                <c:pt idx="6899">
                  <c:v>3.3780000000000001</c:v>
                </c:pt>
                <c:pt idx="6900">
                  <c:v>3.3780000000000001</c:v>
                </c:pt>
                <c:pt idx="6901">
                  <c:v>3.3780000000000001</c:v>
                </c:pt>
                <c:pt idx="6902">
                  <c:v>3.3540000000000001</c:v>
                </c:pt>
                <c:pt idx="6903">
                  <c:v>3.319</c:v>
                </c:pt>
                <c:pt idx="6904">
                  <c:v>3.3149999999999999</c:v>
                </c:pt>
                <c:pt idx="6905">
                  <c:v>3.33</c:v>
                </c:pt>
                <c:pt idx="6906">
                  <c:v>3.33</c:v>
                </c:pt>
                <c:pt idx="6907">
                  <c:v>3.33</c:v>
                </c:pt>
                <c:pt idx="6908">
                  <c:v>3.33</c:v>
                </c:pt>
                <c:pt idx="6909">
                  <c:v>3.33</c:v>
                </c:pt>
                <c:pt idx="6910">
                  <c:v>3.33</c:v>
                </c:pt>
                <c:pt idx="6911">
                  <c:v>3.33</c:v>
                </c:pt>
                <c:pt idx="6912">
                  <c:v>3.33</c:v>
                </c:pt>
                <c:pt idx="6913">
                  <c:v>3.33</c:v>
                </c:pt>
                <c:pt idx="6914">
                  <c:v>3.33</c:v>
                </c:pt>
                <c:pt idx="6915">
                  <c:v>3.383</c:v>
                </c:pt>
                <c:pt idx="6916">
                  <c:v>3.3620000000000001</c:v>
                </c:pt>
                <c:pt idx="6917">
                  <c:v>3.3620000000000001</c:v>
                </c:pt>
                <c:pt idx="6918">
                  <c:v>3.387</c:v>
                </c:pt>
                <c:pt idx="6919">
                  <c:v>3.387</c:v>
                </c:pt>
                <c:pt idx="6920">
                  <c:v>3.387</c:v>
                </c:pt>
                <c:pt idx="6921">
                  <c:v>3.387</c:v>
                </c:pt>
                <c:pt idx="6922">
                  <c:v>3.387</c:v>
                </c:pt>
                <c:pt idx="6923">
                  <c:v>3.387</c:v>
                </c:pt>
                <c:pt idx="6924">
                  <c:v>3.3969999999999998</c:v>
                </c:pt>
                <c:pt idx="6925">
                  <c:v>3.3969999999999998</c:v>
                </c:pt>
                <c:pt idx="6926">
                  <c:v>3.4769999999999999</c:v>
                </c:pt>
                <c:pt idx="6927">
                  <c:v>3.4769999999999999</c:v>
                </c:pt>
                <c:pt idx="6928">
                  <c:v>3.4769999999999999</c:v>
                </c:pt>
                <c:pt idx="6929">
                  <c:v>3.4289999999999998</c:v>
                </c:pt>
                <c:pt idx="6930">
                  <c:v>3.4249999999999998</c:v>
                </c:pt>
                <c:pt idx="6931">
                  <c:v>3.3940000000000001</c:v>
                </c:pt>
                <c:pt idx="6932">
                  <c:v>3.363</c:v>
                </c:pt>
                <c:pt idx="6933">
                  <c:v>3.363</c:v>
                </c:pt>
                <c:pt idx="6934">
                  <c:v>3.363</c:v>
                </c:pt>
                <c:pt idx="6935">
                  <c:v>3.363</c:v>
                </c:pt>
                <c:pt idx="6936">
                  <c:v>3.367</c:v>
                </c:pt>
                <c:pt idx="6937">
                  <c:v>3.367</c:v>
                </c:pt>
                <c:pt idx="6938">
                  <c:v>3.3719999999999999</c:v>
                </c:pt>
                <c:pt idx="6939">
                  <c:v>3.4</c:v>
                </c:pt>
                <c:pt idx="6940">
                  <c:v>3.3679999999999999</c:v>
                </c:pt>
                <c:pt idx="6941">
                  <c:v>3.3679999999999999</c:v>
                </c:pt>
                <c:pt idx="6942">
                  <c:v>3.3679999999999999</c:v>
                </c:pt>
                <c:pt idx="6943">
                  <c:v>3.391</c:v>
                </c:pt>
                <c:pt idx="6944">
                  <c:v>3.339</c:v>
                </c:pt>
                <c:pt idx="6945">
                  <c:v>3.8879999999999999</c:v>
                </c:pt>
                <c:pt idx="6946">
                  <c:v>3.8919999999999999</c:v>
                </c:pt>
                <c:pt idx="6947">
                  <c:v>3.903</c:v>
                </c:pt>
                <c:pt idx="6948">
                  <c:v>3.903</c:v>
                </c:pt>
                <c:pt idx="6949">
                  <c:v>3.903</c:v>
                </c:pt>
                <c:pt idx="6950">
                  <c:v>4.0460000000000003</c:v>
                </c:pt>
                <c:pt idx="6951">
                  <c:v>4.2</c:v>
                </c:pt>
                <c:pt idx="6952">
                  <c:v>4.1959999999999997</c:v>
                </c:pt>
                <c:pt idx="6953">
                  <c:v>4.1920000000000002</c:v>
                </c:pt>
                <c:pt idx="6954">
                  <c:v>4.1829999999999998</c:v>
                </c:pt>
                <c:pt idx="6955">
                  <c:v>4.1829999999999998</c:v>
                </c:pt>
                <c:pt idx="6956">
                  <c:v>4.1829999999999998</c:v>
                </c:pt>
                <c:pt idx="6957">
                  <c:v>4.194</c:v>
                </c:pt>
                <c:pt idx="6958">
                  <c:v>4.2110000000000003</c:v>
                </c:pt>
                <c:pt idx="6959">
                  <c:v>4.2080000000000002</c:v>
                </c:pt>
                <c:pt idx="6960">
                  <c:v>4.22</c:v>
                </c:pt>
                <c:pt idx="6961">
                  <c:v>4.2149999999999999</c:v>
                </c:pt>
                <c:pt idx="6962">
                  <c:v>4.2149999999999999</c:v>
                </c:pt>
                <c:pt idx="6963">
                  <c:v>4.2149999999999999</c:v>
                </c:pt>
                <c:pt idx="6964">
                  <c:v>4.2149999999999999</c:v>
                </c:pt>
                <c:pt idx="6965">
                  <c:v>4.2149999999999999</c:v>
                </c:pt>
                <c:pt idx="6966">
                  <c:v>4.2149999999999999</c:v>
                </c:pt>
                <c:pt idx="6967">
                  <c:v>4.1950000000000003</c:v>
                </c:pt>
                <c:pt idx="6968">
                  <c:v>4.1870000000000003</c:v>
                </c:pt>
                <c:pt idx="6969">
                  <c:v>4.1870000000000003</c:v>
                </c:pt>
                <c:pt idx="6970">
                  <c:v>4.1870000000000003</c:v>
                </c:pt>
                <c:pt idx="6971">
                  <c:v>4.2380000000000004</c:v>
                </c:pt>
                <c:pt idx="6972">
                  <c:v>4.2610000000000001</c:v>
                </c:pt>
                <c:pt idx="6973">
                  <c:v>4</c:v>
                </c:pt>
                <c:pt idx="6974">
                  <c:v>4.0019999999999998</c:v>
                </c:pt>
                <c:pt idx="6975">
                  <c:v>4.077</c:v>
                </c:pt>
                <c:pt idx="6976">
                  <c:v>4.077</c:v>
                </c:pt>
                <c:pt idx="6977">
                  <c:v>4.077</c:v>
                </c:pt>
                <c:pt idx="6978">
                  <c:v>4.1079999999999997</c:v>
                </c:pt>
                <c:pt idx="6979">
                  <c:v>4.0949999999999998</c:v>
                </c:pt>
                <c:pt idx="6980">
                  <c:v>4.0350000000000001</c:v>
                </c:pt>
                <c:pt idx="6981">
                  <c:v>4.0419999999999998</c:v>
                </c:pt>
                <c:pt idx="6982">
                  <c:v>4.0819999999999999</c:v>
                </c:pt>
                <c:pt idx="6983">
                  <c:v>4.0819999999999999</c:v>
                </c:pt>
                <c:pt idx="6984">
                  <c:v>4.0819999999999999</c:v>
                </c:pt>
                <c:pt idx="6985">
                  <c:v>4.0570000000000004</c:v>
                </c:pt>
                <c:pt idx="6986">
                  <c:v>4.0380000000000003</c:v>
                </c:pt>
                <c:pt idx="6987">
                  <c:v>4.0380000000000003</c:v>
                </c:pt>
                <c:pt idx="6988">
                  <c:v>4.0439999999999996</c:v>
                </c:pt>
                <c:pt idx="6989">
                  <c:v>4.0439999999999996</c:v>
                </c:pt>
                <c:pt idx="6990">
                  <c:v>4.0439999999999996</c:v>
                </c:pt>
                <c:pt idx="6991">
                  <c:v>4.0439999999999996</c:v>
                </c:pt>
                <c:pt idx="6992">
                  <c:v>4.0869999999999997</c:v>
                </c:pt>
                <c:pt idx="6993">
                  <c:v>4.085</c:v>
                </c:pt>
                <c:pt idx="6994">
                  <c:v>4.0369999999999999</c:v>
                </c:pt>
                <c:pt idx="6995">
                  <c:v>4.0369999999999999</c:v>
                </c:pt>
                <c:pt idx="6996">
                  <c:v>4.0369999999999999</c:v>
                </c:pt>
                <c:pt idx="6997">
                  <c:v>4.0369999999999999</c:v>
                </c:pt>
                <c:pt idx="6998">
                  <c:v>4.0369999999999999</c:v>
                </c:pt>
                <c:pt idx="6999">
                  <c:v>4.0369999999999999</c:v>
                </c:pt>
                <c:pt idx="7000">
                  <c:v>4.0369999999999999</c:v>
                </c:pt>
                <c:pt idx="7001">
                  <c:v>3.952</c:v>
                </c:pt>
                <c:pt idx="7002">
                  <c:v>3.9380000000000002</c:v>
                </c:pt>
                <c:pt idx="7003">
                  <c:v>3.9380000000000002</c:v>
                </c:pt>
                <c:pt idx="7004">
                  <c:v>3.9380000000000002</c:v>
                </c:pt>
                <c:pt idx="7005">
                  <c:v>3.9380000000000002</c:v>
                </c:pt>
                <c:pt idx="7006">
                  <c:v>3.9529999999999998</c:v>
                </c:pt>
                <c:pt idx="7007">
                  <c:v>3.9510000000000001</c:v>
                </c:pt>
                <c:pt idx="7008">
                  <c:v>3.97</c:v>
                </c:pt>
                <c:pt idx="7009">
                  <c:v>3.97</c:v>
                </c:pt>
                <c:pt idx="7010">
                  <c:v>3.976</c:v>
                </c:pt>
                <c:pt idx="7011">
                  <c:v>3.976</c:v>
                </c:pt>
                <c:pt idx="7012">
                  <c:v>3.976</c:v>
                </c:pt>
                <c:pt idx="7013">
                  <c:v>3.9750000000000001</c:v>
                </c:pt>
                <c:pt idx="7014">
                  <c:v>3.94</c:v>
                </c:pt>
                <c:pt idx="7015">
                  <c:v>3.9279999999999999</c:v>
                </c:pt>
                <c:pt idx="7016">
                  <c:v>3.9119999999999999</c:v>
                </c:pt>
                <c:pt idx="7017">
                  <c:v>4.0439999999999996</c:v>
                </c:pt>
                <c:pt idx="7018">
                  <c:v>4.0439999999999996</c:v>
                </c:pt>
                <c:pt idx="7019">
                  <c:v>4.0439999999999996</c:v>
                </c:pt>
                <c:pt idx="7020">
                  <c:v>3.8780000000000001</c:v>
                </c:pt>
                <c:pt idx="7021">
                  <c:v>3.8620000000000001</c:v>
                </c:pt>
                <c:pt idx="7022">
                  <c:v>3.8820000000000001</c:v>
                </c:pt>
                <c:pt idx="7023">
                  <c:v>3.839</c:v>
                </c:pt>
                <c:pt idx="7024">
                  <c:v>3.794</c:v>
                </c:pt>
                <c:pt idx="7025">
                  <c:v>3.794</c:v>
                </c:pt>
                <c:pt idx="7026">
                  <c:v>3.794</c:v>
                </c:pt>
                <c:pt idx="7027">
                  <c:v>3.794</c:v>
                </c:pt>
                <c:pt idx="7028">
                  <c:v>3.8159999999999998</c:v>
                </c:pt>
                <c:pt idx="7029">
                  <c:v>3.7490000000000001</c:v>
                </c:pt>
                <c:pt idx="7030">
                  <c:v>3.7490000000000001</c:v>
                </c:pt>
                <c:pt idx="7031">
                  <c:v>3.7490000000000001</c:v>
                </c:pt>
                <c:pt idx="7032">
                  <c:v>3.7490000000000001</c:v>
                </c:pt>
                <c:pt idx="7033">
                  <c:v>3.7490000000000001</c:v>
                </c:pt>
                <c:pt idx="7034">
                  <c:v>3.7810000000000001</c:v>
                </c:pt>
                <c:pt idx="7035">
                  <c:v>3.879</c:v>
                </c:pt>
                <c:pt idx="7036">
                  <c:v>3.9049999999999998</c:v>
                </c:pt>
                <c:pt idx="7037">
                  <c:v>3.798</c:v>
                </c:pt>
                <c:pt idx="7038">
                  <c:v>3.78</c:v>
                </c:pt>
                <c:pt idx="7039">
                  <c:v>3.78</c:v>
                </c:pt>
                <c:pt idx="7040">
                  <c:v>3.78</c:v>
                </c:pt>
                <c:pt idx="7041">
                  <c:v>4</c:v>
                </c:pt>
                <c:pt idx="7042">
                  <c:v>4</c:v>
                </c:pt>
                <c:pt idx="7043">
                  <c:v>4</c:v>
                </c:pt>
                <c:pt idx="7044">
                  <c:v>4</c:v>
                </c:pt>
                <c:pt idx="7045">
                  <c:v>3.8849999999999998</c:v>
                </c:pt>
                <c:pt idx="7046">
                  <c:v>3.8849999999999998</c:v>
                </c:pt>
                <c:pt idx="7047">
                  <c:v>3.8849999999999998</c:v>
                </c:pt>
                <c:pt idx="7048">
                  <c:v>3.7610000000000001</c:v>
                </c:pt>
                <c:pt idx="7049">
                  <c:v>3.8420000000000001</c:v>
                </c:pt>
                <c:pt idx="7050">
                  <c:v>3.8420000000000001</c:v>
                </c:pt>
                <c:pt idx="7051">
                  <c:v>3.8420000000000001</c:v>
                </c:pt>
                <c:pt idx="7052">
                  <c:v>3.9489999999999998</c:v>
                </c:pt>
                <c:pt idx="7053">
                  <c:v>3.9489999999999998</c:v>
                </c:pt>
                <c:pt idx="7054">
                  <c:v>3.9489999999999998</c:v>
                </c:pt>
                <c:pt idx="7055">
                  <c:v>3.7170000000000001</c:v>
                </c:pt>
                <c:pt idx="7056">
                  <c:v>3.8439999999999999</c:v>
                </c:pt>
                <c:pt idx="7057">
                  <c:v>3.718</c:v>
                </c:pt>
                <c:pt idx="7058">
                  <c:v>3.718</c:v>
                </c:pt>
                <c:pt idx="7059">
                  <c:v>3.7570000000000001</c:v>
                </c:pt>
                <c:pt idx="7060">
                  <c:v>3.7570000000000001</c:v>
                </c:pt>
                <c:pt idx="7061">
                  <c:v>3.7570000000000001</c:v>
                </c:pt>
                <c:pt idx="7062">
                  <c:v>3.6259999999999999</c:v>
                </c:pt>
                <c:pt idx="7063">
                  <c:v>3.7480000000000002</c:v>
                </c:pt>
                <c:pt idx="7064">
                  <c:v>3.8410000000000002</c:v>
                </c:pt>
                <c:pt idx="7065">
                  <c:v>3.8239999999999998</c:v>
                </c:pt>
                <c:pt idx="7066">
                  <c:v>3.843</c:v>
                </c:pt>
                <c:pt idx="7067">
                  <c:v>3.843</c:v>
                </c:pt>
                <c:pt idx="7068">
                  <c:v>3.843</c:v>
                </c:pt>
                <c:pt idx="7069">
                  <c:v>3.8170000000000002</c:v>
                </c:pt>
                <c:pt idx="7070">
                  <c:v>3.843</c:v>
                </c:pt>
                <c:pt idx="7071">
                  <c:v>3.8</c:v>
                </c:pt>
                <c:pt idx="7072">
                  <c:v>3.8</c:v>
                </c:pt>
                <c:pt idx="7073">
                  <c:v>3.782</c:v>
                </c:pt>
                <c:pt idx="7074">
                  <c:v>3.782</c:v>
                </c:pt>
                <c:pt idx="7075">
                  <c:v>3.782</c:v>
                </c:pt>
                <c:pt idx="7076">
                  <c:v>3.7839999999999998</c:v>
                </c:pt>
                <c:pt idx="7077">
                  <c:v>3.7839999999999998</c:v>
                </c:pt>
                <c:pt idx="7078">
                  <c:v>3.8039999999999998</c:v>
                </c:pt>
                <c:pt idx="7079">
                  <c:v>3.8039999999999998</c:v>
                </c:pt>
                <c:pt idx="7080">
                  <c:v>3.8039999999999998</c:v>
                </c:pt>
                <c:pt idx="7081">
                  <c:v>3.8039999999999998</c:v>
                </c:pt>
                <c:pt idx="7082">
                  <c:v>3.8039999999999998</c:v>
                </c:pt>
                <c:pt idx="7083">
                  <c:v>3.8039999999999998</c:v>
                </c:pt>
                <c:pt idx="7084">
                  <c:v>3.77</c:v>
                </c:pt>
                <c:pt idx="7085">
                  <c:v>3.77</c:v>
                </c:pt>
                <c:pt idx="7086">
                  <c:v>3.77</c:v>
                </c:pt>
                <c:pt idx="7087">
                  <c:v>3.7970000000000002</c:v>
                </c:pt>
                <c:pt idx="7088">
                  <c:v>3.7970000000000002</c:v>
                </c:pt>
                <c:pt idx="7089">
                  <c:v>3.7970000000000002</c:v>
                </c:pt>
                <c:pt idx="7090">
                  <c:v>3.7709999999999999</c:v>
                </c:pt>
                <c:pt idx="7091">
                  <c:v>3.7709999999999999</c:v>
                </c:pt>
                <c:pt idx="7092">
                  <c:v>3.8090000000000002</c:v>
                </c:pt>
                <c:pt idx="7093">
                  <c:v>3.8730000000000002</c:v>
                </c:pt>
                <c:pt idx="7094">
                  <c:v>3.871</c:v>
                </c:pt>
                <c:pt idx="7095">
                  <c:v>3.871</c:v>
                </c:pt>
                <c:pt idx="7096">
                  <c:v>3.871</c:v>
                </c:pt>
                <c:pt idx="7097">
                  <c:v>3.8660000000000001</c:v>
                </c:pt>
                <c:pt idx="7098">
                  <c:v>3.8660000000000001</c:v>
                </c:pt>
                <c:pt idx="7099">
                  <c:v>3.8639999999999999</c:v>
                </c:pt>
                <c:pt idx="7100">
                  <c:v>3.8639999999999999</c:v>
                </c:pt>
                <c:pt idx="7101">
                  <c:v>3.839</c:v>
                </c:pt>
                <c:pt idx="7102">
                  <c:v>3.839</c:v>
                </c:pt>
                <c:pt idx="7103">
                  <c:v>3.839</c:v>
                </c:pt>
                <c:pt idx="7104">
                  <c:v>3.8580000000000001</c:v>
                </c:pt>
                <c:pt idx="7105">
                  <c:v>3.8889999999999998</c:v>
                </c:pt>
                <c:pt idx="7106">
                  <c:v>3.8650000000000002</c:v>
                </c:pt>
                <c:pt idx="7107">
                  <c:v>3.8069999999999999</c:v>
                </c:pt>
                <c:pt idx="7108">
                  <c:v>3.7890000000000001</c:v>
                </c:pt>
                <c:pt idx="7109">
                  <c:v>3.7890000000000001</c:v>
                </c:pt>
                <c:pt idx="7110">
                  <c:v>3.7890000000000001</c:v>
                </c:pt>
                <c:pt idx="7111">
                  <c:v>3.7890000000000001</c:v>
                </c:pt>
                <c:pt idx="7112">
                  <c:v>3.96</c:v>
                </c:pt>
                <c:pt idx="7113">
                  <c:v>3.9489999999999998</c:v>
                </c:pt>
                <c:pt idx="7114">
                  <c:v>3.9489999999999998</c:v>
                </c:pt>
                <c:pt idx="7115">
                  <c:v>3.992</c:v>
                </c:pt>
                <c:pt idx="7116">
                  <c:v>3.992</c:v>
                </c:pt>
                <c:pt idx="7117">
                  <c:v>3.992</c:v>
                </c:pt>
                <c:pt idx="7118">
                  <c:v>3.992</c:v>
                </c:pt>
                <c:pt idx="7119">
                  <c:v>3.8679999999999999</c:v>
                </c:pt>
                <c:pt idx="7120">
                  <c:v>3.8679999999999999</c:v>
                </c:pt>
                <c:pt idx="7121">
                  <c:v>3.8679999999999999</c:v>
                </c:pt>
                <c:pt idx="7122">
                  <c:v>3.9609999999999999</c:v>
                </c:pt>
                <c:pt idx="7123">
                  <c:v>3.9609999999999999</c:v>
                </c:pt>
                <c:pt idx="7124">
                  <c:v>3.9609999999999999</c:v>
                </c:pt>
                <c:pt idx="7125">
                  <c:v>3.9990000000000001</c:v>
                </c:pt>
                <c:pt idx="7126">
                  <c:v>4.0010000000000003</c:v>
                </c:pt>
                <c:pt idx="7127">
                  <c:v>3.9430000000000001</c:v>
                </c:pt>
                <c:pt idx="7128">
                  <c:v>3.9089999999999998</c:v>
                </c:pt>
                <c:pt idx="7129">
                  <c:v>3.9089999999999998</c:v>
                </c:pt>
                <c:pt idx="7130">
                  <c:v>3.9089999999999998</c:v>
                </c:pt>
                <c:pt idx="7131">
                  <c:v>3.9089999999999998</c:v>
                </c:pt>
                <c:pt idx="7132">
                  <c:v>3.8969999999999998</c:v>
                </c:pt>
                <c:pt idx="7133">
                  <c:v>3.9180000000000001</c:v>
                </c:pt>
                <c:pt idx="7134">
                  <c:v>3.9180000000000001</c:v>
                </c:pt>
                <c:pt idx="7135">
                  <c:v>3.9180000000000001</c:v>
                </c:pt>
                <c:pt idx="7136">
                  <c:v>3.8039999999999998</c:v>
                </c:pt>
                <c:pt idx="7137">
                  <c:v>3.8039999999999998</c:v>
                </c:pt>
                <c:pt idx="7138">
                  <c:v>3.8039999999999998</c:v>
                </c:pt>
                <c:pt idx="7139">
                  <c:v>3.8809999999999998</c:v>
                </c:pt>
                <c:pt idx="7140">
                  <c:v>3.8809999999999998</c:v>
                </c:pt>
                <c:pt idx="7141">
                  <c:v>3.8809999999999998</c:v>
                </c:pt>
                <c:pt idx="7142">
                  <c:v>3.8809999999999998</c:v>
                </c:pt>
                <c:pt idx="7143">
                  <c:v>3.8359999999999999</c:v>
                </c:pt>
                <c:pt idx="7144">
                  <c:v>3.8359999999999999</c:v>
                </c:pt>
                <c:pt idx="7145">
                  <c:v>3.8359999999999999</c:v>
                </c:pt>
                <c:pt idx="7146">
                  <c:v>3.835</c:v>
                </c:pt>
                <c:pt idx="7147">
                  <c:v>3.84</c:v>
                </c:pt>
                <c:pt idx="7148">
                  <c:v>3.831</c:v>
                </c:pt>
                <c:pt idx="7149">
                  <c:v>3.8639999999999999</c:v>
                </c:pt>
                <c:pt idx="7150">
                  <c:v>3.7149999999999999</c:v>
                </c:pt>
                <c:pt idx="7151">
                  <c:v>3.7149999999999999</c:v>
                </c:pt>
                <c:pt idx="7152">
                  <c:v>3.7149999999999999</c:v>
                </c:pt>
                <c:pt idx="7153">
                  <c:v>3.8119999999999998</c:v>
                </c:pt>
                <c:pt idx="7154">
                  <c:v>3.8279999999999998</c:v>
                </c:pt>
                <c:pt idx="7155">
                  <c:v>3.8570000000000002</c:v>
                </c:pt>
                <c:pt idx="7156">
                  <c:v>3.8650000000000002</c:v>
                </c:pt>
                <c:pt idx="7157">
                  <c:v>3.8650000000000002</c:v>
                </c:pt>
                <c:pt idx="7158">
                  <c:v>3.8650000000000002</c:v>
                </c:pt>
                <c:pt idx="7159">
                  <c:v>3.8650000000000002</c:v>
                </c:pt>
                <c:pt idx="7160">
                  <c:v>3.8650000000000002</c:v>
                </c:pt>
                <c:pt idx="7161">
                  <c:v>3.8650000000000002</c:v>
                </c:pt>
                <c:pt idx="7162">
                  <c:v>3.8980000000000001</c:v>
                </c:pt>
                <c:pt idx="7163">
                  <c:v>3.8980000000000001</c:v>
                </c:pt>
                <c:pt idx="7164">
                  <c:v>3.8980000000000001</c:v>
                </c:pt>
                <c:pt idx="7165">
                  <c:v>3.8980000000000001</c:v>
                </c:pt>
                <c:pt idx="7166">
                  <c:v>3.8980000000000001</c:v>
                </c:pt>
                <c:pt idx="7167">
                  <c:v>3.8980000000000001</c:v>
                </c:pt>
                <c:pt idx="7168">
                  <c:v>3.8980000000000001</c:v>
                </c:pt>
                <c:pt idx="7169">
                  <c:v>3.8980000000000001</c:v>
                </c:pt>
                <c:pt idx="7170">
                  <c:v>3.8980000000000001</c:v>
                </c:pt>
                <c:pt idx="7171">
                  <c:v>3.8980000000000001</c:v>
                </c:pt>
                <c:pt idx="7172">
                  <c:v>3.8980000000000001</c:v>
                </c:pt>
                <c:pt idx="7173">
                  <c:v>3.8980000000000001</c:v>
                </c:pt>
                <c:pt idx="7174">
                  <c:v>3.8180000000000001</c:v>
                </c:pt>
                <c:pt idx="7175">
                  <c:v>3.8180000000000001</c:v>
                </c:pt>
                <c:pt idx="7176">
                  <c:v>3.7829999999999999</c:v>
                </c:pt>
                <c:pt idx="7177">
                  <c:v>3.7829999999999999</c:v>
                </c:pt>
                <c:pt idx="7178">
                  <c:v>3.7829999999999999</c:v>
                </c:pt>
                <c:pt idx="7179">
                  <c:v>3.7829999999999999</c:v>
                </c:pt>
                <c:pt idx="7180">
                  <c:v>3.7829999999999999</c:v>
                </c:pt>
                <c:pt idx="7181">
                  <c:v>3.7549999999999999</c:v>
                </c:pt>
                <c:pt idx="7182">
                  <c:v>3.7549999999999999</c:v>
                </c:pt>
                <c:pt idx="7183">
                  <c:v>3.7549999999999999</c:v>
                </c:pt>
                <c:pt idx="7184">
                  <c:v>3.7549999999999999</c:v>
                </c:pt>
                <c:pt idx="7185">
                  <c:v>3.7549999999999999</c:v>
                </c:pt>
                <c:pt idx="7186">
                  <c:v>3.7549999999999999</c:v>
                </c:pt>
                <c:pt idx="7187">
                  <c:v>3.7549999999999999</c:v>
                </c:pt>
                <c:pt idx="7188">
                  <c:v>3.867</c:v>
                </c:pt>
                <c:pt idx="7189">
                  <c:v>3.8679999999999999</c:v>
                </c:pt>
                <c:pt idx="7190">
                  <c:v>3.8620000000000001</c:v>
                </c:pt>
                <c:pt idx="7191">
                  <c:v>3.8769999999999998</c:v>
                </c:pt>
                <c:pt idx="7192">
                  <c:v>3.8769999999999998</c:v>
                </c:pt>
                <c:pt idx="7193">
                  <c:v>3.8769999999999998</c:v>
                </c:pt>
                <c:pt idx="7194">
                  <c:v>3.8769999999999998</c:v>
                </c:pt>
                <c:pt idx="7195">
                  <c:v>3.879</c:v>
                </c:pt>
                <c:pt idx="7196">
                  <c:v>3.9369999999999998</c:v>
                </c:pt>
                <c:pt idx="7197">
                  <c:v>3.93</c:v>
                </c:pt>
                <c:pt idx="7198">
                  <c:v>3.9</c:v>
                </c:pt>
                <c:pt idx="7199">
                  <c:v>3.9</c:v>
                </c:pt>
                <c:pt idx="7200">
                  <c:v>3.9</c:v>
                </c:pt>
                <c:pt idx="7201">
                  <c:v>3.9</c:v>
                </c:pt>
                <c:pt idx="7202">
                  <c:v>3.8959999999999999</c:v>
                </c:pt>
                <c:pt idx="7203">
                  <c:v>3.9380000000000002</c:v>
                </c:pt>
                <c:pt idx="7204">
                  <c:v>3.9380000000000002</c:v>
                </c:pt>
                <c:pt idx="7205">
                  <c:v>3.9359999999999999</c:v>
                </c:pt>
                <c:pt idx="7206">
                  <c:v>4.0430000000000001</c:v>
                </c:pt>
                <c:pt idx="7207">
                  <c:v>4.0430000000000001</c:v>
                </c:pt>
                <c:pt idx="7208">
                  <c:v>4.0430000000000001</c:v>
                </c:pt>
                <c:pt idx="7209">
                  <c:v>3.9670000000000001</c:v>
                </c:pt>
                <c:pt idx="7210">
                  <c:v>3.948</c:v>
                </c:pt>
                <c:pt idx="7211">
                  <c:v>4.0279999999999996</c:v>
                </c:pt>
                <c:pt idx="7212">
                  <c:v>4.0309999999999997</c:v>
                </c:pt>
                <c:pt idx="7213">
                  <c:v>4.0750000000000002</c:v>
                </c:pt>
                <c:pt idx="7214">
                  <c:v>4.0750000000000002</c:v>
                </c:pt>
                <c:pt idx="7215">
                  <c:v>4.0750000000000002</c:v>
                </c:pt>
                <c:pt idx="7216">
                  <c:v>4.0599999999999996</c:v>
                </c:pt>
                <c:pt idx="7217">
                  <c:v>4.0609999999999999</c:v>
                </c:pt>
                <c:pt idx="7218">
                  <c:v>4.0609999999999999</c:v>
                </c:pt>
                <c:pt idx="7219">
                  <c:v>4.0609999999999999</c:v>
                </c:pt>
                <c:pt idx="7220">
                  <c:v>4.0609999999999999</c:v>
                </c:pt>
                <c:pt idx="7221">
                  <c:v>4.0609999999999999</c:v>
                </c:pt>
                <c:pt idx="7222">
                  <c:v>4.0609999999999999</c:v>
                </c:pt>
                <c:pt idx="7223">
                  <c:v>4.1020000000000003</c:v>
                </c:pt>
                <c:pt idx="7224">
                  <c:v>4.1219999999999999</c:v>
                </c:pt>
                <c:pt idx="7225">
                  <c:v>4.101</c:v>
                </c:pt>
                <c:pt idx="7226">
                  <c:v>4.101</c:v>
                </c:pt>
                <c:pt idx="7227">
                  <c:v>4.101</c:v>
                </c:pt>
                <c:pt idx="7228">
                  <c:v>4.101</c:v>
                </c:pt>
                <c:pt idx="7229">
                  <c:v>4.101</c:v>
                </c:pt>
                <c:pt idx="7230">
                  <c:v>4.1920000000000002</c:v>
                </c:pt>
                <c:pt idx="7231">
                  <c:v>4.1920000000000002</c:v>
                </c:pt>
                <c:pt idx="7232">
                  <c:v>4.282</c:v>
                </c:pt>
                <c:pt idx="7233">
                  <c:v>4.1539999999999999</c:v>
                </c:pt>
                <c:pt idx="7234">
                  <c:v>4.28</c:v>
                </c:pt>
                <c:pt idx="7235">
                  <c:v>4.28</c:v>
                </c:pt>
                <c:pt idx="7236">
                  <c:v>4.28</c:v>
                </c:pt>
                <c:pt idx="7237">
                  <c:v>4.2169999999999996</c:v>
                </c:pt>
                <c:pt idx="7238">
                  <c:v>4.2549999999999999</c:v>
                </c:pt>
                <c:pt idx="7239">
                  <c:v>4.25</c:v>
                </c:pt>
                <c:pt idx="7240">
                  <c:v>4.1100000000000003</c:v>
                </c:pt>
                <c:pt idx="7241">
                  <c:v>4.1100000000000003</c:v>
                </c:pt>
                <c:pt idx="7242">
                  <c:v>4.1100000000000003</c:v>
                </c:pt>
                <c:pt idx="7243">
                  <c:v>4.1100000000000003</c:v>
                </c:pt>
                <c:pt idx="7244">
                  <c:v>4.306</c:v>
                </c:pt>
                <c:pt idx="7245">
                  <c:v>4.2190000000000003</c:v>
                </c:pt>
                <c:pt idx="7246">
                  <c:v>4.234</c:v>
                </c:pt>
                <c:pt idx="7247">
                  <c:v>4.234</c:v>
                </c:pt>
                <c:pt idx="7248">
                  <c:v>4.234</c:v>
                </c:pt>
                <c:pt idx="7249">
                  <c:v>4.234</c:v>
                </c:pt>
                <c:pt idx="7250">
                  <c:v>4.234</c:v>
                </c:pt>
                <c:pt idx="7251">
                  <c:v>4.1369999999999996</c:v>
                </c:pt>
                <c:pt idx="7252">
                  <c:v>4.1859999999999999</c:v>
                </c:pt>
                <c:pt idx="7253">
                  <c:v>4.2850000000000001</c:v>
                </c:pt>
                <c:pt idx="7254">
                  <c:v>4.2850000000000001</c:v>
                </c:pt>
                <c:pt idx="7255">
                  <c:v>4.1719999999999997</c:v>
                </c:pt>
                <c:pt idx="7256">
                  <c:v>4.1719999999999997</c:v>
                </c:pt>
                <c:pt idx="7257">
                  <c:v>4.1719999999999997</c:v>
                </c:pt>
                <c:pt idx="7258">
                  <c:v>4.1719999999999997</c:v>
                </c:pt>
                <c:pt idx="7259">
                  <c:v>4.1719999999999997</c:v>
                </c:pt>
                <c:pt idx="7260">
                  <c:v>4.1719999999999997</c:v>
                </c:pt>
                <c:pt idx="7261">
                  <c:v>4.1719999999999997</c:v>
                </c:pt>
                <c:pt idx="7262">
                  <c:v>4.1719999999999997</c:v>
                </c:pt>
                <c:pt idx="7263">
                  <c:v>4.1719999999999997</c:v>
                </c:pt>
                <c:pt idx="7264">
                  <c:v>4.1719999999999997</c:v>
                </c:pt>
                <c:pt idx="7265">
                  <c:v>4.2329999999999997</c:v>
                </c:pt>
                <c:pt idx="7266">
                  <c:v>4.2270000000000003</c:v>
                </c:pt>
                <c:pt idx="7267">
                  <c:v>4.2270000000000003</c:v>
                </c:pt>
                <c:pt idx="7268">
                  <c:v>4.28</c:v>
                </c:pt>
                <c:pt idx="7269">
                  <c:v>4.28</c:v>
                </c:pt>
                <c:pt idx="7270">
                  <c:v>4.28</c:v>
                </c:pt>
                <c:pt idx="7271">
                  <c:v>4.28</c:v>
                </c:pt>
                <c:pt idx="7272">
                  <c:v>4.2839999999999998</c:v>
                </c:pt>
                <c:pt idx="7273">
                  <c:v>4.2640000000000002</c:v>
                </c:pt>
                <c:pt idx="7274">
                  <c:v>4.2809999999999997</c:v>
                </c:pt>
                <c:pt idx="7275">
                  <c:v>4.3090000000000002</c:v>
                </c:pt>
                <c:pt idx="7276">
                  <c:v>4.3440000000000003</c:v>
                </c:pt>
                <c:pt idx="7277">
                  <c:v>4.3440000000000003</c:v>
                </c:pt>
                <c:pt idx="7278">
                  <c:v>4.3440000000000003</c:v>
                </c:pt>
                <c:pt idx="7279">
                  <c:v>4.32</c:v>
                </c:pt>
                <c:pt idx="7280">
                  <c:v>4.3410000000000002</c:v>
                </c:pt>
                <c:pt idx="7281">
                  <c:v>4.3</c:v>
                </c:pt>
                <c:pt idx="7282">
                  <c:v>4.2690000000000001</c:v>
                </c:pt>
                <c:pt idx="7283">
                  <c:v>4.5369999999999999</c:v>
                </c:pt>
                <c:pt idx="7284">
                  <c:v>4.5369999999999999</c:v>
                </c:pt>
                <c:pt idx="7285">
                  <c:v>4.5369999999999999</c:v>
                </c:pt>
                <c:pt idx="7286">
                  <c:v>4.2779999999999996</c:v>
                </c:pt>
                <c:pt idx="7287">
                  <c:v>4.3490000000000002</c:v>
                </c:pt>
                <c:pt idx="7288">
                  <c:v>4.38</c:v>
                </c:pt>
                <c:pt idx="7289">
                  <c:v>4.3840000000000003</c:v>
                </c:pt>
                <c:pt idx="7290">
                  <c:v>4.3540000000000001</c:v>
                </c:pt>
                <c:pt idx="7291">
                  <c:v>4.3540000000000001</c:v>
                </c:pt>
                <c:pt idx="7292">
                  <c:v>4.3540000000000001</c:v>
                </c:pt>
                <c:pt idx="7293">
                  <c:v>4.3979999999999997</c:v>
                </c:pt>
                <c:pt idx="7294">
                  <c:v>4.415</c:v>
                </c:pt>
                <c:pt idx="7295">
                  <c:v>4.4080000000000004</c:v>
                </c:pt>
                <c:pt idx="7296">
                  <c:v>4.4089999999999998</c:v>
                </c:pt>
                <c:pt idx="7297">
                  <c:v>4.3879999999999999</c:v>
                </c:pt>
                <c:pt idx="7298">
                  <c:v>4.3879999999999999</c:v>
                </c:pt>
                <c:pt idx="7299">
                  <c:v>4.3879999999999999</c:v>
                </c:pt>
                <c:pt idx="7300">
                  <c:v>4.4539999999999997</c:v>
                </c:pt>
                <c:pt idx="7301">
                  <c:v>4.4059999999999997</c:v>
                </c:pt>
                <c:pt idx="7302">
                  <c:v>4.4059999999999997</c:v>
                </c:pt>
                <c:pt idx="7303">
                  <c:v>4.3879999999999999</c:v>
                </c:pt>
                <c:pt idx="7304">
                  <c:v>4.367</c:v>
                </c:pt>
                <c:pt idx="7305">
                  <c:v>4.367</c:v>
                </c:pt>
                <c:pt idx="7306">
                  <c:v>4.367</c:v>
                </c:pt>
                <c:pt idx="7307">
                  <c:v>4.3710000000000004</c:v>
                </c:pt>
                <c:pt idx="7308">
                  <c:v>4.375</c:v>
                </c:pt>
                <c:pt idx="7309">
                  <c:v>4.3940000000000001</c:v>
                </c:pt>
                <c:pt idx="7310">
                  <c:v>4.3819999999999997</c:v>
                </c:pt>
                <c:pt idx="7311">
                  <c:v>4.3920000000000003</c:v>
                </c:pt>
                <c:pt idx="7312">
                  <c:v>4.3920000000000003</c:v>
                </c:pt>
                <c:pt idx="7313">
                  <c:v>4.3920000000000003</c:v>
                </c:pt>
                <c:pt idx="7314">
                  <c:v>4.4039999999999999</c:v>
                </c:pt>
                <c:pt idx="7315">
                  <c:v>4.375</c:v>
                </c:pt>
                <c:pt idx="7316">
                  <c:v>4.3600000000000003</c:v>
                </c:pt>
                <c:pt idx="7317">
                  <c:v>4.3419999999999996</c:v>
                </c:pt>
                <c:pt idx="7318">
                  <c:v>4.306</c:v>
                </c:pt>
                <c:pt idx="7319">
                  <c:v>4.306</c:v>
                </c:pt>
                <c:pt idx="7320">
                  <c:v>4.306</c:v>
                </c:pt>
                <c:pt idx="7321">
                  <c:v>4.3230000000000004</c:v>
                </c:pt>
                <c:pt idx="7322">
                  <c:v>4.3230000000000004</c:v>
                </c:pt>
                <c:pt idx="7323">
                  <c:v>4.3230000000000004</c:v>
                </c:pt>
                <c:pt idx="7324">
                  <c:v>4.3449999999999998</c:v>
                </c:pt>
                <c:pt idx="7325">
                  <c:v>4.3529999999999998</c:v>
                </c:pt>
                <c:pt idx="7326">
                  <c:v>4.3529999999999998</c:v>
                </c:pt>
                <c:pt idx="7327">
                  <c:v>4.3529999999999998</c:v>
                </c:pt>
                <c:pt idx="7328">
                  <c:v>4.4269999999999996</c:v>
                </c:pt>
                <c:pt idx="7329">
                  <c:v>4.367</c:v>
                </c:pt>
                <c:pt idx="7330">
                  <c:v>4.367</c:v>
                </c:pt>
                <c:pt idx="7331">
                  <c:v>4.3739999999999997</c:v>
                </c:pt>
                <c:pt idx="7332">
                  <c:v>4.4619999999999997</c:v>
                </c:pt>
                <c:pt idx="7333">
                  <c:v>4.4619999999999997</c:v>
                </c:pt>
                <c:pt idx="7334">
                  <c:v>4.4619999999999997</c:v>
                </c:pt>
                <c:pt idx="7335">
                  <c:v>4.4349999999999996</c:v>
                </c:pt>
                <c:pt idx="7336">
                  <c:v>4.4349999999999996</c:v>
                </c:pt>
                <c:pt idx="7337">
                  <c:v>4.6280000000000001</c:v>
                </c:pt>
                <c:pt idx="7338">
                  <c:v>4.5679999999999996</c:v>
                </c:pt>
                <c:pt idx="7339">
                  <c:v>4.867</c:v>
                </c:pt>
                <c:pt idx="7340">
                  <c:v>4.867</c:v>
                </c:pt>
                <c:pt idx="7341">
                  <c:v>4.867</c:v>
                </c:pt>
                <c:pt idx="7342">
                  <c:v>4.867</c:v>
                </c:pt>
                <c:pt idx="7343">
                  <c:v>4.8609999999999998</c:v>
                </c:pt>
                <c:pt idx="7344">
                  <c:v>4.8890000000000002</c:v>
                </c:pt>
                <c:pt idx="7345">
                  <c:v>4.7320000000000002</c:v>
                </c:pt>
                <c:pt idx="7346">
                  <c:v>4.6849999999999996</c:v>
                </c:pt>
                <c:pt idx="7347">
                  <c:v>4.6849999999999996</c:v>
                </c:pt>
                <c:pt idx="7348">
                  <c:v>4.6849999999999996</c:v>
                </c:pt>
                <c:pt idx="7349">
                  <c:v>4.6849999999999996</c:v>
                </c:pt>
                <c:pt idx="7350">
                  <c:v>4.6900000000000004</c:v>
                </c:pt>
                <c:pt idx="7351">
                  <c:v>4.6609999999999996</c:v>
                </c:pt>
                <c:pt idx="7352">
                  <c:v>4.6310000000000002</c:v>
                </c:pt>
                <c:pt idx="7353">
                  <c:v>4.6319999999999997</c:v>
                </c:pt>
                <c:pt idx="7354">
                  <c:v>4.6319999999999997</c:v>
                </c:pt>
                <c:pt idx="7355">
                  <c:v>4.6319999999999997</c:v>
                </c:pt>
                <c:pt idx="7356">
                  <c:v>4.532</c:v>
                </c:pt>
                <c:pt idx="7357">
                  <c:v>4.6210000000000004</c:v>
                </c:pt>
                <c:pt idx="7358">
                  <c:v>4.5949999999999998</c:v>
                </c:pt>
                <c:pt idx="7359">
                  <c:v>4.6390000000000002</c:v>
                </c:pt>
                <c:pt idx="7360">
                  <c:v>4.6189999999999998</c:v>
                </c:pt>
                <c:pt idx="7361">
                  <c:v>4.6189999999999998</c:v>
                </c:pt>
                <c:pt idx="7362">
                  <c:v>4.6189999999999998</c:v>
                </c:pt>
                <c:pt idx="7363">
                  <c:v>4.7050000000000001</c:v>
                </c:pt>
                <c:pt idx="7364">
                  <c:v>4.7050000000000001</c:v>
                </c:pt>
                <c:pt idx="7365">
                  <c:v>4.7709999999999999</c:v>
                </c:pt>
                <c:pt idx="7366">
                  <c:v>4.758</c:v>
                </c:pt>
                <c:pt idx="7367">
                  <c:v>4.8049999999999997</c:v>
                </c:pt>
                <c:pt idx="7368">
                  <c:v>4.8049999999999997</c:v>
                </c:pt>
                <c:pt idx="7369">
                  <c:v>4.8049999999999997</c:v>
                </c:pt>
                <c:pt idx="7370">
                  <c:v>4.851</c:v>
                </c:pt>
                <c:pt idx="7371">
                  <c:v>4.8630000000000004</c:v>
                </c:pt>
                <c:pt idx="7372">
                  <c:v>4.8840000000000003</c:v>
                </c:pt>
                <c:pt idx="7373">
                  <c:v>4.87</c:v>
                </c:pt>
                <c:pt idx="7374">
                  <c:v>4.8609999999999998</c:v>
                </c:pt>
                <c:pt idx="7375">
                  <c:v>4.8609999999999998</c:v>
                </c:pt>
                <c:pt idx="7376">
                  <c:v>4.8609999999999998</c:v>
                </c:pt>
                <c:pt idx="7377">
                  <c:v>4.7709999999999999</c:v>
                </c:pt>
                <c:pt idx="7378">
                  <c:v>4.8099999999999996</c:v>
                </c:pt>
                <c:pt idx="7379">
                  <c:v>4.774</c:v>
                </c:pt>
                <c:pt idx="7380">
                  <c:v>4.74</c:v>
                </c:pt>
                <c:pt idx="7381">
                  <c:v>4.74</c:v>
                </c:pt>
                <c:pt idx="7382">
                  <c:v>4.74</c:v>
                </c:pt>
                <c:pt idx="7383">
                  <c:v>4.74</c:v>
                </c:pt>
                <c:pt idx="7384">
                  <c:v>4.7300000000000004</c:v>
                </c:pt>
                <c:pt idx="7385">
                  <c:v>4.7549999999999999</c:v>
                </c:pt>
                <c:pt idx="7386">
                  <c:v>4.7409999999999997</c:v>
                </c:pt>
                <c:pt idx="7387">
                  <c:v>4.7409999999999997</c:v>
                </c:pt>
                <c:pt idx="7388">
                  <c:v>4.7409999999999997</c:v>
                </c:pt>
                <c:pt idx="7389">
                  <c:v>4.7409999999999997</c:v>
                </c:pt>
                <c:pt idx="7390">
                  <c:v>4.7409999999999997</c:v>
                </c:pt>
                <c:pt idx="7391">
                  <c:v>4.6870000000000003</c:v>
                </c:pt>
                <c:pt idx="7392">
                  <c:v>4.7350000000000003</c:v>
                </c:pt>
                <c:pt idx="7393">
                  <c:v>4.7350000000000003</c:v>
                </c:pt>
                <c:pt idx="7394">
                  <c:v>4.6669999999999998</c:v>
                </c:pt>
                <c:pt idx="7395">
                  <c:v>4.6669999999999998</c:v>
                </c:pt>
                <c:pt idx="7396">
                  <c:v>4.6669999999999998</c:v>
                </c:pt>
                <c:pt idx="7397">
                  <c:v>4.6669999999999998</c:v>
                </c:pt>
                <c:pt idx="7398">
                  <c:v>4.72</c:v>
                </c:pt>
                <c:pt idx="7399">
                  <c:v>4.7060000000000004</c:v>
                </c:pt>
                <c:pt idx="7400">
                  <c:v>4.6859999999999999</c:v>
                </c:pt>
                <c:pt idx="7401">
                  <c:v>4.6900000000000004</c:v>
                </c:pt>
                <c:pt idx="7402">
                  <c:v>4.8559999999999999</c:v>
                </c:pt>
                <c:pt idx="7403">
                  <c:v>4.8559999999999999</c:v>
                </c:pt>
                <c:pt idx="7404">
                  <c:v>4.8559999999999999</c:v>
                </c:pt>
                <c:pt idx="7405">
                  <c:v>4.8499999999999996</c:v>
                </c:pt>
                <c:pt idx="7406">
                  <c:v>4.891</c:v>
                </c:pt>
                <c:pt idx="7407">
                  <c:v>4.9630000000000001</c:v>
                </c:pt>
                <c:pt idx="7408">
                  <c:v>4.9630000000000001</c:v>
                </c:pt>
                <c:pt idx="7409">
                  <c:v>4.9630000000000001</c:v>
                </c:pt>
                <c:pt idx="7410">
                  <c:v>4.9630000000000001</c:v>
                </c:pt>
                <c:pt idx="7411">
                  <c:v>4.9630000000000001</c:v>
                </c:pt>
                <c:pt idx="7412">
                  <c:v>5.0469999999999997</c:v>
                </c:pt>
                <c:pt idx="7413">
                  <c:v>5.08</c:v>
                </c:pt>
                <c:pt idx="7414">
                  <c:v>5.1050000000000004</c:v>
                </c:pt>
                <c:pt idx="7415">
                  <c:v>5.117</c:v>
                </c:pt>
                <c:pt idx="7416">
                  <c:v>4.9729999999999999</c:v>
                </c:pt>
                <c:pt idx="7417">
                  <c:v>4.9729999999999999</c:v>
                </c:pt>
                <c:pt idx="7418">
                  <c:v>4.9729999999999999</c:v>
                </c:pt>
                <c:pt idx="7419">
                  <c:v>4.9729999999999999</c:v>
                </c:pt>
                <c:pt idx="7420">
                  <c:v>5.0730000000000004</c:v>
                </c:pt>
                <c:pt idx="7421">
                  <c:v>5.0540000000000003</c:v>
                </c:pt>
                <c:pt idx="7422">
                  <c:v>5.109</c:v>
                </c:pt>
                <c:pt idx="7423">
                  <c:v>5.109</c:v>
                </c:pt>
                <c:pt idx="7424">
                  <c:v>5.109</c:v>
                </c:pt>
                <c:pt idx="7425">
                  <c:v>5.109</c:v>
                </c:pt>
                <c:pt idx="7426">
                  <c:v>5.13</c:v>
                </c:pt>
                <c:pt idx="7427">
                  <c:v>5.13</c:v>
                </c:pt>
                <c:pt idx="7428">
                  <c:v>5.367</c:v>
                </c:pt>
                <c:pt idx="7429">
                  <c:v>5.6520000000000001</c:v>
                </c:pt>
                <c:pt idx="7430">
                  <c:v>5.8890000000000002</c:v>
                </c:pt>
                <c:pt idx="7431">
                  <c:v>5.8890000000000002</c:v>
                </c:pt>
                <c:pt idx="7432">
                  <c:v>5.8890000000000002</c:v>
                </c:pt>
                <c:pt idx="7433">
                  <c:v>5.9889999999999999</c:v>
                </c:pt>
                <c:pt idx="7434">
                  <c:v>5.944</c:v>
                </c:pt>
                <c:pt idx="7435">
                  <c:v>6.0220000000000002</c:v>
                </c:pt>
                <c:pt idx="7436">
                  <c:v>6.0220000000000002</c:v>
                </c:pt>
                <c:pt idx="7437">
                  <c:v>5.7130000000000001</c:v>
                </c:pt>
                <c:pt idx="7438">
                  <c:v>5.7130000000000001</c:v>
                </c:pt>
                <c:pt idx="7439">
                  <c:v>5.7130000000000001</c:v>
                </c:pt>
                <c:pt idx="7440">
                  <c:v>5.7130000000000001</c:v>
                </c:pt>
                <c:pt idx="7441">
                  <c:v>5.7619999999999996</c:v>
                </c:pt>
                <c:pt idx="7442">
                  <c:v>5.8250000000000002</c:v>
                </c:pt>
                <c:pt idx="7443">
                  <c:v>5.8250000000000002</c:v>
                </c:pt>
                <c:pt idx="7444">
                  <c:v>5.7859999999999996</c:v>
                </c:pt>
                <c:pt idx="7445">
                  <c:v>5.7859999999999996</c:v>
                </c:pt>
                <c:pt idx="7446">
                  <c:v>5.7859999999999996</c:v>
                </c:pt>
                <c:pt idx="7447">
                  <c:v>5.8120000000000003</c:v>
                </c:pt>
                <c:pt idx="7448">
                  <c:v>5.8310000000000004</c:v>
                </c:pt>
                <c:pt idx="7449">
                  <c:v>5.8540000000000001</c:v>
                </c:pt>
                <c:pt idx="7450">
                  <c:v>5.867</c:v>
                </c:pt>
                <c:pt idx="7451">
                  <c:v>5.9119999999999999</c:v>
                </c:pt>
                <c:pt idx="7452">
                  <c:v>5.9119999999999999</c:v>
                </c:pt>
                <c:pt idx="7453">
                  <c:v>5.9119999999999999</c:v>
                </c:pt>
                <c:pt idx="7454">
                  <c:v>6.0289999999999999</c:v>
                </c:pt>
                <c:pt idx="7455">
                  <c:v>6.0129999999999999</c:v>
                </c:pt>
                <c:pt idx="7456">
                  <c:v>6.0439999999999996</c:v>
                </c:pt>
                <c:pt idx="7457">
                  <c:v>6.0519999999999996</c:v>
                </c:pt>
                <c:pt idx="7458">
                  <c:v>6.0750000000000002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45-4783-91BA-21ED235C2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538000"/>
        <c:axId val="515537584"/>
      </c:lineChart>
      <c:dateAx>
        <c:axId val="5155380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537584"/>
        <c:crosses val="autoZero"/>
        <c:auto val="1"/>
        <c:lblOffset val="100"/>
        <c:baseTimeUnit val="days"/>
      </c:dateAx>
      <c:valAx>
        <c:axId val="515537584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53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15240</xdr:colOff>
      <xdr:row>1</xdr:row>
      <xdr:rowOff>99060</xdr:rowOff>
    </xdr:from>
    <xdr:to>
      <xdr:col>24</xdr:col>
      <xdr:colOff>175260</xdr:colOff>
      <xdr:row>24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91A5BE-6ACA-4AD4-B8B3-EA370FEAD9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A2BA-54E3-488B-A84C-47E14D5B8E0B}">
  <dimension ref="A1:L8198"/>
  <sheetViews>
    <sheetView topLeftCell="E1" workbookViewId="0">
      <selection activeCell="J2" sqref="J2"/>
    </sheetView>
  </sheetViews>
  <sheetFormatPr defaultRowHeight="14.4" x14ac:dyDescent="0.3"/>
  <cols>
    <col min="1" max="1" width="10.33203125" bestFit="1" customWidth="1"/>
    <col min="2" max="2" width="15.5546875" bestFit="1" customWidth="1"/>
    <col min="4" max="4" width="10.33203125" bestFit="1" customWidth="1"/>
    <col min="5" max="5" width="15.5546875" bestFit="1" customWidth="1"/>
    <col min="7" max="7" width="10.33203125" bestFit="1" customWidth="1"/>
    <col min="8" max="8" width="15.5546875" bestFit="1" customWidth="1"/>
    <col min="10" max="10" width="10.33203125" bestFit="1" customWidth="1"/>
    <col min="11" max="11" width="9" bestFit="1" customWidth="1"/>
    <col min="12" max="12" width="7.33203125" bestFit="1" customWidth="1"/>
  </cols>
  <sheetData>
    <row r="1" spans="1:12" x14ac:dyDescent="0.3">
      <c r="B1" t="s">
        <v>0</v>
      </c>
      <c r="E1" t="s">
        <v>14</v>
      </c>
      <c r="H1" t="s">
        <v>15</v>
      </c>
      <c r="J1" t="s">
        <v>9</v>
      </c>
      <c r="K1" t="s">
        <v>16</v>
      </c>
      <c r="L1" t="s">
        <v>17</v>
      </c>
    </row>
    <row r="2" spans="1:12" x14ac:dyDescent="0.3">
      <c r="A2" t="s">
        <v>1</v>
      </c>
      <c r="B2" t="s">
        <v>2</v>
      </c>
      <c r="D2" t="s">
        <v>1</v>
      </c>
      <c r="E2" t="s">
        <v>11</v>
      </c>
      <c r="G2" t="s">
        <v>1</v>
      </c>
      <c r="H2" t="s">
        <v>12</v>
      </c>
      <c r="J2" s="2">
        <v>37257</v>
      </c>
      <c r="K2" s="3">
        <f>E9</f>
        <v>8.5</v>
      </c>
      <c r="L2" s="3">
        <f>H9</f>
        <v>7.04</v>
      </c>
    </row>
    <row r="3" spans="1:12" x14ac:dyDescent="0.3">
      <c r="A3" t="s">
        <v>3</v>
      </c>
      <c r="B3" s="1">
        <v>36526</v>
      </c>
      <c r="D3" t="s">
        <v>3</v>
      </c>
      <c r="E3" s="1">
        <v>37257</v>
      </c>
      <c r="G3" t="s">
        <v>3</v>
      </c>
      <c r="H3" s="1">
        <v>37257</v>
      </c>
      <c r="J3" s="2">
        <v>37258</v>
      </c>
      <c r="K3" s="3">
        <f t="shared" ref="K3:K66" si="0">E10</f>
        <v>8.5</v>
      </c>
      <c r="L3" s="3">
        <f t="shared" ref="L3:L66" si="1">H10</f>
        <v>7.02</v>
      </c>
    </row>
    <row r="4" spans="1:12" x14ac:dyDescent="0.3">
      <c r="A4" t="s">
        <v>4</v>
      </c>
      <c r="B4" s="1">
        <f ca="1">TODAY()</f>
        <v>44716</v>
      </c>
      <c r="D4" t="s">
        <v>4</v>
      </c>
      <c r="E4" s="1">
        <f ca="1">TODAY()</f>
        <v>44716</v>
      </c>
      <c r="G4" t="s">
        <v>4</v>
      </c>
      <c r="H4" s="1">
        <f ca="1">TODAY()</f>
        <v>44716</v>
      </c>
      <c r="J4" s="2">
        <v>37259</v>
      </c>
      <c r="K4" s="3">
        <f t="shared" si="0"/>
        <v>8.5</v>
      </c>
      <c r="L4" s="3">
        <f t="shared" si="1"/>
        <v>7.02</v>
      </c>
    </row>
    <row r="5" spans="1:12" x14ac:dyDescent="0.3">
      <c r="A5" t="s">
        <v>5</v>
      </c>
      <c r="B5" t="s">
        <v>6</v>
      </c>
      <c r="D5" t="s">
        <v>5</v>
      </c>
      <c r="E5" t="s">
        <v>6</v>
      </c>
      <c r="G5" t="s">
        <v>5</v>
      </c>
      <c r="H5" t="s">
        <v>6</v>
      </c>
      <c r="J5" s="2">
        <v>37260</v>
      </c>
      <c r="K5" s="3">
        <f t="shared" si="0"/>
        <v>8.5</v>
      </c>
      <c r="L5" s="3">
        <f t="shared" si="1"/>
        <v>7.04</v>
      </c>
    </row>
    <row r="6" spans="1:12" x14ac:dyDescent="0.3">
      <c r="A6" t="s">
        <v>7</v>
      </c>
      <c r="B6" t="s">
        <v>8</v>
      </c>
      <c r="D6" t="s">
        <v>7</v>
      </c>
      <c r="E6" t="s">
        <v>8</v>
      </c>
      <c r="G6" t="s">
        <v>7</v>
      </c>
      <c r="H6" t="s">
        <v>8</v>
      </c>
      <c r="J6" s="2">
        <v>37261</v>
      </c>
      <c r="K6" s="3">
        <f t="shared" si="0"/>
        <v>8.5</v>
      </c>
      <c r="L6" s="3">
        <f t="shared" si="1"/>
        <v>7.02</v>
      </c>
    </row>
    <row r="7" spans="1:12" x14ac:dyDescent="0.3">
      <c r="J7" s="2">
        <v>37262</v>
      </c>
      <c r="K7" s="3">
        <f t="shared" si="0"/>
        <v>8.5</v>
      </c>
      <c r="L7" s="3">
        <f t="shared" si="1"/>
        <v>7.02</v>
      </c>
    </row>
    <row r="8" spans="1:12" x14ac:dyDescent="0.3">
      <c r="A8" t="s">
        <v>9</v>
      </c>
      <c r="B8" t="s">
        <v>10</v>
      </c>
      <c r="D8" t="s">
        <v>9</v>
      </c>
      <c r="E8" t="s">
        <v>10</v>
      </c>
      <c r="G8" t="s">
        <v>9</v>
      </c>
      <c r="H8" t="s">
        <v>10</v>
      </c>
      <c r="J8" s="2">
        <v>37263</v>
      </c>
      <c r="K8" s="3">
        <f t="shared" si="0"/>
        <v>8.5</v>
      </c>
      <c r="L8" s="3">
        <f t="shared" si="1"/>
        <v>6.97</v>
      </c>
    </row>
    <row r="9" spans="1:12" x14ac:dyDescent="0.3">
      <c r="A9" s="2" t="e">
        <f ca="1">_xll.BDH(B2,B8:C8,B3,B4,"Dir=V","Dts=S","Sort=a","Quote=C","QtTyp=P","Days=A",CONCATENATE("Per=c",B5),"DtFmt=D","UseDPDF=Y",CONCATENATE("FX=",B6),"cols=2;rows=8190")</f>
        <v>#NAME?</v>
      </c>
      <c r="B9" t="s">
        <v>13</v>
      </c>
      <c r="D9" s="2" t="e">
        <f ca="1">_xll.BDH(E2,E8:F8,E3,E4,"Dir=V","Dts=S","Sort=a","Quote=C","QtTyp=P","Days=A",CONCATENATE("Per=c",E5),"DtFmt=D","UseDPDF=Y",CONCATENATE("FX=",E6),"cols=2;rows=7459")</f>
        <v>#NAME?</v>
      </c>
      <c r="E9">
        <v>8.5</v>
      </c>
      <c r="G9" s="2" t="e">
        <f ca="1">_xll.BDH(H2,H8:I8,H3,H4,"Dir=V","Dts=S","Sort=a","Quote=C","QtTyp=P","Days=A",CONCATENATE("Per=c",H5),"DtFmt=D","UseDPDF=Y",CONCATENATE("FX=",H6),"cols=2;rows=7459")</f>
        <v>#NAME?</v>
      </c>
      <c r="H9">
        <v>7.04</v>
      </c>
      <c r="J9" s="2">
        <v>37264</v>
      </c>
      <c r="K9" s="3">
        <f t="shared" si="0"/>
        <v>8.5</v>
      </c>
      <c r="L9" s="3">
        <f t="shared" si="1"/>
        <v>6.98</v>
      </c>
    </row>
    <row r="10" spans="1:12" x14ac:dyDescent="0.3">
      <c r="A10" s="2">
        <v>36527</v>
      </c>
      <c r="B10" t="s">
        <v>13</v>
      </c>
      <c r="D10" s="2">
        <v>37258</v>
      </c>
      <c r="E10">
        <v>8.5</v>
      </c>
      <c r="G10" s="2">
        <v>37258</v>
      </c>
      <c r="H10">
        <v>7.02</v>
      </c>
      <c r="J10" s="2">
        <v>37265</v>
      </c>
      <c r="K10" s="3">
        <f t="shared" si="0"/>
        <v>8.5</v>
      </c>
      <c r="L10" s="3">
        <f t="shared" si="1"/>
        <v>6.98</v>
      </c>
    </row>
    <row r="11" spans="1:12" x14ac:dyDescent="0.3">
      <c r="A11" s="2">
        <v>36528</v>
      </c>
      <c r="B11" t="s">
        <v>13</v>
      </c>
      <c r="D11" s="2">
        <v>37259</v>
      </c>
      <c r="E11">
        <v>8.5</v>
      </c>
      <c r="G11" s="2">
        <v>37259</v>
      </c>
      <c r="H11">
        <v>7.02</v>
      </c>
      <c r="J11" s="2">
        <v>37266</v>
      </c>
      <c r="K11" s="3">
        <f t="shared" si="0"/>
        <v>8.5</v>
      </c>
      <c r="L11" s="3">
        <f t="shared" si="1"/>
        <v>7.01</v>
      </c>
    </row>
    <row r="12" spans="1:12" x14ac:dyDescent="0.3">
      <c r="A12" s="2">
        <v>36529</v>
      </c>
      <c r="B12" t="s">
        <v>13</v>
      </c>
      <c r="D12" s="2">
        <v>37260</v>
      </c>
      <c r="E12">
        <v>8.5</v>
      </c>
      <c r="G12" s="2">
        <v>37260</v>
      </c>
      <c r="H12">
        <v>7.04</v>
      </c>
      <c r="J12" s="2">
        <v>37267</v>
      </c>
      <c r="K12" s="3">
        <f t="shared" si="0"/>
        <v>8.5</v>
      </c>
      <c r="L12" s="3">
        <f t="shared" si="1"/>
        <v>7.03</v>
      </c>
    </row>
    <row r="13" spans="1:12" x14ac:dyDescent="0.3">
      <c r="A13" s="2">
        <v>36530</v>
      </c>
      <c r="B13" t="s">
        <v>13</v>
      </c>
      <c r="D13" s="2">
        <v>37261</v>
      </c>
      <c r="E13">
        <v>8.5</v>
      </c>
      <c r="G13" s="2">
        <v>37261</v>
      </c>
      <c r="H13">
        <v>7.02</v>
      </c>
      <c r="J13" s="2">
        <v>37268</v>
      </c>
      <c r="K13" s="3">
        <f t="shared" si="0"/>
        <v>8.5</v>
      </c>
      <c r="L13" s="3">
        <f t="shared" si="1"/>
        <v>7.01</v>
      </c>
    </row>
    <row r="14" spans="1:12" x14ac:dyDescent="0.3">
      <c r="A14" s="2">
        <v>36531</v>
      </c>
      <c r="B14" t="s">
        <v>13</v>
      </c>
      <c r="D14" s="2">
        <v>37262</v>
      </c>
      <c r="E14">
        <v>8.5</v>
      </c>
      <c r="G14" s="2">
        <v>37262</v>
      </c>
      <c r="H14">
        <v>7.02</v>
      </c>
      <c r="J14" s="2">
        <v>37269</v>
      </c>
      <c r="K14" s="3">
        <f t="shared" si="0"/>
        <v>8.5</v>
      </c>
      <c r="L14" s="3">
        <f t="shared" si="1"/>
        <v>7.01</v>
      </c>
    </row>
    <row r="15" spans="1:12" x14ac:dyDescent="0.3">
      <c r="A15" s="2">
        <v>36532</v>
      </c>
      <c r="B15" t="s">
        <v>13</v>
      </c>
      <c r="D15" s="2">
        <v>37263</v>
      </c>
      <c r="E15">
        <v>8.5</v>
      </c>
      <c r="G15" s="2">
        <v>37263</v>
      </c>
      <c r="H15">
        <v>6.97</v>
      </c>
      <c r="J15" s="2">
        <v>37270</v>
      </c>
      <c r="K15" s="3">
        <f t="shared" si="0"/>
        <v>8.5</v>
      </c>
      <c r="L15" s="3">
        <f t="shared" si="1"/>
        <v>6.96</v>
      </c>
    </row>
    <row r="16" spans="1:12" x14ac:dyDescent="0.3">
      <c r="A16" s="2">
        <v>36533</v>
      </c>
      <c r="B16" t="s">
        <v>13</v>
      </c>
      <c r="D16" s="2">
        <v>37264</v>
      </c>
      <c r="E16">
        <v>8.5</v>
      </c>
      <c r="G16" s="2">
        <v>37264</v>
      </c>
      <c r="H16">
        <v>6.98</v>
      </c>
      <c r="J16" s="2">
        <v>37271</v>
      </c>
      <c r="K16" s="3">
        <f t="shared" si="0"/>
        <v>8.5</v>
      </c>
      <c r="L16" s="3">
        <f t="shared" si="1"/>
        <v>6.95</v>
      </c>
    </row>
    <row r="17" spans="1:12" x14ac:dyDescent="0.3">
      <c r="A17" s="2">
        <v>36534</v>
      </c>
      <c r="B17" t="s">
        <v>13</v>
      </c>
      <c r="D17" s="2">
        <v>37265</v>
      </c>
      <c r="E17">
        <v>8.5</v>
      </c>
      <c r="G17" s="2">
        <v>37265</v>
      </c>
      <c r="H17">
        <v>6.98</v>
      </c>
      <c r="J17" s="2">
        <v>37272</v>
      </c>
      <c r="K17" s="3">
        <f t="shared" si="0"/>
        <v>8.5</v>
      </c>
      <c r="L17" s="3">
        <f t="shared" si="1"/>
        <v>6.92</v>
      </c>
    </row>
    <row r="18" spans="1:12" x14ac:dyDescent="0.3">
      <c r="A18" s="2">
        <v>36535</v>
      </c>
      <c r="B18" t="s">
        <v>13</v>
      </c>
      <c r="D18" s="2">
        <v>37266</v>
      </c>
      <c r="E18">
        <v>8.5</v>
      </c>
      <c r="G18" s="2">
        <v>37266</v>
      </c>
      <c r="H18">
        <v>7.01</v>
      </c>
      <c r="J18" s="2">
        <v>37273</v>
      </c>
      <c r="K18" s="3">
        <f t="shared" si="0"/>
        <v>8.5</v>
      </c>
      <c r="L18" s="3">
        <f t="shared" si="1"/>
        <v>6.86</v>
      </c>
    </row>
    <row r="19" spans="1:12" x14ac:dyDescent="0.3">
      <c r="A19" s="2">
        <v>36536</v>
      </c>
      <c r="B19" t="s">
        <v>13</v>
      </c>
      <c r="D19" s="2">
        <v>37267</v>
      </c>
      <c r="E19">
        <v>8.5</v>
      </c>
      <c r="G19" s="2">
        <v>37267</v>
      </c>
      <c r="H19">
        <v>7.03</v>
      </c>
      <c r="J19" s="2">
        <v>37274</v>
      </c>
      <c r="K19" s="3">
        <f t="shared" si="0"/>
        <v>8.5</v>
      </c>
      <c r="L19" s="3">
        <f t="shared" si="1"/>
        <v>6.87</v>
      </c>
    </row>
    <row r="20" spans="1:12" x14ac:dyDescent="0.3">
      <c r="A20" s="2">
        <v>36537</v>
      </c>
      <c r="B20" t="s">
        <v>13</v>
      </c>
      <c r="D20" s="2">
        <v>37268</v>
      </c>
      <c r="E20">
        <v>8.5</v>
      </c>
      <c r="G20" s="2">
        <v>37268</v>
      </c>
      <c r="H20">
        <v>7.01</v>
      </c>
      <c r="J20" s="2">
        <v>37275</v>
      </c>
      <c r="K20" s="3">
        <f t="shared" si="0"/>
        <v>8.5</v>
      </c>
      <c r="L20" s="3">
        <f t="shared" si="1"/>
        <v>6.85</v>
      </c>
    </row>
    <row r="21" spans="1:12" x14ac:dyDescent="0.3">
      <c r="A21" s="2">
        <v>36538</v>
      </c>
      <c r="B21" t="s">
        <v>13</v>
      </c>
      <c r="D21" s="2">
        <v>37269</v>
      </c>
      <c r="E21">
        <v>8.5</v>
      </c>
      <c r="G21" s="2">
        <v>37269</v>
      </c>
      <c r="H21">
        <v>7.01</v>
      </c>
      <c r="J21" s="2">
        <v>37276</v>
      </c>
      <c r="K21" s="3">
        <f t="shared" si="0"/>
        <v>8.5</v>
      </c>
      <c r="L21" s="3">
        <f t="shared" si="1"/>
        <v>6.85</v>
      </c>
    </row>
    <row r="22" spans="1:12" x14ac:dyDescent="0.3">
      <c r="A22" s="2">
        <v>36539</v>
      </c>
      <c r="B22" t="s">
        <v>13</v>
      </c>
      <c r="D22" s="2">
        <v>37270</v>
      </c>
      <c r="E22">
        <v>8.5</v>
      </c>
      <c r="G22" s="2">
        <v>37270</v>
      </c>
      <c r="H22">
        <v>6.96</v>
      </c>
      <c r="J22" s="2">
        <v>37277</v>
      </c>
      <c r="K22" s="3">
        <f t="shared" si="0"/>
        <v>8.5</v>
      </c>
      <c r="L22" s="3">
        <f t="shared" si="1"/>
        <v>6.82</v>
      </c>
    </row>
    <row r="23" spans="1:12" x14ac:dyDescent="0.3">
      <c r="A23" s="2">
        <v>36540</v>
      </c>
      <c r="B23" t="s">
        <v>13</v>
      </c>
      <c r="D23" s="2">
        <v>37271</v>
      </c>
      <c r="E23">
        <v>8.5</v>
      </c>
      <c r="G23" s="2">
        <v>37271</v>
      </c>
      <c r="H23">
        <v>6.95</v>
      </c>
      <c r="J23" s="2">
        <v>37278</v>
      </c>
      <c r="K23" s="3">
        <f t="shared" si="0"/>
        <v>8.5</v>
      </c>
      <c r="L23" s="3">
        <f t="shared" si="1"/>
        <v>6.81</v>
      </c>
    </row>
    <row r="24" spans="1:12" x14ac:dyDescent="0.3">
      <c r="A24" s="2">
        <v>36541</v>
      </c>
      <c r="B24" t="s">
        <v>13</v>
      </c>
      <c r="D24" s="2">
        <v>37272</v>
      </c>
      <c r="E24">
        <v>8.5</v>
      </c>
      <c r="G24" s="2">
        <v>37272</v>
      </c>
      <c r="H24">
        <v>6.92</v>
      </c>
      <c r="J24" s="2">
        <v>37279</v>
      </c>
      <c r="K24" s="3">
        <f t="shared" si="0"/>
        <v>8.5</v>
      </c>
      <c r="L24" s="3">
        <f t="shared" si="1"/>
        <v>6.78</v>
      </c>
    </row>
    <row r="25" spans="1:12" x14ac:dyDescent="0.3">
      <c r="A25" s="2">
        <v>36542</v>
      </c>
      <c r="B25" t="s">
        <v>13</v>
      </c>
      <c r="D25" s="2">
        <v>37273</v>
      </c>
      <c r="E25">
        <v>8.5</v>
      </c>
      <c r="G25" s="2">
        <v>37273</v>
      </c>
      <c r="H25">
        <v>6.86</v>
      </c>
      <c r="J25" s="2">
        <v>37280</v>
      </c>
      <c r="K25" s="3">
        <f t="shared" si="0"/>
        <v>8.5</v>
      </c>
      <c r="L25" s="3">
        <f t="shared" si="1"/>
        <v>6.75</v>
      </c>
    </row>
    <row r="26" spans="1:12" x14ac:dyDescent="0.3">
      <c r="A26" s="2">
        <v>36543</v>
      </c>
      <c r="B26" t="s">
        <v>13</v>
      </c>
      <c r="D26" s="2">
        <v>37274</v>
      </c>
      <c r="E26">
        <v>8.5</v>
      </c>
      <c r="G26" s="2">
        <v>37274</v>
      </c>
      <c r="H26">
        <v>6.87</v>
      </c>
      <c r="J26" s="2">
        <v>37281</v>
      </c>
      <c r="K26" s="3">
        <f t="shared" si="0"/>
        <v>8.5</v>
      </c>
      <c r="L26" s="3">
        <f t="shared" si="1"/>
        <v>6.73</v>
      </c>
    </row>
    <row r="27" spans="1:12" x14ac:dyDescent="0.3">
      <c r="A27" s="2">
        <v>36544</v>
      </c>
      <c r="B27" t="s">
        <v>13</v>
      </c>
      <c r="D27" s="2">
        <v>37275</v>
      </c>
      <c r="E27">
        <v>8.5</v>
      </c>
      <c r="G27" s="2">
        <v>37275</v>
      </c>
      <c r="H27">
        <v>6.85</v>
      </c>
      <c r="J27" s="2">
        <v>37282</v>
      </c>
      <c r="K27" s="3">
        <f t="shared" si="0"/>
        <v>8.5</v>
      </c>
      <c r="L27" s="3">
        <f t="shared" si="1"/>
        <v>6.67</v>
      </c>
    </row>
    <row r="28" spans="1:12" x14ac:dyDescent="0.3">
      <c r="A28" s="2">
        <v>36545</v>
      </c>
      <c r="B28" t="s">
        <v>13</v>
      </c>
      <c r="D28" s="2">
        <v>37276</v>
      </c>
      <c r="E28">
        <v>8.5</v>
      </c>
      <c r="G28" s="2">
        <v>37276</v>
      </c>
      <c r="H28">
        <v>6.85</v>
      </c>
      <c r="J28" s="2">
        <v>37283</v>
      </c>
      <c r="K28" s="3">
        <f t="shared" si="0"/>
        <v>8.5</v>
      </c>
      <c r="L28" s="3">
        <f t="shared" si="1"/>
        <v>6.67</v>
      </c>
    </row>
    <row r="29" spans="1:12" x14ac:dyDescent="0.3">
      <c r="A29" s="2">
        <v>36546</v>
      </c>
      <c r="B29" t="s">
        <v>13</v>
      </c>
      <c r="D29" s="2">
        <v>37277</v>
      </c>
      <c r="E29">
        <v>8.5</v>
      </c>
      <c r="G29" s="2">
        <v>37277</v>
      </c>
      <c r="H29">
        <v>6.82</v>
      </c>
      <c r="J29" s="2">
        <v>37284</v>
      </c>
      <c r="K29" s="3">
        <f t="shared" si="0"/>
        <v>8.5</v>
      </c>
      <c r="L29" s="3">
        <f t="shared" si="1"/>
        <v>6.68</v>
      </c>
    </row>
    <row r="30" spans="1:12" x14ac:dyDescent="0.3">
      <c r="A30" s="2">
        <v>36547</v>
      </c>
      <c r="B30" t="s">
        <v>13</v>
      </c>
      <c r="D30" s="2">
        <v>37278</v>
      </c>
      <c r="E30">
        <v>8.5</v>
      </c>
      <c r="G30" s="2">
        <v>37278</v>
      </c>
      <c r="H30">
        <v>6.81</v>
      </c>
      <c r="J30" s="2">
        <v>37285</v>
      </c>
      <c r="K30" s="3">
        <f t="shared" si="0"/>
        <v>8.5</v>
      </c>
      <c r="L30" s="3">
        <f t="shared" si="1"/>
        <v>6.64</v>
      </c>
    </row>
    <row r="31" spans="1:12" x14ac:dyDescent="0.3">
      <c r="A31" s="2">
        <v>36548</v>
      </c>
      <c r="B31" t="s">
        <v>13</v>
      </c>
      <c r="D31" s="2">
        <v>37279</v>
      </c>
      <c r="E31">
        <v>8.5</v>
      </c>
      <c r="G31" s="2">
        <v>37279</v>
      </c>
      <c r="H31">
        <v>6.78</v>
      </c>
      <c r="J31" s="2">
        <v>37286</v>
      </c>
      <c r="K31" s="3">
        <f t="shared" si="0"/>
        <v>8.5</v>
      </c>
      <c r="L31" s="3">
        <f t="shared" si="1"/>
        <v>6.62</v>
      </c>
    </row>
    <row r="32" spans="1:12" x14ac:dyDescent="0.3">
      <c r="A32" s="2">
        <v>36549</v>
      </c>
      <c r="B32" t="s">
        <v>13</v>
      </c>
      <c r="D32" s="2">
        <v>37280</v>
      </c>
      <c r="E32">
        <v>8.5</v>
      </c>
      <c r="G32" s="2">
        <v>37280</v>
      </c>
      <c r="H32">
        <v>6.75</v>
      </c>
      <c r="J32" s="2">
        <v>37287</v>
      </c>
      <c r="K32" s="3">
        <f t="shared" si="0"/>
        <v>8.5</v>
      </c>
      <c r="L32" s="3">
        <f t="shared" si="1"/>
        <v>6.65</v>
      </c>
    </row>
    <row r="33" spans="1:12" x14ac:dyDescent="0.3">
      <c r="A33" s="2">
        <v>36550</v>
      </c>
      <c r="B33" t="s">
        <v>13</v>
      </c>
      <c r="D33" s="2">
        <v>37281</v>
      </c>
      <c r="E33">
        <v>8.5</v>
      </c>
      <c r="G33" s="2">
        <v>37281</v>
      </c>
      <c r="H33">
        <v>6.73</v>
      </c>
      <c r="J33" s="2">
        <v>37288</v>
      </c>
      <c r="K33" s="3">
        <f t="shared" si="0"/>
        <v>8.5</v>
      </c>
      <c r="L33" s="3">
        <f t="shared" si="1"/>
        <v>6.61</v>
      </c>
    </row>
    <row r="34" spans="1:12" x14ac:dyDescent="0.3">
      <c r="A34" s="2">
        <v>36551</v>
      </c>
      <c r="B34" t="s">
        <v>13</v>
      </c>
      <c r="D34" s="2">
        <v>37282</v>
      </c>
      <c r="E34">
        <v>8.5</v>
      </c>
      <c r="G34" s="2">
        <v>37282</v>
      </c>
      <c r="H34">
        <v>6.67</v>
      </c>
      <c r="J34" s="2">
        <v>37289</v>
      </c>
      <c r="K34" s="3">
        <f t="shared" si="0"/>
        <v>8.5</v>
      </c>
      <c r="L34" s="3">
        <f t="shared" si="1"/>
        <v>6.59</v>
      </c>
    </row>
    <row r="35" spans="1:12" x14ac:dyDescent="0.3">
      <c r="A35" s="2">
        <v>36552</v>
      </c>
      <c r="B35" t="s">
        <v>13</v>
      </c>
      <c r="D35" s="2">
        <v>37283</v>
      </c>
      <c r="E35">
        <v>8.5</v>
      </c>
      <c r="G35" s="2">
        <v>37283</v>
      </c>
      <c r="H35">
        <v>6.67</v>
      </c>
      <c r="J35" s="2">
        <v>37290</v>
      </c>
      <c r="K35" s="3">
        <f t="shared" si="0"/>
        <v>8.5</v>
      </c>
      <c r="L35" s="3">
        <f t="shared" si="1"/>
        <v>6.59</v>
      </c>
    </row>
    <row r="36" spans="1:12" x14ac:dyDescent="0.3">
      <c r="A36" s="2">
        <v>36553</v>
      </c>
      <c r="B36" t="s">
        <v>13</v>
      </c>
      <c r="D36" s="2">
        <v>37284</v>
      </c>
      <c r="E36">
        <v>8.5</v>
      </c>
      <c r="G36" s="2">
        <v>37284</v>
      </c>
      <c r="H36">
        <v>6.68</v>
      </c>
      <c r="J36" s="2">
        <v>37291</v>
      </c>
      <c r="K36" s="3">
        <f t="shared" si="0"/>
        <v>8.5</v>
      </c>
      <c r="L36" s="3">
        <f t="shared" si="1"/>
        <v>6.52</v>
      </c>
    </row>
    <row r="37" spans="1:12" x14ac:dyDescent="0.3">
      <c r="A37" s="2">
        <v>36554</v>
      </c>
      <c r="B37" t="s">
        <v>13</v>
      </c>
      <c r="D37" s="2">
        <v>37285</v>
      </c>
      <c r="E37">
        <v>8.5</v>
      </c>
      <c r="G37" s="2">
        <v>37285</v>
      </c>
      <c r="H37">
        <v>6.64</v>
      </c>
      <c r="J37" s="2">
        <v>37292</v>
      </c>
      <c r="K37" s="3">
        <f t="shared" si="0"/>
        <v>8.5</v>
      </c>
      <c r="L37" s="3">
        <f t="shared" si="1"/>
        <v>6.49</v>
      </c>
    </row>
    <row r="38" spans="1:12" x14ac:dyDescent="0.3">
      <c r="A38" s="2">
        <v>36555</v>
      </c>
      <c r="B38" t="s">
        <v>13</v>
      </c>
      <c r="D38" s="2">
        <v>37286</v>
      </c>
      <c r="E38">
        <v>8.5</v>
      </c>
      <c r="G38" s="2">
        <v>37286</v>
      </c>
      <c r="H38">
        <v>6.62</v>
      </c>
      <c r="J38" s="2">
        <v>37293</v>
      </c>
      <c r="K38" s="3">
        <f t="shared" si="0"/>
        <v>8.5</v>
      </c>
      <c r="L38" s="3">
        <f t="shared" si="1"/>
        <v>6.48</v>
      </c>
    </row>
    <row r="39" spans="1:12" x14ac:dyDescent="0.3">
      <c r="A39" s="2">
        <v>36556</v>
      </c>
      <c r="B39" t="s">
        <v>13</v>
      </c>
      <c r="D39" s="2">
        <v>37287</v>
      </c>
      <c r="E39">
        <v>8.5</v>
      </c>
      <c r="G39" s="2">
        <v>37287</v>
      </c>
      <c r="H39">
        <v>6.65</v>
      </c>
      <c r="J39" s="2">
        <v>37294</v>
      </c>
      <c r="K39" s="3">
        <f t="shared" si="0"/>
        <v>8.5</v>
      </c>
      <c r="L39" s="3">
        <f t="shared" si="1"/>
        <v>6.46</v>
      </c>
    </row>
    <row r="40" spans="1:12" x14ac:dyDescent="0.3">
      <c r="A40" s="2">
        <v>36557</v>
      </c>
      <c r="B40" t="s">
        <v>13</v>
      </c>
      <c r="D40" s="2">
        <v>37288</v>
      </c>
      <c r="E40">
        <v>8.5</v>
      </c>
      <c r="G40" s="2">
        <v>37288</v>
      </c>
      <c r="H40">
        <v>6.61</v>
      </c>
      <c r="J40" s="2">
        <v>37295</v>
      </c>
      <c r="K40" s="3">
        <f t="shared" si="0"/>
        <v>8.5</v>
      </c>
      <c r="L40" s="3">
        <f t="shared" si="1"/>
        <v>6.39</v>
      </c>
    </row>
    <row r="41" spans="1:12" x14ac:dyDescent="0.3">
      <c r="A41" s="2">
        <v>36558</v>
      </c>
      <c r="B41" t="s">
        <v>13</v>
      </c>
      <c r="D41" s="2">
        <v>37289</v>
      </c>
      <c r="E41">
        <v>8.5</v>
      </c>
      <c r="G41" s="2">
        <v>37289</v>
      </c>
      <c r="H41">
        <v>6.59</v>
      </c>
      <c r="J41" s="2">
        <v>37296</v>
      </c>
      <c r="K41" s="3">
        <f t="shared" si="0"/>
        <v>8.5</v>
      </c>
      <c r="L41" s="3">
        <f t="shared" si="1"/>
        <v>6.37</v>
      </c>
    </row>
    <row r="42" spans="1:12" x14ac:dyDescent="0.3">
      <c r="A42" s="2">
        <v>36559</v>
      </c>
      <c r="B42" t="s">
        <v>13</v>
      </c>
      <c r="D42" s="2">
        <v>37290</v>
      </c>
      <c r="E42">
        <v>8.5</v>
      </c>
      <c r="G42" s="2">
        <v>37290</v>
      </c>
      <c r="H42">
        <v>6.59</v>
      </c>
      <c r="J42" s="2">
        <v>37297</v>
      </c>
      <c r="K42" s="3">
        <f t="shared" si="0"/>
        <v>8.5</v>
      </c>
      <c r="L42" s="3">
        <f t="shared" si="1"/>
        <v>6.37</v>
      </c>
    </row>
    <row r="43" spans="1:12" x14ac:dyDescent="0.3">
      <c r="A43" s="2">
        <v>36560</v>
      </c>
      <c r="B43" t="s">
        <v>13</v>
      </c>
      <c r="D43" s="2">
        <v>37291</v>
      </c>
      <c r="E43">
        <v>8.5</v>
      </c>
      <c r="G43" s="2">
        <v>37291</v>
      </c>
      <c r="H43">
        <v>6.52</v>
      </c>
      <c r="J43" s="2">
        <v>37298</v>
      </c>
      <c r="K43" s="3">
        <f t="shared" si="0"/>
        <v>8.5</v>
      </c>
      <c r="L43" s="3">
        <f t="shared" si="1"/>
        <v>6.37</v>
      </c>
    </row>
    <row r="44" spans="1:12" x14ac:dyDescent="0.3">
      <c r="A44" s="2">
        <v>36561</v>
      </c>
      <c r="B44" t="s">
        <v>13</v>
      </c>
      <c r="D44" s="2">
        <v>37292</v>
      </c>
      <c r="E44">
        <v>8.5</v>
      </c>
      <c r="G44" s="2">
        <v>37292</v>
      </c>
      <c r="H44">
        <v>6.49</v>
      </c>
      <c r="J44" s="2">
        <v>37299</v>
      </c>
      <c r="K44" s="3">
        <f t="shared" si="0"/>
        <v>8.5</v>
      </c>
      <c r="L44" s="3">
        <f t="shared" si="1"/>
        <v>6.3</v>
      </c>
    </row>
    <row r="45" spans="1:12" x14ac:dyDescent="0.3">
      <c r="A45" s="2">
        <v>36562</v>
      </c>
      <c r="B45" t="s">
        <v>13</v>
      </c>
      <c r="D45" s="2">
        <v>37293</v>
      </c>
      <c r="E45">
        <v>8.5</v>
      </c>
      <c r="G45" s="2">
        <v>37293</v>
      </c>
      <c r="H45">
        <v>6.48</v>
      </c>
      <c r="J45" s="2">
        <v>37300</v>
      </c>
      <c r="K45" s="3">
        <f t="shared" si="0"/>
        <v>8.5</v>
      </c>
      <c r="L45" s="3">
        <f t="shared" si="1"/>
        <v>6.31</v>
      </c>
    </row>
    <row r="46" spans="1:12" x14ac:dyDescent="0.3">
      <c r="A46" s="2">
        <v>36563</v>
      </c>
      <c r="B46" t="s">
        <v>13</v>
      </c>
      <c r="D46" s="2">
        <v>37294</v>
      </c>
      <c r="E46">
        <v>8.5</v>
      </c>
      <c r="G46" s="2">
        <v>37294</v>
      </c>
      <c r="H46">
        <v>6.46</v>
      </c>
      <c r="J46" s="2">
        <v>37301</v>
      </c>
      <c r="K46" s="3">
        <f t="shared" si="0"/>
        <v>8.5</v>
      </c>
      <c r="L46" s="3">
        <f t="shared" si="1"/>
        <v>6.27</v>
      </c>
    </row>
    <row r="47" spans="1:12" x14ac:dyDescent="0.3">
      <c r="A47" s="2">
        <v>36564</v>
      </c>
      <c r="B47" t="s">
        <v>13</v>
      </c>
      <c r="D47" s="2">
        <v>37295</v>
      </c>
      <c r="E47">
        <v>8.5</v>
      </c>
      <c r="G47" s="2">
        <v>37295</v>
      </c>
      <c r="H47">
        <v>6.39</v>
      </c>
      <c r="J47" s="2">
        <v>37302</v>
      </c>
      <c r="K47" s="3">
        <f t="shared" si="0"/>
        <v>8.5</v>
      </c>
      <c r="L47" s="3">
        <f t="shared" si="1"/>
        <v>6.3</v>
      </c>
    </row>
    <row r="48" spans="1:12" x14ac:dyDescent="0.3">
      <c r="A48" s="2">
        <v>36565</v>
      </c>
      <c r="B48" t="s">
        <v>13</v>
      </c>
      <c r="D48" s="2">
        <v>37296</v>
      </c>
      <c r="E48">
        <v>8.5</v>
      </c>
      <c r="G48" s="2">
        <v>37296</v>
      </c>
      <c r="H48">
        <v>6.37</v>
      </c>
      <c r="J48" s="2">
        <v>37303</v>
      </c>
      <c r="K48" s="3">
        <f t="shared" si="0"/>
        <v>8.5</v>
      </c>
      <c r="L48" s="3">
        <f t="shared" si="1"/>
        <v>6.28</v>
      </c>
    </row>
    <row r="49" spans="1:12" x14ac:dyDescent="0.3">
      <c r="A49" s="2">
        <v>36566</v>
      </c>
      <c r="B49" t="s">
        <v>13</v>
      </c>
      <c r="D49" s="2">
        <v>37297</v>
      </c>
      <c r="E49">
        <v>8.5</v>
      </c>
      <c r="G49" s="2">
        <v>37297</v>
      </c>
      <c r="H49">
        <v>6.37</v>
      </c>
      <c r="J49" s="2">
        <v>37304</v>
      </c>
      <c r="K49" s="3">
        <f t="shared" si="0"/>
        <v>8.5</v>
      </c>
      <c r="L49" s="3">
        <f t="shared" si="1"/>
        <v>6.28</v>
      </c>
    </row>
    <row r="50" spans="1:12" x14ac:dyDescent="0.3">
      <c r="A50" s="2">
        <v>36567</v>
      </c>
      <c r="B50" t="s">
        <v>13</v>
      </c>
      <c r="D50" s="2">
        <v>37298</v>
      </c>
      <c r="E50">
        <v>8.5</v>
      </c>
      <c r="G50" s="2">
        <v>37298</v>
      </c>
      <c r="H50">
        <v>6.37</v>
      </c>
      <c r="J50" s="2">
        <v>37305</v>
      </c>
      <c r="K50" s="3">
        <f t="shared" si="0"/>
        <v>8.5</v>
      </c>
      <c r="L50" s="3">
        <f t="shared" si="1"/>
        <v>6.2</v>
      </c>
    </row>
    <row r="51" spans="1:12" x14ac:dyDescent="0.3">
      <c r="A51" s="2">
        <v>36568</v>
      </c>
      <c r="B51" t="s">
        <v>13</v>
      </c>
      <c r="D51" s="2">
        <v>37299</v>
      </c>
      <c r="E51">
        <v>8.5</v>
      </c>
      <c r="G51" s="2">
        <v>37299</v>
      </c>
      <c r="H51">
        <v>6.3</v>
      </c>
      <c r="J51" s="2">
        <v>37306</v>
      </c>
      <c r="K51" s="3">
        <f t="shared" si="0"/>
        <v>8.5</v>
      </c>
      <c r="L51" s="3">
        <f t="shared" si="1"/>
        <v>6.22</v>
      </c>
    </row>
    <row r="52" spans="1:12" x14ac:dyDescent="0.3">
      <c r="A52" s="2">
        <v>36569</v>
      </c>
      <c r="B52" t="s">
        <v>13</v>
      </c>
      <c r="D52" s="2">
        <v>37300</v>
      </c>
      <c r="E52">
        <v>8.5</v>
      </c>
      <c r="G52" s="2">
        <v>37300</v>
      </c>
      <c r="H52">
        <v>6.31</v>
      </c>
      <c r="J52" s="2">
        <v>37307</v>
      </c>
      <c r="K52" s="3">
        <f t="shared" si="0"/>
        <v>8.5</v>
      </c>
      <c r="L52" s="3">
        <f t="shared" si="1"/>
        <v>6.33</v>
      </c>
    </row>
    <row r="53" spans="1:12" x14ac:dyDescent="0.3">
      <c r="A53" s="2">
        <v>36570</v>
      </c>
      <c r="B53" t="s">
        <v>13</v>
      </c>
      <c r="D53" s="2">
        <v>37301</v>
      </c>
      <c r="E53">
        <v>8.5</v>
      </c>
      <c r="G53" s="2">
        <v>37301</v>
      </c>
      <c r="H53">
        <v>6.27</v>
      </c>
      <c r="J53" s="2">
        <v>37308</v>
      </c>
      <c r="K53" s="3">
        <f t="shared" si="0"/>
        <v>8.5</v>
      </c>
      <c r="L53" s="3">
        <f t="shared" si="1"/>
        <v>6.34</v>
      </c>
    </row>
    <row r="54" spans="1:12" x14ac:dyDescent="0.3">
      <c r="A54" s="2">
        <v>36571</v>
      </c>
      <c r="B54" t="s">
        <v>13</v>
      </c>
      <c r="D54" s="2">
        <v>37302</v>
      </c>
      <c r="E54">
        <v>8.5</v>
      </c>
      <c r="G54" s="2">
        <v>37302</v>
      </c>
      <c r="H54">
        <v>6.3</v>
      </c>
      <c r="J54" s="2">
        <v>37309</v>
      </c>
      <c r="K54" s="3">
        <f t="shared" si="0"/>
        <v>8.5</v>
      </c>
      <c r="L54" s="3">
        <f t="shared" si="1"/>
        <v>6.23</v>
      </c>
    </row>
    <row r="55" spans="1:12" x14ac:dyDescent="0.3">
      <c r="A55" s="2">
        <v>36572</v>
      </c>
      <c r="B55" t="s">
        <v>13</v>
      </c>
      <c r="D55" s="2">
        <v>37303</v>
      </c>
      <c r="E55">
        <v>8.5</v>
      </c>
      <c r="G55" s="2">
        <v>37303</v>
      </c>
      <c r="H55">
        <v>6.28</v>
      </c>
      <c r="J55" s="2">
        <v>37310</v>
      </c>
      <c r="K55" s="3">
        <f t="shared" si="0"/>
        <v>8.5</v>
      </c>
      <c r="L55" s="3">
        <f t="shared" si="1"/>
        <v>6.15</v>
      </c>
    </row>
    <row r="56" spans="1:12" x14ac:dyDescent="0.3">
      <c r="A56" s="2">
        <v>36573</v>
      </c>
      <c r="B56" t="s">
        <v>13</v>
      </c>
      <c r="D56" s="2">
        <v>37304</v>
      </c>
      <c r="E56">
        <v>8.5</v>
      </c>
      <c r="G56" s="2">
        <v>37304</v>
      </c>
      <c r="H56">
        <v>6.28</v>
      </c>
      <c r="J56" s="2">
        <v>37311</v>
      </c>
      <c r="K56" s="3">
        <f t="shared" si="0"/>
        <v>8.5</v>
      </c>
      <c r="L56" s="3">
        <f t="shared" si="1"/>
        <v>6.15</v>
      </c>
    </row>
    <row r="57" spans="1:12" x14ac:dyDescent="0.3">
      <c r="A57" s="2">
        <v>36574</v>
      </c>
      <c r="B57" t="s">
        <v>13</v>
      </c>
      <c r="D57" s="2">
        <v>37305</v>
      </c>
      <c r="E57">
        <v>8.5</v>
      </c>
      <c r="G57" s="2">
        <v>37305</v>
      </c>
      <c r="H57">
        <v>6.2</v>
      </c>
      <c r="J57" s="2">
        <v>37312</v>
      </c>
      <c r="K57" s="3">
        <f t="shared" si="0"/>
        <v>8.5</v>
      </c>
      <c r="L57" s="3">
        <f t="shared" si="1"/>
        <v>6.33</v>
      </c>
    </row>
    <row r="58" spans="1:12" x14ac:dyDescent="0.3">
      <c r="A58" s="2">
        <v>36575</v>
      </c>
      <c r="B58" t="s">
        <v>13</v>
      </c>
      <c r="D58" s="2">
        <v>37306</v>
      </c>
      <c r="E58">
        <v>8.5</v>
      </c>
      <c r="G58" s="2">
        <v>37306</v>
      </c>
      <c r="H58">
        <v>6.22</v>
      </c>
      <c r="J58" s="2">
        <v>37313</v>
      </c>
      <c r="K58" s="3">
        <f t="shared" si="0"/>
        <v>8.5</v>
      </c>
      <c r="L58" s="3">
        <f t="shared" si="1"/>
        <v>6.33</v>
      </c>
    </row>
    <row r="59" spans="1:12" x14ac:dyDescent="0.3">
      <c r="A59" s="2">
        <v>36576</v>
      </c>
      <c r="B59" t="s">
        <v>13</v>
      </c>
      <c r="D59" s="2">
        <v>37307</v>
      </c>
      <c r="E59">
        <v>8.5</v>
      </c>
      <c r="G59" s="2">
        <v>37307</v>
      </c>
      <c r="H59">
        <v>6.33</v>
      </c>
      <c r="J59" s="2">
        <v>37314</v>
      </c>
      <c r="K59" s="3">
        <f t="shared" si="0"/>
        <v>8.5</v>
      </c>
      <c r="L59" s="3">
        <f t="shared" si="1"/>
        <v>6.16</v>
      </c>
    </row>
    <row r="60" spans="1:12" x14ac:dyDescent="0.3">
      <c r="A60" s="2">
        <v>36577</v>
      </c>
      <c r="B60" t="s">
        <v>13</v>
      </c>
      <c r="D60" s="2">
        <v>37308</v>
      </c>
      <c r="E60">
        <v>8.5</v>
      </c>
      <c r="G60" s="2">
        <v>37308</v>
      </c>
      <c r="H60">
        <v>6.34</v>
      </c>
      <c r="J60" s="2">
        <v>37315</v>
      </c>
      <c r="K60" s="3">
        <f t="shared" si="0"/>
        <v>8.5</v>
      </c>
      <c r="L60" s="3">
        <f t="shared" si="1"/>
        <v>6.13</v>
      </c>
    </row>
    <row r="61" spans="1:12" x14ac:dyDescent="0.3">
      <c r="A61" s="2">
        <v>36578</v>
      </c>
      <c r="B61" t="s">
        <v>13</v>
      </c>
      <c r="D61" s="2">
        <v>37309</v>
      </c>
      <c r="E61">
        <v>8.5</v>
      </c>
      <c r="G61" s="2">
        <v>37309</v>
      </c>
      <c r="H61">
        <v>6.23</v>
      </c>
      <c r="J61" s="2">
        <v>37316</v>
      </c>
      <c r="K61" s="3">
        <f t="shared" si="0"/>
        <v>8.5</v>
      </c>
      <c r="L61" s="3">
        <f t="shared" si="1"/>
        <v>6.0540000000000003</v>
      </c>
    </row>
    <row r="62" spans="1:12" x14ac:dyDescent="0.3">
      <c r="A62" s="2">
        <v>36579</v>
      </c>
      <c r="B62" t="s">
        <v>13</v>
      </c>
      <c r="D62" s="2">
        <v>37310</v>
      </c>
      <c r="E62">
        <v>8.5</v>
      </c>
      <c r="G62" s="2">
        <v>37310</v>
      </c>
      <c r="H62">
        <v>6.15</v>
      </c>
      <c r="J62" s="2">
        <v>37317</v>
      </c>
      <c r="K62" s="3">
        <f t="shared" si="0"/>
        <v>8.5</v>
      </c>
      <c r="L62" s="3">
        <f t="shared" si="1"/>
        <v>6.0540000000000003</v>
      </c>
    </row>
    <row r="63" spans="1:12" x14ac:dyDescent="0.3">
      <c r="A63" s="2">
        <v>36580</v>
      </c>
      <c r="B63" t="s">
        <v>13</v>
      </c>
      <c r="D63" s="2">
        <v>37311</v>
      </c>
      <c r="E63">
        <v>8.5</v>
      </c>
      <c r="G63" s="2">
        <v>37311</v>
      </c>
      <c r="H63">
        <v>6.15</v>
      </c>
      <c r="J63" s="2">
        <v>37318</v>
      </c>
      <c r="K63" s="3">
        <f t="shared" si="0"/>
        <v>8.5</v>
      </c>
      <c r="L63" s="3">
        <f t="shared" si="1"/>
        <v>6.0540000000000003</v>
      </c>
    </row>
    <row r="64" spans="1:12" x14ac:dyDescent="0.3">
      <c r="A64" s="2">
        <v>36581</v>
      </c>
      <c r="B64" t="s">
        <v>13</v>
      </c>
      <c r="D64" s="2">
        <v>37312</v>
      </c>
      <c r="E64">
        <v>8.5</v>
      </c>
      <c r="G64" s="2">
        <v>37312</v>
      </c>
      <c r="H64">
        <v>6.33</v>
      </c>
      <c r="J64" s="2">
        <v>37319</v>
      </c>
      <c r="K64" s="3">
        <f t="shared" si="0"/>
        <v>8.5</v>
      </c>
      <c r="L64" s="3">
        <f t="shared" si="1"/>
        <v>6.1840000000000002</v>
      </c>
    </row>
    <row r="65" spans="1:12" x14ac:dyDescent="0.3">
      <c r="A65" s="2">
        <v>36582</v>
      </c>
      <c r="B65" t="s">
        <v>13</v>
      </c>
      <c r="D65" s="2">
        <v>37313</v>
      </c>
      <c r="E65">
        <v>8.5</v>
      </c>
      <c r="G65" s="2">
        <v>37313</v>
      </c>
      <c r="H65">
        <v>6.33</v>
      </c>
      <c r="J65" s="2">
        <v>37320</v>
      </c>
      <c r="K65" s="3">
        <f t="shared" si="0"/>
        <v>6</v>
      </c>
      <c r="L65" s="3">
        <f t="shared" si="1"/>
        <v>6.1550000000000002</v>
      </c>
    </row>
    <row r="66" spans="1:12" x14ac:dyDescent="0.3">
      <c r="A66" s="2">
        <v>36583</v>
      </c>
      <c r="B66" t="s">
        <v>13</v>
      </c>
      <c r="D66" s="2">
        <v>37314</v>
      </c>
      <c r="E66">
        <v>8.5</v>
      </c>
      <c r="G66" s="2">
        <v>37314</v>
      </c>
      <c r="H66">
        <v>6.16</v>
      </c>
      <c r="J66" s="2">
        <v>37321</v>
      </c>
      <c r="K66" s="3">
        <f t="shared" si="0"/>
        <v>6</v>
      </c>
      <c r="L66" s="3">
        <f t="shared" si="1"/>
        <v>6.3140000000000001</v>
      </c>
    </row>
    <row r="67" spans="1:12" x14ac:dyDescent="0.3">
      <c r="A67" s="2">
        <v>36584</v>
      </c>
      <c r="B67" t="s">
        <v>13</v>
      </c>
      <c r="D67" s="2">
        <v>37315</v>
      </c>
      <c r="E67">
        <v>8.5</v>
      </c>
      <c r="G67" s="2">
        <v>37315</v>
      </c>
      <c r="H67">
        <v>6.13</v>
      </c>
      <c r="J67" s="2">
        <v>37322</v>
      </c>
      <c r="K67" s="3">
        <f t="shared" ref="K67:K130" si="2">E74</f>
        <v>6</v>
      </c>
      <c r="L67" s="3">
        <f t="shared" ref="L67:L130" si="3">H74</f>
        <v>6.28</v>
      </c>
    </row>
    <row r="68" spans="1:12" x14ac:dyDescent="0.3">
      <c r="A68" s="2">
        <v>36585</v>
      </c>
      <c r="B68" t="s">
        <v>13</v>
      </c>
      <c r="D68" s="2">
        <v>37316</v>
      </c>
      <c r="E68">
        <v>8.5</v>
      </c>
      <c r="G68" s="2">
        <v>37316</v>
      </c>
      <c r="H68">
        <v>6.0540000000000003</v>
      </c>
      <c r="J68" s="2">
        <v>37323</v>
      </c>
      <c r="K68" s="3">
        <f t="shared" si="2"/>
        <v>6</v>
      </c>
      <c r="L68" s="3">
        <f t="shared" si="3"/>
        <v>6.367</v>
      </c>
    </row>
    <row r="69" spans="1:12" x14ac:dyDescent="0.3">
      <c r="A69" s="2">
        <v>36586</v>
      </c>
      <c r="B69" t="s">
        <v>13</v>
      </c>
      <c r="D69" s="2">
        <v>37317</v>
      </c>
      <c r="E69">
        <v>8.5</v>
      </c>
      <c r="G69" s="2">
        <v>37317</v>
      </c>
      <c r="H69">
        <v>6.0540000000000003</v>
      </c>
      <c r="J69" s="2">
        <v>37324</v>
      </c>
      <c r="K69" s="3">
        <f t="shared" si="2"/>
        <v>6</v>
      </c>
      <c r="L69" s="3">
        <f t="shared" si="3"/>
        <v>6.367</v>
      </c>
    </row>
    <row r="70" spans="1:12" x14ac:dyDescent="0.3">
      <c r="A70" s="2">
        <v>36587</v>
      </c>
      <c r="B70" t="s">
        <v>13</v>
      </c>
      <c r="D70" s="2">
        <v>37318</v>
      </c>
      <c r="E70">
        <v>8.5</v>
      </c>
      <c r="G70" s="2">
        <v>37318</v>
      </c>
      <c r="H70">
        <v>6.0540000000000003</v>
      </c>
      <c r="J70" s="2">
        <v>37325</v>
      </c>
      <c r="K70" s="3">
        <f t="shared" si="2"/>
        <v>6</v>
      </c>
      <c r="L70" s="3">
        <f t="shared" si="3"/>
        <v>6.367</v>
      </c>
    </row>
    <row r="71" spans="1:12" x14ac:dyDescent="0.3">
      <c r="A71" s="2">
        <v>36588</v>
      </c>
      <c r="B71" t="s">
        <v>13</v>
      </c>
      <c r="D71" s="2">
        <v>37319</v>
      </c>
      <c r="E71">
        <v>8.5</v>
      </c>
      <c r="G71" s="2">
        <v>37319</v>
      </c>
      <c r="H71">
        <v>6.1840000000000002</v>
      </c>
      <c r="J71" s="2">
        <v>37326</v>
      </c>
      <c r="K71" s="3">
        <f t="shared" si="2"/>
        <v>6</v>
      </c>
      <c r="L71" s="3">
        <f t="shared" si="3"/>
        <v>6.2</v>
      </c>
    </row>
    <row r="72" spans="1:12" x14ac:dyDescent="0.3">
      <c r="A72" s="2">
        <v>36589</v>
      </c>
      <c r="B72" t="s">
        <v>13</v>
      </c>
      <c r="D72" s="2">
        <v>37320</v>
      </c>
      <c r="E72">
        <v>6</v>
      </c>
      <c r="G72" s="2">
        <v>37320</v>
      </c>
      <c r="H72">
        <v>6.1550000000000002</v>
      </c>
      <c r="J72" s="2">
        <v>37327</v>
      </c>
      <c r="K72" s="3">
        <f t="shared" si="2"/>
        <v>6</v>
      </c>
      <c r="L72" s="3">
        <f t="shared" si="3"/>
        <v>6.141</v>
      </c>
    </row>
    <row r="73" spans="1:12" x14ac:dyDescent="0.3">
      <c r="A73" s="2">
        <v>36590</v>
      </c>
      <c r="B73" t="s">
        <v>13</v>
      </c>
      <c r="D73" s="2">
        <v>37321</v>
      </c>
      <c r="E73">
        <v>6</v>
      </c>
      <c r="G73" s="2">
        <v>37321</v>
      </c>
      <c r="H73">
        <v>6.3140000000000001</v>
      </c>
      <c r="J73" s="2">
        <v>37328</v>
      </c>
      <c r="K73" s="3">
        <f t="shared" si="2"/>
        <v>6</v>
      </c>
      <c r="L73" s="3">
        <f t="shared" si="3"/>
        <v>6.2960000000000003</v>
      </c>
    </row>
    <row r="74" spans="1:12" x14ac:dyDescent="0.3">
      <c r="A74" s="2">
        <v>36591</v>
      </c>
      <c r="B74" t="s">
        <v>13</v>
      </c>
      <c r="D74" s="2">
        <v>37322</v>
      </c>
      <c r="E74">
        <v>6</v>
      </c>
      <c r="G74" s="2">
        <v>37322</v>
      </c>
      <c r="H74">
        <v>6.28</v>
      </c>
      <c r="J74" s="2">
        <v>37329</v>
      </c>
      <c r="K74" s="3">
        <f t="shared" si="2"/>
        <v>6</v>
      </c>
      <c r="L74" s="3">
        <f t="shared" si="3"/>
        <v>6.2880000000000003</v>
      </c>
    </row>
    <row r="75" spans="1:12" x14ac:dyDescent="0.3">
      <c r="A75" s="2">
        <v>36592</v>
      </c>
      <c r="B75" t="s">
        <v>13</v>
      </c>
      <c r="D75" s="2">
        <v>37323</v>
      </c>
      <c r="E75">
        <v>6</v>
      </c>
      <c r="G75" s="2">
        <v>37323</v>
      </c>
      <c r="H75">
        <v>6.367</v>
      </c>
      <c r="J75" s="2">
        <v>37330</v>
      </c>
      <c r="K75" s="3">
        <f t="shared" si="2"/>
        <v>6</v>
      </c>
      <c r="L75" s="3">
        <f t="shared" si="3"/>
        <v>6.2960000000000003</v>
      </c>
    </row>
    <row r="76" spans="1:12" x14ac:dyDescent="0.3">
      <c r="A76" s="2">
        <v>36593</v>
      </c>
      <c r="B76" t="s">
        <v>13</v>
      </c>
      <c r="D76" s="2">
        <v>37324</v>
      </c>
      <c r="E76">
        <v>6</v>
      </c>
      <c r="G76" s="2">
        <v>37324</v>
      </c>
      <c r="H76">
        <v>6.367</v>
      </c>
      <c r="J76" s="2">
        <v>37331</v>
      </c>
      <c r="K76" s="3">
        <f t="shared" si="2"/>
        <v>6</v>
      </c>
      <c r="L76" s="3">
        <f t="shared" si="3"/>
        <v>6.2960000000000003</v>
      </c>
    </row>
    <row r="77" spans="1:12" x14ac:dyDescent="0.3">
      <c r="A77" s="2">
        <v>36594</v>
      </c>
      <c r="B77" t="s">
        <v>13</v>
      </c>
      <c r="D77" s="2">
        <v>37325</v>
      </c>
      <c r="E77">
        <v>6</v>
      </c>
      <c r="G77" s="2">
        <v>37325</v>
      </c>
      <c r="H77">
        <v>6.367</v>
      </c>
      <c r="J77" s="2">
        <v>37332</v>
      </c>
      <c r="K77" s="3">
        <f t="shared" si="2"/>
        <v>6</v>
      </c>
      <c r="L77" s="3">
        <f t="shared" si="3"/>
        <v>6.2960000000000003</v>
      </c>
    </row>
    <row r="78" spans="1:12" x14ac:dyDescent="0.3">
      <c r="A78" s="2">
        <v>36595</v>
      </c>
      <c r="B78" t="s">
        <v>13</v>
      </c>
      <c r="D78" s="2">
        <v>37326</v>
      </c>
      <c r="E78">
        <v>6</v>
      </c>
      <c r="G78" s="2">
        <v>37326</v>
      </c>
      <c r="H78">
        <v>6.2</v>
      </c>
      <c r="J78" s="2">
        <v>37333</v>
      </c>
      <c r="K78" s="3">
        <f t="shared" si="2"/>
        <v>6</v>
      </c>
      <c r="L78" s="3">
        <f t="shared" si="3"/>
        <v>6.2350000000000003</v>
      </c>
    </row>
    <row r="79" spans="1:12" x14ac:dyDescent="0.3">
      <c r="A79" s="2">
        <v>36596</v>
      </c>
      <c r="B79" t="s">
        <v>13</v>
      </c>
      <c r="D79" s="2">
        <v>37327</v>
      </c>
      <c r="E79">
        <v>6</v>
      </c>
      <c r="G79" s="2">
        <v>37327</v>
      </c>
      <c r="H79">
        <v>6.141</v>
      </c>
      <c r="J79" s="2">
        <v>37334</v>
      </c>
      <c r="K79" s="3">
        <f t="shared" si="2"/>
        <v>6</v>
      </c>
      <c r="L79" s="3">
        <f t="shared" si="3"/>
        <v>6.2329999999999997</v>
      </c>
    </row>
    <row r="80" spans="1:12" x14ac:dyDescent="0.3">
      <c r="A80" s="2">
        <v>36597</v>
      </c>
      <c r="B80" t="s">
        <v>13</v>
      </c>
      <c r="D80" s="2">
        <v>37328</v>
      </c>
      <c r="E80">
        <v>6</v>
      </c>
      <c r="G80" s="2">
        <v>37328</v>
      </c>
      <c r="H80">
        <v>6.2960000000000003</v>
      </c>
      <c r="J80" s="2">
        <v>37335</v>
      </c>
      <c r="K80" s="3">
        <f t="shared" si="2"/>
        <v>6</v>
      </c>
      <c r="L80" s="3">
        <f t="shared" si="3"/>
        <v>6.2830000000000004</v>
      </c>
    </row>
    <row r="81" spans="1:12" x14ac:dyDescent="0.3">
      <c r="A81" s="2">
        <v>36598</v>
      </c>
      <c r="B81" t="s">
        <v>13</v>
      </c>
      <c r="D81" s="2">
        <v>37329</v>
      </c>
      <c r="E81">
        <v>6</v>
      </c>
      <c r="G81" s="2">
        <v>37329</v>
      </c>
      <c r="H81">
        <v>6.2880000000000003</v>
      </c>
      <c r="J81" s="2">
        <v>37336</v>
      </c>
      <c r="K81" s="3">
        <f t="shared" si="2"/>
        <v>6</v>
      </c>
      <c r="L81" s="3">
        <f t="shared" si="3"/>
        <v>6.2679999999999998</v>
      </c>
    </row>
    <row r="82" spans="1:12" x14ac:dyDescent="0.3">
      <c r="A82" s="2">
        <v>36599</v>
      </c>
      <c r="B82" t="s">
        <v>13</v>
      </c>
      <c r="D82" s="2">
        <v>37330</v>
      </c>
      <c r="E82">
        <v>6</v>
      </c>
      <c r="G82" s="2">
        <v>37330</v>
      </c>
      <c r="H82">
        <v>6.2960000000000003</v>
      </c>
      <c r="J82" s="2">
        <v>37337</v>
      </c>
      <c r="K82" s="3">
        <f t="shared" si="2"/>
        <v>6</v>
      </c>
      <c r="L82" s="3">
        <f t="shared" si="3"/>
        <v>6.2380000000000004</v>
      </c>
    </row>
    <row r="83" spans="1:12" x14ac:dyDescent="0.3">
      <c r="A83" s="2">
        <v>36600</v>
      </c>
      <c r="B83" t="s">
        <v>13</v>
      </c>
      <c r="D83" s="2">
        <v>37331</v>
      </c>
      <c r="E83">
        <v>6</v>
      </c>
      <c r="G83" s="2">
        <v>37331</v>
      </c>
      <c r="H83">
        <v>6.2960000000000003</v>
      </c>
      <c r="J83" s="2">
        <v>37338</v>
      </c>
      <c r="K83" s="3">
        <f t="shared" si="2"/>
        <v>6</v>
      </c>
      <c r="L83" s="3">
        <f t="shared" si="3"/>
        <v>6.2380000000000004</v>
      </c>
    </row>
    <row r="84" spans="1:12" x14ac:dyDescent="0.3">
      <c r="A84" s="2">
        <v>36601</v>
      </c>
      <c r="B84" t="s">
        <v>13</v>
      </c>
      <c r="D84" s="2">
        <v>37332</v>
      </c>
      <c r="E84">
        <v>6</v>
      </c>
      <c r="G84" s="2">
        <v>37332</v>
      </c>
      <c r="H84">
        <v>6.2960000000000003</v>
      </c>
      <c r="J84" s="2">
        <v>37339</v>
      </c>
      <c r="K84" s="3">
        <f t="shared" si="2"/>
        <v>6</v>
      </c>
      <c r="L84" s="3">
        <f t="shared" si="3"/>
        <v>6.2380000000000004</v>
      </c>
    </row>
    <row r="85" spans="1:12" x14ac:dyDescent="0.3">
      <c r="A85" s="2">
        <v>36602</v>
      </c>
      <c r="B85" t="s">
        <v>13</v>
      </c>
      <c r="D85" s="2">
        <v>37333</v>
      </c>
      <c r="E85">
        <v>6</v>
      </c>
      <c r="G85" s="2">
        <v>37333</v>
      </c>
      <c r="H85">
        <v>6.2350000000000003</v>
      </c>
      <c r="J85" s="2">
        <v>37340</v>
      </c>
      <c r="K85" s="3">
        <f t="shared" si="2"/>
        <v>6</v>
      </c>
      <c r="L85" s="3">
        <f t="shared" si="3"/>
        <v>6.2380000000000004</v>
      </c>
    </row>
    <row r="86" spans="1:12" x14ac:dyDescent="0.3">
      <c r="A86" s="2">
        <v>36603</v>
      </c>
      <c r="B86" t="s">
        <v>13</v>
      </c>
      <c r="D86" s="2">
        <v>37334</v>
      </c>
      <c r="E86">
        <v>6</v>
      </c>
      <c r="G86" s="2">
        <v>37334</v>
      </c>
      <c r="H86">
        <v>6.2329999999999997</v>
      </c>
      <c r="J86" s="2">
        <v>37341</v>
      </c>
      <c r="K86" s="3">
        <f t="shared" si="2"/>
        <v>6</v>
      </c>
      <c r="L86" s="3">
        <f t="shared" si="3"/>
        <v>6.2380000000000004</v>
      </c>
    </row>
    <row r="87" spans="1:12" x14ac:dyDescent="0.3">
      <c r="A87" s="2">
        <v>36604</v>
      </c>
      <c r="B87" t="s">
        <v>13</v>
      </c>
      <c r="D87" s="2">
        <v>37335</v>
      </c>
      <c r="E87">
        <v>6</v>
      </c>
      <c r="G87" s="2">
        <v>37335</v>
      </c>
      <c r="H87">
        <v>6.2830000000000004</v>
      </c>
      <c r="J87" s="2">
        <v>37342</v>
      </c>
      <c r="K87" s="3">
        <f t="shared" si="2"/>
        <v>6</v>
      </c>
      <c r="L87" s="3">
        <f t="shared" si="3"/>
        <v>6.2380000000000004</v>
      </c>
    </row>
    <row r="88" spans="1:12" x14ac:dyDescent="0.3">
      <c r="A88" s="2">
        <v>36605</v>
      </c>
      <c r="B88" t="s">
        <v>13</v>
      </c>
      <c r="D88" s="2">
        <v>37336</v>
      </c>
      <c r="E88">
        <v>6</v>
      </c>
      <c r="G88" s="2">
        <v>37336</v>
      </c>
      <c r="H88">
        <v>6.2679999999999998</v>
      </c>
      <c r="J88" s="2">
        <v>37343</v>
      </c>
      <c r="K88" s="3">
        <f t="shared" si="2"/>
        <v>6</v>
      </c>
      <c r="L88" s="3">
        <f t="shared" si="3"/>
        <v>6.2380000000000004</v>
      </c>
    </row>
    <row r="89" spans="1:12" x14ac:dyDescent="0.3">
      <c r="A89" s="2">
        <v>36606</v>
      </c>
      <c r="B89" t="s">
        <v>13</v>
      </c>
      <c r="D89" s="2">
        <v>37337</v>
      </c>
      <c r="E89">
        <v>6</v>
      </c>
      <c r="G89" s="2">
        <v>37337</v>
      </c>
      <c r="H89">
        <v>6.2380000000000004</v>
      </c>
      <c r="J89" s="2">
        <v>37344</v>
      </c>
      <c r="K89" s="3">
        <f t="shared" si="2"/>
        <v>6</v>
      </c>
      <c r="L89" s="3">
        <f t="shared" si="3"/>
        <v>6.2380000000000004</v>
      </c>
    </row>
    <row r="90" spans="1:12" x14ac:dyDescent="0.3">
      <c r="A90" s="2">
        <v>36607</v>
      </c>
      <c r="B90" t="s">
        <v>13</v>
      </c>
      <c r="D90" s="2">
        <v>37338</v>
      </c>
      <c r="E90">
        <v>6</v>
      </c>
      <c r="G90" s="2">
        <v>37338</v>
      </c>
      <c r="H90">
        <v>6.2380000000000004</v>
      </c>
      <c r="J90" s="2">
        <v>37345</v>
      </c>
      <c r="K90" s="3">
        <f t="shared" si="2"/>
        <v>6</v>
      </c>
      <c r="L90" s="3">
        <f t="shared" si="3"/>
        <v>6.2380000000000004</v>
      </c>
    </row>
    <row r="91" spans="1:12" x14ac:dyDescent="0.3">
      <c r="A91" s="2">
        <v>36608</v>
      </c>
      <c r="B91" t="s">
        <v>13</v>
      </c>
      <c r="D91" s="2">
        <v>37339</v>
      </c>
      <c r="E91">
        <v>6</v>
      </c>
      <c r="G91" s="2">
        <v>37339</v>
      </c>
      <c r="H91">
        <v>6.2380000000000004</v>
      </c>
      <c r="J91" s="2">
        <v>37346</v>
      </c>
      <c r="K91" s="3">
        <f t="shared" si="2"/>
        <v>6</v>
      </c>
      <c r="L91" s="3">
        <f t="shared" si="3"/>
        <v>6.2380000000000004</v>
      </c>
    </row>
    <row r="92" spans="1:12" x14ac:dyDescent="0.3">
      <c r="A92" s="2">
        <v>36609</v>
      </c>
      <c r="B92" t="s">
        <v>13</v>
      </c>
      <c r="D92" s="2">
        <v>37340</v>
      </c>
      <c r="E92">
        <v>6</v>
      </c>
      <c r="G92" s="2">
        <v>37340</v>
      </c>
      <c r="H92">
        <v>6.2380000000000004</v>
      </c>
      <c r="J92" s="2">
        <v>37347</v>
      </c>
      <c r="K92" s="3">
        <f t="shared" si="2"/>
        <v>6</v>
      </c>
      <c r="L92" s="3">
        <f t="shared" si="3"/>
        <v>6.2380000000000004</v>
      </c>
    </row>
    <row r="93" spans="1:12" x14ac:dyDescent="0.3">
      <c r="A93" s="2">
        <v>36610</v>
      </c>
      <c r="B93" t="s">
        <v>13</v>
      </c>
      <c r="D93" s="2">
        <v>37341</v>
      </c>
      <c r="E93">
        <v>6</v>
      </c>
      <c r="G93" s="2">
        <v>37341</v>
      </c>
      <c r="H93">
        <v>6.2380000000000004</v>
      </c>
      <c r="J93" s="2">
        <v>37348</v>
      </c>
      <c r="K93" s="3">
        <f t="shared" si="2"/>
        <v>6</v>
      </c>
      <c r="L93" s="3">
        <f t="shared" si="3"/>
        <v>6.2380000000000004</v>
      </c>
    </row>
    <row r="94" spans="1:12" x14ac:dyDescent="0.3">
      <c r="A94" s="2">
        <v>36611</v>
      </c>
      <c r="B94" t="s">
        <v>13</v>
      </c>
      <c r="D94" s="2">
        <v>37342</v>
      </c>
      <c r="E94">
        <v>6</v>
      </c>
      <c r="G94" s="2">
        <v>37342</v>
      </c>
      <c r="H94">
        <v>6.2380000000000004</v>
      </c>
      <c r="J94" s="2">
        <v>37349</v>
      </c>
      <c r="K94" s="3">
        <f t="shared" si="2"/>
        <v>6</v>
      </c>
      <c r="L94" s="3">
        <f t="shared" si="3"/>
        <v>6.2380000000000004</v>
      </c>
    </row>
    <row r="95" spans="1:12" x14ac:dyDescent="0.3">
      <c r="A95" s="2">
        <v>36612</v>
      </c>
      <c r="B95" t="s">
        <v>13</v>
      </c>
      <c r="D95" s="2">
        <v>37343</v>
      </c>
      <c r="E95">
        <v>6</v>
      </c>
      <c r="G95" s="2">
        <v>37343</v>
      </c>
      <c r="H95">
        <v>6.2380000000000004</v>
      </c>
      <c r="J95" s="2">
        <v>37350</v>
      </c>
      <c r="K95" s="3">
        <f t="shared" si="2"/>
        <v>6</v>
      </c>
      <c r="L95" s="3">
        <f t="shared" si="3"/>
        <v>6.2380000000000004</v>
      </c>
    </row>
    <row r="96" spans="1:12" x14ac:dyDescent="0.3">
      <c r="A96" s="2">
        <v>36613</v>
      </c>
      <c r="B96" t="s">
        <v>13</v>
      </c>
      <c r="D96" s="2">
        <v>37344</v>
      </c>
      <c r="E96">
        <v>6</v>
      </c>
      <c r="G96" s="2">
        <v>37344</v>
      </c>
      <c r="H96">
        <v>6.2380000000000004</v>
      </c>
      <c r="J96" s="2">
        <v>37351</v>
      </c>
      <c r="K96" s="3">
        <f t="shared" si="2"/>
        <v>6</v>
      </c>
      <c r="L96" s="3">
        <f t="shared" si="3"/>
        <v>6.2380000000000004</v>
      </c>
    </row>
    <row r="97" spans="1:12" x14ac:dyDescent="0.3">
      <c r="A97" s="2">
        <v>36614</v>
      </c>
      <c r="B97" t="s">
        <v>13</v>
      </c>
      <c r="D97" s="2">
        <v>37345</v>
      </c>
      <c r="E97">
        <v>6</v>
      </c>
      <c r="G97" s="2">
        <v>37345</v>
      </c>
      <c r="H97">
        <v>6.2380000000000004</v>
      </c>
      <c r="J97" s="2">
        <v>37352</v>
      </c>
      <c r="K97" s="3">
        <f t="shared" si="2"/>
        <v>6</v>
      </c>
      <c r="L97" s="3">
        <f t="shared" si="3"/>
        <v>6.2380000000000004</v>
      </c>
    </row>
    <row r="98" spans="1:12" x14ac:dyDescent="0.3">
      <c r="A98" s="2">
        <v>36615</v>
      </c>
      <c r="B98" t="s">
        <v>13</v>
      </c>
      <c r="D98" s="2">
        <v>37346</v>
      </c>
      <c r="E98">
        <v>6</v>
      </c>
      <c r="G98" s="2">
        <v>37346</v>
      </c>
      <c r="H98">
        <v>6.2380000000000004</v>
      </c>
      <c r="J98" s="2">
        <v>37353</v>
      </c>
      <c r="K98" s="3">
        <f t="shared" si="2"/>
        <v>6</v>
      </c>
      <c r="L98" s="3">
        <f t="shared" si="3"/>
        <v>6.2380000000000004</v>
      </c>
    </row>
    <row r="99" spans="1:12" x14ac:dyDescent="0.3">
      <c r="A99" s="2">
        <v>36616</v>
      </c>
      <c r="B99" t="s">
        <v>13</v>
      </c>
      <c r="D99" s="2">
        <v>37347</v>
      </c>
      <c r="E99">
        <v>6</v>
      </c>
      <c r="G99" s="2">
        <v>37347</v>
      </c>
      <c r="H99">
        <v>6.2380000000000004</v>
      </c>
      <c r="J99" s="2">
        <v>37354</v>
      </c>
      <c r="K99" s="3">
        <f t="shared" si="2"/>
        <v>6</v>
      </c>
      <c r="L99" s="3">
        <f t="shared" si="3"/>
        <v>6.2380000000000004</v>
      </c>
    </row>
    <row r="100" spans="1:12" x14ac:dyDescent="0.3">
      <c r="A100" s="2">
        <v>36617</v>
      </c>
      <c r="B100" t="s">
        <v>13</v>
      </c>
      <c r="D100" s="2">
        <v>37348</v>
      </c>
      <c r="E100">
        <v>6</v>
      </c>
      <c r="G100" s="2">
        <v>37348</v>
      </c>
      <c r="H100">
        <v>6.2380000000000004</v>
      </c>
      <c r="J100" s="2">
        <v>37355</v>
      </c>
      <c r="K100" s="3">
        <f t="shared" si="2"/>
        <v>6</v>
      </c>
      <c r="L100" s="3">
        <f t="shared" si="3"/>
        <v>6.2380000000000004</v>
      </c>
    </row>
    <row r="101" spans="1:12" x14ac:dyDescent="0.3">
      <c r="A101" s="2">
        <v>36618</v>
      </c>
      <c r="B101" t="s">
        <v>13</v>
      </c>
      <c r="D101" s="2">
        <v>37349</v>
      </c>
      <c r="E101">
        <v>6</v>
      </c>
      <c r="G101" s="2">
        <v>37349</v>
      </c>
      <c r="H101">
        <v>6.2380000000000004</v>
      </c>
      <c r="J101" s="2">
        <v>37356</v>
      </c>
      <c r="K101" s="3">
        <f t="shared" si="2"/>
        <v>6</v>
      </c>
      <c r="L101" s="3">
        <f t="shared" si="3"/>
        <v>6.2380000000000004</v>
      </c>
    </row>
    <row r="102" spans="1:12" x14ac:dyDescent="0.3">
      <c r="A102" s="2">
        <v>36619</v>
      </c>
      <c r="B102" t="s">
        <v>13</v>
      </c>
      <c r="D102" s="2">
        <v>37350</v>
      </c>
      <c r="E102">
        <v>6</v>
      </c>
      <c r="G102" s="2">
        <v>37350</v>
      </c>
      <c r="H102">
        <v>6.2380000000000004</v>
      </c>
      <c r="J102" s="2">
        <v>37357</v>
      </c>
      <c r="K102" s="3">
        <f t="shared" si="2"/>
        <v>6</v>
      </c>
      <c r="L102" s="3">
        <f t="shared" si="3"/>
        <v>6.2380000000000004</v>
      </c>
    </row>
    <row r="103" spans="1:12" x14ac:dyDescent="0.3">
      <c r="A103" s="2">
        <v>36620</v>
      </c>
      <c r="B103" t="s">
        <v>13</v>
      </c>
      <c r="D103" s="2">
        <v>37351</v>
      </c>
      <c r="E103">
        <v>6</v>
      </c>
      <c r="G103" s="2">
        <v>37351</v>
      </c>
      <c r="H103">
        <v>6.2380000000000004</v>
      </c>
      <c r="J103" s="2">
        <v>37358</v>
      </c>
      <c r="K103" s="3">
        <f t="shared" si="2"/>
        <v>6</v>
      </c>
      <c r="L103" s="3">
        <f t="shared" si="3"/>
        <v>6.2380000000000004</v>
      </c>
    </row>
    <row r="104" spans="1:12" x14ac:dyDescent="0.3">
      <c r="A104" s="2">
        <v>36621</v>
      </c>
      <c r="B104" t="s">
        <v>13</v>
      </c>
      <c r="D104" s="2">
        <v>37352</v>
      </c>
      <c r="E104">
        <v>6</v>
      </c>
      <c r="G104" s="2">
        <v>37352</v>
      </c>
      <c r="H104">
        <v>6.2380000000000004</v>
      </c>
      <c r="J104" s="2">
        <v>37359</v>
      </c>
      <c r="K104" s="3">
        <f t="shared" si="2"/>
        <v>6</v>
      </c>
      <c r="L104" s="3">
        <f t="shared" si="3"/>
        <v>6.2380000000000004</v>
      </c>
    </row>
    <row r="105" spans="1:12" x14ac:dyDescent="0.3">
      <c r="A105" s="2">
        <v>36622</v>
      </c>
      <c r="B105" t="s">
        <v>13</v>
      </c>
      <c r="D105" s="2">
        <v>37353</v>
      </c>
      <c r="E105">
        <v>6</v>
      </c>
      <c r="G105" s="2">
        <v>37353</v>
      </c>
      <c r="H105">
        <v>6.2380000000000004</v>
      </c>
      <c r="J105" s="2">
        <v>37360</v>
      </c>
      <c r="K105" s="3">
        <f t="shared" si="2"/>
        <v>6</v>
      </c>
      <c r="L105" s="3">
        <f t="shared" si="3"/>
        <v>6.2380000000000004</v>
      </c>
    </row>
    <row r="106" spans="1:12" x14ac:dyDescent="0.3">
      <c r="A106" s="2">
        <v>36623</v>
      </c>
      <c r="B106" t="s">
        <v>13</v>
      </c>
      <c r="D106" s="2">
        <v>37354</v>
      </c>
      <c r="E106">
        <v>6</v>
      </c>
      <c r="G106" s="2">
        <v>37354</v>
      </c>
      <c r="H106">
        <v>6.2380000000000004</v>
      </c>
      <c r="J106" s="2">
        <v>37361</v>
      </c>
      <c r="K106" s="3">
        <f t="shared" si="2"/>
        <v>6</v>
      </c>
      <c r="L106" s="3">
        <f t="shared" si="3"/>
        <v>6.2380000000000004</v>
      </c>
    </row>
    <row r="107" spans="1:12" x14ac:dyDescent="0.3">
      <c r="A107" s="2">
        <v>36624</v>
      </c>
      <c r="B107" t="s">
        <v>13</v>
      </c>
      <c r="D107" s="2">
        <v>37355</v>
      </c>
      <c r="E107">
        <v>6</v>
      </c>
      <c r="G107" s="2">
        <v>37355</v>
      </c>
      <c r="H107">
        <v>6.2380000000000004</v>
      </c>
      <c r="J107" s="2">
        <v>37362</v>
      </c>
      <c r="K107" s="3">
        <f t="shared" si="2"/>
        <v>6</v>
      </c>
      <c r="L107" s="3">
        <f t="shared" si="3"/>
        <v>6.2380000000000004</v>
      </c>
    </row>
    <row r="108" spans="1:12" x14ac:dyDescent="0.3">
      <c r="A108" s="2">
        <v>36625</v>
      </c>
      <c r="B108" t="s">
        <v>13</v>
      </c>
      <c r="D108" s="2">
        <v>37356</v>
      </c>
      <c r="E108">
        <v>6</v>
      </c>
      <c r="G108" s="2">
        <v>37356</v>
      </c>
      <c r="H108">
        <v>6.2380000000000004</v>
      </c>
      <c r="J108" s="2">
        <v>37363</v>
      </c>
      <c r="K108" s="3">
        <f t="shared" si="2"/>
        <v>6</v>
      </c>
      <c r="L108" s="3">
        <f t="shared" si="3"/>
        <v>6.2380000000000004</v>
      </c>
    </row>
    <row r="109" spans="1:12" x14ac:dyDescent="0.3">
      <c r="A109" s="2">
        <v>36626</v>
      </c>
      <c r="B109" t="s">
        <v>13</v>
      </c>
      <c r="D109" s="2">
        <v>37357</v>
      </c>
      <c r="E109">
        <v>6</v>
      </c>
      <c r="G109" s="2">
        <v>37357</v>
      </c>
      <c r="H109">
        <v>6.2380000000000004</v>
      </c>
      <c r="J109" s="2">
        <v>37364</v>
      </c>
      <c r="K109" s="3">
        <f t="shared" si="2"/>
        <v>6</v>
      </c>
      <c r="L109" s="3">
        <f t="shared" si="3"/>
        <v>6.2380000000000004</v>
      </c>
    </row>
    <row r="110" spans="1:12" x14ac:dyDescent="0.3">
      <c r="A110" s="2">
        <v>36627</v>
      </c>
      <c r="B110" t="s">
        <v>13</v>
      </c>
      <c r="D110" s="2">
        <v>37358</v>
      </c>
      <c r="E110">
        <v>6</v>
      </c>
      <c r="G110" s="2">
        <v>37358</v>
      </c>
      <c r="H110">
        <v>6.2380000000000004</v>
      </c>
      <c r="J110" s="2">
        <v>37365</v>
      </c>
      <c r="K110" s="3">
        <f t="shared" si="2"/>
        <v>6</v>
      </c>
      <c r="L110" s="3">
        <f t="shared" si="3"/>
        <v>6.2380000000000004</v>
      </c>
    </row>
    <row r="111" spans="1:12" x14ac:dyDescent="0.3">
      <c r="A111" s="2">
        <v>36628</v>
      </c>
      <c r="B111" t="s">
        <v>13</v>
      </c>
      <c r="D111" s="2">
        <v>37359</v>
      </c>
      <c r="E111">
        <v>6</v>
      </c>
      <c r="G111" s="2">
        <v>37359</v>
      </c>
      <c r="H111">
        <v>6.2380000000000004</v>
      </c>
      <c r="J111" s="2">
        <v>37366</v>
      </c>
      <c r="K111" s="3">
        <f t="shared" si="2"/>
        <v>6</v>
      </c>
      <c r="L111" s="3">
        <f t="shared" si="3"/>
        <v>6.2380000000000004</v>
      </c>
    </row>
    <row r="112" spans="1:12" x14ac:dyDescent="0.3">
      <c r="A112" s="2">
        <v>36629</v>
      </c>
      <c r="B112" t="s">
        <v>13</v>
      </c>
      <c r="D112" s="2">
        <v>37360</v>
      </c>
      <c r="E112">
        <v>6</v>
      </c>
      <c r="G112" s="2">
        <v>37360</v>
      </c>
      <c r="H112">
        <v>6.2380000000000004</v>
      </c>
      <c r="J112" s="2">
        <v>37367</v>
      </c>
      <c r="K112" s="3">
        <f t="shared" si="2"/>
        <v>6</v>
      </c>
      <c r="L112" s="3">
        <f t="shared" si="3"/>
        <v>6.2380000000000004</v>
      </c>
    </row>
    <row r="113" spans="1:12" x14ac:dyDescent="0.3">
      <c r="A113" s="2">
        <v>36630</v>
      </c>
      <c r="B113" t="s">
        <v>13</v>
      </c>
      <c r="D113" s="2">
        <v>37361</v>
      </c>
      <c r="E113">
        <v>6</v>
      </c>
      <c r="G113" s="2">
        <v>37361</v>
      </c>
      <c r="H113">
        <v>6.2380000000000004</v>
      </c>
      <c r="J113" s="2">
        <v>37368</v>
      </c>
      <c r="K113" s="3">
        <f t="shared" si="2"/>
        <v>6</v>
      </c>
      <c r="L113" s="3">
        <f t="shared" si="3"/>
        <v>6.3410000000000002</v>
      </c>
    </row>
    <row r="114" spans="1:12" x14ac:dyDescent="0.3">
      <c r="A114" s="2">
        <v>36631</v>
      </c>
      <c r="B114" t="s">
        <v>13</v>
      </c>
      <c r="D114" s="2">
        <v>37362</v>
      </c>
      <c r="E114">
        <v>6</v>
      </c>
      <c r="G114" s="2">
        <v>37362</v>
      </c>
      <c r="H114">
        <v>6.2380000000000004</v>
      </c>
      <c r="J114" s="2">
        <v>37369</v>
      </c>
      <c r="K114" s="3">
        <f t="shared" si="2"/>
        <v>6</v>
      </c>
      <c r="L114" s="3">
        <f t="shared" si="3"/>
        <v>6.3040000000000003</v>
      </c>
    </row>
    <row r="115" spans="1:12" x14ac:dyDescent="0.3">
      <c r="A115" s="2">
        <v>36632</v>
      </c>
      <c r="B115" t="s">
        <v>13</v>
      </c>
      <c r="D115" s="2">
        <v>37363</v>
      </c>
      <c r="E115">
        <v>6</v>
      </c>
      <c r="G115" s="2">
        <v>37363</v>
      </c>
      <c r="H115">
        <v>6.2380000000000004</v>
      </c>
      <c r="J115" s="2">
        <v>37370</v>
      </c>
      <c r="K115" s="3">
        <f t="shared" si="2"/>
        <v>6</v>
      </c>
      <c r="L115" s="3">
        <f t="shared" si="3"/>
        <v>6.2670000000000003</v>
      </c>
    </row>
    <row r="116" spans="1:12" x14ac:dyDescent="0.3">
      <c r="A116" s="2">
        <v>36633</v>
      </c>
      <c r="B116" t="s">
        <v>13</v>
      </c>
      <c r="D116" s="2">
        <v>37364</v>
      </c>
      <c r="E116">
        <v>6</v>
      </c>
      <c r="G116" s="2">
        <v>37364</v>
      </c>
      <c r="H116">
        <v>6.2380000000000004</v>
      </c>
      <c r="J116" s="2">
        <v>37371</v>
      </c>
      <c r="K116" s="3">
        <f t="shared" si="2"/>
        <v>6</v>
      </c>
      <c r="L116" s="3">
        <f t="shared" si="3"/>
        <v>6.19</v>
      </c>
    </row>
    <row r="117" spans="1:12" x14ac:dyDescent="0.3">
      <c r="A117" s="2">
        <v>36634</v>
      </c>
      <c r="B117" t="s">
        <v>13</v>
      </c>
      <c r="D117" s="2">
        <v>37365</v>
      </c>
      <c r="E117">
        <v>6</v>
      </c>
      <c r="G117" s="2">
        <v>37365</v>
      </c>
      <c r="H117">
        <v>6.2380000000000004</v>
      </c>
      <c r="J117" s="2">
        <v>37372</v>
      </c>
      <c r="K117" s="3">
        <f t="shared" si="2"/>
        <v>6</v>
      </c>
      <c r="L117" s="3">
        <f t="shared" si="3"/>
        <v>6.19</v>
      </c>
    </row>
    <row r="118" spans="1:12" x14ac:dyDescent="0.3">
      <c r="A118" s="2">
        <v>36635</v>
      </c>
      <c r="B118" t="s">
        <v>13</v>
      </c>
      <c r="D118" s="2">
        <v>37366</v>
      </c>
      <c r="E118">
        <v>6</v>
      </c>
      <c r="G118" s="2">
        <v>37366</v>
      </c>
      <c r="H118">
        <v>6.2380000000000004</v>
      </c>
      <c r="J118" s="2">
        <v>37373</v>
      </c>
      <c r="K118" s="3">
        <f t="shared" si="2"/>
        <v>6</v>
      </c>
      <c r="L118" s="3">
        <f t="shared" si="3"/>
        <v>6.19</v>
      </c>
    </row>
    <row r="119" spans="1:12" x14ac:dyDescent="0.3">
      <c r="A119" s="2">
        <v>36636</v>
      </c>
      <c r="B119" t="s">
        <v>13</v>
      </c>
      <c r="D119" s="2">
        <v>37367</v>
      </c>
      <c r="E119">
        <v>6</v>
      </c>
      <c r="G119" s="2">
        <v>37367</v>
      </c>
      <c r="H119">
        <v>6.2380000000000004</v>
      </c>
      <c r="J119" s="2">
        <v>37374</v>
      </c>
      <c r="K119" s="3">
        <f t="shared" si="2"/>
        <v>6</v>
      </c>
      <c r="L119" s="3">
        <f t="shared" si="3"/>
        <v>6.19</v>
      </c>
    </row>
    <row r="120" spans="1:12" x14ac:dyDescent="0.3">
      <c r="A120" s="2">
        <v>36637</v>
      </c>
      <c r="B120" t="s">
        <v>13</v>
      </c>
      <c r="D120" s="2">
        <v>37368</v>
      </c>
      <c r="E120">
        <v>6</v>
      </c>
      <c r="G120" s="2">
        <v>37368</v>
      </c>
      <c r="H120">
        <v>6.3410000000000002</v>
      </c>
      <c r="J120" s="2">
        <v>37375</v>
      </c>
      <c r="K120" s="3">
        <f t="shared" si="2"/>
        <v>6</v>
      </c>
      <c r="L120" s="3">
        <f t="shared" si="3"/>
        <v>6.19</v>
      </c>
    </row>
    <row r="121" spans="1:12" x14ac:dyDescent="0.3">
      <c r="A121" s="2">
        <v>36638</v>
      </c>
      <c r="B121" t="s">
        <v>13</v>
      </c>
      <c r="D121" s="2">
        <v>37369</v>
      </c>
      <c r="E121">
        <v>6</v>
      </c>
      <c r="G121" s="2">
        <v>37369</v>
      </c>
      <c r="H121">
        <v>6.3040000000000003</v>
      </c>
      <c r="J121" s="2">
        <v>37376</v>
      </c>
      <c r="K121" s="3">
        <f t="shared" si="2"/>
        <v>6</v>
      </c>
      <c r="L121" s="3">
        <f t="shared" si="3"/>
        <v>6.19</v>
      </c>
    </row>
    <row r="122" spans="1:12" x14ac:dyDescent="0.3">
      <c r="A122" s="2">
        <v>36639</v>
      </c>
      <c r="B122" t="s">
        <v>13</v>
      </c>
      <c r="D122" s="2">
        <v>37370</v>
      </c>
      <c r="E122">
        <v>6</v>
      </c>
      <c r="G122" s="2">
        <v>37370</v>
      </c>
      <c r="H122">
        <v>6.2670000000000003</v>
      </c>
      <c r="J122" s="2">
        <v>37377</v>
      </c>
      <c r="K122" s="3">
        <f t="shared" si="2"/>
        <v>6</v>
      </c>
      <c r="L122" s="3">
        <f t="shared" si="3"/>
        <v>6.19</v>
      </c>
    </row>
    <row r="123" spans="1:12" x14ac:dyDescent="0.3">
      <c r="A123" s="2">
        <v>36640</v>
      </c>
      <c r="B123" t="s">
        <v>13</v>
      </c>
      <c r="D123" s="2">
        <v>37371</v>
      </c>
      <c r="E123">
        <v>6</v>
      </c>
      <c r="G123" s="2">
        <v>37371</v>
      </c>
      <c r="H123">
        <v>6.19</v>
      </c>
      <c r="J123" s="2">
        <v>37378</v>
      </c>
      <c r="K123" s="3">
        <f t="shared" si="2"/>
        <v>6</v>
      </c>
      <c r="L123" s="3">
        <f t="shared" si="3"/>
        <v>6.19</v>
      </c>
    </row>
    <row r="124" spans="1:12" x14ac:dyDescent="0.3">
      <c r="A124" s="2">
        <v>36641</v>
      </c>
      <c r="B124" t="s">
        <v>13</v>
      </c>
      <c r="D124" s="2">
        <v>37372</v>
      </c>
      <c r="E124">
        <v>6</v>
      </c>
      <c r="G124" s="2">
        <v>37372</v>
      </c>
      <c r="H124">
        <v>6.19</v>
      </c>
      <c r="J124" s="2">
        <v>37379</v>
      </c>
      <c r="K124" s="3">
        <f t="shared" si="2"/>
        <v>6</v>
      </c>
      <c r="L124" s="3">
        <f t="shared" si="3"/>
        <v>6.19</v>
      </c>
    </row>
    <row r="125" spans="1:12" x14ac:dyDescent="0.3">
      <c r="A125" s="2">
        <v>36642</v>
      </c>
      <c r="B125" t="s">
        <v>13</v>
      </c>
      <c r="D125" s="2">
        <v>37373</v>
      </c>
      <c r="E125">
        <v>6</v>
      </c>
      <c r="G125" s="2">
        <v>37373</v>
      </c>
      <c r="H125">
        <v>6.19</v>
      </c>
      <c r="J125" s="2">
        <v>37380</v>
      </c>
      <c r="K125" s="3">
        <f t="shared" si="2"/>
        <v>6</v>
      </c>
      <c r="L125" s="3">
        <f t="shared" si="3"/>
        <v>6.19</v>
      </c>
    </row>
    <row r="126" spans="1:12" x14ac:dyDescent="0.3">
      <c r="A126" s="2">
        <v>36643</v>
      </c>
      <c r="B126" t="s">
        <v>13</v>
      </c>
      <c r="D126" s="2">
        <v>37374</v>
      </c>
      <c r="E126">
        <v>6</v>
      </c>
      <c r="G126" s="2">
        <v>37374</v>
      </c>
      <c r="H126">
        <v>6.19</v>
      </c>
      <c r="J126" s="2">
        <v>37381</v>
      </c>
      <c r="K126" s="3">
        <f t="shared" si="2"/>
        <v>6</v>
      </c>
      <c r="L126" s="3">
        <f t="shared" si="3"/>
        <v>6.19</v>
      </c>
    </row>
    <row r="127" spans="1:12" x14ac:dyDescent="0.3">
      <c r="A127" s="2">
        <v>36644</v>
      </c>
      <c r="B127" t="s">
        <v>13</v>
      </c>
      <c r="D127" s="2">
        <v>37375</v>
      </c>
      <c r="E127">
        <v>6</v>
      </c>
      <c r="G127" s="2">
        <v>37375</v>
      </c>
      <c r="H127">
        <v>6.19</v>
      </c>
      <c r="J127" s="2">
        <v>37382</v>
      </c>
      <c r="K127" s="3">
        <f t="shared" si="2"/>
        <v>6</v>
      </c>
      <c r="L127" s="3">
        <f t="shared" si="3"/>
        <v>6.19</v>
      </c>
    </row>
    <row r="128" spans="1:12" x14ac:dyDescent="0.3">
      <c r="A128" s="2">
        <v>36645</v>
      </c>
      <c r="B128" t="s">
        <v>13</v>
      </c>
      <c r="D128" s="2">
        <v>37376</v>
      </c>
      <c r="E128">
        <v>6</v>
      </c>
      <c r="G128" s="2">
        <v>37376</v>
      </c>
      <c r="H128">
        <v>6.19</v>
      </c>
      <c r="J128" s="2">
        <v>37383</v>
      </c>
      <c r="K128" s="3">
        <f t="shared" si="2"/>
        <v>6</v>
      </c>
      <c r="L128" s="3">
        <f t="shared" si="3"/>
        <v>6.19</v>
      </c>
    </row>
    <row r="129" spans="1:12" x14ac:dyDescent="0.3">
      <c r="A129" s="2">
        <v>36646</v>
      </c>
      <c r="B129" t="s">
        <v>13</v>
      </c>
      <c r="D129" s="2">
        <v>37377</v>
      </c>
      <c r="E129">
        <v>6</v>
      </c>
      <c r="G129" s="2">
        <v>37377</v>
      </c>
      <c r="H129">
        <v>6.19</v>
      </c>
      <c r="J129" s="2">
        <v>37384</v>
      </c>
      <c r="K129" s="3">
        <f t="shared" si="2"/>
        <v>6</v>
      </c>
      <c r="L129" s="3">
        <f t="shared" si="3"/>
        <v>6.19</v>
      </c>
    </row>
    <row r="130" spans="1:12" x14ac:dyDescent="0.3">
      <c r="A130" s="2">
        <v>36647</v>
      </c>
      <c r="B130" t="s">
        <v>13</v>
      </c>
      <c r="D130" s="2">
        <v>37378</v>
      </c>
      <c r="E130">
        <v>6</v>
      </c>
      <c r="G130" s="2">
        <v>37378</v>
      </c>
      <c r="H130">
        <v>6.19</v>
      </c>
      <c r="J130" s="2">
        <v>37385</v>
      </c>
      <c r="K130" s="3">
        <f t="shared" si="2"/>
        <v>6</v>
      </c>
      <c r="L130" s="3">
        <f t="shared" si="3"/>
        <v>6.19</v>
      </c>
    </row>
    <row r="131" spans="1:12" x14ac:dyDescent="0.3">
      <c r="A131" s="2">
        <v>36648</v>
      </c>
      <c r="B131" t="s">
        <v>13</v>
      </c>
      <c r="D131" s="2">
        <v>37379</v>
      </c>
      <c r="E131">
        <v>6</v>
      </c>
      <c r="G131" s="2">
        <v>37379</v>
      </c>
      <c r="H131">
        <v>6.19</v>
      </c>
      <c r="J131" s="2">
        <v>37386</v>
      </c>
      <c r="K131" s="3">
        <f t="shared" ref="K131:K194" si="4">E138</f>
        <v>6</v>
      </c>
      <c r="L131" s="3">
        <f t="shared" ref="L131:L194" si="5">H138</f>
        <v>6.19</v>
      </c>
    </row>
    <row r="132" spans="1:12" x14ac:dyDescent="0.3">
      <c r="A132" s="2">
        <v>36649</v>
      </c>
      <c r="B132" t="s">
        <v>13</v>
      </c>
      <c r="D132" s="2">
        <v>37380</v>
      </c>
      <c r="E132">
        <v>6</v>
      </c>
      <c r="G132" s="2">
        <v>37380</v>
      </c>
      <c r="H132">
        <v>6.19</v>
      </c>
      <c r="J132" s="2">
        <v>37387</v>
      </c>
      <c r="K132" s="3">
        <f t="shared" si="4"/>
        <v>6</v>
      </c>
      <c r="L132" s="3">
        <f t="shared" si="5"/>
        <v>6.19</v>
      </c>
    </row>
    <row r="133" spans="1:12" x14ac:dyDescent="0.3">
      <c r="A133" s="2">
        <v>36650</v>
      </c>
      <c r="B133" t="s">
        <v>13</v>
      </c>
      <c r="D133" s="2">
        <v>37381</v>
      </c>
      <c r="E133">
        <v>6</v>
      </c>
      <c r="G133" s="2">
        <v>37381</v>
      </c>
      <c r="H133">
        <v>6.19</v>
      </c>
      <c r="J133" s="2">
        <v>37388</v>
      </c>
      <c r="K133" s="3">
        <f t="shared" si="4"/>
        <v>6</v>
      </c>
      <c r="L133" s="3">
        <f t="shared" si="5"/>
        <v>6.19</v>
      </c>
    </row>
    <row r="134" spans="1:12" x14ac:dyDescent="0.3">
      <c r="A134" s="2">
        <v>36651</v>
      </c>
      <c r="B134" t="s">
        <v>13</v>
      </c>
      <c r="D134" s="2">
        <v>37382</v>
      </c>
      <c r="E134">
        <v>6</v>
      </c>
      <c r="G134" s="2">
        <v>37382</v>
      </c>
      <c r="H134">
        <v>6.19</v>
      </c>
      <c r="J134" s="2">
        <v>37389</v>
      </c>
      <c r="K134" s="3">
        <f t="shared" si="4"/>
        <v>6</v>
      </c>
      <c r="L134" s="3">
        <f t="shared" si="5"/>
        <v>6.19</v>
      </c>
    </row>
    <row r="135" spans="1:12" x14ac:dyDescent="0.3">
      <c r="A135" s="2">
        <v>36652</v>
      </c>
      <c r="B135" t="s">
        <v>13</v>
      </c>
      <c r="D135" s="2">
        <v>37383</v>
      </c>
      <c r="E135">
        <v>6</v>
      </c>
      <c r="G135" s="2">
        <v>37383</v>
      </c>
      <c r="H135">
        <v>6.19</v>
      </c>
      <c r="J135" s="2">
        <v>37390</v>
      </c>
      <c r="K135" s="3">
        <f t="shared" si="4"/>
        <v>6</v>
      </c>
      <c r="L135" s="3">
        <f t="shared" si="5"/>
        <v>6.19</v>
      </c>
    </row>
    <row r="136" spans="1:12" x14ac:dyDescent="0.3">
      <c r="A136" s="2">
        <v>36653</v>
      </c>
      <c r="B136" t="s">
        <v>13</v>
      </c>
      <c r="D136" s="2">
        <v>37384</v>
      </c>
      <c r="E136">
        <v>6</v>
      </c>
      <c r="G136" s="2">
        <v>37384</v>
      </c>
      <c r="H136">
        <v>6.19</v>
      </c>
      <c r="J136" s="2">
        <v>37391</v>
      </c>
      <c r="K136" s="3">
        <f t="shared" si="4"/>
        <v>6</v>
      </c>
      <c r="L136" s="3">
        <f t="shared" si="5"/>
        <v>6.19</v>
      </c>
    </row>
    <row r="137" spans="1:12" x14ac:dyDescent="0.3">
      <c r="A137" s="2">
        <v>36654</v>
      </c>
      <c r="B137" t="s">
        <v>13</v>
      </c>
      <c r="D137" s="2">
        <v>37385</v>
      </c>
      <c r="E137">
        <v>6</v>
      </c>
      <c r="G137" s="2">
        <v>37385</v>
      </c>
      <c r="H137">
        <v>6.19</v>
      </c>
      <c r="J137" s="2">
        <v>37392</v>
      </c>
      <c r="K137" s="3">
        <f t="shared" si="4"/>
        <v>6</v>
      </c>
      <c r="L137" s="3">
        <f t="shared" si="5"/>
        <v>6.19</v>
      </c>
    </row>
    <row r="138" spans="1:12" x14ac:dyDescent="0.3">
      <c r="A138" s="2">
        <v>36655</v>
      </c>
      <c r="B138" t="s">
        <v>13</v>
      </c>
      <c r="D138" s="2">
        <v>37386</v>
      </c>
      <c r="E138">
        <v>6</v>
      </c>
      <c r="G138" s="2">
        <v>37386</v>
      </c>
      <c r="H138">
        <v>6.19</v>
      </c>
      <c r="J138" s="2">
        <v>37393</v>
      </c>
      <c r="K138" s="3">
        <f t="shared" si="4"/>
        <v>6</v>
      </c>
      <c r="L138" s="3">
        <f t="shared" si="5"/>
        <v>6.19</v>
      </c>
    </row>
    <row r="139" spans="1:12" x14ac:dyDescent="0.3">
      <c r="A139" s="2">
        <v>36656</v>
      </c>
      <c r="B139" t="s">
        <v>13</v>
      </c>
      <c r="D139" s="2">
        <v>37387</v>
      </c>
      <c r="E139">
        <v>6</v>
      </c>
      <c r="G139" s="2">
        <v>37387</v>
      </c>
      <c r="H139">
        <v>6.19</v>
      </c>
      <c r="J139" s="2">
        <v>37394</v>
      </c>
      <c r="K139" s="3">
        <f t="shared" si="4"/>
        <v>6</v>
      </c>
      <c r="L139" s="3">
        <f t="shared" si="5"/>
        <v>6.19</v>
      </c>
    </row>
    <row r="140" spans="1:12" x14ac:dyDescent="0.3">
      <c r="A140" s="2">
        <v>36657</v>
      </c>
      <c r="B140" t="s">
        <v>13</v>
      </c>
      <c r="D140" s="2">
        <v>37388</v>
      </c>
      <c r="E140">
        <v>6</v>
      </c>
      <c r="G140" s="2">
        <v>37388</v>
      </c>
      <c r="H140">
        <v>6.19</v>
      </c>
      <c r="J140" s="2">
        <v>37395</v>
      </c>
      <c r="K140" s="3">
        <f t="shared" si="4"/>
        <v>6</v>
      </c>
      <c r="L140" s="3">
        <f t="shared" si="5"/>
        <v>6.19</v>
      </c>
    </row>
    <row r="141" spans="1:12" x14ac:dyDescent="0.3">
      <c r="A141" s="2">
        <v>36658</v>
      </c>
      <c r="B141" t="s">
        <v>13</v>
      </c>
      <c r="D141" s="2">
        <v>37389</v>
      </c>
      <c r="E141">
        <v>6</v>
      </c>
      <c r="G141" s="2">
        <v>37389</v>
      </c>
      <c r="H141">
        <v>6.19</v>
      </c>
      <c r="J141" s="2">
        <v>37396</v>
      </c>
      <c r="K141" s="3">
        <f t="shared" si="4"/>
        <v>6</v>
      </c>
      <c r="L141" s="3">
        <f t="shared" si="5"/>
        <v>6.19</v>
      </c>
    </row>
    <row r="142" spans="1:12" x14ac:dyDescent="0.3">
      <c r="A142" s="2">
        <v>36659</v>
      </c>
      <c r="B142" t="s">
        <v>13</v>
      </c>
      <c r="D142" s="2">
        <v>37390</v>
      </c>
      <c r="E142">
        <v>6</v>
      </c>
      <c r="G142" s="2">
        <v>37390</v>
      </c>
      <c r="H142">
        <v>6.19</v>
      </c>
      <c r="J142" s="2">
        <v>37397</v>
      </c>
      <c r="K142" s="3">
        <f t="shared" si="4"/>
        <v>6</v>
      </c>
      <c r="L142" s="3">
        <f t="shared" si="5"/>
        <v>6.19</v>
      </c>
    </row>
    <row r="143" spans="1:12" x14ac:dyDescent="0.3">
      <c r="A143" s="2">
        <v>36660</v>
      </c>
      <c r="B143" t="s">
        <v>13</v>
      </c>
      <c r="D143" s="2">
        <v>37391</v>
      </c>
      <c r="E143">
        <v>6</v>
      </c>
      <c r="G143" s="2">
        <v>37391</v>
      </c>
      <c r="H143">
        <v>6.19</v>
      </c>
      <c r="J143" s="2">
        <v>37398</v>
      </c>
      <c r="K143" s="3">
        <f t="shared" si="4"/>
        <v>6</v>
      </c>
      <c r="L143" s="3">
        <f t="shared" si="5"/>
        <v>6.19</v>
      </c>
    </row>
    <row r="144" spans="1:12" x14ac:dyDescent="0.3">
      <c r="A144" s="2">
        <v>36661</v>
      </c>
      <c r="B144" t="s">
        <v>13</v>
      </c>
      <c r="D144" s="2">
        <v>37392</v>
      </c>
      <c r="E144">
        <v>6</v>
      </c>
      <c r="G144" s="2">
        <v>37392</v>
      </c>
      <c r="H144">
        <v>6.19</v>
      </c>
      <c r="J144" s="2">
        <v>37399</v>
      </c>
      <c r="K144" s="3">
        <f t="shared" si="4"/>
        <v>6</v>
      </c>
      <c r="L144" s="3">
        <f t="shared" si="5"/>
        <v>6.19</v>
      </c>
    </row>
    <row r="145" spans="1:12" x14ac:dyDescent="0.3">
      <c r="A145" s="2">
        <v>36662</v>
      </c>
      <c r="B145" t="s">
        <v>13</v>
      </c>
      <c r="D145" s="2">
        <v>37393</v>
      </c>
      <c r="E145">
        <v>6</v>
      </c>
      <c r="G145" s="2">
        <v>37393</v>
      </c>
      <c r="H145">
        <v>6.19</v>
      </c>
      <c r="J145" s="2">
        <v>37400</v>
      </c>
      <c r="K145" s="3">
        <f t="shared" si="4"/>
        <v>6</v>
      </c>
      <c r="L145" s="3">
        <f t="shared" si="5"/>
        <v>6.19</v>
      </c>
    </row>
    <row r="146" spans="1:12" x14ac:dyDescent="0.3">
      <c r="A146" s="2">
        <v>36663</v>
      </c>
      <c r="B146" t="s">
        <v>13</v>
      </c>
      <c r="D146" s="2">
        <v>37394</v>
      </c>
      <c r="E146">
        <v>6</v>
      </c>
      <c r="G146" s="2">
        <v>37394</v>
      </c>
      <c r="H146">
        <v>6.19</v>
      </c>
      <c r="J146" s="2">
        <v>37401</v>
      </c>
      <c r="K146" s="3">
        <f t="shared" si="4"/>
        <v>6</v>
      </c>
      <c r="L146" s="3">
        <f t="shared" si="5"/>
        <v>6.19</v>
      </c>
    </row>
    <row r="147" spans="1:12" x14ac:dyDescent="0.3">
      <c r="A147" s="2">
        <v>36664</v>
      </c>
      <c r="B147" t="s">
        <v>13</v>
      </c>
      <c r="D147" s="2">
        <v>37395</v>
      </c>
      <c r="E147">
        <v>6</v>
      </c>
      <c r="G147" s="2">
        <v>37395</v>
      </c>
      <c r="H147">
        <v>6.19</v>
      </c>
      <c r="J147" s="2">
        <v>37402</v>
      </c>
      <c r="K147" s="3">
        <f t="shared" si="4"/>
        <v>6</v>
      </c>
      <c r="L147" s="3">
        <f t="shared" si="5"/>
        <v>6.19</v>
      </c>
    </row>
    <row r="148" spans="1:12" x14ac:dyDescent="0.3">
      <c r="A148" s="2">
        <v>36665</v>
      </c>
      <c r="B148" t="s">
        <v>13</v>
      </c>
      <c r="D148" s="2">
        <v>37396</v>
      </c>
      <c r="E148">
        <v>6</v>
      </c>
      <c r="G148" s="2">
        <v>37396</v>
      </c>
      <c r="H148">
        <v>6.19</v>
      </c>
      <c r="J148" s="2">
        <v>37403</v>
      </c>
      <c r="K148" s="3">
        <f t="shared" si="4"/>
        <v>6</v>
      </c>
      <c r="L148" s="3">
        <f t="shared" si="5"/>
        <v>6.19</v>
      </c>
    </row>
    <row r="149" spans="1:12" x14ac:dyDescent="0.3">
      <c r="A149" s="2">
        <v>36666</v>
      </c>
      <c r="B149" t="s">
        <v>13</v>
      </c>
      <c r="D149" s="2">
        <v>37397</v>
      </c>
      <c r="E149">
        <v>6</v>
      </c>
      <c r="G149" s="2">
        <v>37397</v>
      </c>
      <c r="H149">
        <v>6.19</v>
      </c>
      <c r="J149" s="2">
        <v>37404</v>
      </c>
      <c r="K149" s="3">
        <f t="shared" si="4"/>
        <v>6</v>
      </c>
      <c r="L149" s="3">
        <f t="shared" si="5"/>
        <v>6.19</v>
      </c>
    </row>
    <row r="150" spans="1:12" x14ac:dyDescent="0.3">
      <c r="A150" s="2">
        <v>36667</v>
      </c>
      <c r="B150" t="s">
        <v>13</v>
      </c>
      <c r="D150" s="2">
        <v>37398</v>
      </c>
      <c r="E150">
        <v>6</v>
      </c>
      <c r="G150" s="2">
        <v>37398</v>
      </c>
      <c r="H150">
        <v>6.19</v>
      </c>
      <c r="J150" s="2">
        <v>37405</v>
      </c>
      <c r="K150" s="3">
        <f t="shared" si="4"/>
        <v>6</v>
      </c>
      <c r="L150" s="3">
        <f t="shared" si="5"/>
        <v>6.19</v>
      </c>
    </row>
    <row r="151" spans="1:12" x14ac:dyDescent="0.3">
      <c r="A151" s="2">
        <v>36668</v>
      </c>
      <c r="B151" t="s">
        <v>13</v>
      </c>
      <c r="D151" s="2">
        <v>37399</v>
      </c>
      <c r="E151">
        <v>6</v>
      </c>
      <c r="G151" s="2">
        <v>37399</v>
      </c>
      <c r="H151">
        <v>6.19</v>
      </c>
      <c r="J151" s="2">
        <v>37406</v>
      </c>
      <c r="K151" s="3">
        <f t="shared" si="4"/>
        <v>6</v>
      </c>
      <c r="L151" s="3">
        <f t="shared" si="5"/>
        <v>6.19</v>
      </c>
    </row>
    <row r="152" spans="1:12" x14ac:dyDescent="0.3">
      <c r="A152" s="2">
        <v>36669</v>
      </c>
      <c r="B152" t="s">
        <v>13</v>
      </c>
      <c r="D152" s="2">
        <v>37400</v>
      </c>
      <c r="E152">
        <v>6</v>
      </c>
      <c r="G152" s="2">
        <v>37400</v>
      </c>
      <c r="H152">
        <v>6.19</v>
      </c>
      <c r="J152" s="2">
        <v>37407</v>
      </c>
      <c r="K152" s="3">
        <f t="shared" si="4"/>
        <v>6</v>
      </c>
      <c r="L152" s="3">
        <f t="shared" si="5"/>
        <v>6.19</v>
      </c>
    </row>
    <row r="153" spans="1:12" x14ac:dyDescent="0.3">
      <c r="A153" s="2">
        <v>36670</v>
      </c>
      <c r="B153" t="s">
        <v>13</v>
      </c>
      <c r="D153" s="2">
        <v>37401</v>
      </c>
      <c r="E153">
        <v>6</v>
      </c>
      <c r="G153" s="2">
        <v>37401</v>
      </c>
      <c r="H153">
        <v>6.19</v>
      </c>
      <c r="J153" s="2">
        <v>37408</v>
      </c>
      <c r="K153" s="3">
        <f t="shared" si="4"/>
        <v>6</v>
      </c>
      <c r="L153" s="3">
        <f t="shared" si="5"/>
        <v>6.19</v>
      </c>
    </row>
    <row r="154" spans="1:12" x14ac:dyDescent="0.3">
      <c r="A154" s="2">
        <v>36671</v>
      </c>
      <c r="B154" t="s">
        <v>13</v>
      </c>
      <c r="D154" s="2">
        <v>37402</v>
      </c>
      <c r="E154">
        <v>6</v>
      </c>
      <c r="G154" s="2">
        <v>37402</v>
      </c>
      <c r="H154">
        <v>6.19</v>
      </c>
      <c r="J154" s="2">
        <v>37409</v>
      </c>
      <c r="K154" s="3">
        <f t="shared" si="4"/>
        <v>6</v>
      </c>
      <c r="L154" s="3">
        <f t="shared" si="5"/>
        <v>6.19</v>
      </c>
    </row>
    <row r="155" spans="1:12" x14ac:dyDescent="0.3">
      <c r="A155" s="2">
        <v>36672</v>
      </c>
      <c r="B155" t="s">
        <v>13</v>
      </c>
      <c r="D155" s="2">
        <v>37403</v>
      </c>
      <c r="E155">
        <v>6</v>
      </c>
      <c r="G155" s="2">
        <v>37403</v>
      </c>
      <c r="H155">
        <v>6.19</v>
      </c>
      <c r="J155" s="2">
        <v>37410</v>
      </c>
      <c r="K155" s="3">
        <f t="shared" si="4"/>
        <v>6</v>
      </c>
      <c r="L155" s="3">
        <f t="shared" si="5"/>
        <v>6.19</v>
      </c>
    </row>
    <row r="156" spans="1:12" x14ac:dyDescent="0.3">
      <c r="A156" s="2">
        <v>36673</v>
      </c>
      <c r="B156" t="s">
        <v>13</v>
      </c>
      <c r="D156" s="2">
        <v>37404</v>
      </c>
      <c r="E156">
        <v>6</v>
      </c>
      <c r="G156" s="2">
        <v>37404</v>
      </c>
      <c r="H156">
        <v>6.19</v>
      </c>
      <c r="J156" s="2">
        <v>37411</v>
      </c>
      <c r="K156" s="3">
        <f t="shared" si="4"/>
        <v>6</v>
      </c>
      <c r="L156" s="3">
        <f t="shared" si="5"/>
        <v>6.19</v>
      </c>
    </row>
    <row r="157" spans="1:12" x14ac:dyDescent="0.3">
      <c r="A157" s="2">
        <v>36674</v>
      </c>
      <c r="B157" t="s">
        <v>13</v>
      </c>
      <c r="D157" s="2">
        <v>37405</v>
      </c>
      <c r="E157">
        <v>6</v>
      </c>
      <c r="G157" s="2">
        <v>37405</v>
      </c>
      <c r="H157">
        <v>6.19</v>
      </c>
      <c r="J157" s="2">
        <v>37412</v>
      </c>
      <c r="K157" s="3">
        <f t="shared" si="4"/>
        <v>6</v>
      </c>
      <c r="L157" s="3">
        <f t="shared" si="5"/>
        <v>6.19</v>
      </c>
    </row>
    <row r="158" spans="1:12" x14ac:dyDescent="0.3">
      <c r="A158" s="2">
        <v>36675</v>
      </c>
      <c r="B158" t="s">
        <v>13</v>
      </c>
      <c r="D158" s="2">
        <v>37406</v>
      </c>
      <c r="E158">
        <v>6</v>
      </c>
      <c r="G158" s="2">
        <v>37406</v>
      </c>
      <c r="H158">
        <v>6.19</v>
      </c>
      <c r="J158" s="2">
        <v>37413</v>
      </c>
      <c r="K158" s="3">
        <f t="shared" si="4"/>
        <v>6</v>
      </c>
      <c r="L158" s="3">
        <f t="shared" si="5"/>
        <v>6.19</v>
      </c>
    </row>
    <row r="159" spans="1:12" x14ac:dyDescent="0.3">
      <c r="A159" s="2">
        <v>36676</v>
      </c>
      <c r="B159" t="s">
        <v>13</v>
      </c>
      <c r="D159" s="2">
        <v>37407</v>
      </c>
      <c r="E159">
        <v>6</v>
      </c>
      <c r="G159" s="2">
        <v>37407</v>
      </c>
      <c r="H159">
        <v>6.19</v>
      </c>
      <c r="J159" s="2">
        <v>37414</v>
      </c>
      <c r="K159" s="3">
        <f t="shared" si="4"/>
        <v>6</v>
      </c>
      <c r="L159" s="3">
        <f t="shared" si="5"/>
        <v>6.19</v>
      </c>
    </row>
    <row r="160" spans="1:12" x14ac:dyDescent="0.3">
      <c r="A160" s="2">
        <v>36677</v>
      </c>
      <c r="B160" t="s">
        <v>13</v>
      </c>
      <c r="D160" s="2">
        <v>37408</v>
      </c>
      <c r="E160">
        <v>6</v>
      </c>
      <c r="G160" s="2">
        <v>37408</v>
      </c>
      <c r="H160">
        <v>6.19</v>
      </c>
      <c r="J160" s="2">
        <v>37415</v>
      </c>
      <c r="K160" s="3">
        <f t="shared" si="4"/>
        <v>6</v>
      </c>
      <c r="L160" s="3">
        <f t="shared" si="5"/>
        <v>6.19</v>
      </c>
    </row>
    <row r="161" spans="1:12" x14ac:dyDescent="0.3">
      <c r="A161" s="2">
        <v>36678</v>
      </c>
      <c r="B161" t="s">
        <v>13</v>
      </c>
      <c r="D161" s="2">
        <v>37409</v>
      </c>
      <c r="E161">
        <v>6</v>
      </c>
      <c r="G161" s="2">
        <v>37409</v>
      </c>
      <c r="H161">
        <v>6.19</v>
      </c>
      <c r="J161" s="2">
        <v>37416</v>
      </c>
      <c r="K161" s="3">
        <f t="shared" si="4"/>
        <v>6</v>
      </c>
      <c r="L161" s="3">
        <f t="shared" si="5"/>
        <v>6.19</v>
      </c>
    </row>
    <row r="162" spans="1:12" x14ac:dyDescent="0.3">
      <c r="A162" s="2">
        <v>36679</v>
      </c>
      <c r="B162" t="s">
        <v>13</v>
      </c>
      <c r="D162" s="2">
        <v>37410</v>
      </c>
      <c r="E162">
        <v>6</v>
      </c>
      <c r="G162" s="2">
        <v>37410</v>
      </c>
      <c r="H162">
        <v>6.19</v>
      </c>
      <c r="J162" s="2">
        <v>37417</v>
      </c>
      <c r="K162" s="3">
        <f t="shared" si="4"/>
        <v>6</v>
      </c>
      <c r="L162" s="3">
        <f t="shared" si="5"/>
        <v>6.19</v>
      </c>
    </row>
    <row r="163" spans="1:12" x14ac:dyDescent="0.3">
      <c r="A163" s="2">
        <v>36680</v>
      </c>
      <c r="B163" t="s">
        <v>13</v>
      </c>
      <c r="D163" s="2">
        <v>37411</v>
      </c>
      <c r="E163">
        <v>6</v>
      </c>
      <c r="G163" s="2">
        <v>37411</v>
      </c>
      <c r="H163">
        <v>6.19</v>
      </c>
      <c r="J163" s="2">
        <v>37418</v>
      </c>
      <c r="K163" s="3">
        <f t="shared" si="4"/>
        <v>6</v>
      </c>
      <c r="L163" s="3">
        <f t="shared" si="5"/>
        <v>6.19</v>
      </c>
    </row>
    <row r="164" spans="1:12" x14ac:dyDescent="0.3">
      <c r="A164" s="2">
        <v>36681</v>
      </c>
      <c r="B164" t="s">
        <v>13</v>
      </c>
      <c r="D164" s="2">
        <v>37412</v>
      </c>
      <c r="E164">
        <v>6</v>
      </c>
      <c r="G164" s="2">
        <v>37412</v>
      </c>
      <c r="H164">
        <v>6.19</v>
      </c>
      <c r="J164" s="2">
        <v>37419</v>
      </c>
      <c r="K164" s="3">
        <f t="shared" si="4"/>
        <v>6</v>
      </c>
      <c r="L164" s="3">
        <f t="shared" si="5"/>
        <v>6.19</v>
      </c>
    </row>
    <row r="165" spans="1:12" x14ac:dyDescent="0.3">
      <c r="A165" s="2">
        <v>36682</v>
      </c>
      <c r="B165" t="s">
        <v>13</v>
      </c>
      <c r="D165" s="2">
        <v>37413</v>
      </c>
      <c r="E165">
        <v>6</v>
      </c>
      <c r="G165" s="2">
        <v>37413</v>
      </c>
      <c r="H165">
        <v>6.19</v>
      </c>
      <c r="J165" s="2">
        <v>37420</v>
      </c>
      <c r="K165" s="3">
        <f t="shared" si="4"/>
        <v>6</v>
      </c>
      <c r="L165" s="3">
        <f t="shared" si="5"/>
        <v>6.19</v>
      </c>
    </row>
    <row r="166" spans="1:12" x14ac:dyDescent="0.3">
      <c r="A166" s="2">
        <v>36683</v>
      </c>
      <c r="B166" t="s">
        <v>13</v>
      </c>
      <c r="D166" s="2">
        <v>37414</v>
      </c>
      <c r="E166">
        <v>6</v>
      </c>
      <c r="G166" s="2">
        <v>37414</v>
      </c>
      <c r="H166">
        <v>6.19</v>
      </c>
      <c r="J166" s="2">
        <v>37421</v>
      </c>
      <c r="K166" s="3">
        <f t="shared" si="4"/>
        <v>6</v>
      </c>
      <c r="L166" s="3">
        <f t="shared" si="5"/>
        <v>6.19</v>
      </c>
    </row>
    <row r="167" spans="1:12" x14ac:dyDescent="0.3">
      <c r="A167" s="2">
        <v>36684</v>
      </c>
      <c r="B167" t="s">
        <v>13</v>
      </c>
      <c r="D167" s="2">
        <v>37415</v>
      </c>
      <c r="E167">
        <v>6</v>
      </c>
      <c r="G167" s="2">
        <v>37415</v>
      </c>
      <c r="H167">
        <v>6.19</v>
      </c>
      <c r="J167" s="2">
        <v>37422</v>
      </c>
      <c r="K167" s="3">
        <f t="shared" si="4"/>
        <v>6</v>
      </c>
      <c r="L167" s="3">
        <f t="shared" si="5"/>
        <v>6.19</v>
      </c>
    </row>
    <row r="168" spans="1:12" x14ac:dyDescent="0.3">
      <c r="A168" s="2">
        <v>36685</v>
      </c>
      <c r="B168" t="s">
        <v>13</v>
      </c>
      <c r="D168" s="2">
        <v>37416</v>
      </c>
      <c r="E168">
        <v>6</v>
      </c>
      <c r="G168" s="2">
        <v>37416</v>
      </c>
      <c r="H168">
        <v>6.19</v>
      </c>
      <c r="J168" s="2">
        <v>37423</v>
      </c>
      <c r="K168" s="3">
        <f t="shared" si="4"/>
        <v>6</v>
      </c>
      <c r="L168" s="3">
        <f t="shared" si="5"/>
        <v>6.19</v>
      </c>
    </row>
    <row r="169" spans="1:12" x14ac:dyDescent="0.3">
      <c r="A169" s="2">
        <v>36686</v>
      </c>
      <c r="B169" t="s">
        <v>13</v>
      </c>
      <c r="D169" s="2">
        <v>37417</v>
      </c>
      <c r="E169">
        <v>6</v>
      </c>
      <c r="G169" s="2">
        <v>37417</v>
      </c>
      <c r="H169">
        <v>6.19</v>
      </c>
      <c r="J169" s="2">
        <v>37424</v>
      </c>
      <c r="K169" s="3">
        <f t="shared" si="4"/>
        <v>6</v>
      </c>
      <c r="L169" s="3">
        <f t="shared" si="5"/>
        <v>6.19</v>
      </c>
    </row>
    <row r="170" spans="1:12" x14ac:dyDescent="0.3">
      <c r="A170" s="2">
        <v>36687</v>
      </c>
      <c r="B170" t="s">
        <v>13</v>
      </c>
      <c r="D170" s="2">
        <v>37418</v>
      </c>
      <c r="E170">
        <v>6</v>
      </c>
      <c r="G170" s="2">
        <v>37418</v>
      </c>
      <c r="H170">
        <v>6.19</v>
      </c>
      <c r="J170" s="2">
        <v>37425</v>
      </c>
      <c r="K170" s="3">
        <f t="shared" si="4"/>
        <v>6</v>
      </c>
      <c r="L170" s="3">
        <f t="shared" si="5"/>
        <v>6.19</v>
      </c>
    </row>
    <row r="171" spans="1:12" x14ac:dyDescent="0.3">
      <c r="A171" s="2">
        <v>36688</v>
      </c>
      <c r="B171" t="s">
        <v>13</v>
      </c>
      <c r="D171" s="2">
        <v>37419</v>
      </c>
      <c r="E171">
        <v>6</v>
      </c>
      <c r="G171" s="2">
        <v>37419</v>
      </c>
      <c r="H171">
        <v>6.19</v>
      </c>
      <c r="J171" s="2">
        <v>37426</v>
      </c>
      <c r="K171" s="3">
        <f t="shared" si="4"/>
        <v>6</v>
      </c>
      <c r="L171" s="3">
        <f t="shared" si="5"/>
        <v>6.19</v>
      </c>
    </row>
    <row r="172" spans="1:12" x14ac:dyDescent="0.3">
      <c r="A172" s="2">
        <v>36689</v>
      </c>
      <c r="B172" t="s">
        <v>13</v>
      </c>
      <c r="D172" s="2">
        <v>37420</v>
      </c>
      <c r="E172">
        <v>6</v>
      </c>
      <c r="G172" s="2">
        <v>37420</v>
      </c>
      <c r="H172">
        <v>6.19</v>
      </c>
      <c r="J172" s="2">
        <v>37427</v>
      </c>
      <c r="K172" s="3">
        <f t="shared" si="4"/>
        <v>6</v>
      </c>
      <c r="L172" s="3">
        <f t="shared" si="5"/>
        <v>6.19</v>
      </c>
    </row>
    <row r="173" spans="1:12" x14ac:dyDescent="0.3">
      <c r="A173" s="2">
        <v>36690</v>
      </c>
      <c r="B173" t="s">
        <v>13</v>
      </c>
      <c r="D173" s="2">
        <v>37421</v>
      </c>
      <c r="E173">
        <v>6</v>
      </c>
      <c r="G173" s="2">
        <v>37421</v>
      </c>
      <c r="H173">
        <v>6.19</v>
      </c>
      <c r="J173" s="2">
        <v>37428</v>
      </c>
      <c r="K173" s="3">
        <f t="shared" si="4"/>
        <v>6</v>
      </c>
      <c r="L173" s="3">
        <f t="shared" si="5"/>
        <v>6.19</v>
      </c>
    </row>
    <row r="174" spans="1:12" x14ac:dyDescent="0.3">
      <c r="A174" s="2">
        <v>36691</v>
      </c>
      <c r="B174" t="s">
        <v>13</v>
      </c>
      <c r="D174" s="2">
        <v>37422</v>
      </c>
      <c r="E174">
        <v>6</v>
      </c>
      <c r="G174" s="2">
        <v>37422</v>
      </c>
      <c r="H174">
        <v>6.19</v>
      </c>
      <c r="J174" s="2">
        <v>37429</v>
      </c>
      <c r="K174" s="3">
        <f t="shared" si="4"/>
        <v>6</v>
      </c>
      <c r="L174" s="3">
        <f t="shared" si="5"/>
        <v>6.19</v>
      </c>
    </row>
    <row r="175" spans="1:12" x14ac:dyDescent="0.3">
      <c r="A175" s="2">
        <v>36692</v>
      </c>
      <c r="B175" t="s">
        <v>13</v>
      </c>
      <c r="D175" s="2">
        <v>37423</v>
      </c>
      <c r="E175">
        <v>6</v>
      </c>
      <c r="G175" s="2">
        <v>37423</v>
      </c>
      <c r="H175">
        <v>6.19</v>
      </c>
      <c r="J175" s="2">
        <v>37430</v>
      </c>
      <c r="K175" s="3">
        <f t="shared" si="4"/>
        <v>6</v>
      </c>
      <c r="L175" s="3">
        <f t="shared" si="5"/>
        <v>6.19</v>
      </c>
    </row>
    <row r="176" spans="1:12" x14ac:dyDescent="0.3">
      <c r="A176" s="2">
        <v>36693</v>
      </c>
      <c r="B176" t="s">
        <v>13</v>
      </c>
      <c r="D176" s="2">
        <v>37424</v>
      </c>
      <c r="E176">
        <v>6</v>
      </c>
      <c r="G176" s="2">
        <v>37424</v>
      </c>
      <c r="H176">
        <v>6.19</v>
      </c>
      <c r="J176" s="2">
        <v>37431</v>
      </c>
      <c r="K176" s="3">
        <f t="shared" si="4"/>
        <v>6</v>
      </c>
      <c r="L176" s="3">
        <f t="shared" si="5"/>
        <v>6.19</v>
      </c>
    </row>
    <row r="177" spans="1:12" x14ac:dyDescent="0.3">
      <c r="A177" s="2">
        <v>36694</v>
      </c>
      <c r="B177" t="s">
        <v>13</v>
      </c>
      <c r="D177" s="2">
        <v>37425</v>
      </c>
      <c r="E177">
        <v>6</v>
      </c>
      <c r="G177" s="2">
        <v>37425</v>
      </c>
      <c r="H177">
        <v>6.19</v>
      </c>
      <c r="J177" s="2">
        <v>37432</v>
      </c>
      <c r="K177" s="3">
        <f t="shared" si="4"/>
        <v>6</v>
      </c>
      <c r="L177" s="3">
        <f t="shared" si="5"/>
        <v>6.19</v>
      </c>
    </row>
    <row r="178" spans="1:12" x14ac:dyDescent="0.3">
      <c r="A178" s="2">
        <v>36695</v>
      </c>
      <c r="B178" t="s">
        <v>13</v>
      </c>
      <c r="D178" s="2">
        <v>37426</v>
      </c>
      <c r="E178">
        <v>6</v>
      </c>
      <c r="G178" s="2">
        <v>37426</v>
      </c>
      <c r="H178">
        <v>6.19</v>
      </c>
      <c r="J178" s="2">
        <v>37433</v>
      </c>
      <c r="K178" s="3">
        <f t="shared" si="4"/>
        <v>6</v>
      </c>
      <c r="L178" s="3">
        <f t="shared" si="5"/>
        <v>6.19</v>
      </c>
    </row>
    <row r="179" spans="1:12" x14ac:dyDescent="0.3">
      <c r="A179" s="2">
        <v>36696</v>
      </c>
      <c r="B179" t="s">
        <v>13</v>
      </c>
      <c r="D179" s="2">
        <v>37427</v>
      </c>
      <c r="E179">
        <v>6</v>
      </c>
      <c r="G179" s="2">
        <v>37427</v>
      </c>
      <c r="H179">
        <v>6.19</v>
      </c>
      <c r="J179" s="2">
        <v>37434</v>
      </c>
      <c r="K179" s="3">
        <f t="shared" si="4"/>
        <v>5.75</v>
      </c>
      <c r="L179" s="3">
        <f t="shared" si="5"/>
        <v>6.19</v>
      </c>
    </row>
    <row r="180" spans="1:12" x14ac:dyDescent="0.3">
      <c r="A180" s="2">
        <v>36697</v>
      </c>
      <c r="B180" t="s">
        <v>13</v>
      </c>
      <c r="D180" s="2">
        <v>37428</v>
      </c>
      <c r="E180">
        <v>6</v>
      </c>
      <c r="G180" s="2">
        <v>37428</v>
      </c>
      <c r="H180">
        <v>6.19</v>
      </c>
      <c r="J180" s="2">
        <v>37435</v>
      </c>
      <c r="K180" s="3">
        <f t="shared" si="4"/>
        <v>5.75</v>
      </c>
      <c r="L180" s="3">
        <f t="shared" si="5"/>
        <v>6.19</v>
      </c>
    </row>
    <row r="181" spans="1:12" x14ac:dyDescent="0.3">
      <c r="A181" s="2">
        <v>36698</v>
      </c>
      <c r="B181" t="s">
        <v>13</v>
      </c>
      <c r="D181" s="2">
        <v>37429</v>
      </c>
      <c r="E181">
        <v>6</v>
      </c>
      <c r="G181" s="2">
        <v>37429</v>
      </c>
      <c r="H181">
        <v>6.19</v>
      </c>
      <c r="J181" s="2">
        <v>37436</v>
      </c>
      <c r="K181" s="3">
        <f t="shared" si="4"/>
        <v>5.75</v>
      </c>
      <c r="L181" s="3">
        <f t="shared" si="5"/>
        <v>6.19</v>
      </c>
    </row>
    <row r="182" spans="1:12" x14ac:dyDescent="0.3">
      <c r="A182" s="2">
        <v>36699</v>
      </c>
      <c r="B182" t="s">
        <v>13</v>
      </c>
      <c r="D182" s="2">
        <v>37430</v>
      </c>
      <c r="E182">
        <v>6</v>
      </c>
      <c r="G182" s="2">
        <v>37430</v>
      </c>
      <c r="H182">
        <v>6.19</v>
      </c>
      <c r="J182" s="2">
        <v>37437</v>
      </c>
      <c r="K182" s="3">
        <f t="shared" si="4"/>
        <v>5.75</v>
      </c>
      <c r="L182" s="3">
        <f t="shared" si="5"/>
        <v>6.19</v>
      </c>
    </row>
    <row r="183" spans="1:12" x14ac:dyDescent="0.3">
      <c r="A183" s="2">
        <v>36700</v>
      </c>
      <c r="B183" t="s">
        <v>13</v>
      </c>
      <c r="D183" s="2">
        <v>37431</v>
      </c>
      <c r="E183">
        <v>6</v>
      </c>
      <c r="G183" s="2">
        <v>37431</v>
      </c>
      <c r="H183">
        <v>6.19</v>
      </c>
      <c r="J183" s="2">
        <v>37438</v>
      </c>
      <c r="K183" s="3">
        <f t="shared" si="4"/>
        <v>5.75</v>
      </c>
      <c r="L183" s="3">
        <f t="shared" si="5"/>
        <v>6.19</v>
      </c>
    </row>
    <row r="184" spans="1:12" x14ac:dyDescent="0.3">
      <c r="A184" s="2">
        <v>36701</v>
      </c>
      <c r="B184" t="s">
        <v>13</v>
      </c>
      <c r="D184" s="2">
        <v>37432</v>
      </c>
      <c r="E184">
        <v>6</v>
      </c>
      <c r="G184" s="2">
        <v>37432</v>
      </c>
      <c r="H184">
        <v>6.19</v>
      </c>
      <c r="J184" s="2">
        <v>37439</v>
      </c>
      <c r="K184" s="3">
        <f t="shared" si="4"/>
        <v>5.75</v>
      </c>
      <c r="L184" s="3">
        <f t="shared" si="5"/>
        <v>6.19</v>
      </c>
    </row>
    <row r="185" spans="1:12" x14ac:dyDescent="0.3">
      <c r="A185" s="2">
        <v>36702</v>
      </c>
      <c r="B185" t="s">
        <v>13</v>
      </c>
      <c r="D185" s="2">
        <v>37433</v>
      </c>
      <c r="E185">
        <v>6</v>
      </c>
      <c r="G185" s="2">
        <v>37433</v>
      </c>
      <c r="H185">
        <v>6.19</v>
      </c>
      <c r="J185" s="2">
        <v>37440</v>
      </c>
      <c r="K185" s="3">
        <f t="shared" si="4"/>
        <v>5.75</v>
      </c>
      <c r="L185" s="3">
        <f t="shared" si="5"/>
        <v>6.19</v>
      </c>
    </row>
    <row r="186" spans="1:12" x14ac:dyDescent="0.3">
      <c r="A186" s="2">
        <v>36703</v>
      </c>
      <c r="B186" t="s">
        <v>13</v>
      </c>
      <c r="D186" s="2">
        <v>37434</v>
      </c>
      <c r="E186">
        <v>5.75</v>
      </c>
      <c r="G186" s="2">
        <v>37434</v>
      </c>
      <c r="H186">
        <v>6.19</v>
      </c>
      <c r="J186" s="2">
        <v>37441</v>
      </c>
      <c r="K186" s="3">
        <f t="shared" si="4"/>
        <v>5.75</v>
      </c>
      <c r="L186" s="3">
        <f t="shared" si="5"/>
        <v>6.19</v>
      </c>
    </row>
    <row r="187" spans="1:12" x14ac:dyDescent="0.3">
      <c r="A187" s="2">
        <v>36704</v>
      </c>
      <c r="B187" t="s">
        <v>13</v>
      </c>
      <c r="D187" s="2">
        <v>37435</v>
      </c>
      <c r="E187">
        <v>5.75</v>
      </c>
      <c r="G187" s="2">
        <v>37435</v>
      </c>
      <c r="H187">
        <v>6.19</v>
      </c>
      <c r="J187" s="2">
        <v>37442</v>
      </c>
      <c r="K187" s="3">
        <f t="shared" si="4"/>
        <v>5.75</v>
      </c>
      <c r="L187" s="3">
        <f t="shared" si="5"/>
        <v>6.19</v>
      </c>
    </row>
    <row r="188" spans="1:12" x14ac:dyDescent="0.3">
      <c r="A188" s="2">
        <v>36705</v>
      </c>
      <c r="B188" t="s">
        <v>13</v>
      </c>
      <c r="D188" s="2">
        <v>37436</v>
      </c>
      <c r="E188">
        <v>5.75</v>
      </c>
      <c r="G188" s="2">
        <v>37436</v>
      </c>
      <c r="H188">
        <v>6.19</v>
      </c>
      <c r="J188" s="2">
        <v>37443</v>
      </c>
      <c r="K188" s="3">
        <f t="shared" si="4"/>
        <v>5.75</v>
      </c>
      <c r="L188" s="3">
        <f t="shared" si="5"/>
        <v>6.19</v>
      </c>
    </row>
    <row r="189" spans="1:12" x14ac:dyDescent="0.3">
      <c r="A189" s="2">
        <v>36706</v>
      </c>
      <c r="B189" t="s">
        <v>13</v>
      </c>
      <c r="D189" s="2">
        <v>37437</v>
      </c>
      <c r="E189">
        <v>5.75</v>
      </c>
      <c r="G189" s="2">
        <v>37437</v>
      </c>
      <c r="H189">
        <v>6.19</v>
      </c>
      <c r="J189" s="2">
        <v>37444</v>
      </c>
      <c r="K189" s="3">
        <f t="shared" si="4"/>
        <v>5.75</v>
      </c>
      <c r="L189" s="3">
        <f t="shared" si="5"/>
        <v>6.19</v>
      </c>
    </row>
    <row r="190" spans="1:12" x14ac:dyDescent="0.3">
      <c r="A190" s="2">
        <v>36707</v>
      </c>
      <c r="B190" t="s">
        <v>13</v>
      </c>
      <c r="D190" s="2">
        <v>37438</v>
      </c>
      <c r="E190">
        <v>5.75</v>
      </c>
      <c r="G190" s="2">
        <v>37438</v>
      </c>
      <c r="H190">
        <v>6.19</v>
      </c>
      <c r="J190" s="2">
        <v>37445</v>
      </c>
      <c r="K190" s="3">
        <f t="shared" si="4"/>
        <v>5.75</v>
      </c>
      <c r="L190" s="3">
        <f t="shared" si="5"/>
        <v>6.19</v>
      </c>
    </row>
    <row r="191" spans="1:12" x14ac:dyDescent="0.3">
      <c r="A191" s="2">
        <v>36708</v>
      </c>
      <c r="B191" t="s">
        <v>13</v>
      </c>
      <c r="D191" s="2">
        <v>37439</v>
      </c>
      <c r="E191">
        <v>5.75</v>
      </c>
      <c r="G191" s="2">
        <v>37439</v>
      </c>
      <c r="H191">
        <v>6.19</v>
      </c>
      <c r="J191" s="2">
        <v>37446</v>
      </c>
      <c r="K191" s="3">
        <f t="shared" si="4"/>
        <v>5.75</v>
      </c>
      <c r="L191" s="3">
        <f t="shared" si="5"/>
        <v>6.19</v>
      </c>
    </row>
    <row r="192" spans="1:12" x14ac:dyDescent="0.3">
      <c r="A192" s="2">
        <v>36709</v>
      </c>
      <c r="B192" t="s">
        <v>13</v>
      </c>
      <c r="D192" s="2">
        <v>37440</v>
      </c>
      <c r="E192">
        <v>5.75</v>
      </c>
      <c r="G192" s="2">
        <v>37440</v>
      </c>
      <c r="H192">
        <v>6.19</v>
      </c>
      <c r="J192" s="2">
        <v>37447</v>
      </c>
      <c r="K192" s="3">
        <f t="shared" si="4"/>
        <v>5.75</v>
      </c>
      <c r="L192" s="3">
        <f t="shared" si="5"/>
        <v>6.19</v>
      </c>
    </row>
    <row r="193" spans="1:12" x14ac:dyDescent="0.3">
      <c r="A193" s="2">
        <v>36710</v>
      </c>
      <c r="B193" t="s">
        <v>13</v>
      </c>
      <c r="D193" s="2">
        <v>37441</v>
      </c>
      <c r="E193">
        <v>5.75</v>
      </c>
      <c r="G193" s="2">
        <v>37441</v>
      </c>
      <c r="H193">
        <v>6.19</v>
      </c>
      <c r="J193" s="2">
        <v>37448</v>
      </c>
      <c r="K193" s="3">
        <f t="shared" si="4"/>
        <v>5.75</v>
      </c>
      <c r="L193" s="3">
        <f t="shared" si="5"/>
        <v>6.19</v>
      </c>
    </row>
    <row r="194" spans="1:12" x14ac:dyDescent="0.3">
      <c r="A194" s="2">
        <v>36711</v>
      </c>
      <c r="B194" t="s">
        <v>13</v>
      </c>
      <c r="D194" s="2">
        <v>37442</v>
      </c>
      <c r="E194">
        <v>5.75</v>
      </c>
      <c r="G194" s="2">
        <v>37442</v>
      </c>
      <c r="H194">
        <v>6.19</v>
      </c>
      <c r="J194" s="2">
        <v>37449</v>
      </c>
      <c r="K194" s="3">
        <f t="shared" si="4"/>
        <v>5.75</v>
      </c>
      <c r="L194" s="3">
        <f t="shared" si="5"/>
        <v>6.19</v>
      </c>
    </row>
    <row r="195" spans="1:12" x14ac:dyDescent="0.3">
      <c r="A195" s="2">
        <v>36712</v>
      </c>
      <c r="B195" t="s">
        <v>13</v>
      </c>
      <c r="D195" s="2">
        <v>37443</v>
      </c>
      <c r="E195">
        <v>5.75</v>
      </c>
      <c r="G195" s="2">
        <v>37443</v>
      </c>
      <c r="H195">
        <v>6.19</v>
      </c>
      <c r="J195" s="2">
        <v>37450</v>
      </c>
      <c r="K195" s="3">
        <f t="shared" ref="K195:K258" si="6">E202</f>
        <v>5.75</v>
      </c>
      <c r="L195" s="3">
        <f t="shared" ref="L195:L258" si="7">H202</f>
        <v>6.19</v>
      </c>
    </row>
    <row r="196" spans="1:12" x14ac:dyDescent="0.3">
      <c r="A196" s="2">
        <v>36713</v>
      </c>
      <c r="B196" t="s">
        <v>13</v>
      </c>
      <c r="D196" s="2">
        <v>37444</v>
      </c>
      <c r="E196">
        <v>5.75</v>
      </c>
      <c r="G196" s="2">
        <v>37444</v>
      </c>
      <c r="H196">
        <v>6.19</v>
      </c>
      <c r="J196" s="2">
        <v>37451</v>
      </c>
      <c r="K196" s="3">
        <f t="shared" si="6"/>
        <v>5.75</v>
      </c>
      <c r="L196" s="3">
        <f t="shared" si="7"/>
        <v>6.19</v>
      </c>
    </row>
    <row r="197" spans="1:12" x14ac:dyDescent="0.3">
      <c r="A197" s="2">
        <v>36714</v>
      </c>
      <c r="B197" t="s">
        <v>13</v>
      </c>
      <c r="D197" s="2">
        <v>37445</v>
      </c>
      <c r="E197">
        <v>5.75</v>
      </c>
      <c r="G197" s="2">
        <v>37445</v>
      </c>
      <c r="H197">
        <v>6.19</v>
      </c>
      <c r="J197" s="2">
        <v>37452</v>
      </c>
      <c r="K197" s="3">
        <f t="shared" si="6"/>
        <v>5.75</v>
      </c>
      <c r="L197" s="3">
        <f t="shared" si="7"/>
        <v>6.19</v>
      </c>
    </row>
    <row r="198" spans="1:12" x14ac:dyDescent="0.3">
      <c r="A198" s="2">
        <v>36715</v>
      </c>
      <c r="B198" t="s">
        <v>13</v>
      </c>
      <c r="D198" s="2">
        <v>37446</v>
      </c>
      <c r="E198">
        <v>5.75</v>
      </c>
      <c r="G198" s="2">
        <v>37446</v>
      </c>
      <c r="H198">
        <v>6.19</v>
      </c>
      <c r="J198" s="2">
        <v>37453</v>
      </c>
      <c r="K198" s="3">
        <f t="shared" si="6"/>
        <v>5.75</v>
      </c>
      <c r="L198" s="3">
        <f t="shared" si="7"/>
        <v>6.19</v>
      </c>
    </row>
    <row r="199" spans="1:12" x14ac:dyDescent="0.3">
      <c r="A199" s="2">
        <v>36716</v>
      </c>
      <c r="B199" t="s">
        <v>13</v>
      </c>
      <c r="D199" s="2">
        <v>37447</v>
      </c>
      <c r="E199">
        <v>5.75</v>
      </c>
      <c r="G199" s="2">
        <v>37447</v>
      </c>
      <c r="H199">
        <v>6.19</v>
      </c>
      <c r="J199" s="2">
        <v>37454</v>
      </c>
      <c r="K199" s="3">
        <f t="shared" si="6"/>
        <v>5.75</v>
      </c>
      <c r="L199" s="3">
        <f t="shared" si="7"/>
        <v>6.19</v>
      </c>
    </row>
    <row r="200" spans="1:12" x14ac:dyDescent="0.3">
      <c r="A200" s="2">
        <v>36717</v>
      </c>
      <c r="B200" t="s">
        <v>13</v>
      </c>
      <c r="D200" s="2">
        <v>37448</v>
      </c>
      <c r="E200">
        <v>5.75</v>
      </c>
      <c r="G200" s="2">
        <v>37448</v>
      </c>
      <c r="H200">
        <v>6.19</v>
      </c>
      <c r="J200" s="2">
        <v>37455</v>
      </c>
      <c r="K200" s="3">
        <f t="shared" si="6"/>
        <v>5.75</v>
      </c>
      <c r="L200" s="3">
        <f t="shared" si="7"/>
        <v>6.19</v>
      </c>
    </row>
    <row r="201" spans="1:12" x14ac:dyDescent="0.3">
      <c r="A201" s="2">
        <v>36718</v>
      </c>
      <c r="B201" t="s">
        <v>13</v>
      </c>
      <c r="D201" s="2">
        <v>37449</v>
      </c>
      <c r="E201">
        <v>5.75</v>
      </c>
      <c r="G201" s="2">
        <v>37449</v>
      </c>
      <c r="H201">
        <v>6.19</v>
      </c>
      <c r="J201" s="2">
        <v>37456</v>
      </c>
      <c r="K201" s="3">
        <f t="shared" si="6"/>
        <v>5.75</v>
      </c>
      <c r="L201" s="3">
        <f t="shared" si="7"/>
        <v>6.19</v>
      </c>
    </row>
    <row r="202" spans="1:12" x14ac:dyDescent="0.3">
      <c r="A202" s="2">
        <v>36719</v>
      </c>
      <c r="B202" t="s">
        <v>13</v>
      </c>
      <c r="D202" s="2">
        <v>37450</v>
      </c>
      <c r="E202">
        <v>5.75</v>
      </c>
      <c r="G202" s="2">
        <v>37450</v>
      </c>
      <c r="H202">
        <v>6.19</v>
      </c>
      <c r="J202" s="2">
        <v>37457</v>
      </c>
      <c r="K202" s="3">
        <f t="shared" si="6"/>
        <v>5.75</v>
      </c>
      <c r="L202" s="3">
        <f t="shared" si="7"/>
        <v>6.19</v>
      </c>
    </row>
    <row r="203" spans="1:12" x14ac:dyDescent="0.3">
      <c r="A203" s="2">
        <v>36720</v>
      </c>
      <c r="B203" t="s">
        <v>13</v>
      </c>
      <c r="D203" s="2">
        <v>37451</v>
      </c>
      <c r="E203">
        <v>5.75</v>
      </c>
      <c r="G203" s="2">
        <v>37451</v>
      </c>
      <c r="H203">
        <v>6.19</v>
      </c>
      <c r="J203" s="2">
        <v>37458</v>
      </c>
      <c r="K203" s="3">
        <f t="shared" si="6"/>
        <v>5.75</v>
      </c>
      <c r="L203" s="3">
        <f t="shared" si="7"/>
        <v>6.19</v>
      </c>
    </row>
    <row r="204" spans="1:12" x14ac:dyDescent="0.3">
      <c r="A204" s="2">
        <v>36721</v>
      </c>
      <c r="B204" t="s">
        <v>13</v>
      </c>
      <c r="D204" s="2">
        <v>37452</v>
      </c>
      <c r="E204">
        <v>5.75</v>
      </c>
      <c r="G204" s="2">
        <v>37452</v>
      </c>
      <c r="H204">
        <v>6.19</v>
      </c>
      <c r="J204" s="2">
        <v>37459</v>
      </c>
      <c r="K204" s="3">
        <f t="shared" si="6"/>
        <v>5.75</v>
      </c>
      <c r="L204" s="3">
        <f t="shared" si="7"/>
        <v>6.19</v>
      </c>
    </row>
    <row r="205" spans="1:12" x14ac:dyDescent="0.3">
      <c r="A205" s="2">
        <v>36722</v>
      </c>
      <c r="B205" t="s">
        <v>13</v>
      </c>
      <c r="D205" s="2">
        <v>37453</v>
      </c>
      <c r="E205">
        <v>5.75</v>
      </c>
      <c r="G205" s="2">
        <v>37453</v>
      </c>
      <c r="H205">
        <v>6.19</v>
      </c>
      <c r="J205" s="2">
        <v>37460</v>
      </c>
      <c r="K205" s="3">
        <f t="shared" si="6"/>
        <v>5.75</v>
      </c>
      <c r="L205" s="3">
        <f t="shared" si="7"/>
        <v>6.19</v>
      </c>
    </row>
    <row r="206" spans="1:12" x14ac:dyDescent="0.3">
      <c r="A206" s="2">
        <v>36723</v>
      </c>
      <c r="B206" t="s">
        <v>13</v>
      </c>
      <c r="D206" s="2">
        <v>37454</v>
      </c>
      <c r="E206">
        <v>5.75</v>
      </c>
      <c r="G206" s="2">
        <v>37454</v>
      </c>
      <c r="H206">
        <v>6.19</v>
      </c>
      <c r="J206" s="2">
        <v>37461</v>
      </c>
      <c r="K206" s="3">
        <f t="shared" si="6"/>
        <v>5.75</v>
      </c>
      <c r="L206" s="3">
        <f t="shared" si="7"/>
        <v>6.19</v>
      </c>
    </row>
    <row r="207" spans="1:12" x14ac:dyDescent="0.3">
      <c r="A207" s="2">
        <v>36724</v>
      </c>
      <c r="B207" t="s">
        <v>13</v>
      </c>
      <c r="D207" s="2">
        <v>37455</v>
      </c>
      <c r="E207">
        <v>5.75</v>
      </c>
      <c r="G207" s="2">
        <v>37455</v>
      </c>
      <c r="H207">
        <v>6.19</v>
      </c>
      <c r="J207" s="2">
        <v>37462</v>
      </c>
      <c r="K207" s="3">
        <f t="shared" si="6"/>
        <v>5.75</v>
      </c>
      <c r="L207" s="3">
        <f t="shared" si="7"/>
        <v>6.19</v>
      </c>
    </row>
    <row r="208" spans="1:12" x14ac:dyDescent="0.3">
      <c r="A208" s="2">
        <v>36725</v>
      </c>
      <c r="B208" t="s">
        <v>13</v>
      </c>
      <c r="D208" s="2">
        <v>37456</v>
      </c>
      <c r="E208">
        <v>5.75</v>
      </c>
      <c r="G208" s="2">
        <v>37456</v>
      </c>
      <c r="H208">
        <v>6.19</v>
      </c>
      <c r="J208" s="2">
        <v>37463</v>
      </c>
      <c r="K208" s="3">
        <f t="shared" si="6"/>
        <v>5.75</v>
      </c>
      <c r="L208" s="3">
        <f t="shared" si="7"/>
        <v>6.19</v>
      </c>
    </row>
    <row r="209" spans="1:12" x14ac:dyDescent="0.3">
      <c r="A209" s="2">
        <v>36726</v>
      </c>
      <c r="B209" t="s">
        <v>13</v>
      </c>
      <c r="D209" s="2">
        <v>37457</v>
      </c>
      <c r="E209">
        <v>5.75</v>
      </c>
      <c r="G209" s="2">
        <v>37457</v>
      </c>
      <c r="H209">
        <v>6.19</v>
      </c>
      <c r="J209" s="2">
        <v>37464</v>
      </c>
      <c r="K209" s="3">
        <f t="shared" si="6"/>
        <v>5.75</v>
      </c>
      <c r="L209" s="3">
        <f t="shared" si="7"/>
        <v>6.19</v>
      </c>
    </row>
    <row r="210" spans="1:12" x14ac:dyDescent="0.3">
      <c r="A210" s="2">
        <v>36727</v>
      </c>
      <c r="B210" t="s">
        <v>13</v>
      </c>
      <c r="D210" s="2">
        <v>37458</v>
      </c>
      <c r="E210">
        <v>5.75</v>
      </c>
      <c r="G210" s="2">
        <v>37458</v>
      </c>
      <c r="H210">
        <v>6.19</v>
      </c>
      <c r="J210" s="2">
        <v>37465</v>
      </c>
      <c r="K210" s="3">
        <f t="shared" si="6"/>
        <v>5.75</v>
      </c>
      <c r="L210" s="3">
        <f t="shared" si="7"/>
        <v>6.19</v>
      </c>
    </row>
    <row r="211" spans="1:12" x14ac:dyDescent="0.3">
      <c r="A211" s="2">
        <v>36728</v>
      </c>
      <c r="B211" t="s">
        <v>13</v>
      </c>
      <c r="D211" s="2">
        <v>37459</v>
      </c>
      <c r="E211">
        <v>5.75</v>
      </c>
      <c r="G211" s="2">
        <v>37459</v>
      </c>
      <c r="H211">
        <v>6.19</v>
      </c>
      <c r="J211" s="2">
        <v>37466</v>
      </c>
      <c r="K211" s="3">
        <f t="shared" si="6"/>
        <v>5.75</v>
      </c>
      <c r="L211" s="3">
        <f t="shared" si="7"/>
        <v>6.19</v>
      </c>
    </row>
    <row r="212" spans="1:12" x14ac:dyDescent="0.3">
      <c r="A212" s="2">
        <v>36729</v>
      </c>
      <c r="B212" t="s">
        <v>13</v>
      </c>
      <c r="D212" s="2">
        <v>37460</v>
      </c>
      <c r="E212">
        <v>5.75</v>
      </c>
      <c r="G212" s="2">
        <v>37460</v>
      </c>
      <c r="H212">
        <v>6.19</v>
      </c>
      <c r="J212" s="2">
        <v>37467</v>
      </c>
      <c r="K212" s="3">
        <f t="shared" si="6"/>
        <v>5.75</v>
      </c>
      <c r="L212" s="3">
        <f t="shared" si="7"/>
        <v>6.19</v>
      </c>
    </row>
    <row r="213" spans="1:12" x14ac:dyDescent="0.3">
      <c r="A213" s="2">
        <v>36730</v>
      </c>
      <c r="B213" t="s">
        <v>13</v>
      </c>
      <c r="D213" s="2">
        <v>37461</v>
      </c>
      <c r="E213">
        <v>5.75</v>
      </c>
      <c r="G213" s="2">
        <v>37461</v>
      </c>
      <c r="H213">
        <v>6.19</v>
      </c>
      <c r="J213" s="2">
        <v>37468</v>
      </c>
      <c r="K213" s="3">
        <f t="shared" si="6"/>
        <v>5.75</v>
      </c>
      <c r="L213" s="3">
        <f t="shared" si="7"/>
        <v>6.19</v>
      </c>
    </row>
    <row r="214" spans="1:12" x14ac:dyDescent="0.3">
      <c r="A214" s="2">
        <v>36731</v>
      </c>
      <c r="B214" t="s">
        <v>13</v>
      </c>
      <c r="D214" s="2">
        <v>37462</v>
      </c>
      <c r="E214">
        <v>5.75</v>
      </c>
      <c r="G214" s="2">
        <v>37462</v>
      </c>
      <c r="H214">
        <v>6.19</v>
      </c>
      <c r="J214" s="2">
        <v>37469</v>
      </c>
      <c r="K214" s="3">
        <f t="shared" si="6"/>
        <v>5.75</v>
      </c>
      <c r="L214" s="3">
        <f t="shared" si="7"/>
        <v>6.19</v>
      </c>
    </row>
    <row r="215" spans="1:12" x14ac:dyDescent="0.3">
      <c r="A215" s="2">
        <v>36732</v>
      </c>
      <c r="B215" t="s">
        <v>13</v>
      </c>
      <c r="D215" s="2">
        <v>37463</v>
      </c>
      <c r="E215">
        <v>5.75</v>
      </c>
      <c r="G215" s="2">
        <v>37463</v>
      </c>
      <c r="H215">
        <v>6.19</v>
      </c>
      <c r="J215" s="2">
        <v>37470</v>
      </c>
      <c r="K215" s="3">
        <f t="shared" si="6"/>
        <v>5.75</v>
      </c>
      <c r="L215" s="3">
        <f t="shared" si="7"/>
        <v>6.19</v>
      </c>
    </row>
    <row r="216" spans="1:12" x14ac:dyDescent="0.3">
      <c r="A216" s="2">
        <v>36733</v>
      </c>
      <c r="B216" t="s">
        <v>13</v>
      </c>
      <c r="D216" s="2">
        <v>37464</v>
      </c>
      <c r="E216">
        <v>5.75</v>
      </c>
      <c r="G216" s="2">
        <v>37464</v>
      </c>
      <c r="H216">
        <v>6.19</v>
      </c>
      <c r="J216" s="2">
        <v>37471</v>
      </c>
      <c r="K216" s="3">
        <f t="shared" si="6"/>
        <v>5.75</v>
      </c>
      <c r="L216" s="3">
        <f t="shared" si="7"/>
        <v>6.19</v>
      </c>
    </row>
    <row r="217" spans="1:12" x14ac:dyDescent="0.3">
      <c r="A217" s="2">
        <v>36734</v>
      </c>
      <c r="B217" t="s">
        <v>13</v>
      </c>
      <c r="D217" s="2">
        <v>37465</v>
      </c>
      <c r="E217">
        <v>5.75</v>
      </c>
      <c r="G217" s="2">
        <v>37465</v>
      </c>
      <c r="H217">
        <v>6.19</v>
      </c>
      <c r="J217" s="2">
        <v>37472</v>
      </c>
      <c r="K217" s="3">
        <f t="shared" si="6"/>
        <v>5.75</v>
      </c>
      <c r="L217" s="3">
        <f t="shared" si="7"/>
        <v>6.19</v>
      </c>
    </row>
    <row r="218" spans="1:12" x14ac:dyDescent="0.3">
      <c r="A218" s="2">
        <v>36735</v>
      </c>
      <c r="B218" t="s">
        <v>13</v>
      </c>
      <c r="D218" s="2">
        <v>37466</v>
      </c>
      <c r="E218">
        <v>5.75</v>
      </c>
      <c r="G218" s="2">
        <v>37466</v>
      </c>
      <c r="H218">
        <v>6.19</v>
      </c>
      <c r="J218" s="2">
        <v>37473</v>
      </c>
      <c r="K218" s="3">
        <f t="shared" si="6"/>
        <v>5.75</v>
      </c>
      <c r="L218" s="3">
        <f t="shared" si="7"/>
        <v>6.19</v>
      </c>
    </row>
    <row r="219" spans="1:12" x14ac:dyDescent="0.3">
      <c r="A219" s="2">
        <v>36736</v>
      </c>
      <c r="B219" t="s">
        <v>13</v>
      </c>
      <c r="D219" s="2">
        <v>37467</v>
      </c>
      <c r="E219">
        <v>5.75</v>
      </c>
      <c r="G219" s="2">
        <v>37467</v>
      </c>
      <c r="H219">
        <v>6.19</v>
      </c>
      <c r="J219" s="2">
        <v>37474</v>
      </c>
      <c r="K219" s="3">
        <f t="shared" si="6"/>
        <v>5.75</v>
      </c>
      <c r="L219" s="3">
        <f t="shared" si="7"/>
        <v>6.19</v>
      </c>
    </row>
    <row r="220" spans="1:12" x14ac:dyDescent="0.3">
      <c r="A220" s="2">
        <v>36737</v>
      </c>
      <c r="B220" t="s">
        <v>13</v>
      </c>
      <c r="D220" s="2">
        <v>37468</v>
      </c>
      <c r="E220">
        <v>5.75</v>
      </c>
      <c r="G220" s="2">
        <v>37468</v>
      </c>
      <c r="H220">
        <v>6.19</v>
      </c>
      <c r="J220" s="2">
        <v>37475</v>
      </c>
      <c r="K220" s="3">
        <f t="shared" si="6"/>
        <v>5.75</v>
      </c>
      <c r="L220" s="3">
        <f t="shared" si="7"/>
        <v>6.19</v>
      </c>
    </row>
    <row r="221" spans="1:12" x14ac:dyDescent="0.3">
      <c r="A221" s="2">
        <v>36738</v>
      </c>
      <c r="B221" t="s">
        <v>13</v>
      </c>
      <c r="D221" s="2">
        <v>37469</v>
      </c>
      <c r="E221">
        <v>5.75</v>
      </c>
      <c r="G221" s="2">
        <v>37469</v>
      </c>
      <c r="H221">
        <v>6.19</v>
      </c>
      <c r="J221" s="2">
        <v>37476</v>
      </c>
      <c r="K221" s="3">
        <f t="shared" si="6"/>
        <v>5.75</v>
      </c>
      <c r="L221" s="3">
        <f t="shared" si="7"/>
        <v>6.19</v>
      </c>
    </row>
    <row r="222" spans="1:12" x14ac:dyDescent="0.3">
      <c r="A222" s="2">
        <v>36739</v>
      </c>
      <c r="B222" t="s">
        <v>13</v>
      </c>
      <c r="D222" s="2">
        <v>37470</v>
      </c>
      <c r="E222">
        <v>5.75</v>
      </c>
      <c r="G222" s="2">
        <v>37470</v>
      </c>
      <c r="H222">
        <v>6.19</v>
      </c>
      <c r="J222" s="2">
        <v>37477</v>
      </c>
      <c r="K222" s="3">
        <f t="shared" si="6"/>
        <v>5.75</v>
      </c>
      <c r="L222" s="3">
        <f t="shared" si="7"/>
        <v>6.19</v>
      </c>
    </row>
    <row r="223" spans="1:12" x14ac:dyDescent="0.3">
      <c r="A223" s="2">
        <v>36740</v>
      </c>
      <c r="B223" t="s">
        <v>13</v>
      </c>
      <c r="D223" s="2">
        <v>37471</v>
      </c>
      <c r="E223">
        <v>5.75</v>
      </c>
      <c r="G223" s="2">
        <v>37471</v>
      </c>
      <c r="H223">
        <v>6.19</v>
      </c>
      <c r="J223" s="2">
        <v>37478</v>
      </c>
      <c r="K223" s="3">
        <f t="shared" si="6"/>
        <v>5.75</v>
      </c>
      <c r="L223" s="3">
        <f t="shared" si="7"/>
        <v>6.19</v>
      </c>
    </row>
    <row r="224" spans="1:12" x14ac:dyDescent="0.3">
      <c r="A224" s="2">
        <v>36741</v>
      </c>
      <c r="B224" t="s">
        <v>13</v>
      </c>
      <c r="D224" s="2">
        <v>37472</v>
      </c>
      <c r="E224">
        <v>5.75</v>
      </c>
      <c r="G224" s="2">
        <v>37472</v>
      </c>
      <c r="H224">
        <v>6.19</v>
      </c>
      <c r="J224" s="2">
        <v>37479</v>
      </c>
      <c r="K224" s="3">
        <f t="shared" si="6"/>
        <v>5.75</v>
      </c>
      <c r="L224" s="3">
        <f t="shared" si="7"/>
        <v>6.19</v>
      </c>
    </row>
    <row r="225" spans="1:12" x14ac:dyDescent="0.3">
      <c r="A225" s="2">
        <v>36742</v>
      </c>
      <c r="B225" t="s">
        <v>13</v>
      </c>
      <c r="D225" s="2">
        <v>37473</v>
      </c>
      <c r="E225">
        <v>5.75</v>
      </c>
      <c r="G225" s="2">
        <v>37473</v>
      </c>
      <c r="H225">
        <v>6.19</v>
      </c>
      <c r="J225" s="2">
        <v>37480</v>
      </c>
      <c r="K225" s="3">
        <f t="shared" si="6"/>
        <v>5.75</v>
      </c>
      <c r="L225" s="3">
        <f t="shared" si="7"/>
        <v>6.19</v>
      </c>
    </row>
    <row r="226" spans="1:12" x14ac:dyDescent="0.3">
      <c r="A226" s="2">
        <v>36743</v>
      </c>
      <c r="B226" t="s">
        <v>13</v>
      </c>
      <c r="D226" s="2">
        <v>37474</v>
      </c>
      <c r="E226">
        <v>5.75</v>
      </c>
      <c r="G226" s="2">
        <v>37474</v>
      </c>
      <c r="H226">
        <v>6.19</v>
      </c>
      <c r="J226" s="2">
        <v>37481</v>
      </c>
      <c r="K226" s="3">
        <f t="shared" si="6"/>
        <v>5.75</v>
      </c>
      <c r="L226" s="3">
        <f t="shared" si="7"/>
        <v>6.19</v>
      </c>
    </row>
    <row r="227" spans="1:12" x14ac:dyDescent="0.3">
      <c r="A227" s="2">
        <v>36744</v>
      </c>
      <c r="B227" t="s">
        <v>13</v>
      </c>
      <c r="D227" s="2">
        <v>37475</v>
      </c>
      <c r="E227">
        <v>5.75</v>
      </c>
      <c r="G227" s="2">
        <v>37475</v>
      </c>
      <c r="H227">
        <v>6.19</v>
      </c>
      <c r="J227" s="2">
        <v>37482</v>
      </c>
      <c r="K227" s="3">
        <f t="shared" si="6"/>
        <v>5.75</v>
      </c>
      <c r="L227" s="3">
        <f t="shared" si="7"/>
        <v>6.19</v>
      </c>
    </row>
    <row r="228" spans="1:12" x14ac:dyDescent="0.3">
      <c r="A228" s="2">
        <v>36745</v>
      </c>
      <c r="B228" t="s">
        <v>13</v>
      </c>
      <c r="D228" s="2">
        <v>37476</v>
      </c>
      <c r="E228">
        <v>5.75</v>
      </c>
      <c r="G228" s="2">
        <v>37476</v>
      </c>
      <c r="H228">
        <v>6.19</v>
      </c>
      <c r="J228" s="2">
        <v>37483</v>
      </c>
      <c r="K228" s="3">
        <f t="shared" si="6"/>
        <v>5.75</v>
      </c>
      <c r="L228" s="3">
        <f t="shared" si="7"/>
        <v>6.19</v>
      </c>
    </row>
    <row r="229" spans="1:12" x14ac:dyDescent="0.3">
      <c r="A229" s="2">
        <v>36746</v>
      </c>
      <c r="B229" t="s">
        <v>13</v>
      </c>
      <c r="D229" s="2">
        <v>37477</v>
      </c>
      <c r="E229">
        <v>5.75</v>
      </c>
      <c r="G229" s="2">
        <v>37477</v>
      </c>
      <c r="H229">
        <v>6.19</v>
      </c>
      <c r="J229" s="2">
        <v>37484</v>
      </c>
      <c r="K229" s="3">
        <f t="shared" si="6"/>
        <v>5.75</v>
      </c>
      <c r="L229" s="3">
        <f t="shared" si="7"/>
        <v>6.19</v>
      </c>
    </row>
    <row r="230" spans="1:12" x14ac:dyDescent="0.3">
      <c r="A230" s="2">
        <v>36747</v>
      </c>
      <c r="B230" t="s">
        <v>13</v>
      </c>
      <c r="D230" s="2">
        <v>37478</v>
      </c>
      <c r="E230">
        <v>5.75</v>
      </c>
      <c r="G230" s="2">
        <v>37478</v>
      </c>
      <c r="H230">
        <v>6.19</v>
      </c>
      <c r="J230" s="2">
        <v>37485</v>
      </c>
      <c r="K230" s="3">
        <f t="shared" si="6"/>
        <v>5.75</v>
      </c>
      <c r="L230" s="3">
        <f t="shared" si="7"/>
        <v>6.19</v>
      </c>
    </row>
    <row r="231" spans="1:12" x14ac:dyDescent="0.3">
      <c r="A231" s="2">
        <v>36748</v>
      </c>
      <c r="B231" t="s">
        <v>13</v>
      </c>
      <c r="D231" s="2">
        <v>37479</v>
      </c>
      <c r="E231">
        <v>5.75</v>
      </c>
      <c r="G231" s="2">
        <v>37479</v>
      </c>
      <c r="H231">
        <v>6.19</v>
      </c>
      <c r="J231" s="2">
        <v>37486</v>
      </c>
      <c r="K231" s="3">
        <f t="shared" si="6"/>
        <v>5.75</v>
      </c>
      <c r="L231" s="3">
        <f t="shared" si="7"/>
        <v>6.19</v>
      </c>
    </row>
    <row r="232" spans="1:12" x14ac:dyDescent="0.3">
      <c r="A232" s="2">
        <v>36749</v>
      </c>
      <c r="B232" t="s">
        <v>13</v>
      </c>
      <c r="D232" s="2">
        <v>37480</v>
      </c>
      <c r="E232">
        <v>5.75</v>
      </c>
      <c r="G232" s="2">
        <v>37480</v>
      </c>
      <c r="H232">
        <v>6.19</v>
      </c>
      <c r="J232" s="2">
        <v>37487</v>
      </c>
      <c r="K232" s="3">
        <f t="shared" si="6"/>
        <v>5.75</v>
      </c>
      <c r="L232" s="3">
        <f t="shared" si="7"/>
        <v>6.19</v>
      </c>
    </row>
    <row r="233" spans="1:12" x14ac:dyDescent="0.3">
      <c r="A233" s="2">
        <v>36750</v>
      </c>
      <c r="B233" t="s">
        <v>13</v>
      </c>
      <c r="D233" s="2">
        <v>37481</v>
      </c>
      <c r="E233">
        <v>5.75</v>
      </c>
      <c r="G233" s="2">
        <v>37481</v>
      </c>
      <c r="H233">
        <v>6.19</v>
      </c>
      <c r="J233" s="2">
        <v>37488</v>
      </c>
      <c r="K233" s="3">
        <f t="shared" si="6"/>
        <v>5.75</v>
      </c>
      <c r="L233" s="3">
        <f t="shared" si="7"/>
        <v>6.19</v>
      </c>
    </row>
    <row r="234" spans="1:12" x14ac:dyDescent="0.3">
      <c r="A234" s="2">
        <v>36751</v>
      </c>
      <c r="B234" t="s">
        <v>13</v>
      </c>
      <c r="D234" s="2">
        <v>37482</v>
      </c>
      <c r="E234">
        <v>5.75</v>
      </c>
      <c r="G234" s="2">
        <v>37482</v>
      </c>
      <c r="H234">
        <v>6.19</v>
      </c>
      <c r="J234" s="2">
        <v>37489</v>
      </c>
      <c r="K234" s="3">
        <f t="shared" si="6"/>
        <v>5.75</v>
      </c>
      <c r="L234" s="3">
        <f t="shared" si="7"/>
        <v>6.19</v>
      </c>
    </row>
    <row r="235" spans="1:12" x14ac:dyDescent="0.3">
      <c r="A235" s="2">
        <v>36752</v>
      </c>
      <c r="B235" t="s">
        <v>13</v>
      </c>
      <c r="D235" s="2">
        <v>37483</v>
      </c>
      <c r="E235">
        <v>5.75</v>
      </c>
      <c r="G235" s="2">
        <v>37483</v>
      </c>
      <c r="H235">
        <v>6.19</v>
      </c>
      <c r="J235" s="2">
        <v>37490</v>
      </c>
      <c r="K235" s="3">
        <f t="shared" si="6"/>
        <v>5.75</v>
      </c>
      <c r="L235" s="3">
        <f t="shared" si="7"/>
        <v>6.19</v>
      </c>
    </row>
    <row r="236" spans="1:12" x14ac:dyDescent="0.3">
      <c r="A236" s="2">
        <v>36753</v>
      </c>
      <c r="B236" t="s">
        <v>13</v>
      </c>
      <c r="D236" s="2">
        <v>37484</v>
      </c>
      <c r="E236">
        <v>5.75</v>
      </c>
      <c r="G236" s="2">
        <v>37484</v>
      </c>
      <c r="H236">
        <v>6.19</v>
      </c>
      <c r="J236" s="2">
        <v>37491</v>
      </c>
      <c r="K236" s="3">
        <f t="shared" si="6"/>
        <v>5.75</v>
      </c>
      <c r="L236" s="3">
        <f t="shared" si="7"/>
        <v>6.19</v>
      </c>
    </row>
    <row r="237" spans="1:12" x14ac:dyDescent="0.3">
      <c r="A237" s="2">
        <v>36754</v>
      </c>
      <c r="B237" t="s">
        <v>13</v>
      </c>
      <c r="D237" s="2">
        <v>37485</v>
      </c>
      <c r="E237">
        <v>5.75</v>
      </c>
      <c r="G237" s="2">
        <v>37485</v>
      </c>
      <c r="H237">
        <v>6.19</v>
      </c>
      <c r="J237" s="2">
        <v>37492</v>
      </c>
      <c r="K237" s="3">
        <f t="shared" si="6"/>
        <v>5.75</v>
      </c>
      <c r="L237" s="3">
        <f t="shared" si="7"/>
        <v>6.19</v>
      </c>
    </row>
    <row r="238" spans="1:12" x14ac:dyDescent="0.3">
      <c r="A238" s="2">
        <v>36755</v>
      </c>
      <c r="B238" t="s">
        <v>13</v>
      </c>
      <c r="D238" s="2">
        <v>37486</v>
      </c>
      <c r="E238">
        <v>5.75</v>
      </c>
      <c r="G238" s="2">
        <v>37486</v>
      </c>
      <c r="H238">
        <v>6.19</v>
      </c>
      <c r="J238" s="2">
        <v>37493</v>
      </c>
      <c r="K238" s="3">
        <f t="shared" si="6"/>
        <v>5.75</v>
      </c>
      <c r="L238" s="3">
        <f t="shared" si="7"/>
        <v>6.19</v>
      </c>
    </row>
    <row r="239" spans="1:12" x14ac:dyDescent="0.3">
      <c r="A239" s="2">
        <v>36756</v>
      </c>
      <c r="B239" t="s">
        <v>13</v>
      </c>
      <c r="D239" s="2">
        <v>37487</v>
      </c>
      <c r="E239">
        <v>5.75</v>
      </c>
      <c r="G239" s="2">
        <v>37487</v>
      </c>
      <c r="H239">
        <v>6.19</v>
      </c>
      <c r="J239" s="2">
        <v>37494</v>
      </c>
      <c r="K239" s="3">
        <f t="shared" si="6"/>
        <v>5.75</v>
      </c>
      <c r="L239" s="3">
        <f t="shared" si="7"/>
        <v>6.19</v>
      </c>
    </row>
    <row r="240" spans="1:12" x14ac:dyDescent="0.3">
      <c r="A240" s="2">
        <v>36757</v>
      </c>
      <c r="B240" t="s">
        <v>13</v>
      </c>
      <c r="D240" s="2">
        <v>37488</v>
      </c>
      <c r="E240">
        <v>5.75</v>
      </c>
      <c r="G240" s="2">
        <v>37488</v>
      </c>
      <c r="H240">
        <v>6.19</v>
      </c>
      <c r="J240" s="2">
        <v>37495</v>
      </c>
      <c r="K240" s="3">
        <f t="shared" si="6"/>
        <v>5.75</v>
      </c>
      <c r="L240" s="3">
        <f t="shared" si="7"/>
        <v>6.19</v>
      </c>
    </row>
    <row r="241" spans="1:12" x14ac:dyDescent="0.3">
      <c r="A241" s="2">
        <v>36758</v>
      </c>
      <c r="B241" t="s">
        <v>13</v>
      </c>
      <c r="D241" s="2">
        <v>37489</v>
      </c>
      <c r="E241">
        <v>5.75</v>
      </c>
      <c r="G241" s="2">
        <v>37489</v>
      </c>
      <c r="H241">
        <v>6.19</v>
      </c>
      <c r="J241" s="2">
        <v>37496</v>
      </c>
      <c r="K241" s="3">
        <f t="shared" si="6"/>
        <v>5.75</v>
      </c>
      <c r="L241" s="3">
        <f t="shared" si="7"/>
        <v>6.19</v>
      </c>
    </row>
    <row r="242" spans="1:12" x14ac:dyDescent="0.3">
      <c r="A242" s="2">
        <v>36759</v>
      </c>
      <c r="B242" t="s">
        <v>13</v>
      </c>
      <c r="D242" s="2">
        <v>37490</v>
      </c>
      <c r="E242">
        <v>5.75</v>
      </c>
      <c r="G242" s="2">
        <v>37490</v>
      </c>
      <c r="H242">
        <v>6.19</v>
      </c>
      <c r="J242" s="2">
        <v>37497</v>
      </c>
      <c r="K242" s="3">
        <f t="shared" si="6"/>
        <v>5.75</v>
      </c>
      <c r="L242" s="3">
        <f t="shared" si="7"/>
        <v>6.19</v>
      </c>
    </row>
    <row r="243" spans="1:12" x14ac:dyDescent="0.3">
      <c r="A243" s="2">
        <v>36760</v>
      </c>
      <c r="B243" t="s">
        <v>13</v>
      </c>
      <c r="D243" s="2">
        <v>37491</v>
      </c>
      <c r="E243">
        <v>5.75</v>
      </c>
      <c r="G243" s="2">
        <v>37491</v>
      </c>
      <c r="H243">
        <v>6.19</v>
      </c>
      <c r="J243" s="2">
        <v>37498</v>
      </c>
      <c r="K243" s="3">
        <f t="shared" si="6"/>
        <v>5.75</v>
      </c>
      <c r="L243" s="3">
        <f t="shared" si="7"/>
        <v>6.19</v>
      </c>
    </row>
    <row r="244" spans="1:12" x14ac:dyDescent="0.3">
      <c r="A244" s="2">
        <v>36761</v>
      </c>
      <c r="B244" t="s">
        <v>13</v>
      </c>
      <c r="D244" s="2">
        <v>37492</v>
      </c>
      <c r="E244">
        <v>5.75</v>
      </c>
      <c r="G244" s="2">
        <v>37492</v>
      </c>
      <c r="H244">
        <v>6.19</v>
      </c>
      <c r="J244" s="2">
        <v>37499</v>
      </c>
      <c r="K244" s="3">
        <f t="shared" si="6"/>
        <v>5.75</v>
      </c>
      <c r="L244" s="3">
        <f t="shared" si="7"/>
        <v>6.19</v>
      </c>
    </row>
    <row r="245" spans="1:12" x14ac:dyDescent="0.3">
      <c r="A245" s="2">
        <v>36762</v>
      </c>
      <c r="B245" t="s">
        <v>13</v>
      </c>
      <c r="D245" s="2">
        <v>37493</v>
      </c>
      <c r="E245">
        <v>5.75</v>
      </c>
      <c r="G245" s="2">
        <v>37493</v>
      </c>
      <c r="H245">
        <v>6.19</v>
      </c>
      <c r="J245" s="2">
        <v>37500</v>
      </c>
      <c r="K245" s="3">
        <f t="shared" si="6"/>
        <v>5.75</v>
      </c>
      <c r="L245" s="3">
        <f t="shared" si="7"/>
        <v>6.19</v>
      </c>
    </row>
    <row r="246" spans="1:12" x14ac:dyDescent="0.3">
      <c r="A246" s="2">
        <v>36763</v>
      </c>
      <c r="B246" t="s">
        <v>13</v>
      </c>
      <c r="D246" s="2">
        <v>37494</v>
      </c>
      <c r="E246">
        <v>5.75</v>
      </c>
      <c r="G246" s="2">
        <v>37494</v>
      </c>
      <c r="H246">
        <v>6.19</v>
      </c>
      <c r="J246" s="2">
        <v>37501</v>
      </c>
      <c r="K246" s="3">
        <f t="shared" si="6"/>
        <v>5.75</v>
      </c>
      <c r="L246" s="3">
        <f t="shared" si="7"/>
        <v>6.19</v>
      </c>
    </row>
    <row r="247" spans="1:12" x14ac:dyDescent="0.3">
      <c r="A247" s="2">
        <v>36764</v>
      </c>
      <c r="B247" t="s">
        <v>13</v>
      </c>
      <c r="D247" s="2">
        <v>37495</v>
      </c>
      <c r="E247">
        <v>5.75</v>
      </c>
      <c r="G247" s="2">
        <v>37495</v>
      </c>
      <c r="H247">
        <v>6.19</v>
      </c>
      <c r="J247" s="2">
        <v>37502</v>
      </c>
      <c r="K247" s="3">
        <f t="shared" si="6"/>
        <v>5.75</v>
      </c>
      <c r="L247" s="3">
        <f t="shared" si="7"/>
        <v>6.19</v>
      </c>
    </row>
    <row r="248" spans="1:12" x14ac:dyDescent="0.3">
      <c r="A248" s="2">
        <v>36765</v>
      </c>
      <c r="B248" t="s">
        <v>13</v>
      </c>
      <c r="D248" s="2">
        <v>37496</v>
      </c>
      <c r="E248">
        <v>5.75</v>
      </c>
      <c r="G248" s="2">
        <v>37496</v>
      </c>
      <c r="H248">
        <v>6.19</v>
      </c>
      <c r="J248" s="2">
        <v>37503</v>
      </c>
      <c r="K248" s="3">
        <f t="shared" si="6"/>
        <v>5.75</v>
      </c>
      <c r="L248" s="3">
        <f t="shared" si="7"/>
        <v>6.19</v>
      </c>
    </row>
    <row r="249" spans="1:12" x14ac:dyDescent="0.3">
      <c r="A249" s="2">
        <v>36766</v>
      </c>
      <c r="B249" t="s">
        <v>13</v>
      </c>
      <c r="D249" s="2">
        <v>37497</v>
      </c>
      <c r="E249">
        <v>5.75</v>
      </c>
      <c r="G249" s="2">
        <v>37497</v>
      </c>
      <c r="H249">
        <v>6.19</v>
      </c>
      <c r="J249" s="2">
        <v>37504</v>
      </c>
      <c r="K249" s="3">
        <f t="shared" si="6"/>
        <v>5.75</v>
      </c>
      <c r="L249" s="3">
        <f t="shared" si="7"/>
        <v>6.19</v>
      </c>
    </row>
    <row r="250" spans="1:12" x14ac:dyDescent="0.3">
      <c r="A250" s="2">
        <v>36767</v>
      </c>
      <c r="B250" t="s">
        <v>13</v>
      </c>
      <c r="D250" s="2">
        <v>37498</v>
      </c>
      <c r="E250">
        <v>5.75</v>
      </c>
      <c r="G250" s="2">
        <v>37498</v>
      </c>
      <c r="H250">
        <v>6.19</v>
      </c>
      <c r="J250" s="2">
        <v>37505</v>
      </c>
      <c r="K250" s="3">
        <f t="shared" si="6"/>
        <v>5.75</v>
      </c>
      <c r="L250" s="3">
        <f t="shared" si="7"/>
        <v>6.19</v>
      </c>
    </row>
    <row r="251" spans="1:12" x14ac:dyDescent="0.3">
      <c r="A251" s="2">
        <v>36768</v>
      </c>
      <c r="B251" t="s">
        <v>13</v>
      </c>
      <c r="D251" s="2">
        <v>37499</v>
      </c>
      <c r="E251">
        <v>5.75</v>
      </c>
      <c r="G251" s="2">
        <v>37499</v>
      </c>
      <c r="H251">
        <v>6.19</v>
      </c>
      <c r="J251" s="2">
        <v>37506</v>
      </c>
      <c r="K251" s="3">
        <f t="shared" si="6"/>
        <v>5.75</v>
      </c>
      <c r="L251" s="3">
        <f t="shared" si="7"/>
        <v>6.19</v>
      </c>
    </row>
    <row r="252" spans="1:12" x14ac:dyDescent="0.3">
      <c r="A252" s="2">
        <v>36769</v>
      </c>
      <c r="B252" t="s">
        <v>13</v>
      </c>
      <c r="D252" s="2">
        <v>37500</v>
      </c>
      <c r="E252">
        <v>5.75</v>
      </c>
      <c r="G252" s="2">
        <v>37500</v>
      </c>
      <c r="H252">
        <v>6.19</v>
      </c>
      <c r="J252" s="2">
        <v>37507</v>
      </c>
      <c r="K252" s="3">
        <f t="shared" si="6"/>
        <v>5.75</v>
      </c>
      <c r="L252" s="3">
        <f t="shared" si="7"/>
        <v>6.19</v>
      </c>
    </row>
    <row r="253" spans="1:12" x14ac:dyDescent="0.3">
      <c r="A253" s="2">
        <v>36770</v>
      </c>
      <c r="B253" t="s">
        <v>13</v>
      </c>
      <c r="D253" s="2">
        <v>37501</v>
      </c>
      <c r="E253">
        <v>5.75</v>
      </c>
      <c r="G253" s="2">
        <v>37501</v>
      </c>
      <c r="H253">
        <v>6.19</v>
      </c>
      <c r="J253" s="2">
        <v>37508</v>
      </c>
      <c r="K253" s="3">
        <f t="shared" si="6"/>
        <v>5.75</v>
      </c>
      <c r="L253" s="3">
        <f t="shared" si="7"/>
        <v>6.19</v>
      </c>
    </row>
    <row r="254" spans="1:12" x14ac:dyDescent="0.3">
      <c r="A254" s="2">
        <v>36771</v>
      </c>
      <c r="B254" t="s">
        <v>13</v>
      </c>
      <c r="D254" s="2">
        <v>37502</v>
      </c>
      <c r="E254">
        <v>5.75</v>
      </c>
      <c r="G254" s="2">
        <v>37502</v>
      </c>
      <c r="H254">
        <v>6.19</v>
      </c>
      <c r="J254" s="2">
        <v>37509</v>
      </c>
      <c r="K254" s="3">
        <f t="shared" si="6"/>
        <v>5.75</v>
      </c>
      <c r="L254" s="3">
        <f t="shared" si="7"/>
        <v>6.19</v>
      </c>
    </row>
    <row r="255" spans="1:12" x14ac:dyDescent="0.3">
      <c r="A255" s="2">
        <v>36772</v>
      </c>
      <c r="B255" t="s">
        <v>13</v>
      </c>
      <c r="D255" s="2">
        <v>37503</v>
      </c>
      <c r="E255">
        <v>5.75</v>
      </c>
      <c r="G255" s="2">
        <v>37503</v>
      </c>
      <c r="H255">
        <v>6.19</v>
      </c>
      <c r="J255" s="2">
        <v>37510</v>
      </c>
      <c r="K255" s="3">
        <f t="shared" si="6"/>
        <v>5.75</v>
      </c>
      <c r="L255" s="3">
        <f t="shared" si="7"/>
        <v>6.19</v>
      </c>
    </row>
    <row r="256" spans="1:12" x14ac:dyDescent="0.3">
      <c r="A256" s="2">
        <v>36773</v>
      </c>
      <c r="B256" t="s">
        <v>13</v>
      </c>
      <c r="D256" s="2">
        <v>37504</v>
      </c>
      <c r="E256">
        <v>5.75</v>
      </c>
      <c r="G256" s="2">
        <v>37504</v>
      </c>
      <c r="H256">
        <v>6.19</v>
      </c>
      <c r="J256" s="2">
        <v>37511</v>
      </c>
      <c r="K256" s="3">
        <f t="shared" si="6"/>
        <v>5.75</v>
      </c>
      <c r="L256" s="3">
        <f t="shared" si="7"/>
        <v>6.19</v>
      </c>
    </row>
    <row r="257" spans="1:12" x14ac:dyDescent="0.3">
      <c r="A257" s="2">
        <v>36774</v>
      </c>
      <c r="B257" t="s">
        <v>13</v>
      </c>
      <c r="D257" s="2">
        <v>37505</v>
      </c>
      <c r="E257">
        <v>5.75</v>
      </c>
      <c r="G257" s="2">
        <v>37505</v>
      </c>
      <c r="H257">
        <v>6.19</v>
      </c>
      <c r="J257" s="2">
        <v>37512</v>
      </c>
      <c r="K257" s="3">
        <f t="shared" si="6"/>
        <v>5.75</v>
      </c>
      <c r="L257" s="3">
        <f t="shared" si="7"/>
        <v>6.19</v>
      </c>
    </row>
    <row r="258" spans="1:12" x14ac:dyDescent="0.3">
      <c r="A258" s="2">
        <v>36775</v>
      </c>
      <c r="B258" t="s">
        <v>13</v>
      </c>
      <c r="D258" s="2">
        <v>37506</v>
      </c>
      <c r="E258">
        <v>5.75</v>
      </c>
      <c r="G258" s="2">
        <v>37506</v>
      </c>
      <c r="H258">
        <v>6.19</v>
      </c>
      <c r="J258" s="2">
        <v>37513</v>
      </c>
      <c r="K258" s="3">
        <f t="shared" si="6"/>
        <v>5.75</v>
      </c>
      <c r="L258" s="3">
        <f t="shared" si="7"/>
        <v>6.19</v>
      </c>
    </row>
    <row r="259" spans="1:12" x14ac:dyDescent="0.3">
      <c r="A259" s="2">
        <v>36776</v>
      </c>
      <c r="B259" t="s">
        <v>13</v>
      </c>
      <c r="D259" s="2">
        <v>37507</v>
      </c>
      <c r="E259">
        <v>5.75</v>
      </c>
      <c r="G259" s="2">
        <v>37507</v>
      </c>
      <c r="H259">
        <v>6.19</v>
      </c>
      <c r="J259" s="2">
        <v>37514</v>
      </c>
      <c r="K259" s="3">
        <f t="shared" ref="K259:K322" si="8">E266</f>
        <v>5.75</v>
      </c>
      <c r="L259" s="3">
        <f t="shared" ref="L259:L322" si="9">H266</f>
        <v>6.19</v>
      </c>
    </row>
    <row r="260" spans="1:12" x14ac:dyDescent="0.3">
      <c r="A260" s="2">
        <v>36777</v>
      </c>
      <c r="B260" t="s">
        <v>13</v>
      </c>
      <c r="D260" s="2">
        <v>37508</v>
      </c>
      <c r="E260">
        <v>5.75</v>
      </c>
      <c r="G260" s="2">
        <v>37508</v>
      </c>
      <c r="H260">
        <v>6.19</v>
      </c>
      <c r="J260" s="2">
        <v>37515</v>
      </c>
      <c r="K260" s="3">
        <f t="shared" si="8"/>
        <v>5.75</v>
      </c>
      <c r="L260" s="3">
        <f t="shared" si="9"/>
        <v>5.92</v>
      </c>
    </row>
    <row r="261" spans="1:12" x14ac:dyDescent="0.3">
      <c r="A261" s="2">
        <v>36778</v>
      </c>
      <c r="B261" t="s">
        <v>13</v>
      </c>
      <c r="D261" s="2">
        <v>37509</v>
      </c>
      <c r="E261">
        <v>5.75</v>
      </c>
      <c r="G261" s="2">
        <v>37509</v>
      </c>
      <c r="H261">
        <v>6.19</v>
      </c>
      <c r="J261" s="2">
        <v>37516</v>
      </c>
      <c r="K261" s="3">
        <f t="shared" si="8"/>
        <v>5.75</v>
      </c>
      <c r="L261" s="3">
        <f t="shared" si="9"/>
        <v>5.92</v>
      </c>
    </row>
    <row r="262" spans="1:12" x14ac:dyDescent="0.3">
      <c r="A262" s="2">
        <v>36779</v>
      </c>
      <c r="B262" t="s">
        <v>13</v>
      </c>
      <c r="D262" s="2">
        <v>37510</v>
      </c>
      <c r="E262">
        <v>5.75</v>
      </c>
      <c r="G262" s="2">
        <v>37510</v>
      </c>
      <c r="H262">
        <v>6.19</v>
      </c>
      <c r="J262" s="2">
        <v>37517</v>
      </c>
      <c r="K262" s="3">
        <f t="shared" si="8"/>
        <v>5.75</v>
      </c>
      <c r="L262" s="3">
        <f t="shared" si="9"/>
        <v>5.91</v>
      </c>
    </row>
    <row r="263" spans="1:12" x14ac:dyDescent="0.3">
      <c r="A263" s="2">
        <v>36780</v>
      </c>
      <c r="B263" t="s">
        <v>13</v>
      </c>
      <c r="D263" s="2">
        <v>37511</v>
      </c>
      <c r="E263">
        <v>5.75</v>
      </c>
      <c r="G263" s="2">
        <v>37511</v>
      </c>
      <c r="H263">
        <v>6.19</v>
      </c>
      <c r="J263" s="2">
        <v>37518</v>
      </c>
      <c r="K263" s="3">
        <f t="shared" si="8"/>
        <v>5.75</v>
      </c>
      <c r="L263" s="3">
        <f t="shared" si="9"/>
        <v>5.91</v>
      </c>
    </row>
    <row r="264" spans="1:12" x14ac:dyDescent="0.3">
      <c r="A264" s="2">
        <v>36781</v>
      </c>
      <c r="B264" t="s">
        <v>13</v>
      </c>
      <c r="D264" s="2">
        <v>37512</v>
      </c>
      <c r="E264">
        <v>5.75</v>
      </c>
      <c r="G264" s="2">
        <v>37512</v>
      </c>
      <c r="H264">
        <v>6.19</v>
      </c>
      <c r="J264" s="2">
        <v>37519</v>
      </c>
      <c r="K264" s="3">
        <f t="shared" si="8"/>
        <v>5.75</v>
      </c>
      <c r="L264" s="3">
        <f t="shared" si="9"/>
        <v>5.89</v>
      </c>
    </row>
    <row r="265" spans="1:12" x14ac:dyDescent="0.3">
      <c r="A265" s="2">
        <v>36782</v>
      </c>
      <c r="B265" t="s">
        <v>13</v>
      </c>
      <c r="D265" s="2">
        <v>37513</v>
      </c>
      <c r="E265">
        <v>5.75</v>
      </c>
      <c r="G265" s="2">
        <v>37513</v>
      </c>
      <c r="H265">
        <v>6.19</v>
      </c>
      <c r="J265" s="2">
        <v>37520</v>
      </c>
      <c r="K265" s="3">
        <f t="shared" si="8"/>
        <v>5.75</v>
      </c>
      <c r="L265" s="3">
        <f t="shared" si="9"/>
        <v>5.89</v>
      </c>
    </row>
    <row r="266" spans="1:12" x14ac:dyDescent="0.3">
      <c r="A266" s="2">
        <v>36783</v>
      </c>
      <c r="B266" t="s">
        <v>13</v>
      </c>
      <c r="D266" s="2">
        <v>37514</v>
      </c>
      <c r="E266">
        <v>5.75</v>
      </c>
      <c r="G266" s="2">
        <v>37514</v>
      </c>
      <c r="H266">
        <v>6.19</v>
      </c>
      <c r="J266" s="2">
        <v>37521</v>
      </c>
      <c r="K266" s="3">
        <f t="shared" si="8"/>
        <v>5.75</v>
      </c>
      <c r="L266" s="3">
        <f t="shared" si="9"/>
        <v>5.89</v>
      </c>
    </row>
    <row r="267" spans="1:12" x14ac:dyDescent="0.3">
      <c r="A267" s="2">
        <v>36784</v>
      </c>
      <c r="B267" t="s">
        <v>13</v>
      </c>
      <c r="D267" s="2">
        <v>37515</v>
      </c>
      <c r="E267">
        <v>5.75</v>
      </c>
      <c r="G267" s="2">
        <v>37515</v>
      </c>
      <c r="H267">
        <v>5.92</v>
      </c>
      <c r="J267" s="2">
        <v>37522</v>
      </c>
      <c r="K267" s="3">
        <f t="shared" si="8"/>
        <v>5.75</v>
      </c>
      <c r="L267" s="3">
        <f t="shared" si="9"/>
        <v>5.89</v>
      </c>
    </row>
    <row r="268" spans="1:12" x14ac:dyDescent="0.3">
      <c r="A268" s="2">
        <v>36785</v>
      </c>
      <c r="B268" t="s">
        <v>13</v>
      </c>
      <c r="D268" s="2">
        <v>37516</v>
      </c>
      <c r="E268">
        <v>5.75</v>
      </c>
      <c r="G268" s="2">
        <v>37516</v>
      </c>
      <c r="H268">
        <v>5.92</v>
      </c>
      <c r="J268" s="2">
        <v>37523</v>
      </c>
      <c r="K268" s="3">
        <f t="shared" si="8"/>
        <v>5.75</v>
      </c>
      <c r="L268" s="3">
        <f t="shared" si="9"/>
        <v>5.92</v>
      </c>
    </row>
    <row r="269" spans="1:12" x14ac:dyDescent="0.3">
      <c r="A269" s="2">
        <v>36786</v>
      </c>
      <c r="B269" t="s">
        <v>13</v>
      </c>
      <c r="D269" s="2">
        <v>37517</v>
      </c>
      <c r="E269">
        <v>5.75</v>
      </c>
      <c r="G269" s="2">
        <v>37517</v>
      </c>
      <c r="H269">
        <v>5.91</v>
      </c>
      <c r="J269" s="2">
        <v>37524</v>
      </c>
      <c r="K269" s="3">
        <f t="shared" si="8"/>
        <v>5.75</v>
      </c>
      <c r="L269" s="3">
        <f t="shared" si="9"/>
        <v>5.93</v>
      </c>
    </row>
    <row r="270" spans="1:12" x14ac:dyDescent="0.3">
      <c r="A270" s="2">
        <v>36787</v>
      </c>
      <c r="B270" t="s">
        <v>13</v>
      </c>
      <c r="D270" s="2">
        <v>37518</v>
      </c>
      <c r="E270">
        <v>5.75</v>
      </c>
      <c r="G270" s="2">
        <v>37518</v>
      </c>
      <c r="H270">
        <v>5.91</v>
      </c>
      <c r="J270" s="2">
        <v>37525</v>
      </c>
      <c r="K270" s="3">
        <f t="shared" si="8"/>
        <v>5.75</v>
      </c>
      <c r="L270" s="3">
        <f t="shared" si="9"/>
        <v>5.93</v>
      </c>
    </row>
    <row r="271" spans="1:12" x14ac:dyDescent="0.3">
      <c r="A271" s="2">
        <v>36788</v>
      </c>
      <c r="B271" t="s">
        <v>13</v>
      </c>
      <c r="D271" s="2">
        <v>37519</v>
      </c>
      <c r="E271">
        <v>5.75</v>
      </c>
      <c r="G271" s="2">
        <v>37519</v>
      </c>
      <c r="H271">
        <v>5.89</v>
      </c>
      <c r="J271" s="2">
        <v>37526</v>
      </c>
      <c r="K271" s="3">
        <f t="shared" si="8"/>
        <v>5.75</v>
      </c>
      <c r="L271" s="3">
        <f t="shared" si="9"/>
        <v>5.92</v>
      </c>
    </row>
    <row r="272" spans="1:12" x14ac:dyDescent="0.3">
      <c r="A272" s="2">
        <v>36789</v>
      </c>
      <c r="B272" t="s">
        <v>13</v>
      </c>
      <c r="D272" s="2">
        <v>37520</v>
      </c>
      <c r="E272">
        <v>5.75</v>
      </c>
      <c r="G272" s="2">
        <v>37520</v>
      </c>
      <c r="H272">
        <v>5.89</v>
      </c>
      <c r="J272" s="2">
        <v>37527</v>
      </c>
      <c r="K272" s="3">
        <f t="shared" si="8"/>
        <v>5.75</v>
      </c>
      <c r="L272" s="3">
        <f t="shared" si="9"/>
        <v>5.92</v>
      </c>
    </row>
    <row r="273" spans="1:12" x14ac:dyDescent="0.3">
      <c r="A273" s="2">
        <v>36790</v>
      </c>
      <c r="B273" t="s">
        <v>13</v>
      </c>
      <c r="D273" s="2">
        <v>37521</v>
      </c>
      <c r="E273">
        <v>5.75</v>
      </c>
      <c r="G273" s="2">
        <v>37521</v>
      </c>
      <c r="H273">
        <v>5.89</v>
      </c>
      <c r="J273" s="2">
        <v>37528</v>
      </c>
      <c r="K273" s="3">
        <f t="shared" si="8"/>
        <v>5.75</v>
      </c>
      <c r="L273" s="3">
        <f t="shared" si="9"/>
        <v>5.92</v>
      </c>
    </row>
    <row r="274" spans="1:12" x14ac:dyDescent="0.3">
      <c r="A274" s="2">
        <v>36791</v>
      </c>
      <c r="B274" t="s">
        <v>13</v>
      </c>
      <c r="D274" s="2">
        <v>37522</v>
      </c>
      <c r="E274">
        <v>5.75</v>
      </c>
      <c r="G274" s="2">
        <v>37522</v>
      </c>
      <c r="H274">
        <v>5.89</v>
      </c>
      <c r="J274" s="2">
        <v>37529</v>
      </c>
      <c r="K274" s="3">
        <f t="shared" si="8"/>
        <v>5.75</v>
      </c>
      <c r="L274" s="3">
        <f t="shared" si="9"/>
        <v>5.93</v>
      </c>
    </row>
    <row r="275" spans="1:12" x14ac:dyDescent="0.3">
      <c r="A275" s="2">
        <v>36792</v>
      </c>
      <c r="B275" t="s">
        <v>13</v>
      </c>
      <c r="D275" s="2">
        <v>37523</v>
      </c>
      <c r="E275">
        <v>5.75</v>
      </c>
      <c r="G275" s="2">
        <v>37523</v>
      </c>
      <c r="H275">
        <v>5.92</v>
      </c>
      <c r="J275" s="2">
        <v>37530</v>
      </c>
      <c r="K275" s="3">
        <f t="shared" si="8"/>
        <v>5.75</v>
      </c>
      <c r="L275" s="3">
        <f t="shared" si="9"/>
        <v>5.93</v>
      </c>
    </row>
    <row r="276" spans="1:12" x14ac:dyDescent="0.3">
      <c r="A276" s="2">
        <v>36793</v>
      </c>
      <c r="B276" t="s">
        <v>13</v>
      </c>
      <c r="D276" s="2">
        <v>37524</v>
      </c>
      <c r="E276">
        <v>5.75</v>
      </c>
      <c r="G276" s="2">
        <v>37524</v>
      </c>
      <c r="H276">
        <v>5.93</v>
      </c>
      <c r="J276" s="2">
        <v>37531</v>
      </c>
      <c r="K276" s="3">
        <f t="shared" si="8"/>
        <v>5.75</v>
      </c>
      <c r="L276" s="3">
        <f t="shared" si="9"/>
        <v>5.93</v>
      </c>
    </row>
    <row r="277" spans="1:12" x14ac:dyDescent="0.3">
      <c r="A277" s="2">
        <v>36794</v>
      </c>
      <c r="B277" t="s">
        <v>13</v>
      </c>
      <c r="D277" s="2">
        <v>37525</v>
      </c>
      <c r="E277">
        <v>5.75</v>
      </c>
      <c r="G277" s="2">
        <v>37525</v>
      </c>
      <c r="H277">
        <v>5.93</v>
      </c>
      <c r="J277" s="2">
        <v>37532</v>
      </c>
      <c r="K277" s="3">
        <f t="shared" si="8"/>
        <v>5.75</v>
      </c>
      <c r="L277" s="3">
        <f t="shared" si="9"/>
        <v>5.93</v>
      </c>
    </row>
    <row r="278" spans="1:12" x14ac:dyDescent="0.3">
      <c r="A278" s="2">
        <v>36795</v>
      </c>
      <c r="B278" t="s">
        <v>13</v>
      </c>
      <c r="D278" s="2">
        <v>37526</v>
      </c>
      <c r="E278">
        <v>5.75</v>
      </c>
      <c r="G278" s="2">
        <v>37526</v>
      </c>
      <c r="H278">
        <v>5.92</v>
      </c>
      <c r="J278" s="2">
        <v>37533</v>
      </c>
      <c r="K278" s="3">
        <f t="shared" si="8"/>
        <v>5.75</v>
      </c>
      <c r="L278" s="3">
        <f t="shared" si="9"/>
        <v>5.93</v>
      </c>
    </row>
    <row r="279" spans="1:12" x14ac:dyDescent="0.3">
      <c r="A279" s="2">
        <v>36796</v>
      </c>
      <c r="B279" t="s">
        <v>13</v>
      </c>
      <c r="D279" s="2">
        <v>37527</v>
      </c>
      <c r="E279">
        <v>5.75</v>
      </c>
      <c r="G279" s="2">
        <v>37527</v>
      </c>
      <c r="H279">
        <v>5.92</v>
      </c>
      <c r="J279" s="2">
        <v>37534</v>
      </c>
      <c r="K279" s="3">
        <f t="shared" si="8"/>
        <v>5.75</v>
      </c>
      <c r="L279" s="3">
        <f t="shared" si="9"/>
        <v>5.93</v>
      </c>
    </row>
    <row r="280" spans="1:12" x14ac:dyDescent="0.3">
      <c r="A280" s="2">
        <v>36797</v>
      </c>
      <c r="B280" t="s">
        <v>13</v>
      </c>
      <c r="D280" s="2">
        <v>37528</v>
      </c>
      <c r="E280">
        <v>5.75</v>
      </c>
      <c r="G280" s="2">
        <v>37528</v>
      </c>
      <c r="H280">
        <v>5.92</v>
      </c>
      <c r="J280" s="2">
        <v>37535</v>
      </c>
      <c r="K280" s="3">
        <f t="shared" si="8"/>
        <v>5.75</v>
      </c>
      <c r="L280" s="3">
        <f t="shared" si="9"/>
        <v>5.93</v>
      </c>
    </row>
    <row r="281" spans="1:12" x14ac:dyDescent="0.3">
      <c r="A281" s="2">
        <v>36798</v>
      </c>
      <c r="B281" t="s">
        <v>13</v>
      </c>
      <c r="D281" s="2">
        <v>37529</v>
      </c>
      <c r="E281">
        <v>5.75</v>
      </c>
      <c r="G281" s="2">
        <v>37529</v>
      </c>
      <c r="H281">
        <v>5.93</v>
      </c>
      <c r="J281" s="2">
        <v>37536</v>
      </c>
      <c r="K281" s="3">
        <f t="shared" si="8"/>
        <v>5.75</v>
      </c>
      <c r="L281" s="3">
        <f t="shared" si="9"/>
        <v>5.93</v>
      </c>
    </row>
    <row r="282" spans="1:12" x14ac:dyDescent="0.3">
      <c r="A282" s="2">
        <v>36799</v>
      </c>
      <c r="B282" t="s">
        <v>13</v>
      </c>
      <c r="D282" s="2">
        <v>37530</v>
      </c>
      <c r="E282">
        <v>5.75</v>
      </c>
      <c r="G282" s="2">
        <v>37530</v>
      </c>
      <c r="H282">
        <v>5.93</v>
      </c>
      <c r="J282" s="2">
        <v>37537</v>
      </c>
      <c r="K282" s="3">
        <f t="shared" si="8"/>
        <v>5.75</v>
      </c>
      <c r="L282" s="3">
        <f t="shared" si="9"/>
        <v>5.93</v>
      </c>
    </row>
    <row r="283" spans="1:12" x14ac:dyDescent="0.3">
      <c r="A283" s="2">
        <v>36800</v>
      </c>
      <c r="B283" t="s">
        <v>13</v>
      </c>
      <c r="D283" s="2">
        <v>37531</v>
      </c>
      <c r="E283">
        <v>5.75</v>
      </c>
      <c r="G283" s="2">
        <v>37531</v>
      </c>
      <c r="H283">
        <v>5.93</v>
      </c>
      <c r="J283" s="2">
        <v>37538</v>
      </c>
      <c r="K283" s="3">
        <f t="shared" si="8"/>
        <v>5.75</v>
      </c>
      <c r="L283" s="3">
        <f t="shared" si="9"/>
        <v>5.93</v>
      </c>
    </row>
    <row r="284" spans="1:12" x14ac:dyDescent="0.3">
      <c r="A284" s="2">
        <v>36801</v>
      </c>
      <c r="B284" t="s">
        <v>13</v>
      </c>
      <c r="D284" s="2">
        <v>37532</v>
      </c>
      <c r="E284">
        <v>5.75</v>
      </c>
      <c r="G284" s="2">
        <v>37532</v>
      </c>
      <c r="H284">
        <v>5.93</v>
      </c>
      <c r="J284" s="2">
        <v>37539</v>
      </c>
      <c r="K284" s="3">
        <f t="shared" si="8"/>
        <v>5.75</v>
      </c>
      <c r="L284" s="3">
        <f t="shared" si="9"/>
        <v>5.93</v>
      </c>
    </row>
    <row r="285" spans="1:12" x14ac:dyDescent="0.3">
      <c r="A285" s="2">
        <v>36802</v>
      </c>
      <c r="B285" t="s">
        <v>13</v>
      </c>
      <c r="D285" s="2">
        <v>37533</v>
      </c>
      <c r="E285">
        <v>5.75</v>
      </c>
      <c r="G285" s="2">
        <v>37533</v>
      </c>
      <c r="H285">
        <v>5.93</v>
      </c>
      <c r="J285" s="2">
        <v>37540</v>
      </c>
      <c r="K285" s="3">
        <f t="shared" si="8"/>
        <v>5.75</v>
      </c>
      <c r="L285" s="3">
        <f t="shared" si="9"/>
        <v>5.93</v>
      </c>
    </row>
    <row r="286" spans="1:12" x14ac:dyDescent="0.3">
      <c r="A286" s="2">
        <v>36803</v>
      </c>
      <c r="B286" t="s">
        <v>13</v>
      </c>
      <c r="D286" s="2">
        <v>37534</v>
      </c>
      <c r="E286">
        <v>5.75</v>
      </c>
      <c r="G286" s="2">
        <v>37534</v>
      </c>
      <c r="H286">
        <v>5.93</v>
      </c>
      <c r="J286" s="2">
        <v>37541</v>
      </c>
      <c r="K286" s="3">
        <f t="shared" si="8"/>
        <v>5.75</v>
      </c>
      <c r="L286" s="3">
        <f t="shared" si="9"/>
        <v>5.93</v>
      </c>
    </row>
    <row r="287" spans="1:12" x14ac:dyDescent="0.3">
      <c r="A287" s="2">
        <v>36804</v>
      </c>
      <c r="B287" t="s">
        <v>13</v>
      </c>
      <c r="D287" s="2">
        <v>37535</v>
      </c>
      <c r="E287">
        <v>5.75</v>
      </c>
      <c r="G287" s="2">
        <v>37535</v>
      </c>
      <c r="H287">
        <v>5.93</v>
      </c>
      <c r="J287" s="2">
        <v>37542</v>
      </c>
      <c r="K287" s="3">
        <f t="shared" si="8"/>
        <v>5.75</v>
      </c>
      <c r="L287" s="3">
        <f t="shared" si="9"/>
        <v>5.93</v>
      </c>
    </row>
    <row r="288" spans="1:12" x14ac:dyDescent="0.3">
      <c r="A288" s="2">
        <v>36805</v>
      </c>
      <c r="B288" t="s">
        <v>13</v>
      </c>
      <c r="D288" s="2">
        <v>37536</v>
      </c>
      <c r="E288">
        <v>5.75</v>
      </c>
      <c r="G288" s="2">
        <v>37536</v>
      </c>
      <c r="H288">
        <v>5.93</v>
      </c>
      <c r="J288" s="2">
        <v>37543</v>
      </c>
      <c r="K288" s="3">
        <f t="shared" si="8"/>
        <v>5.75</v>
      </c>
      <c r="L288" s="3">
        <f t="shared" si="9"/>
        <v>5.93</v>
      </c>
    </row>
    <row r="289" spans="1:12" x14ac:dyDescent="0.3">
      <c r="A289" s="2">
        <v>36806</v>
      </c>
      <c r="B289" t="s">
        <v>13</v>
      </c>
      <c r="D289" s="2">
        <v>37537</v>
      </c>
      <c r="E289">
        <v>5.75</v>
      </c>
      <c r="G289" s="2">
        <v>37537</v>
      </c>
      <c r="H289">
        <v>5.93</v>
      </c>
      <c r="J289" s="2">
        <v>37544</v>
      </c>
      <c r="K289" s="3">
        <f t="shared" si="8"/>
        <v>5.75</v>
      </c>
      <c r="L289" s="3">
        <f t="shared" si="9"/>
        <v>5.93</v>
      </c>
    </row>
    <row r="290" spans="1:12" x14ac:dyDescent="0.3">
      <c r="A290" s="2">
        <v>36807</v>
      </c>
      <c r="B290" t="s">
        <v>13</v>
      </c>
      <c r="D290" s="2">
        <v>37538</v>
      </c>
      <c r="E290">
        <v>5.75</v>
      </c>
      <c r="G290" s="2">
        <v>37538</v>
      </c>
      <c r="H290">
        <v>5.93</v>
      </c>
      <c r="J290" s="2">
        <v>37545</v>
      </c>
      <c r="K290" s="3">
        <f t="shared" si="8"/>
        <v>5.75</v>
      </c>
      <c r="L290" s="3">
        <f t="shared" si="9"/>
        <v>5.93</v>
      </c>
    </row>
    <row r="291" spans="1:12" x14ac:dyDescent="0.3">
      <c r="A291" s="2">
        <v>36808</v>
      </c>
      <c r="B291" t="s">
        <v>13</v>
      </c>
      <c r="D291" s="2">
        <v>37539</v>
      </c>
      <c r="E291">
        <v>5.75</v>
      </c>
      <c r="G291" s="2">
        <v>37539</v>
      </c>
      <c r="H291">
        <v>5.93</v>
      </c>
      <c r="J291" s="2">
        <v>37546</v>
      </c>
      <c r="K291" s="3">
        <f t="shared" si="8"/>
        <v>5.75</v>
      </c>
      <c r="L291" s="3">
        <f t="shared" si="9"/>
        <v>5.93</v>
      </c>
    </row>
    <row r="292" spans="1:12" x14ac:dyDescent="0.3">
      <c r="A292" s="2">
        <v>36809</v>
      </c>
      <c r="B292" t="s">
        <v>13</v>
      </c>
      <c r="D292" s="2">
        <v>37540</v>
      </c>
      <c r="E292">
        <v>5.75</v>
      </c>
      <c r="G292" s="2">
        <v>37540</v>
      </c>
      <c r="H292">
        <v>5.93</v>
      </c>
      <c r="J292" s="2">
        <v>37547</v>
      </c>
      <c r="K292" s="3">
        <f t="shared" si="8"/>
        <v>5.75</v>
      </c>
      <c r="L292" s="3">
        <f t="shared" si="9"/>
        <v>5.93</v>
      </c>
    </row>
    <row r="293" spans="1:12" x14ac:dyDescent="0.3">
      <c r="A293" s="2">
        <v>36810</v>
      </c>
      <c r="B293" t="s">
        <v>13</v>
      </c>
      <c r="D293" s="2">
        <v>37541</v>
      </c>
      <c r="E293">
        <v>5.75</v>
      </c>
      <c r="G293" s="2">
        <v>37541</v>
      </c>
      <c r="H293">
        <v>5.93</v>
      </c>
      <c r="J293" s="2">
        <v>37548</v>
      </c>
      <c r="K293" s="3">
        <f t="shared" si="8"/>
        <v>5.75</v>
      </c>
      <c r="L293" s="3">
        <f t="shared" si="9"/>
        <v>5.93</v>
      </c>
    </row>
    <row r="294" spans="1:12" x14ac:dyDescent="0.3">
      <c r="A294" s="2">
        <v>36811</v>
      </c>
      <c r="B294" t="s">
        <v>13</v>
      </c>
      <c r="D294" s="2">
        <v>37542</v>
      </c>
      <c r="E294">
        <v>5.75</v>
      </c>
      <c r="G294" s="2">
        <v>37542</v>
      </c>
      <c r="H294">
        <v>5.93</v>
      </c>
      <c r="J294" s="2">
        <v>37549</v>
      </c>
      <c r="K294" s="3">
        <f t="shared" si="8"/>
        <v>5.75</v>
      </c>
      <c r="L294" s="3">
        <f t="shared" si="9"/>
        <v>5.93</v>
      </c>
    </row>
    <row r="295" spans="1:12" x14ac:dyDescent="0.3">
      <c r="A295" s="2">
        <v>36812</v>
      </c>
      <c r="B295" t="s">
        <v>13</v>
      </c>
      <c r="D295" s="2">
        <v>37543</v>
      </c>
      <c r="E295">
        <v>5.75</v>
      </c>
      <c r="G295" s="2">
        <v>37543</v>
      </c>
      <c r="H295">
        <v>5.93</v>
      </c>
      <c r="J295" s="2">
        <v>37550</v>
      </c>
      <c r="K295" s="3">
        <f t="shared" si="8"/>
        <v>5.75</v>
      </c>
      <c r="L295" s="3">
        <f t="shared" si="9"/>
        <v>5.93</v>
      </c>
    </row>
    <row r="296" spans="1:12" x14ac:dyDescent="0.3">
      <c r="A296" s="2">
        <v>36813</v>
      </c>
      <c r="B296" t="s">
        <v>13</v>
      </c>
      <c r="D296" s="2">
        <v>37544</v>
      </c>
      <c r="E296">
        <v>5.75</v>
      </c>
      <c r="G296" s="2">
        <v>37544</v>
      </c>
      <c r="H296">
        <v>5.93</v>
      </c>
      <c r="J296" s="2">
        <v>37551</v>
      </c>
      <c r="K296" s="3">
        <f t="shared" si="8"/>
        <v>5.75</v>
      </c>
      <c r="L296" s="3">
        <f t="shared" si="9"/>
        <v>5.93</v>
      </c>
    </row>
    <row r="297" spans="1:12" x14ac:dyDescent="0.3">
      <c r="A297" s="2">
        <v>36814</v>
      </c>
      <c r="B297" t="s">
        <v>13</v>
      </c>
      <c r="D297" s="2">
        <v>37545</v>
      </c>
      <c r="E297">
        <v>5.75</v>
      </c>
      <c r="G297" s="2">
        <v>37545</v>
      </c>
      <c r="H297">
        <v>5.93</v>
      </c>
      <c r="J297" s="2">
        <v>37552</v>
      </c>
      <c r="K297" s="3">
        <f t="shared" si="8"/>
        <v>5.75</v>
      </c>
      <c r="L297" s="3">
        <f t="shared" si="9"/>
        <v>5.93</v>
      </c>
    </row>
    <row r="298" spans="1:12" x14ac:dyDescent="0.3">
      <c r="A298" s="2">
        <v>36815</v>
      </c>
      <c r="B298" t="s">
        <v>13</v>
      </c>
      <c r="D298" s="2">
        <v>37546</v>
      </c>
      <c r="E298">
        <v>5.75</v>
      </c>
      <c r="G298" s="2">
        <v>37546</v>
      </c>
      <c r="H298">
        <v>5.93</v>
      </c>
      <c r="J298" s="2">
        <v>37553</v>
      </c>
      <c r="K298" s="3">
        <f t="shared" si="8"/>
        <v>5.75</v>
      </c>
      <c r="L298" s="3">
        <f t="shared" si="9"/>
        <v>5.93</v>
      </c>
    </row>
    <row r="299" spans="1:12" x14ac:dyDescent="0.3">
      <c r="A299" s="2">
        <v>36816</v>
      </c>
      <c r="B299" t="s">
        <v>13</v>
      </c>
      <c r="D299" s="2">
        <v>37547</v>
      </c>
      <c r="E299">
        <v>5.75</v>
      </c>
      <c r="G299" s="2">
        <v>37547</v>
      </c>
      <c r="H299">
        <v>5.93</v>
      </c>
      <c r="J299" s="2">
        <v>37554</v>
      </c>
      <c r="K299" s="3">
        <f t="shared" si="8"/>
        <v>5.75</v>
      </c>
      <c r="L299" s="3">
        <f t="shared" si="9"/>
        <v>5.93</v>
      </c>
    </row>
    <row r="300" spans="1:12" x14ac:dyDescent="0.3">
      <c r="A300" s="2">
        <v>36817</v>
      </c>
      <c r="B300" t="s">
        <v>13</v>
      </c>
      <c r="D300" s="2">
        <v>37548</v>
      </c>
      <c r="E300">
        <v>5.75</v>
      </c>
      <c r="G300" s="2">
        <v>37548</v>
      </c>
      <c r="H300">
        <v>5.93</v>
      </c>
      <c r="J300" s="2">
        <v>37555</v>
      </c>
      <c r="K300" s="3">
        <f t="shared" si="8"/>
        <v>5.75</v>
      </c>
      <c r="L300" s="3">
        <f t="shared" si="9"/>
        <v>5.93</v>
      </c>
    </row>
    <row r="301" spans="1:12" x14ac:dyDescent="0.3">
      <c r="A301" s="2">
        <v>36818</v>
      </c>
      <c r="B301" t="s">
        <v>13</v>
      </c>
      <c r="D301" s="2">
        <v>37549</v>
      </c>
      <c r="E301">
        <v>5.75</v>
      </c>
      <c r="G301" s="2">
        <v>37549</v>
      </c>
      <c r="H301">
        <v>5.93</v>
      </c>
      <c r="J301" s="2">
        <v>37556</v>
      </c>
      <c r="K301" s="3">
        <f t="shared" si="8"/>
        <v>5.75</v>
      </c>
      <c r="L301" s="3">
        <f t="shared" si="9"/>
        <v>5.93</v>
      </c>
    </row>
    <row r="302" spans="1:12" x14ac:dyDescent="0.3">
      <c r="A302" s="2">
        <v>36819</v>
      </c>
      <c r="B302" t="s">
        <v>13</v>
      </c>
      <c r="D302" s="2">
        <v>37550</v>
      </c>
      <c r="E302">
        <v>5.75</v>
      </c>
      <c r="G302" s="2">
        <v>37550</v>
      </c>
      <c r="H302">
        <v>5.93</v>
      </c>
      <c r="J302" s="2">
        <v>37557</v>
      </c>
      <c r="K302" s="3">
        <f t="shared" si="8"/>
        <v>5.75</v>
      </c>
      <c r="L302" s="3">
        <f t="shared" si="9"/>
        <v>5.93</v>
      </c>
    </row>
    <row r="303" spans="1:12" x14ac:dyDescent="0.3">
      <c r="A303" s="2">
        <v>36820</v>
      </c>
      <c r="B303" t="s">
        <v>13</v>
      </c>
      <c r="D303" s="2">
        <v>37551</v>
      </c>
      <c r="E303">
        <v>5.75</v>
      </c>
      <c r="G303" s="2">
        <v>37551</v>
      </c>
      <c r="H303">
        <v>5.93</v>
      </c>
      <c r="J303" s="2">
        <v>37558</v>
      </c>
      <c r="K303" s="3">
        <f t="shared" si="8"/>
        <v>5.75</v>
      </c>
      <c r="L303" s="3">
        <f t="shared" si="9"/>
        <v>5.93</v>
      </c>
    </row>
    <row r="304" spans="1:12" x14ac:dyDescent="0.3">
      <c r="A304" s="2">
        <v>36821</v>
      </c>
      <c r="B304" t="s">
        <v>13</v>
      </c>
      <c r="D304" s="2">
        <v>37552</v>
      </c>
      <c r="E304">
        <v>5.75</v>
      </c>
      <c r="G304" s="2">
        <v>37552</v>
      </c>
      <c r="H304">
        <v>5.93</v>
      </c>
      <c r="J304" s="2">
        <v>37559</v>
      </c>
      <c r="K304" s="3">
        <f t="shared" si="8"/>
        <v>5.5</v>
      </c>
      <c r="L304" s="3">
        <f t="shared" si="9"/>
        <v>5.93</v>
      </c>
    </row>
    <row r="305" spans="1:12" x14ac:dyDescent="0.3">
      <c r="A305" s="2">
        <v>36822</v>
      </c>
      <c r="B305" t="s">
        <v>13</v>
      </c>
      <c r="D305" s="2">
        <v>37553</v>
      </c>
      <c r="E305">
        <v>5.75</v>
      </c>
      <c r="G305" s="2">
        <v>37553</v>
      </c>
      <c r="H305">
        <v>5.93</v>
      </c>
      <c r="J305" s="2">
        <v>37560</v>
      </c>
      <c r="K305" s="3">
        <f t="shared" si="8"/>
        <v>5.5</v>
      </c>
      <c r="L305" s="3">
        <f t="shared" si="9"/>
        <v>5.93</v>
      </c>
    </row>
    <row r="306" spans="1:12" x14ac:dyDescent="0.3">
      <c r="A306" s="2">
        <v>36823</v>
      </c>
      <c r="B306" t="s">
        <v>13</v>
      </c>
      <c r="D306" s="2">
        <v>37554</v>
      </c>
      <c r="E306">
        <v>5.75</v>
      </c>
      <c r="G306" s="2">
        <v>37554</v>
      </c>
      <c r="H306">
        <v>5.93</v>
      </c>
      <c r="J306" s="2">
        <v>37561</v>
      </c>
      <c r="K306" s="3">
        <f t="shared" si="8"/>
        <v>5.5</v>
      </c>
      <c r="L306" s="3">
        <f t="shared" si="9"/>
        <v>5.93</v>
      </c>
    </row>
    <row r="307" spans="1:12" x14ac:dyDescent="0.3">
      <c r="A307" s="2">
        <v>36824</v>
      </c>
      <c r="B307" t="s">
        <v>13</v>
      </c>
      <c r="D307" s="2">
        <v>37555</v>
      </c>
      <c r="E307">
        <v>5.75</v>
      </c>
      <c r="G307" s="2">
        <v>37555</v>
      </c>
      <c r="H307">
        <v>5.93</v>
      </c>
      <c r="J307" s="2">
        <v>37562</v>
      </c>
      <c r="K307" s="3">
        <f t="shared" si="8"/>
        <v>5.5</v>
      </c>
      <c r="L307" s="3">
        <f t="shared" si="9"/>
        <v>5.93</v>
      </c>
    </row>
    <row r="308" spans="1:12" x14ac:dyDescent="0.3">
      <c r="A308" s="2">
        <v>36825</v>
      </c>
      <c r="B308" t="s">
        <v>13</v>
      </c>
      <c r="D308" s="2">
        <v>37556</v>
      </c>
      <c r="E308">
        <v>5.75</v>
      </c>
      <c r="G308" s="2">
        <v>37556</v>
      </c>
      <c r="H308">
        <v>5.93</v>
      </c>
      <c r="J308" s="2">
        <v>37563</v>
      </c>
      <c r="K308" s="3">
        <f t="shared" si="8"/>
        <v>5.5</v>
      </c>
      <c r="L308" s="3">
        <f t="shared" si="9"/>
        <v>5.93</v>
      </c>
    </row>
    <row r="309" spans="1:12" x14ac:dyDescent="0.3">
      <c r="A309" s="2">
        <v>36826</v>
      </c>
      <c r="B309" t="s">
        <v>13</v>
      </c>
      <c r="D309" s="2">
        <v>37557</v>
      </c>
      <c r="E309">
        <v>5.75</v>
      </c>
      <c r="G309" s="2">
        <v>37557</v>
      </c>
      <c r="H309">
        <v>5.93</v>
      </c>
      <c r="J309" s="2">
        <v>37564</v>
      </c>
      <c r="K309" s="3">
        <f t="shared" si="8"/>
        <v>5.5</v>
      </c>
      <c r="L309" s="3">
        <f t="shared" si="9"/>
        <v>5.93</v>
      </c>
    </row>
    <row r="310" spans="1:12" x14ac:dyDescent="0.3">
      <c r="A310" s="2">
        <v>36827</v>
      </c>
      <c r="B310" t="s">
        <v>13</v>
      </c>
      <c r="D310" s="2">
        <v>37558</v>
      </c>
      <c r="E310">
        <v>5.75</v>
      </c>
      <c r="G310" s="2">
        <v>37558</v>
      </c>
      <c r="H310">
        <v>5.93</v>
      </c>
      <c r="J310" s="2">
        <v>37565</v>
      </c>
      <c r="K310" s="3">
        <f t="shared" si="8"/>
        <v>5.5</v>
      </c>
      <c r="L310" s="3">
        <f t="shared" si="9"/>
        <v>5.93</v>
      </c>
    </row>
    <row r="311" spans="1:12" x14ac:dyDescent="0.3">
      <c r="A311" s="2">
        <v>36828</v>
      </c>
      <c r="B311" t="s">
        <v>13</v>
      </c>
      <c r="D311" s="2">
        <v>37559</v>
      </c>
      <c r="E311">
        <v>5.5</v>
      </c>
      <c r="G311" s="2">
        <v>37559</v>
      </c>
      <c r="H311">
        <v>5.93</v>
      </c>
      <c r="J311" s="2">
        <v>37566</v>
      </c>
      <c r="K311" s="3">
        <f t="shared" si="8"/>
        <v>5.5</v>
      </c>
      <c r="L311" s="3">
        <f t="shared" si="9"/>
        <v>5.93</v>
      </c>
    </row>
    <row r="312" spans="1:12" x14ac:dyDescent="0.3">
      <c r="A312" s="2">
        <v>36829</v>
      </c>
      <c r="B312" t="s">
        <v>13</v>
      </c>
      <c r="D312" s="2">
        <v>37560</v>
      </c>
      <c r="E312">
        <v>5.5</v>
      </c>
      <c r="G312" s="2">
        <v>37560</v>
      </c>
      <c r="H312">
        <v>5.93</v>
      </c>
      <c r="J312" s="2">
        <v>37567</v>
      </c>
      <c r="K312" s="3">
        <f t="shared" si="8"/>
        <v>5.5</v>
      </c>
      <c r="L312" s="3">
        <f t="shared" si="9"/>
        <v>5.93</v>
      </c>
    </row>
    <row r="313" spans="1:12" x14ac:dyDescent="0.3">
      <c r="A313" s="2">
        <v>36830</v>
      </c>
      <c r="B313" t="s">
        <v>13</v>
      </c>
      <c r="D313" s="2">
        <v>37561</v>
      </c>
      <c r="E313">
        <v>5.5</v>
      </c>
      <c r="G313" s="2">
        <v>37561</v>
      </c>
      <c r="H313">
        <v>5.93</v>
      </c>
      <c r="J313" s="2">
        <v>37568</v>
      </c>
      <c r="K313" s="3">
        <f t="shared" si="8"/>
        <v>5.5</v>
      </c>
      <c r="L313" s="3">
        <f t="shared" si="9"/>
        <v>5.93</v>
      </c>
    </row>
    <row r="314" spans="1:12" x14ac:dyDescent="0.3">
      <c r="A314" s="2">
        <v>36831</v>
      </c>
      <c r="B314" t="s">
        <v>13</v>
      </c>
      <c r="D314" s="2">
        <v>37562</v>
      </c>
      <c r="E314">
        <v>5.5</v>
      </c>
      <c r="G314" s="2">
        <v>37562</v>
      </c>
      <c r="H314">
        <v>5.93</v>
      </c>
      <c r="J314" s="2">
        <v>37569</v>
      </c>
      <c r="K314" s="3">
        <f t="shared" si="8"/>
        <v>5.5</v>
      </c>
      <c r="L314" s="3">
        <f t="shared" si="9"/>
        <v>5.93</v>
      </c>
    </row>
    <row r="315" spans="1:12" x14ac:dyDescent="0.3">
      <c r="A315" s="2">
        <v>36832</v>
      </c>
      <c r="B315" t="s">
        <v>13</v>
      </c>
      <c r="D315" s="2">
        <v>37563</v>
      </c>
      <c r="E315">
        <v>5.5</v>
      </c>
      <c r="G315" s="2">
        <v>37563</v>
      </c>
      <c r="H315">
        <v>5.93</v>
      </c>
      <c r="J315" s="2">
        <v>37570</v>
      </c>
      <c r="K315" s="3">
        <f t="shared" si="8"/>
        <v>5.5</v>
      </c>
      <c r="L315" s="3">
        <f t="shared" si="9"/>
        <v>5.93</v>
      </c>
    </row>
    <row r="316" spans="1:12" x14ac:dyDescent="0.3">
      <c r="A316" s="2">
        <v>36833</v>
      </c>
      <c r="B316" t="s">
        <v>13</v>
      </c>
      <c r="D316" s="2">
        <v>37564</v>
      </c>
      <c r="E316">
        <v>5.5</v>
      </c>
      <c r="G316" s="2">
        <v>37564</v>
      </c>
      <c r="H316">
        <v>5.93</v>
      </c>
      <c r="J316" s="2">
        <v>37571</v>
      </c>
      <c r="K316" s="3">
        <f t="shared" si="8"/>
        <v>5.5</v>
      </c>
      <c r="L316" s="3">
        <f t="shared" si="9"/>
        <v>5.93</v>
      </c>
    </row>
    <row r="317" spans="1:12" x14ac:dyDescent="0.3">
      <c r="A317" s="2">
        <v>36834</v>
      </c>
      <c r="B317" t="s">
        <v>13</v>
      </c>
      <c r="D317" s="2">
        <v>37565</v>
      </c>
      <c r="E317">
        <v>5.5</v>
      </c>
      <c r="G317" s="2">
        <v>37565</v>
      </c>
      <c r="H317">
        <v>5.93</v>
      </c>
      <c r="J317" s="2">
        <v>37572</v>
      </c>
      <c r="K317" s="3">
        <f t="shared" si="8"/>
        <v>5.5</v>
      </c>
      <c r="L317" s="3">
        <f t="shared" si="9"/>
        <v>5.93</v>
      </c>
    </row>
    <row r="318" spans="1:12" x14ac:dyDescent="0.3">
      <c r="A318" s="2">
        <v>36835</v>
      </c>
      <c r="B318" t="s">
        <v>13</v>
      </c>
      <c r="D318" s="2">
        <v>37566</v>
      </c>
      <c r="E318">
        <v>5.5</v>
      </c>
      <c r="G318" s="2">
        <v>37566</v>
      </c>
      <c r="H318">
        <v>5.93</v>
      </c>
      <c r="J318" s="2">
        <v>37573</v>
      </c>
      <c r="K318" s="3">
        <f t="shared" si="8"/>
        <v>5.5</v>
      </c>
      <c r="L318" s="3">
        <f t="shared" si="9"/>
        <v>5.93</v>
      </c>
    </row>
    <row r="319" spans="1:12" x14ac:dyDescent="0.3">
      <c r="A319" s="2">
        <v>36836</v>
      </c>
      <c r="B319" t="s">
        <v>13</v>
      </c>
      <c r="D319" s="2">
        <v>37567</v>
      </c>
      <c r="E319">
        <v>5.5</v>
      </c>
      <c r="G319" s="2">
        <v>37567</v>
      </c>
      <c r="H319">
        <v>5.93</v>
      </c>
      <c r="J319" s="2">
        <v>37574</v>
      </c>
      <c r="K319" s="3">
        <f t="shared" si="8"/>
        <v>5.5</v>
      </c>
      <c r="L319" s="3">
        <f t="shared" si="9"/>
        <v>5.93</v>
      </c>
    </row>
    <row r="320" spans="1:12" x14ac:dyDescent="0.3">
      <c r="A320" s="2">
        <v>36837</v>
      </c>
      <c r="B320" t="s">
        <v>13</v>
      </c>
      <c r="D320" s="2">
        <v>37568</v>
      </c>
      <c r="E320">
        <v>5.5</v>
      </c>
      <c r="G320" s="2">
        <v>37568</v>
      </c>
      <c r="H320">
        <v>5.93</v>
      </c>
      <c r="J320" s="2">
        <v>37575</v>
      </c>
      <c r="K320" s="3">
        <f t="shared" si="8"/>
        <v>5.5</v>
      </c>
      <c r="L320" s="3">
        <f t="shared" si="9"/>
        <v>5.93</v>
      </c>
    </row>
    <row r="321" spans="1:12" x14ac:dyDescent="0.3">
      <c r="A321" s="2">
        <v>36838</v>
      </c>
      <c r="B321" t="s">
        <v>13</v>
      </c>
      <c r="D321" s="2">
        <v>37569</v>
      </c>
      <c r="E321">
        <v>5.5</v>
      </c>
      <c r="G321" s="2">
        <v>37569</v>
      </c>
      <c r="H321">
        <v>5.93</v>
      </c>
      <c r="J321" s="2">
        <v>37576</v>
      </c>
      <c r="K321" s="3">
        <f t="shared" si="8"/>
        <v>5.5</v>
      </c>
      <c r="L321" s="3">
        <f t="shared" si="9"/>
        <v>5.93</v>
      </c>
    </row>
    <row r="322" spans="1:12" x14ac:dyDescent="0.3">
      <c r="A322" s="2">
        <v>36839</v>
      </c>
      <c r="B322" t="s">
        <v>13</v>
      </c>
      <c r="D322" s="2">
        <v>37570</v>
      </c>
      <c r="E322">
        <v>5.5</v>
      </c>
      <c r="G322" s="2">
        <v>37570</v>
      </c>
      <c r="H322">
        <v>5.93</v>
      </c>
      <c r="J322" s="2">
        <v>37577</v>
      </c>
      <c r="K322" s="3">
        <f t="shared" si="8"/>
        <v>5.5</v>
      </c>
      <c r="L322" s="3">
        <f t="shared" si="9"/>
        <v>5.93</v>
      </c>
    </row>
    <row r="323" spans="1:12" x14ac:dyDescent="0.3">
      <c r="A323" s="2">
        <v>36840</v>
      </c>
      <c r="B323" t="s">
        <v>13</v>
      </c>
      <c r="D323" s="2">
        <v>37571</v>
      </c>
      <c r="E323">
        <v>5.5</v>
      </c>
      <c r="G323" s="2">
        <v>37571</v>
      </c>
      <c r="H323">
        <v>5.93</v>
      </c>
      <c r="J323" s="2">
        <v>37578</v>
      </c>
      <c r="K323" s="3">
        <f t="shared" ref="K323:K386" si="10">E330</f>
        <v>5.5</v>
      </c>
      <c r="L323" s="3">
        <f t="shared" ref="L323:L386" si="11">H330</f>
        <v>5.93</v>
      </c>
    </row>
    <row r="324" spans="1:12" x14ac:dyDescent="0.3">
      <c r="A324" s="2">
        <v>36841</v>
      </c>
      <c r="B324" t="s">
        <v>13</v>
      </c>
      <c r="D324" s="2">
        <v>37572</v>
      </c>
      <c r="E324">
        <v>5.5</v>
      </c>
      <c r="G324" s="2">
        <v>37572</v>
      </c>
      <c r="H324">
        <v>5.93</v>
      </c>
      <c r="J324" s="2">
        <v>37579</v>
      </c>
      <c r="K324" s="3">
        <f t="shared" si="10"/>
        <v>5.5</v>
      </c>
      <c r="L324" s="3">
        <f t="shared" si="11"/>
        <v>5.93</v>
      </c>
    </row>
    <row r="325" spans="1:12" x14ac:dyDescent="0.3">
      <c r="A325" s="2">
        <v>36842</v>
      </c>
      <c r="B325" t="s">
        <v>13</v>
      </c>
      <c r="D325" s="2">
        <v>37573</v>
      </c>
      <c r="E325">
        <v>5.5</v>
      </c>
      <c r="G325" s="2">
        <v>37573</v>
      </c>
      <c r="H325">
        <v>5.93</v>
      </c>
      <c r="J325" s="2">
        <v>37580</v>
      </c>
      <c r="K325" s="3">
        <f t="shared" si="10"/>
        <v>5.5</v>
      </c>
      <c r="L325" s="3">
        <f t="shared" si="11"/>
        <v>5.93</v>
      </c>
    </row>
    <row r="326" spans="1:12" x14ac:dyDescent="0.3">
      <c r="A326" s="2">
        <v>36843</v>
      </c>
      <c r="B326" t="s">
        <v>13</v>
      </c>
      <c r="D326" s="2">
        <v>37574</v>
      </c>
      <c r="E326">
        <v>5.5</v>
      </c>
      <c r="G326" s="2">
        <v>37574</v>
      </c>
      <c r="H326">
        <v>5.93</v>
      </c>
      <c r="J326" s="2">
        <v>37581</v>
      </c>
      <c r="K326" s="3">
        <f t="shared" si="10"/>
        <v>5.5</v>
      </c>
      <c r="L326" s="3">
        <f t="shared" si="11"/>
        <v>5.93</v>
      </c>
    </row>
    <row r="327" spans="1:12" x14ac:dyDescent="0.3">
      <c r="A327" s="2">
        <v>36844</v>
      </c>
      <c r="B327" t="s">
        <v>13</v>
      </c>
      <c r="D327" s="2">
        <v>37575</v>
      </c>
      <c r="E327">
        <v>5.5</v>
      </c>
      <c r="G327" s="2">
        <v>37575</v>
      </c>
      <c r="H327">
        <v>5.93</v>
      </c>
      <c r="J327" s="2">
        <v>37582</v>
      </c>
      <c r="K327" s="3">
        <f t="shared" si="10"/>
        <v>5.5</v>
      </c>
      <c r="L327" s="3">
        <f t="shared" si="11"/>
        <v>5.93</v>
      </c>
    </row>
    <row r="328" spans="1:12" x14ac:dyDescent="0.3">
      <c r="A328" s="2">
        <v>36845</v>
      </c>
      <c r="B328" t="s">
        <v>13</v>
      </c>
      <c r="D328" s="2">
        <v>37576</v>
      </c>
      <c r="E328">
        <v>5.5</v>
      </c>
      <c r="G328" s="2">
        <v>37576</v>
      </c>
      <c r="H328">
        <v>5.93</v>
      </c>
      <c r="J328" s="2">
        <v>37583</v>
      </c>
      <c r="K328" s="3">
        <f t="shared" si="10"/>
        <v>5.5</v>
      </c>
      <c r="L328" s="3">
        <f t="shared" si="11"/>
        <v>5.93</v>
      </c>
    </row>
    <row r="329" spans="1:12" x14ac:dyDescent="0.3">
      <c r="A329" s="2">
        <v>36846</v>
      </c>
      <c r="B329" t="s">
        <v>13</v>
      </c>
      <c r="D329" s="2">
        <v>37577</v>
      </c>
      <c r="E329">
        <v>5.5</v>
      </c>
      <c r="G329" s="2">
        <v>37577</v>
      </c>
      <c r="H329">
        <v>5.93</v>
      </c>
      <c r="J329" s="2">
        <v>37584</v>
      </c>
      <c r="K329" s="3">
        <f t="shared" si="10"/>
        <v>5.5</v>
      </c>
      <c r="L329" s="3">
        <f t="shared" si="11"/>
        <v>5.93</v>
      </c>
    </row>
    <row r="330" spans="1:12" x14ac:dyDescent="0.3">
      <c r="A330" s="2">
        <v>36847</v>
      </c>
      <c r="B330" t="s">
        <v>13</v>
      </c>
      <c r="D330" s="2">
        <v>37578</v>
      </c>
      <c r="E330">
        <v>5.5</v>
      </c>
      <c r="G330" s="2">
        <v>37578</v>
      </c>
      <c r="H330">
        <v>5.93</v>
      </c>
      <c r="J330" s="2">
        <v>37585</v>
      </c>
      <c r="K330" s="3">
        <f t="shared" si="10"/>
        <v>5.5</v>
      </c>
      <c r="L330" s="3">
        <f t="shared" si="11"/>
        <v>5.93</v>
      </c>
    </row>
    <row r="331" spans="1:12" x14ac:dyDescent="0.3">
      <c r="A331" s="2">
        <v>36848</v>
      </c>
      <c r="B331" t="s">
        <v>13</v>
      </c>
      <c r="D331" s="2">
        <v>37579</v>
      </c>
      <c r="E331">
        <v>5.5</v>
      </c>
      <c r="G331" s="2">
        <v>37579</v>
      </c>
      <c r="H331">
        <v>5.93</v>
      </c>
      <c r="J331" s="2">
        <v>37586</v>
      </c>
      <c r="K331" s="3">
        <f t="shared" si="10"/>
        <v>5.5</v>
      </c>
      <c r="L331" s="3">
        <f t="shared" si="11"/>
        <v>5.93</v>
      </c>
    </row>
    <row r="332" spans="1:12" x14ac:dyDescent="0.3">
      <c r="A332" s="2">
        <v>36849</v>
      </c>
      <c r="B332" t="s">
        <v>13</v>
      </c>
      <c r="D332" s="2">
        <v>37580</v>
      </c>
      <c r="E332">
        <v>5.5</v>
      </c>
      <c r="G332" s="2">
        <v>37580</v>
      </c>
      <c r="H332">
        <v>5.93</v>
      </c>
      <c r="J332" s="2">
        <v>37587</v>
      </c>
      <c r="K332" s="3">
        <f t="shared" si="10"/>
        <v>5.5</v>
      </c>
      <c r="L332" s="3">
        <f t="shared" si="11"/>
        <v>5.93</v>
      </c>
    </row>
    <row r="333" spans="1:12" x14ac:dyDescent="0.3">
      <c r="A333" s="2">
        <v>36850</v>
      </c>
      <c r="B333" t="s">
        <v>13</v>
      </c>
      <c r="D333" s="2">
        <v>37581</v>
      </c>
      <c r="E333">
        <v>5.5</v>
      </c>
      <c r="G333" s="2">
        <v>37581</v>
      </c>
      <c r="H333">
        <v>5.93</v>
      </c>
      <c r="J333" s="2">
        <v>37588</v>
      </c>
      <c r="K333" s="3">
        <f t="shared" si="10"/>
        <v>5.5</v>
      </c>
      <c r="L333" s="3">
        <f t="shared" si="11"/>
        <v>5.93</v>
      </c>
    </row>
    <row r="334" spans="1:12" x14ac:dyDescent="0.3">
      <c r="A334" s="2">
        <v>36851</v>
      </c>
      <c r="B334" t="s">
        <v>13</v>
      </c>
      <c r="D334" s="2">
        <v>37582</v>
      </c>
      <c r="E334">
        <v>5.5</v>
      </c>
      <c r="G334" s="2">
        <v>37582</v>
      </c>
      <c r="H334">
        <v>5.93</v>
      </c>
      <c r="J334" s="2">
        <v>37589</v>
      </c>
      <c r="K334" s="3">
        <f t="shared" si="10"/>
        <v>5.5</v>
      </c>
      <c r="L334" s="3">
        <f t="shared" si="11"/>
        <v>5.93</v>
      </c>
    </row>
    <row r="335" spans="1:12" x14ac:dyDescent="0.3">
      <c r="A335" s="2">
        <v>36852</v>
      </c>
      <c r="B335" t="s">
        <v>13</v>
      </c>
      <c r="D335" s="2">
        <v>37583</v>
      </c>
      <c r="E335">
        <v>5.5</v>
      </c>
      <c r="G335" s="2">
        <v>37583</v>
      </c>
      <c r="H335">
        <v>5.93</v>
      </c>
      <c r="J335" s="2">
        <v>37590</v>
      </c>
      <c r="K335" s="3">
        <f t="shared" si="10"/>
        <v>5.5</v>
      </c>
      <c r="L335" s="3">
        <f t="shared" si="11"/>
        <v>5.93</v>
      </c>
    </row>
    <row r="336" spans="1:12" x14ac:dyDescent="0.3">
      <c r="A336" s="2">
        <v>36853</v>
      </c>
      <c r="B336" t="s">
        <v>13</v>
      </c>
      <c r="D336" s="2">
        <v>37584</v>
      </c>
      <c r="E336">
        <v>5.5</v>
      </c>
      <c r="G336" s="2">
        <v>37584</v>
      </c>
      <c r="H336">
        <v>5.93</v>
      </c>
      <c r="J336" s="2">
        <v>37591</v>
      </c>
      <c r="K336" s="3">
        <f t="shared" si="10"/>
        <v>5.5</v>
      </c>
      <c r="L336" s="3">
        <f t="shared" si="11"/>
        <v>5.93</v>
      </c>
    </row>
    <row r="337" spans="1:12" x14ac:dyDescent="0.3">
      <c r="A337" s="2">
        <v>36854</v>
      </c>
      <c r="B337" t="s">
        <v>13</v>
      </c>
      <c r="D337" s="2">
        <v>37585</v>
      </c>
      <c r="E337">
        <v>5.5</v>
      </c>
      <c r="G337" s="2">
        <v>37585</v>
      </c>
      <c r="H337">
        <v>5.93</v>
      </c>
      <c r="J337" s="2">
        <v>37592</v>
      </c>
      <c r="K337" s="3">
        <f t="shared" si="10"/>
        <v>5.5</v>
      </c>
      <c r="L337" s="3">
        <f t="shared" si="11"/>
        <v>5.93</v>
      </c>
    </row>
    <row r="338" spans="1:12" x14ac:dyDescent="0.3">
      <c r="A338" s="2">
        <v>36855</v>
      </c>
      <c r="B338" t="s">
        <v>13</v>
      </c>
      <c r="D338" s="2">
        <v>37586</v>
      </c>
      <c r="E338">
        <v>5.5</v>
      </c>
      <c r="G338" s="2">
        <v>37586</v>
      </c>
      <c r="H338">
        <v>5.93</v>
      </c>
      <c r="J338" s="2">
        <v>37593</v>
      </c>
      <c r="K338" s="3">
        <f t="shared" si="10"/>
        <v>5.5</v>
      </c>
      <c r="L338" s="3">
        <f t="shared" si="11"/>
        <v>5.93</v>
      </c>
    </row>
    <row r="339" spans="1:12" x14ac:dyDescent="0.3">
      <c r="A339" s="2">
        <v>36856</v>
      </c>
      <c r="B339" t="s">
        <v>13</v>
      </c>
      <c r="D339" s="2">
        <v>37587</v>
      </c>
      <c r="E339">
        <v>5.5</v>
      </c>
      <c r="G339" s="2">
        <v>37587</v>
      </c>
      <c r="H339">
        <v>5.93</v>
      </c>
      <c r="J339" s="2">
        <v>37594</v>
      </c>
      <c r="K339" s="3">
        <f t="shared" si="10"/>
        <v>5.5</v>
      </c>
      <c r="L339" s="3">
        <f t="shared" si="11"/>
        <v>5.93</v>
      </c>
    </row>
    <row r="340" spans="1:12" x14ac:dyDescent="0.3">
      <c r="A340" s="2">
        <v>36857</v>
      </c>
      <c r="B340" t="s">
        <v>13</v>
      </c>
      <c r="D340" s="2">
        <v>37588</v>
      </c>
      <c r="E340">
        <v>5.5</v>
      </c>
      <c r="G340" s="2">
        <v>37588</v>
      </c>
      <c r="H340">
        <v>5.93</v>
      </c>
      <c r="J340" s="2">
        <v>37595</v>
      </c>
      <c r="K340" s="3">
        <f t="shared" si="10"/>
        <v>5.5</v>
      </c>
      <c r="L340" s="3">
        <f t="shared" si="11"/>
        <v>5.93</v>
      </c>
    </row>
    <row r="341" spans="1:12" x14ac:dyDescent="0.3">
      <c r="A341" s="2">
        <v>36858</v>
      </c>
      <c r="B341" t="s">
        <v>13</v>
      </c>
      <c r="D341" s="2">
        <v>37589</v>
      </c>
      <c r="E341">
        <v>5.5</v>
      </c>
      <c r="G341" s="2">
        <v>37589</v>
      </c>
      <c r="H341">
        <v>5.93</v>
      </c>
      <c r="J341" s="2">
        <v>37596</v>
      </c>
      <c r="K341" s="3">
        <f t="shared" si="10"/>
        <v>5.5</v>
      </c>
      <c r="L341" s="3">
        <f t="shared" si="11"/>
        <v>5.93</v>
      </c>
    </row>
    <row r="342" spans="1:12" x14ac:dyDescent="0.3">
      <c r="A342" s="2">
        <v>36859</v>
      </c>
      <c r="B342" t="s">
        <v>13</v>
      </c>
      <c r="D342" s="2">
        <v>37590</v>
      </c>
      <c r="E342">
        <v>5.5</v>
      </c>
      <c r="G342" s="2">
        <v>37590</v>
      </c>
      <c r="H342">
        <v>5.93</v>
      </c>
      <c r="J342" s="2">
        <v>37597</v>
      </c>
      <c r="K342" s="3">
        <f t="shared" si="10"/>
        <v>5.5</v>
      </c>
      <c r="L342" s="3">
        <f t="shared" si="11"/>
        <v>5.93</v>
      </c>
    </row>
    <row r="343" spans="1:12" x14ac:dyDescent="0.3">
      <c r="A343" s="2">
        <v>36860</v>
      </c>
      <c r="B343" t="s">
        <v>13</v>
      </c>
      <c r="D343" s="2">
        <v>37591</v>
      </c>
      <c r="E343">
        <v>5.5</v>
      </c>
      <c r="G343" s="2">
        <v>37591</v>
      </c>
      <c r="H343">
        <v>5.93</v>
      </c>
      <c r="J343" s="2">
        <v>37598</v>
      </c>
      <c r="K343" s="3">
        <f t="shared" si="10"/>
        <v>5.5</v>
      </c>
      <c r="L343" s="3">
        <f t="shared" si="11"/>
        <v>5.93</v>
      </c>
    </row>
    <row r="344" spans="1:12" x14ac:dyDescent="0.3">
      <c r="A344" s="2">
        <v>36861</v>
      </c>
      <c r="B344" t="s">
        <v>13</v>
      </c>
      <c r="D344" s="2">
        <v>37592</v>
      </c>
      <c r="E344">
        <v>5.5</v>
      </c>
      <c r="G344" s="2">
        <v>37592</v>
      </c>
      <c r="H344">
        <v>5.93</v>
      </c>
      <c r="J344" s="2">
        <v>37599</v>
      </c>
      <c r="K344" s="3">
        <f t="shared" si="10"/>
        <v>5.5</v>
      </c>
      <c r="L344" s="3">
        <f t="shared" si="11"/>
        <v>5.93</v>
      </c>
    </row>
    <row r="345" spans="1:12" x14ac:dyDescent="0.3">
      <c r="A345" s="2">
        <v>36862</v>
      </c>
      <c r="B345" t="s">
        <v>13</v>
      </c>
      <c r="D345" s="2">
        <v>37593</v>
      </c>
      <c r="E345">
        <v>5.5</v>
      </c>
      <c r="G345" s="2">
        <v>37593</v>
      </c>
      <c r="H345">
        <v>5.93</v>
      </c>
      <c r="J345" s="2">
        <v>37600</v>
      </c>
      <c r="K345" s="3">
        <f t="shared" si="10"/>
        <v>5.5</v>
      </c>
      <c r="L345" s="3">
        <f t="shared" si="11"/>
        <v>5.93</v>
      </c>
    </row>
    <row r="346" spans="1:12" x14ac:dyDescent="0.3">
      <c r="A346" s="2">
        <v>36863</v>
      </c>
      <c r="B346" t="s">
        <v>13</v>
      </c>
      <c r="D346" s="2">
        <v>37594</v>
      </c>
      <c r="E346">
        <v>5.5</v>
      </c>
      <c r="G346" s="2">
        <v>37594</v>
      </c>
      <c r="H346">
        <v>5.93</v>
      </c>
      <c r="J346" s="2">
        <v>37601</v>
      </c>
      <c r="K346" s="3">
        <f t="shared" si="10"/>
        <v>5.5</v>
      </c>
      <c r="L346" s="3">
        <f t="shared" si="11"/>
        <v>5.93</v>
      </c>
    </row>
    <row r="347" spans="1:12" x14ac:dyDescent="0.3">
      <c r="A347" s="2">
        <v>36864</v>
      </c>
      <c r="B347" t="s">
        <v>13</v>
      </c>
      <c r="D347" s="2">
        <v>37595</v>
      </c>
      <c r="E347">
        <v>5.5</v>
      </c>
      <c r="G347" s="2">
        <v>37595</v>
      </c>
      <c r="H347">
        <v>5.93</v>
      </c>
      <c r="J347" s="2">
        <v>37602</v>
      </c>
      <c r="K347" s="3">
        <f t="shared" si="10"/>
        <v>5.5</v>
      </c>
      <c r="L347" s="3">
        <f t="shared" si="11"/>
        <v>5.93</v>
      </c>
    </row>
    <row r="348" spans="1:12" x14ac:dyDescent="0.3">
      <c r="A348" s="2">
        <v>36865</v>
      </c>
      <c r="B348" t="s">
        <v>13</v>
      </c>
      <c r="D348" s="2">
        <v>37596</v>
      </c>
      <c r="E348">
        <v>5.5</v>
      </c>
      <c r="G348" s="2">
        <v>37596</v>
      </c>
      <c r="H348">
        <v>5.93</v>
      </c>
      <c r="J348" s="2">
        <v>37603</v>
      </c>
      <c r="K348" s="3">
        <f t="shared" si="10"/>
        <v>5.5</v>
      </c>
      <c r="L348" s="3">
        <f t="shared" si="11"/>
        <v>5.93</v>
      </c>
    </row>
    <row r="349" spans="1:12" x14ac:dyDescent="0.3">
      <c r="A349" s="2">
        <v>36866</v>
      </c>
      <c r="B349" t="s">
        <v>13</v>
      </c>
      <c r="D349" s="2">
        <v>37597</v>
      </c>
      <c r="E349">
        <v>5.5</v>
      </c>
      <c r="G349" s="2">
        <v>37597</v>
      </c>
      <c r="H349">
        <v>5.93</v>
      </c>
      <c r="J349" s="2">
        <v>37604</v>
      </c>
      <c r="K349" s="3">
        <f t="shared" si="10"/>
        <v>5.5</v>
      </c>
      <c r="L349" s="3">
        <f t="shared" si="11"/>
        <v>5.93</v>
      </c>
    </row>
    <row r="350" spans="1:12" x14ac:dyDescent="0.3">
      <c r="A350" s="2">
        <v>36867</v>
      </c>
      <c r="B350" t="s">
        <v>13</v>
      </c>
      <c r="D350" s="2">
        <v>37598</v>
      </c>
      <c r="E350">
        <v>5.5</v>
      </c>
      <c r="G350" s="2">
        <v>37598</v>
      </c>
      <c r="H350">
        <v>5.93</v>
      </c>
      <c r="J350" s="2">
        <v>37605</v>
      </c>
      <c r="K350" s="3">
        <f t="shared" si="10"/>
        <v>5.5</v>
      </c>
      <c r="L350" s="3">
        <f t="shared" si="11"/>
        <v>5.93</v>
      </c>
    </row>
    <row r="351" spans="1:12" x14ac:dyDescent="0.3">
      <c r="A351" s="2">
        <v>36868</v>
      </c>
      <c r="B351" t="s">
        <v>13</v>
      </c>
      <c r="D351" s="2">
        <v>37599</v>
      </c>
      <c r="E351">
        <v>5.5</v>
      </c>
      <c r="G351" s="2">
        <v>37599</v>
      </c>
      <c r="H351">
        <v>5.93</v>
      </c>
      <c r="J351" s="2">
        <v>37606</v>
      </c>
      <c r="K351" s="3">
        <f t="shared" si="10"/>
        <v>5.5</v>
      </c>
      <c r="L351" s="3">
        <f t="shared" si="11"/>
        <v>5.93</v>
      </c>
    </row>
    <row r="352" spans="1:12" x14ac:dyDescent="0.3">
      <c r="A352" s="2">
        <v>36869</v>
      </c>
      <c r="B352" t="s">
        <v>13</v>
      </c>
      <c r="D352" s="2">
        <v>37600</v>
      </c>
      <c r="E352">
        <v>5.5</v>
      </c>
      <c r="G352" s="2">
        <v>37600</v>
      </c>
      <c r="H352">
        <v>5.93</v>
      </c>
      <c r="J352" s="2">
        <v>37607</v>
      </c>
      <c r="K352" s="3">
        <f t="shared" si="10"/>
        <v>5.5</v>
      </c>
      <c r="L352" s="3">
        <f t="shared" si="11"/>
        <v>5.93</v>
      </c>
    </row>
    <row r="353" spans="1:12" x14ac:dyDescent="0.3">
      <c r="A353" s="2">
        <v>36870</v>
      </c>
      <c r="B353" t="s">
        <v>13</v>
      </c>
      <c r="D353" s="2">
        <v>37601</v>
      </c>
      <c r="E353">
        <v>5.5</v>
      </c>
      <c r="G353" s="2">
        <v>37601</v>
      </c>
      <c r="H353">
        <v>5.93</v>
      </c>
      <c r="J353" s="2">
        <v>37608</v>
      </c>
      <c r="K353" s="3">
        <f t="shared" si="10"/>
        <v>5.5</v>
      </c>
      <c r="L353" s="3">
        <f t="shared" si="11"/>
        <v>5.93</v>
      </c>
    </row>
    <row r="354" spans="1:12" x14ac:dyDescent="0.3">
      <c r="A354" s="2">
        <v>36871</v>
      </c>
      <c r="B354" t="s">
        <v>13</v>
      </c>
      <c r="D354" s="2">
        <v>37602</v>
      </c>
      <c r="E354">
        <v>5.5</v>
      </c>
      <c r="G354" s="2">
        <v>37602</v>
      </c>
      <c r="H354">
        <v>5.93</v>
      </c>
      <c r="J354" s="2">
        <v>37609</v>
      </c>
      <c r="K354" s="3">
        <f t="shared" si="10"/>
        <v>5.5</v>
      </c>
      <c r="L354" s="3">
        <f t="shared" si="11"/>
        <v>5.93</v>
      </c>
    </row>
    <row r="355" spans="1:12" x14ac:dyDescent="0.3">
      <c r="A355" s="2">
        <v>36872</v>
      </c>
      <c r="B355" t="s">
        <v>13</v>
      </c>
      <c r="D355" s="2">
        <v>37603</v>
      </c>
      <c r="E355">
        <v>5.5</v>
      </c>
      <c r="G355" s="2">
        <v>37603</v>
      </c>
      <c r="H355">
        <v>5.93</v>
      </c>
      <c r="J355" s="2">
        <v>37610</v>
      </c>
      <c r="K355" s="3">
        <f t="shared" si="10"/>
        <v>5.5</v>
      </c>
      <c r="L355" s="3">
        <f t="shared" si="11"/>
        <v>5.93</v>
      </c>
    </row>
    <row r="356" spans="1:12" x14ac:dyDescent="0.3">
      <c r="A356" s="2">
        <v>36873</v>
      </c>
      <c r="B356" t="s">
        <v>13</v>
      </c>
      <c r="D356" s="2">
        <v>37604</v>
      </c>
      <c r="E356">
        <v>5.5</v>
      </c>
      <c r="G356" s="2">
        <v>37604</v>
      </c>
      <c r="H356">
        <v>5.93</v>
      </c>
      <c r="J356" s="2">
        <v>37611</v>
      </c>
      <c r="K356" s="3">
        <f t="shared" si="10"/>
        <v>5.5</v>
      </c>
      <c r="L356" s="3">
        <f t="shared" si="11"/>
        <v>5.93</v>
      </c>
    </row>
    <row r="357" spans="1:12" x14ac:dyDescent="0.3">
      <c r="A357" s="2">
        <v>36874</v>
      </c>
      <c r="B357" t="s">
        <v>13</v>
      </c>
      <c r="D357" s="2">
        <v>37605</v>
      </c>
      <c r="E357">
        <v>5.5</v>
      </c>
      <c r="G357" s="2">
        <v>37605</v>
      </c>
      <c r="H357">
        <v>5.93</v>
      </c>
      <c r="J357" s="2">
        <v>37612</v>
      </c>
      <c r="K357" s="3">
        <f t="shared" si="10"/>
        <v>5.5</v>
      </c>
      <c r="L357" s="3">
        <f t="shared" si="11"/>
        <v>5.93</v>
      </c>
    </row>
    <row r="358" spans="1:12" x14ac:dyDescent="0.3">
      <c r="A358" s="2">
        <v>36875</v>
      </c>
      <c r="B358" t="s">
        <v>13</v>
      </c>
      <c r="D358" s="2">
        <v>37606</v>
      </c>
      <c r="E358">
        <v>5.5</v>
      </c>
      <c r="G358" s="2">
        <v>37606</v>
      </c>
      <c r="H358">
        <v>5.93</v>
      </c>
      <c r="J358" s="2">
        <v>37613</v>
      </c>
      <c r="K358" s="3">
        <f t="shared" si="10"/>
        <v>5.5</v>
      </c>
      <c r="L358" s="3">
        <f t="shared" si="11"/>
        <v>5.93</v>
      </c>
    </row>
    <row r="359" spans="1:12" x14ac:dyDescent="0.3">
      <c r="A359" s="2">
        <v>36876</v>
      </c>
      <c r="B359" t="s">
        <v>13</v>
      </c>
      <c r="D359" s="2">
        <v>37607</v>
      </c>
      <c r="E359">
        <v>5.5</v>
      </c>
      <c r="G359" s="2">
        <v>37607</v>
      </c>
      <c r="H359">
        <v>5.93</v>
      </c>
      <c r="J359" s="2">
        <v>37614</v>
      </c>
      <c r="K359" s="3">
        <f t="shared" si="10"/>
        <v>5.5</v>
      </c>
      <c r="L359" s="3">
        <f t="shared" si="11"/>
        <v>5.93</v>
      </c>
    </row>
    <row r="360" spans="1:12" x14ac:dyDescent="0.3">
      <c r="A360" s="2">
        <v>36877</v>
      </c>
      <c r="B360" t="s">
        <v>13</v>
      </c>
      <c r="D360" s="2">
        <v>37608</v>
      </c>
      <c r="E360">
        <v>5.5</v>
      </c>
      <c r="G360" s="2">
        <v>37608</v>
      </c>
      <c r="H360">
        <v>5.93</v>
      </c>
      <c r="J360" s="2">
        <v>37615</v>
      </c>
      <c r="K360" s="3">
        <f t="shared" si="10"/>
        <v>5.5</v>
      </c>
      <c r="L360" s="3">
        <f t="shared" si="11"/>
        <v>5.93</v>
      </c>
    </row>
    <row r="361" spans="1:12" x14ac:dyDescent="0.3">
      <c r="A361" s="2">
        <v>36878</v>
      </c>
      <c r="B361" t="s">
        <v>13</v>
      </c>
      <c r="D361" s="2">
        <v>37609</v>
      </c>
      <c r="E361">
        <v>5.5</v>
      </c>
      <c r="G361" s="2">
        <v>37609</v>
      </c>
      <c r="H361">
        <v>5.93</v>
      </c>
      <c r="J361" s="2">
        <v>37616</v>
      </c>
      <c r="K361" s="3">
        <f t="shared" si="10"/>
        <v>5.5</v>
      </c>
      <c r="L361" s="3">
        <f t="shared" si="11"/>
        <v>5.93</v>
      </c>
    </row>
    <row r="362" spans="1:12" x14ac:dyDescent="0.3">
      <c r="A362" s="2">
        <v>36879</v>
      </c>
      <c r="B362" t="s">
        <v>13</v>
      </c>
      <c r="D362" s="2">
        <v>37610</v>
      </c>
      <c r="E362">
        <v>5.5</v>
      </c>
      <c r="G362" s="2">
        <v>37610</v>
      </c>
      <c r="H362">
        <v>5.93</v>
      </c>
      <c r="J362" s="2">
        <v>37617</v>
      </c>
      <c r="K362" s="3">
        <f t="shared" si="10"/>
        <v>5.5</v>
      </c>
      <c r="L362" s="3">
        <f t="shared" si="11"/>
        <v>5.93</v>
      </c>
    </row>
    <row r="363" spans="1:12" x14ac:dyDescent="0.3">
      <c r="A363" s="2">
        <v>36880</v>
      </c>
      <c r="B363" t="s">
        <v>13</v>
      </c>
      <c r="D363" s="2">
        <v>37611</v>
      </c>
      <c r="E363">
        <v>5.5</v>
      </c>
      <c r="G363" s="2">
        <v>37611</v>
      </c>
      <c r="H363">
        <v>5.93</v>
      </c>
      <c r="J363" s="2">
        <v>37618</v>
      </c>
      <c r="K363" s="3">
        <f t="shared" si="10"/>
        <v>5.5</v>
      </c>
      <c r="L363" s="3">
        <f t="shared" si="11"/>
        <v>5.93</v>
      </c>
    </row>
    <row r="364" spans="1:12" x14ac:dyDescent="0.3">
      <c r="A364" s="2">
        <v>36881</v>
      </c>
      <c r="B364" t="s">
        <v>13</v>
      </c>
      <c r="D364" s="2">
        <v>37612</v>
      </c>
      <c r="E364">
        <v>5.5</v>
      </c>
      <c r="G364" s="2">
        <v>37612</v>
      </c>
      <c r="H364">
        <v>5.93</v>
      </c>
      <c r="J364" s="2">
        <v>37619</v>
      </c>
      <c r="K364" s="3">
        <f t="shared" si="10"/>
        <v>5.5</v>
      </c>
      <c r="L364" s="3">
        <f t="shared" si="11"/>
        <v>5.93</v>
      </c>
    </row>
    <row r="365" spans="1:12" x14ac:dyDescent="0.3">
      <c r="A365" s="2">
        <v>36882</v>
      </c>
      <c r="B365" t="s">
        <v>13</v>
      </c>
      <c r="D365" s="2">
        <v>37613</v>
      </c>
      <c r="E365">
        <v>5.5</v>
      </c>
      <c r="G365" s="2">
        <v>37613</v>
      </c>
      <c r="H365">
        <v>5.93</v>
      </c>
      <c r="J365" s="2">
        <v>37620</v>
      </c>
      <c r="K365" s="3">
        <f t="shared" si="10"/>
        <v>5.5</v>
      </c>
      <c r="L365" s="3">
        <f t="shared" si="11"/>
        <v>5.93</v>
      </c>
    </row>
    <row r="366" spans="1:12" x14ac:dyDescent="0.3">
      <c r="A366" s="2">
        <v>36883</v>
      </c>
      <c r="B366" t="s">
        <v>13</v>
      </c>
      <c r="D366" s="2">
        <v>37614</v>
      </c>
      <c r="E366">
        <v>5.5</v>
      </c>
      <c r="G366" s="2">
        <v>37614</v>
      </c>
      <c r="H366">
        <v>5.93</v>
      </c>
      <c r="J366" s="2">
        <v>37621</v>
      </c>
      <c r="K366" s="3">
        <f t="shared" si="10"/>
        <v>5.5</v>
      </c>
      <c r="L366" s="3">
        <f t="shared" si="11"/>
        <v>5.93</v>
      </c>
    </row>
    <row r="367" spans="1:12" x14ac:dyDescent="0.3">
      <c r="A367" s="2">
        <v>36884</v>
      </c>
      <c r="B367" t="s">
        <v>13</v>
      </c>
      <c r="D367" s="2">
        <v>37615</v>
      </c>
      <c r="E367">
        <v>5.5</v>
      </c>
      <c r="G367" s="2">
        <v>37615</v>
      </c>
      <c r="H367">
        <v>5.93</v>
      </c>
      <c r="J367" s="2">
        <v>37622</v>
      </c>
      <c r="K367" s="3">
        <f t="shared" si="10"/>
        <v>5.5</v>
      </c>
      <c r="L367" s="3">
        <f t="shared" si="11"/>
        <v>5.93</v>
      </c>
    </row>
    <row r="368" spans="1:12" x14ac:dyDescent="0.3">
      <c r="A368" s="2">
        <v>36885</v>
      </c>
      <c r="B368" t="s">
        <v>13</v>
      </c>
      <c r="D368" s="2">
        <v>37616</v>
      </c>
      <c r="E368">
        <v>5.5</v>
      </c>
      <c r="G368" s="2">
        <v>37616</v>
      </c>
      <c r="H368">
        <v>5.93</v>
      </c>
      <c r="J368" s="2">
        <v>37623</v>
      </c>
      <c r="K368" s="3">
        <f t="shared" si="10"/>
        <v>5.5</v>
      </c>
      <c r="L368" s="3">
        <f t="shared" si="11"/>
        <v>5.93</v>
      </c>
    </row>
    <row r="369" spans="1:12" x14ac:dyDescent="0.3">
      <c r="A369" s="2">
        <v>36886</v>
      </c>
      <c r="B369" t="s">
        <v>13</v>
      </c>
      <c r="D369" s="2">
        <v>37617</v>
      </c>
      <c r="E369">
        <v>5.5</v>
      </c>
      <c r="G369" s="2">
        <v>37617</v>
      </c>
      <c r="H369">
        <v>5.93</v>
      </c>
      <c r="J369" s="2">
        <v>37624</v>
      </c>
      <c r="K369" s="3">
        <f t="shared" si="10"/>
        <v>5.5</v>
      </c>
      <c r="L369" s="3">
        <f t="shared" si="11"/>
        <v>5.93</v>
      </c>
    </row>
    <row r="370" spans="1:12" x14ac:dyDescent="0.3">
      <c r="A370" s="2">
        <v>36887</v>
      </c>
      <c r="B370" t="s">
        <v>13</v>
      </c>
      <c r="D370" s="2">
        <v>37618</v>
      </c>
      <c r="E370">
        <v>5.5</v>
      </c>
      <c r="G370" s="2">
        <v>37618</v>
      </c>
      <c r="H370">
        <v>5.93</v>
      </c>
      <c r="J370" s="2">
        <v>37625</v>
      </c>
      <c r="K370" s="3">
        <f t="shared" si="10"/>
        <v>5.5</v>
      </c>
      <c r="L370" s="3">
        <f t="shared" si="11"/>
        <v>5.93</v>
      </c>
    </row>
    <row r="371" spans="1:12" x14ac:dyDescent="0.3">
      <c r="A371" s="2">
        <v>36888</v>
      </c>
      <c r="B371" t="s">
        <v>13</v>
      </c>
      <c r="D371" s="2">
        <v>37619</v>
      </c>
      <c r="E371">
        <v>5.5</v>
      </c>
      <c r="G371" s="2">
        <v>37619</v>
      </c>
      <c r="H371">
        <v>5.93</v>
      </c>
      <c r="J371" s="2">
        <v>37626</v>
      </c>
      <c r="K371" s="3">
        <f t="shared" si="10"/>
        <v>5.5</v>
      </c>
      <c r="L371" s="3">
        <f t="shared" si="11"/>
        <v>5.93</v>
      </c>
    </row>
    <row r="372" spans="1:12" x14ac:dyDescent="0.3">
      <c r="A372" s="2">
        <v>36889</v>
      </c>
      <c r="B372" t="s">
        <v>13</v>
      </c>
      <c r="D372" s="2">
        <v>37620</v>
      </c>
      <c r="E372">
        <v>5.5</v>
      </c>
      <c r="G372" s="2">
        <v>37620</v>
      </c>
      <c r="H372">
        <v>5.93</v>
      </c>
      <c r="J372" s="2">
        <v>37627</v>
      </c>
      <c r="K372" s="3">
        <f t="shared" si="10"/>
        <v>5.5</v>
      </c>
      <c r="L372" s="3">
        <f t="shared" si="11"/>
        <v>5.93</v>
      </c>
    </row>
    <row r="373" spans="1:12" x14ac:dyDescent="0.3">
      <c r="A373" s="2">
        <v>36890</v>
      </c>
      <c r="B373" t="s">
        <v>13</v>
      </c>
      <c r="D373" s="2">
        <v>37621</v>
      </c>
      <c r="E373">
        <v>5.5</v>
      </c>
      <c r="G373" s="2">
        <v>37621</v>
      </c>
      <c r="H373">
        <v>5.93</v>
      </c>
      <c r="J373" s="2">
        <v>37628</v>
      </c>
      <c r="K373" s="3">
        <f t="shared" si="10"/>
        <v>5.5</v>
      </c>
      <c r="L373" s="3">
        <f t="shared" si="11"/>
        <v>5.93</v>
      </c>
    </row>
    <row r="374" spans="1:12" x14ac:dyDescent="0.3">
      <c r="A374" s="2">
        <v>36891</v>
      </c>
      <c r="B374" t="s">
        <v>13</v>
      </c>
      <c r="D374" s="2">
        <v>37622</v>
      </c>
      <c r="E374">
        <v>5.5</v>
      </c>
      <c r="G374" s="2">
        <v>37622</v>
      </c>
      <c r="H374">
        <v>5.93</v>
      </c>
      <c r="J374" s="2">
        <v>37629</v>
      </c>
      <c r="K374" s="3">
        <f t="shared" si="10"/>
        <v>5.5</v>
      </c>
      <c r="L374" s="3">
        <f t="shared" si="11"/>
        <v>5.93</v>
      </c>
    </row>
    <row r="375" spans="1:12" x14ac:dyDescent="0.3">
      <c r="A375" s="2">
        <v>36892</v>
      </c>
      <c r="B375" t="s">
        <v>13</v>
      </c>
      <c r="D375" s="2">
        <v>37623</v>
      </c>
      <c r="E375">
        <v>5.5</v>
      </c>
      <c r="G375" s="2">
        <v>37623</v>
      </c>
      <c r="H375">
        <v>5.93</v>
      </c>
      <c r="J375" s="2">
        <v>37630</v>
      </c>
      <c r="K375" s="3">
        <f t="shared" si="10"/>
        <v>5.5</v>
      </c>
      <c r="L375" s="3">
        <f t="shared" si="11"/>
        <v>5.93</v>
      </c>
    </row>
    <row r="376" spans="1:12" x14ac:dyDescent="0.3">
      <c r="A376" s="2">
        <v>36893</v>
      </c>
      <c r="B376" t="s">
        <v>13</v>
      </c>
      <c r="D376" s="2">
        <v>37624</v>
      </c>
      <c r="E376">
        <v>5.5</v>
      </c>
      <c r="G376" s="2">
        <v>37624</v>
      </c>
      <c r="H376">
        <v>5.93</v>
      </c>
      <c r="J376" s="2">
        <v>37631</v>
      </c>
      <c r="K376" s="3">
        <f t="shared" si="10"/>
        <v>5.5</v>
      </c>
      <c r="L376" s="3">
        <f t="shared" si="11"/>
        <v>5.93</v>
      </c>
    </row>
    <row r="377" spans="1:12" x14ac:dyDescent="0.3">
      <c r="A377" s="2">
        <v>36894</v>
      </c>
      <c r="B377" t="s">
        <v>13</v>
      </c>
      <c r="D377" s="2">
        <v>37625</v>
      </c>
      <c r="E377">
        <v>5.5</v>
      </c>
      <c r="G377" s="2">
        <v>37625</v>
      </c>
      <c r="H377">
        <v>5.93</v>
      </c>
      <c r="J377" s="2">
        <v>37632</v>
      </c>
      <c r="K377" s="3">
        <f t="shared" si="10"/>
        <v>5.5</v>
      </c>
      <c r="L377" s="3">
        <f t="shared" si="11"/>
        <v>5.93</v>
      </c>
    </row>
    <row r="378" spans="1:12" x14ac:dyDescent="0.3">
      <c r="A378" s="2">
        <v>36895</v>
      </c>
      <c r="B378" t="s">
        <v>13</v>
      </c>
      <c r="D378" s="2">
        <v>37626</v>
      </c>
      <c r="E378">
        <v>5.5</v>
      </c>
      <c r="G378" s="2">
        <v>37626</v>
      </c>
      <c r="H378">
        <v>5.93</v>
      </c>
      <c r="J378" s="2">
        <v>37633</v>
      </c>
      <c r="K378" s="3">
        <f t="shared" si="10"/>
        <v>5.5</v>
      </c>
      <c r="L378" s="3">
        <f t="shared" si="11"/>
        <v>5.93</v>
      </c>
    </row>
    <row r="379" spans="1:12" x14ac:dyDescent="0.3">
      <c r="A379" s="2">
        <v>36896</v>
      </c>
      <c r="B379" t="s">
        <v>13</v>
      </c>
      <c r="D379" s="2">
        <v>37627</v>
      </c>
      <c r="E379">
        <v>5.5</v>
      </c>
      <c r="G379" s="2">
        <v>37627</v>
      </c>
      <c r="H379">
        <v>5.93</v>
      </c>
      <c r="J379" s="2">
        <v>37634</v>
      </c>
      <c r="K379" s="3">
        <f t="shared" si="10"/>
        <v>5.5</v>
      </c>
      <c r="L379" s="3">
        <f t="shared" si="11"/>
        <v>5.93</v>
      </c>
    </row>
    <row r="380" spans="1:12" x14ac:dyDescent="0.3">
      <c r="A380" s="2">
        <v>36897</v>
      </c>
      <c r="B380" t="s">
        <v>13</v>
      </c>
      <c r="D380" s="2">
        <v>37628</v>
      </c>
      <c r="E380">
        <v>5.5</v>
      </c>
      <c r="G380" s="2">
        <v>37628</v>
      </c>
      <c r="H380">
        <v>5.93</v>
      </c>
      <c r="J380" s="2">
        <v>37635</v>
      </c>
      <c r="K380" s="3">
        <f t="shared" si="10"/>
        <v>5.5</v>
      </c>
      <c r="L380" s="3">
        <f t="shared" si="11"/>
        <v>5.93</v>
      </c>
    </row>
    <row r="381" spans="1:12" x14ac:dyDescent="0.3">
      <c r="A381" s="2">
        <v>36898</v>
      </c>
      <c r="B381" t="s">
        <v>13</v>
      </c>
      <c r="D381" s="2">
        <v>37629</v>
      </c>
      <c r="E381">
        <v>5.5</v>
      </c>
      <c r="G381" s="2">
        <v>37629</v>
      </c>
      <c r="H381">
        <v>5.93</v>
      </c>
      <c r="J381" s="2">
        <v>37636</v>
      </c>
      <c r="K381" s="3">
        <f t="shared" si="10"/>
        <v>5.5</v>
      </c>
      <c r="L381" s="3">
        <f t="shared" si="11"/>
        <v>5.93</v>
      </c>
    </row>
    <row r="382" spans="1:12" x14ac:dyDescent="0.3">
      <c r="A382" s="2">
        <v>36899</v>
      </c>
      <c r="B382" t="s">
        <v>13</v>
      </c>
      <c r="D382" s="2">
        <v>37630</v>
      </c>
      <c r="E382">
        <v>5.5</v>
      </c>
      <c r="G382" s="2">
        <v>37630</v>
      </c>
      <c r="H382">
        <v>5.93</v>
      </c>
      <c r="J382" s="2">
        <v>37637</v>
      </c>
      <c r="K382" s="3">
        <f t="shared" si="10"/>
        <v>5.5</v>
      </c>
      <c r="L382" s="3">
        <f t="shared" si="11"/>
        <v>5.93</v>
      </c>
    </row>
    <row r="383" spans="1:12" x14ac:dyDescent="0.3">
      <c r="A383" s="2">
        <v>36900</v>
      </c>
      <c r="B383" t="s">
        <v>13</v>
      </c>
      <c r="D383" s="2">
        <v>37631</v>
      </c>
      <c r="E383">
        <v>5.5</v>
      </c>
      <c r="G383" s="2">
        <v>37631</v>
      </c>
      <c r="H383">
        <v>5.93</v>
      </c>
      <c r="J383" s="2">
        <v>37638</v>
      </c>
      <c r="K383" s="3">
        <f t="shared" si="10"/>
        <v>5.5</v>
      </c>
      <c r="L383" s="3">
        <f t="shared" si="11"/>
        <v>5.93</v>
      </c>
    </row>
    <row r="384" spans="1:12" x14ac:dyDescent="0.3">
      <c r="A384" s="2">
        <v>36901</v>
      </c>
      <c r="B384" t="s">
        <v>13</v>
      </c>
      <c r="D384" s="2">
        <v>37632</v>
      </c>
      <c r="E384">
        <v>5.5</v>
      </c>
      <c r="G384" s="2">
        <v>37632</v>
      </c>
      <c r="H384">
        <v>5.93</v>
      </c>
      <c r="J384" s="2">
        <v>37639</v>
      </c>
      <c r="K384" s="3">
        <f t="shared" si="10"/>
        <v>5.5</v>
      </c>
      <c r="L384" s="3">
        <f t="shared" si="11"/>
        <v>5.93</v>
      </c>
    </row>
    <row r="385" spans="1:12" x14ac:dyDescent="0.3">
      <c r="A385" s="2">
        <v>36902</v>
      </c>
      <c r="B385" t="s">
        <v>13</v>
      </c>
      <c r="D385" s="2">
        <v>37633</v>
      </c>
      <c r="E385">
        <v>5.5</v>
      </c>
      <c r="G385" s="2">
        <v>37633</v>
      </c>
      <c r="H385">
        <v>5.93</v>
      </c>
      <c r="J385" s="2">
        <v>37640</v>
      </c>
      <c r="K385" s="3">
        <f t="shared" si="10"/>
        <v>5.5</v>
      </c>
      <c r="L385" s="3">
        <f t="shared" si="11"/>
        <v>5.93</v>
      </c>
    </row>
    <row r="386" spans="1:12" x14ac:dyDescent="0.3">
      <c r="A386" s="2">
        <v>36903</v>
      </c>
      <c r="B386" t="s">
        <v>13</v>
      </c>
      <c r="D386" s="2">
        <v>37634</v>
      </c>
      <c r="E386">
        <v>5.5</v>
      </c>
      <c r="G386" s="2">
        <v>37634</v>
      </c>
      <c r="H386">
        <v>5.93</v>
      </c>
      <c r="J386" s="2">
        <v>37641</v>
      </c>
      <c r="K386" s="3">
        <f t="shared" si="10"/>
        <v>5.5</v>
      </c>
      <c r="L386" s="3">
        <f t="shared" si="11"/>
        <v>5.93</v>
      </c>
    </row>
    <row r="387" spans="1:12" x14ac:dyDescent="0.3">
      <c r="A387" s="2">
        <v>36904</v>
      </c>
      <c r="B387" t="s">
        <v>13</v>
      </c>
      <c r="D387" s="2">
        <v>37635</v>
      </c>
      <c r="E387">
        <v>5.5</v>
      </c>
      <c r="G387" s="2">
        <v>37635</v>
      </c>
      <c r="H387">
        <v>5.93</v>
      </c>
      <c r="J387" s="2">
        <v>37642</v>
      </c>
      <c r="K387" s="3">
        <f t="shared" ref="K387:K450" si="12">E394</f>
        <v>5.5</v>
      </c>
      <c r="L387" s="3">
        <f t="shared" ref="L387:L450" si="13">H394</f>
        <v>5.93</v>
      </c>
    </row>
    <row r="388" spans="1:12" x14ac:dyDescent="0.3">
      <c r="A388" s="2">
        <v>36905</v>
      </c>
      <c r="B388" t="s">
        <v>13</v>
      </c>
      <c r="D388" s="2">
        <v>37636</v>
      </c>
      <c r="E388">
        <v>5.5</v>
      </c>
      <c r="G388" s="2">
        <v>37636</v>
      </c>
      <c r="H388">
        <v>5.93</v>
      </c>
      <c r="J388" s="2">
        <v>37643</v>
      </c>
      <c r="K388" s="3">
        <f t="shared" si="12"/>
        <v>5.5</v>
      </c>
      <c r="L388" s="3">
        <f t="shared" si="13"/>
        <v>5.93</v>
      </c>
    </row>
    <row r="389" spans="1:12" x14ac:dyDescent="0.3">
      <c r="A389" s="2">
        <v>36906</v>
      </c>
      <c r="B389" t="s">
        <v>13</v>
      </c>
      <c r="D389" s="2">
        <v>37637</v>
      </c>
      <c r="E389">
        <v>5.5</v>
      </c>
      <c r="G389" s="2">
        <v>37637</v>
      </c>
      <c r="H389">
        <v>5.93</v>
      </c>
      <c r="J389" s="2">
        <v>37644</v>
      </c>
      <c r="K389" s="3">
        <f t="shared" si="12"/>
        <v>5.5</v>
      </c>
      <c r="L389" s="3">
        <f t="shared" si="13"/>
        <v>5.52</v>
      </c>
    </row>
    <row r="390" spans="1:12" x14ac:dyDescent="0.3">
      <c r="A390" s="2">
        <v>36907</v>
      </c>
      <c r="B390" t="s">
        <v>13</v>
      </c>
      <c r="D390" s="2">
        <v>37638</v>
      </c>
      <c r="E390">
        <v>5.5</v>
      </c>
      <c r="G390" s="2">
        <v>37638</v>
      </c>
      <c r="H390">
        <v>5.93</v>
      </c>
      <c r="J390" s="2">
        <v>37645</v>
      </c>
      <c r="K390" s="3">
        <f t="shared" si="12"/>
        <v>5.5</v>
      </c>
      <c r="L390" s="3">
        <f t="shared" si="13"/>
        <v>5.53</v>
      </c>
    </row>
    <row r="391" spans="1:12" x14ac:dyDescent="0.3">
      <c r="A391" s="2">
        <v>36908</v>
      </c>
      <c r="B391" t="s">
        <v>13</v>
      </c>
      <c r="D391" s="2">
        <v>37639</v>
      </c>
      <c r="E391">
        <v>5.5</v>
      </c>
      <c r="G391" s="2">
        <v>37639</v>
      </c>
      <c r="H391">
        <v>5.93</v>
      </c>
      <c r="J391" s="2">
        <v>37646</v>
      </c>
      <c r="K391" s="3">
        <f t="shared" si="12"/>
        <v>5.5</v>
      </c>
      <c r="L391" s="3">
        <f t="shared" si="13"/>
        <v>5.5469999999999997</v>
      </c>
    </row>
    <row r="392" spans="1:12" x14ac:dyDescent="0.3">
      <c r="A392" s="2">
        <v>36909</v>
      </c>
      <c r="B392" t="s">
        <v>13</v>
      </c>
      <c r="D392" s="2">
        <v>37640</v>
      </c>
      <c r="E392">
        <v>5.5</v>
      </c>
      <c r="G392" s="2">
        <v>37640</v>
      </c>
      <c r="H392">
        <v>5.93</v>
      </c>
      <c r="J392" s="2">
        <v>37647</v>
      </c>
      <c r="K392" s="3">
        <f t="shared" si="12"/>
        <v>5.5</v>
      </c>
      <c r="L392" s="3">
        <f t="shared" si="13"/>
        <v>5.5469999999999997</v>
      </c>
    </row>
    <row r="393" spans="1:12" x14ac:dyDescent="0.3">
      <c r="A393" s="2">
        <v>36910</v>
      </c>
      <c r="B393" t="s">
        <v>13</v>
      </c>
      <c r="D393" s="2">
        <v>37641</v>
      </c>
      <c r="E393">
        <v>5.5</v>
      </c>
      <c r="G393" s="2">
        <v>37641</v>
      </c>
      <c r="H393">
        <v>5.93</v>
      </c>
      <c r="J393" s="2">
        <v>37648</v>
      </c>
      <c r="K393" s="3">
        <f t="shared" si="12"/>
        <v>5.5</v>
      </c>
      <c r="L393" s="3">
        <f t="shared" si="13"/>
        <v>5.53</v>
      </c>
    </row>
    <row r="394" spans="1:12" x14ac:dyDescent="0.3">
      <c r="A394" s="2">
        <v>36911</v>
      </c>
      <c r="B394" t="s">
        <v>13</v>
      </c>
      <c r="D394" s="2">
        <v>37642</v>
      </c>
      <c r="E394">
        <v>5.5</v>
      </c>
      <c r="G394" s="2">
        <v>37642</v>
      </c>
      <c r="H394">
        <v>5.93</v>
      </c>
      <c r="J394" s="2">
        <v>37649</v>
      </c>
      <c r="K394" s="3">
        <f t="shared" si="12"/>
        <v>5.5</v>
      </c>
      <c r="L394" s="3">
        <f t="shared" si="13"/>
        <v>5.57</v>
      </c>
    </row>
    <row r="395" spans="1:12" x14ac:dyDescent="0.3">
      <c r="A395" s="2">
        <v>36912</v>
      </c>
      <c r="B395" t="s">
        <v>13</v>
      </c>
      <c r="D395" s="2">
        <v>37643</v>
      </c>
      <c r="E395">
        <v>5.5</v>
      </c>
      <c r="G395" s="2">
        <v>37643</v>
      </c>
      <c r="H395">
        <v>5.93</v>
      </c>
      <c r="J395" s="2">
        <v>37650</v>
      </c>
      <c r="K395" s="3">
        <f t="shared" si="12"/>
        <v>5.5</v>
      </c>
      <c r="L395" s="3">
        <f t="shared" si="13"/>
        <v>5.56</v>
      </c>
    </row>
    <row r="396" spans="1:12" x14ac:dyDescent="0.3">
      <c r="A396" s="2">
        <v>36913</v>
      </c>
      <c r="B396" t="s">
        <v>13</v>
      </c>
      <c r="D396" s="2">
        <v>37644</v>
      </c>
      <c r="E396">
        <v>5.5</v>
      </c>
      <c r="G396" s="2">
        <v>37644</v>
      </c>
      <c r="H396">
        <v>5.52</v>
      </c>
      <c r="J396" s="2">
        <v>37651</v>
      </c>
      <c r="K396" s="3">
        <f t="shared" si="12"/>
        <v>5.5</v>
      </c>
      <c r="L396" s="3">
        <f t="shared" si="13"/>
        <v>5.63</v>
      </c>
    </row>
    <row r="397" spans="1:12" x14ac:dyDescent="0.3">
      <c r="A397" s="2">
        <v>36914</v>
      </c>
      <c r="B397" t="s">
        <v>13</v>
      </c>
      <c r="D397" s="2">
        <v>37645</v>
      </c>
      <c r="E397">
        <v>5.5</v>
      </c>
      <c r="G397" s="2">
        <v>37645</v>
      </c>
      <c r="H397">
        <v>5.53</v>
      </c>
      <c r="J397" s="2">
        <v>37652</v>
      </c>
      <c r="K397" s="3">
        <f t="shared" si="12"/>
        <v>5.5</v>
      </c>
      <c r="L397" s="3">
        <f t="shared" si="13"/>
        <v>5.82</v>
      </c>
    </row>
    <row r="398" spans="1:12" x14ac:dyDescent="0.3">
      <c r="A398" s="2">
        <v>36915</v>
      </c>
      <c r="B398" t="s">
        <v>13</v>
      </c>
      <c r="D398" s="2">
        <v>37646</v>
      </c>
      <c r="E398">
        <v>5.5</v>
      </c>
      <c r="G398" s="2">
        <v>37646</v>
      </c>
      <c r="H398">
        <v>5.5469999999999997</v>
      </c>
      <c r="J398" s="2">
        <v>37653</v>
      </c>
      <c r="K398" s="3">
        <f t="shared" si="12"/>
        <v>5.5</v>
      </c>
      <c r="L398" s="3">
        <f t="shared" si="13"/>
        <v>5.7469999999999999</v>
      </c>
    </row>
    <row r="399" spans="1:12" x14ac:dyDescent="0.3">
      <c r="A399" s="2">
        <v>36916</v>
      </c>
      <c r="B399" t="s">
        <v>13</v>
      </c>
      <c r="D399" s="2">
        <v>37647</v>
      </c>
      <c r="E399">
        <v>5.5</v>
      </c>
      <c r="G399" s="2">
        <v>37647</v>
      </c>
      <c r="H399">
        <v>5.5469999999999997</v>
      </c>
      <c r="J399" s="2">
        <v>37654</v>
      </c>
      <c r="K399" s="3">
        <f t="shared" si="12"/>
        <v>5.5</v>
      </c>
      <c r="L399" s="3">
        <f t="shared" si="13"/>
        <v>5.7469999999999999</v>
      </c>
    </row>
    <row r="400" spans="1:12" x14ac:dyDescent="0.3">
      <c r="A400" s="2">
        <v>36917</v>
      </c>
      <c r="B400" t="s">
        <v>13</v>
      </c>
      <c r="D400" s="2">
        <v>37648</v>
      </c>
      <c r="E400">
        <v>5.5</v>
      </c>
      <c r="G400" s="2">
        <v>37648</v>
      </c>
      <c r="H400">
        <v>5.53</v>
      </c>
      <c r="J400" s="2">
        <v>37655</v>
      </c>
      <c r="K400" s="3">
        <f t="shared" si="12"/>
        <v>5.5</v>
      </c>
      <c r="L400" s="3">
        <f t="shared" si="13"/>
        <v>5.71</v>
      </c>
    </row>
    <row r="401" spans="1:12" x14ac:dyDescent="0.3">
      <c r="A401" s="2">
        <v>36918</v>
      </c>
      <c r="B401" t="s">
        <v>13</v>
      </c>
      <c r="D401" s="2">
        <v>37649</v>
      </c>
      <c r="E401">
        <v>5.5</v>
      </c>
      <c r="G401" s="2">
        <v>37649</v>
      </c>
      <c r="H401">
        <v>5.57</v>
      </c>
      <c r="J401" s="2">
        <v>37656</v>
      </c>
      <c r="K401" s="3">
        <f t="shared" si="12"/>
        <v>5.5</v>
      </c>
      <c r="L401" s="3">
        <f t="shared" si="13"/>
        <v>5.65</v>
      </c>
    </row>
    <row r="402" spans="1:12" x14ac:dyDescent="0.3">
      <c r="A402" s="2">
        <v>36919</v>
      </c>
      <c r="B402" t="s">
        <v>13</v>
      </c>
      <c r="D402" s="2">
        <v>37650</v>
      </c>
      <c r="E402">
        <v>5.5</v>
      </c>
      <c r="G402" s="2">
        <v>37650</v>
      </c>
      <c r="H402">
        <v>5.56</v>
      </c>
      <c r="J402" s="2">
        <v>37657</v>
      </c>
      <c r="K402" s="3">
        <f t="shared" si="12"/>
        <v>5.5</v>
      </c>
      <c r="L402" s="3">
        <f t="shared" si="13"/>
        <v>5.68</v>
      </c>
    </row>
    <row r="403" spans="1:12" x14ac:dyDescent="0.3">
      <c r="A403" s="2">
        <v>36920</v>
      </c>
      <c r="B403" t="s">
        <v>13</v>
      </c>
      <c r="D403" s="2">
        <v>37651</v>
      </c>
      <c r="E403">
        <v>5.5</v>
      </c>
      <c r="G403" s="2">
        <v>37651</v>
      </c>
      <c r="H403">
        <v>5.63</v>
      </c>
      <c r="J403" s="2">
        <v>37658</v>
      </c>
      <c r="K403" s="3">
        <f t="shared" si="12"/>
        <v>5.5</v>
      </c>
      <c r="L403" s="3">
        <f t="shared" si="13"/>
        <v>5.66</v>
      </c>
    </row>
    <row r="404" spans="1:12" x14ac:dyDescent="0.3">
      <c r="A404" s="2">
        <v>36921</v>
      </c>
      <c r="B404" t="s">
        <v>13</v>
      </c>
      <c r="D404" s="2">
        <v>37652</v>
      </c>
      <c r="E404">
        <v>5.5</v>
      </c>
      <c r="G404" s="2">
        <v>37652</v>
      </c>
      <c r="H404">
        <v>5.82</v>
      </c>
      <c r="J404" s="2">
        <v>37659</v>
      </c>
      <c r="K404" s="3">
        <f t="shared" si="12"/>
        <v>5.5</v>
      </c>
      <c r="L404" s="3">
        <f t="shared" si="13"/>
        <v>5.73</v>
      </c>
    </row>
    <row r="405" spans="1:12" x14ac:dyDescent="0.3">
      <c r="A405" s="2">
        <v>36922</v>
      </c>
      <c r="B405" t="s">
        <v>13</v>
      </c>
      <c r="D405" s="2">
        <v>37653</v>
      </c>
      <c r="E405">
        <v>5.5</v>
      </c>
      <c r="G405" s="2">
        <v>37653</v>
      </c>
      <c r="H405">
        <v>5.7469999999999999</v>
      </c>
      <c r="J405" s="2">
        <v>37660</v>
      </c>
      <c r="K405" s="3">
        <f t="shared" si="12"/>
        <v>5.5</v>
      </c>
      <c r="L405" s="3">
        <f t="shared" si="13"/>
        <v>5.74</v>
      </c>
    </row>
    <row r="406" spans="1:12" x14ac:dyDescent="0.3">
      <c r="A406" s="2">
        <v>36923</v>
      </c>
      <c r="B406" t="s">
        <v>13</v>
      </c>
      <c r="D406" s="2">
        <v>37654</v>
      </c>
      <c r="E406">
        <v>5.5</v>
      </c>
      <c r="G406" s="2">
        <v>37654</v>
      </c>
      <c r="H406">
        <v>5.7469999999999999</v>
      </c>
      <c r="J406" s="2">
        <v>37661</v>
      </c>
      <c r="K406" s="3">
        <f t="shared" si="12"/>
        <v>5.5</v>
      </c>
      <c r="L406" s="3">
        <f t="shared" si="13"/>
        <v>5.74</v>
      </c>
    </row>
    <row r="407" spans="1:12" x14ac:dyDescent="0.3">
      <c r="A407" s="2">
        <v>36924</v>
      </c>
      <c r="B407" t="s">
        <v>13</v>
      </c>
      <c r="D407" s="2">
        <v>37655</v>
      </c>
      <c r="E407">
        <v>5.5</v>
      </c>
      <c r="G407" s="2">
        <v>37655</v>
      </c>
      <c r="H407">
        <v>5.71</v>
      </c>
      <c r="J407" s="2">
        <v>37662</v>
      </c>
      <c r="K407" s="3">
        <f t="shared" si="12"/>
        <v>5.5</v>
      </c>
      <c r="L407" s="3">
        <f t="shared" si="13"/>
        <v>5.76</v>
      </c>
    </row>
    <row r="408" spans="1:12" x14ac:dyDescent="0.3">
      <c r="A408" s="2">
        <v>36925</v>
      </c>
      <c r="B408" t="s">
        <v>13</v>
      </c>
      <c r="D408" s="2">
        <v>37656</v>
      </c>
      <c r="E408">
        <v>5.5</v>
      </c>
      <c r="G408" s="2">
        <v>37656</v>
      </c>
      <c r="H408">
        <v>5.65</v>
      </c>
      <c r="J408" s="2">
        <v>37663</v>
      </c>
      <c r="K408" s="3">
        <f t="shared" si="12"/>
        <v>5.5</v>
      </c>
      <c r="L408" s="3">
        <f t="shared" si="13"/>
        <v>5.8</v>
      </c>
    </row>
    <row r="409" spans="1:12" x14ac:dyDescent="0.3">
      <c r="A409" s="2">
        <v>36926</v>
      </c>
      <c r="B409" t="s">
        <v>13</v>
      </c>
      <c r="D409" s="2">
        <v>37657</v>
      </c>
      <c r="E409">
        <v>5.5</v>
      </c>
      <c r="G409" s="2">
        <v>37657</v>
      </c>
      <c r="H409">
        <v>5.68</v>
      </c>
      <c r="J409" s="2">
        <v>37664</v>
      </c>
      <c r="K409" s="3">
        <f t="shared" si="12"/>
        <v>5.5</v>
      </c>
      <c r="L409" s="3">
        <f t="shared" si="13"/>
        <v>5.91</v>
      </c>
    </row>
    <row r="410" spans="1:12" x14ac:dyDescent="0.3">
      <c r="A410" s="2">
        <v>36927</v>
      </c>
      <c r="B410" t="s">
        <v>13</v>
      </c>
      <c r="D410" s="2">
        <v>37658</v>
      </c>
      <c r="E410">
        <v>5.5</v>
      </c>
      <c r="G410" s="2">
        <v>37658</v>
      </c>
      <c r="H410">
        <v>5.66</v>
      </c>
      <c r="J410" s="2">
        <v>37665</v>
      </c>
      <c r="K410" s="3">
        <f t="shared" si="12"/>
        <v>5.5</v>
      </c>
      <c r="L410" s="3">
        <f t="shared" si="13"/>
        <v>5.91</v>
      </c>
    </row>
    <row r="411" spans="1:12" x14ac:dyDescent="0.3">
      <c r="A411" s="2">
        <v>36928</v>
      </c>
      <c r="B411" t="s">
        <v>13</v>
      </c>
      <c r="D411" s="2">
        <v>37659</v>
      </c>
      <c r="E411">
        <v>5.5</v>
      </c>
      <c r="G411" s="2">
        <v>37659</v>
      </c>
      <c r="H411">
        <v>5.73</v>
      </c>
      <c r="J411" s="2">
        <v>37666</v>
      </c>
      <c r="K411" s="3">
        <f t="shared" si="12"/>
        <v>5.5</v>
      </c>
      <c r="L411" s="3">
        <f t="shared" si="13"/>
        <v>6.13</v>
      </c>
    </row>
    <row r="412" spans="1:12" x14ac:dyDescent="0.3">
      <c r="A412" s="2">
        <v>36929</v>
      </c>
      <c r="B412" t="s">
        <v>13</v>
      </c>
      <c r="D412" s="2">
        <v>37660</v>
      </c>
      <c r="E412">
        <v>5.5</v>
      </c>
      <c r="G412" s="2">
        <v>37660</v>
      </c>
      <c r="H412">
        <v>5.74</v>
      </c>
      <c r="J412" s="2">
        <v>37667</v>
      </c>
      <c r="K412" s="3">
        <f t="shared" si="12"/>
        <v>5.5</v>
      </c>
      <c r="L412" s="3">
        <f t="shared" si="13"/>
        <v>5.9409999999999998</v>
      </c>
    </row>
    <row r="413" spans="1:12" x14ac:dyDescent="0.3">
      <c r="A413" s="2">
        <v>36930</v>
      </c>
      <c r="B413" t="s">
        <v>13</v>
      </c>
      <c r="D413" s="2">
        <v>37661</v>
      </c>
      <c r="E413">
        <v>5.5</v>
      </c>
      <c r="G413" s="2">
        <v>37661</v>
      </c>
      <c r="H413">
        <v>5.74</v>
      </c>
      <c r="J413" s="2">
        <v>37668</v>
      </c>
      <c r="K413" s="3">
        <f t="shared" si="12"/>
        <v>5.5</v>
      </c>
      <c r="L413" s="3">
        <f t="shared" si="13"/>
        <v>5.9409999999999998</v>
      </c>
    </row>
    <row r="414" spans="1:12" x14ac:dyDescent="0.3">
      <c r="A414" s="2">
        <v>36931</v>
      </c>
      <c r="B414" t="s">
        <v>13</v>
      </c>
      <c r="D414" s="2">
        <v>37662</v>
      </c>
      <c r="E414">
        <v>5.5</v>
      </c>
      <c r="G414" s="2">
        <v>37662</v>
      </c>
      <c r="H414">
        <v>5.76</v>
      </c>
      <c r="J414" s="2">
        <v>37669</v>
      </c>
      <c r="K414" s="3">
        <f t="shared" si="12"/>
        <v>5.5</v>
      </c>
      <c r="L414" s="3">
        <f t="shared" si="13"/>
        <v>5.88</v>
      </c>
    </row>
    <row r="415" spans="1:12" x14ac:dyDescent="0.3">
      <c r="A415" s="2">
        <v>36932</v>
      </c>
      <c r="B415" t="s">
        <v>13</v>
      </c>
      <c r="D415" s="2">
        <v>37663</v>
      </c>
      <c r="E415">
        <v>5.5</v>
      </c>
      <c r="G415" s="2">
        <v>37663</v>
      </c>
      <c r="H415">
        <v>5.8</v>
      </c>
      <c r="J415" s="2">
        <v>37670</v>
      </c>
      <c r="K415" s="3">
        <f t="shared" si="12"/>
        <v>5.5</v>
      </c>
      <c r="L415" s="3">
        <f t="shared" si="13"/>
        <v>5.8</v>
      </c>
    </row>
    <row r="416" spans="1:12" x14ac:dyDescent="0.3">
      <c r="A416" s="2">
        <v>36933</v>
      </c>
      <c r="B416" t="s">
        <v>13</v>
      </c>
      <c r="D416" s="2">
        <v>37664</v>
      </c>
      <c r="E416">
        <v>5.5</v>
      </c>
      <c r="G416" s="2">
        <v>37664</v>
      </c>
      <c r="H416">
        <v>5.91</v>
      </c>
      <c r="J416" s="2">
        <v>37671</v>
      </c>
      <c r="K416" s="3">
        <f t="shared" si="12"/>
        <v>5.5</v>
      </c>
      <c r="L416" s="3">
        <f t="shared" si="13"/>
        <v>5.99</v>
      </c>
    </row>
    <row r="417" spans="1:12" x14ac:dyDescent="0.3">
      <c r="A417" s="2">
        <v>36934</v>
      </c>
      <c r="B417" t="s">
        <v>13</v>
      </c>
      <c r="D417" s="2">
        <v>37665</v>
      </c>
      <c r="E417">
        <v>5.5</v>
      </c>
      <c r="G417" s="2">
        <v>37665</v>
      </c>
      <c r="H417">
        <v>5.91</v>
      </c>
      <c r="J417" s="2">
        <v>37672</v>
      </c>
      <c r="K417" s="3">
        <f t="shared" si="12"/>
        <v>5.5</v>
      </c>
      <c r="L417" s="3">
        <f t="shared" si="13"/>
        <v>6.01</v>
      </c>
    </row>
    <row r="418" spans="1:12" x14ac:dyDescent="0.3">
      <c r="A418" s="2">
        <v>36935</v>
      </c>
      <c r="B418" t="s">
        <v>13</v>
      </c>
      <c r="D418" s="2">
        <v>37666</v>
      </c>
      <c r="E418">
        <v>5.5</v>
      </c>
      <c r="G418" s="2">
        <v>37666</v>
      </c>
      <c r="H418">
        <v>6.13</v>
      </c>
      <c r="J418" s="2">
        <v>37673</v>
      </c>
      <c r="K418" s="3">
        <f t="shared" si="12"/>
        <v>5.5</v>
      </c>
      <c r="L418" s="3">
        <f t="shared" si="13"/>
        <v>6.01</v>
      </c>
    </row>
    <row r="419" spans="1:12" x14ac:dyDescent="0.3">
      <c r="A419" s="2">
        <v>36936</v>
      </c>
      <c r="B419" t="s">
        <v>13</v>
      </c>
      <c r="D419" s="2">
        <v>37667</v>
      </c>
      <c r="E419">
        <v>5.5</v>
      </c>
      <c r="G419" s="2">
        <v>37667</v>
      </c>
      <c r="H419">
        <v>5.9409999999999998</v>
      </c>
      <c r="J419" s="2">
        <v>37674</v>
      </c>
      <c r="K419" s="3">
        <f t="shared" si="12"/>
        <v>5.5</v>
      </c>
      <c r="L419" s="3">
        <f t="shared" si="13"/>
        <v>6.1</v>
      </c>
    </row>
    <row r="420" spans="1:12" x14ac:dyDescent="0.3">
      <c r="A420" s="2">
        <v>36937</v>
      </c>
      <c r="B420" t="s">
        <v>13</v>
      </c>
      <c r="D420" s="2">
        <v>37668</v>
      </c>
      <c r="E420">
        <v>5.5</v>
      </c>
      <c r="G420" s="2">
        <v>37668</v>
      </c>
      <c r="H420">
        <v>5.9409999999999998</v>
      </c>
      <c r="J420" s="2">
        <v>37675</v>
      </c>
      <c r="K420" s="3">
        <f t="shared" si="12"/>
        <v>5.5</v>
      </c>
      <c r="L420" s="3">
        <f t="shared" si="13"/>
        <v>6.1</v>
      </c>
    </row>
    <row r="421" spans="1:12" x14ac:dyDescent="0.3">
      <c r="A421" s="2">
        <v>36938</v>
      </c>
      <c r="B421" t="s">
        <v>13</v>
      </c>
      <c r="D421" s="2">
        <v>37669</v>
      </c>
      <c r="E421">
        <v>5.5</v>
      </c>
      <c r="G421" s="2">
        <v>37669</v>
      </c>
      <c r="H421">
        <v>5.88</v>
      </c>
      <c r="J421" s="2">
        <v>37676</v>
      </c>
      <c r="K421" s="3">
        <f t="shared" si="12"/>
        <v>5.5</v>
      </c>
      <c r="L421" s="3">
        <f t="shared" si="13"/>
        <v>6.12</v>
      </c>
    </row>
    <row r="422" spans="1:12" x14ac:dyDescent="0.3">
      <c r="A422" s="2">
        <v>36939</v>
      </c>
      <c r="B422" t="s">
        <v>13</v>
      </c>
      <c r="D422" s="2">
        <v>37670</v>
      </c>
      <c r="E422">
        <v>5.5</v>
      </c>
      <c r="G422" s="2">
        <v>37670</v>
      </c>
      <c r="H422">
        <v>5.8</v>
      </c>
      <c r="J422" s="2">
        <v>37677</v>
      </c>
      <c r="K422" s="3">
        <f t="shared" si="12"/>
        <v>5.5</v>
      </c>
      <c r="L422" s="3">
        <f t="shared" si="13"/>
        <v>6.07</v>
      </c>
    </row>
    <row r="423" spans="1:12" x14ac:dyDescent="0.3">
      <c r="A423" s="2">
        <v>36940</v>
      </c>
      <c r="B423" t="s">
        <v>13</v>
      </c>
      <c r="D423" s="2">
        <v>37671</v>
      </c>
      <c r="E423">
        <v>5.5</v>
      </c>
      <c r="G423" s="2">
        <v>37671</v>
      </c>
      <c r="H423">
        <v>5.99</v>
      </c>
      <c r="J423" s="2">
        <v>37678</v>
      </c>
      <c r="K423" s="3">
        <f t="shared" si="12"/>
        <v>5.5</v>
      </c>
      <c r="L423" s="3">
        <f t="shared" si="13"/>
        <v>6.11</v>
      </c>
    </row>
    <row r="424" spans="1:12" x14ac:dyDescent="0.3">
      <c r="A424" s="2">
        <v>36941</v>
      </c>
      <c r="B424" t="s">
        <v>13</v>
      </c>
      <c r="D424" s="2">
        <v>37672</v>
      </c>
      <c r="E424">
        <v>5.5</v>
      </c>
      <c r="G424" s="2">
        <v>37672</v>
      </c>
      <c r="H424">
        <v>6.01</v>
      </c>
      <c r="J424" s="2">
        <v>37679</v>
      </c>
      <c r="K424" s="3">
        <f t="shared" si="12"/>
        <v>5.5</v>
      </c>
      <c r="L424" s="3">
        <f t="shared" si="13"/>
        <v>6.05</v>
      </c>
    </row>
    <row r="425" spans="1:12" x14ac:dyDescent="0.3">
      <c r="A425" s="2">
        <v>36942</v>
      </c>
      <c r="B425" t="s">
        <v>13</v>
      </c>
      <c r="D425" s="2">
        <v>37673</v>
      </c>
      <c r="E425">
        <v>5.5</v>
      </c>
      <c r="G425" s="2">
        <v>37673</v>
      </c>
      <c r="H425">
        <v>6.01</v>
      </c>
      <c r="J425" s="2">
        <v>37680</v>
      </c>
      <c r="K425" s="3">
        <f t="shared" si="12"/>
        <v>5.5</v>
      </c>
      <c r="L425" s="3">
        <f t="shared" si="13"/>
        <v>5.97</v>
      </c>
    </row>
    <row r="426" spans="1:12" x14ac:dyDescent="0.3">
      <c r="A426" s="2">
        <v>36943</v>
      </c>
      <c r="B426" t="s">
        <v>13</v>
      </c>
      <c r="D426" s="2">
        <v>37674</v>
      </c>
      <c r="E426">
        <v>5.5</v>
      </c>
      <c r="G426" s="2">
        <v>37674</v>
      </c>
      <c r="H426">
        <v>6.1</v>
      </c>
      <c r="J426" s="2">
        <v>37681</v>
      </c>
      <c r="K426" s="3">
        <f t="shared" si="12"/>
        <v>5.5</v>
      </c>
      <c r="L426" s="3">
        <f t="shared" si="13"/>
        <v>5.97</v>
      </c>
    </row>
    <row r="427" spans="1:12" x14ac:dyDescent="0.3">
      <c r="A427" s="2">
        <v>36944</v>
      </c>
      <c r="B427" t="s">
        <v>13</v>
      </c>
      <c r="D427" s="2">
        <v>37675</v>
      </c>
      <c r="E427">
        <v>5.5</v>
      </c>
      <c r="G427" s="2">
        <v>37675</v>
      </c>
      <c r="H427">
        <v>6.1</v>
      </c>
      <c r="J427" s="2">
        <v>37682</v>
      </c>
      <c r="K427" s="3">
        <f t="shared" si="12"/>
        <v>5.5</v>
      </c>
      <c r="L427" s="3">
        <f t="shared" si="13"/>
        <v>5.97</v>
      </c>
    </row>
    <row r="428" spans="1:12" x14ac:dyDescent="0.3">
      <c r="A428" s="2">
        <v>36945</v>
      </c>
      <c r="B428" t="s">
        <v>13</v>
      </c>
      <c r="D428" s="2">
        <v>37676</v>
      </c>
      <c r="E428">
        <v>5.5</v>
      </c>
      <c r="G428" s="2">
        <v>37676</v>
      </c>
      <c r="H428">
        <v>6.12</v>
      </c>
      <c r="J428" s="2">
        <v>37683</v>
      </c>
      <c r="K428" s="3">
        <f t="shared" si="12"/>
        <v>5</v>
      </c>
      <c r="L428" s="3">
        <f t="shared" si="13"/>
        <v>5.55</v>
      </c>
    </row>
    <row r="429" spans="1:12" x14ac:dyDescent="0.3">
      <c r="A429" s="2">
        <v>36946</v>
      </c>
      <c r="B429" t="s">
        <v>13</v>
      </c>
      <c r="D429" s="2">
        <v>37677</v>
      </c>
      <c r="E429">
        <v>5.5</v>
      </c>
      <c r="G429" s="2">
        <v>37677</v>
      </c>
      <c r="H429">
        <v>6.07</v>
      </c>
      <c r="J429" s="2">
        <v>37684</v>
      </c>
      <c r="K429" s="3">
        <f t="shared" si="12"/>
        <v>5</v>
      </c>
      <c r="L429" s="3">
        <f t="shared" si="13"/>
        <v>5.56</v>
      </c>
    </row>
    <row r="430" spans="1:12" x14ac:dyDescent="0.3">
      <c r="A430" s="2">
        <v>36947</v>
      </c>
      <c r="B430" t="s">
        <v>13</v>
      </c>
      <c r="D430" s="2">
        <v>37678</v>
      </c>
      <c r="E430">
        <v>5.5</v>
      </c>
      <c r="G430" s="2">
        <v>37678</v>
      </c>
      <c r="H430">
        <v>6.11</v>
      </c>
      <c r="J430" s="2">
        <v>37685</v>
      </c>
      <c r="K430" s="3">
        <f t="shared" si="12"/>
        <v>5</v>
      </c>
      <c r="L430" s="3">
        <f t="shared" si="13"/>
        <v>5.53</v>
      </c>
    </row>
    <row r="431" spans="1:12" x14ac:dyDescent="0.3">
      <c r="A431" s="2">
        <v>36948</v>
      </c>
      <c r="B431" t="s">
        <v>13</v>
      </c>
      <c r="D431" s="2">
        <v>37679</v>
      </c>
      <c r="E431">
        <v>5.5</v>
      </c>
      <c r="G431" s="2">
        <v>37679</v>
      </c>
      <c r="H431">
        <v>6.05</v>
      </c>
      <c r="J431" s="2">
        <v>37686</v>
      </c>
      <c r="K431" s="3">
        <f t="shared" si="12"/>
        <v>5</v>
      </c>
      <c r="L431" s="3">
        <f t="shared" si="13"/>
        <v>5.62</v>
      </c>
    </row>
    <row r="432" spans="1:12" x14ac:dyDescent="0.3">
      <c r="A432" s="2">
        <v>36949</v>
      </c>
      <c r="B432" t="s">
        <v>13</v>
      </c>
      <c r="D432" s="2">
        <v>37680</v>
      </c>
      <c r="E432">
        <v>5.5</v>
      </c>
      <c r="G432" s="2">
        <v>37680</v>
      </c>
      <c r="H432">
        <v>5.97</v>
      </c>
      <c r="J432" s="2">
        <v>37687</v>
      </c>
      <c r="K432" s="3">
        <f t="shared" si="12"/>
        <v>5</v>
      </c>
      <c r="L432" s="3">
        <f t="shared" si="13"/>
        <v>5.88</v>
      </c>
    </row>
    <row r="433" spans="1:12" x14ac:dyDescent="0.3">
      <c r="A433" s="2">
        <v>36950</v>
      </c>
      <c r="B433" t="s">
        <v>13</v>
      </c>
      <c r="D433" s="2">
        <v>37681</v>
      </c>
      <c r="E433">
        <v>5.5</v>
      </c>
      <c r="G433" s="2">
        <v>37681</v>
      </c>
      <c r="H433">
        <v>5.97</v>
      </c>
      <c r="J433" s="2">
        <v>37688</v>
      </c>
      <c r="K433" s="3">
        <f t="shared" si="12"/>
        <v>5</v>
      </c>
      <c r="L433" s="3">
        <f t="shared" si="13"/>
        <v>5.8120000000000003</v>
      </c>
    </row>
    <row r="434" spans="1:12" x14ac:dyDescent="0.3">
      <c r="A434" s="2">
        <v>36951</v>
      </c>
      <c r="B434" t="s">
        <v>13</v>
      </c>
      <c r="D434" s="2">
        <v>37682</v>
      </c>
      <c r="E434">
        <v>5.5</v>
      </c>
      <c r="G434" s="2">
        <v>37682</v>
      </c>
      <c r="H434">
        <v>5.97</v>
      </c>
      <c r="J434" s="2">
        <v>37689</v>
      </c>
      <c r="K434" s="3">
        <f t="shared" si="12"/>
        <v>5</v>
      </c>
      <c r="L434" s="3">
        <f t="shared" si="13"/>
        <v>5.8120000000000003</v>
      </c>
    </row>
    <row r="435" spans="1:12" x14ac:dyDescent="0.3">
      <c r="A435" s="2">
        <v>36952</v>
      </c>
      <c r="B435" t="s">
        <v>13</v>
      </c>
      <c r="D435" s="2">
        <v>37683</v>
      </c>
      <c r="E435">
        <v>5</v>
      </c>
      <c r="G435" s="2">
        <v>37683</v>
      </c>
      <c r="H435">
        <v>5.55</v>
      </c>
      <c r="J435" s="2">
        <v>37690</v>
      </c>
      <c r="K435" s="3">
        <f t="shared" si="12"/>
        <v>5</v>
      </c>
      <c r="L435" s="3">
        <f t="shared" si="13"/>
        <v>5.95</v>
      </c>
    </row>
    <row r="436" spans="1:12" x14ac:dyDescent="0.3">
      <c r="A436" s="2">
        <v>36953</v>
      </c>
      <c r="B436" t="s">
        <v>13</v>
      </c>
      <c r="D436" s="2">
        <v>37684</v>
      </c>
      <c r="E436">
        <v>5</v>
      </c>
      <c r="G436" s="2">
        <v>37684</v>
      </c>
      <c r="H436">
        <v>5.56</v>
      </c>
      <c r="J436" s="2">
        <v>37691</v>
      </c>
      <c r="K436" s="3">
        <f t="shared" si="12"/>
        <v>5</v>
      </c>
      <c r="L436" s="3">
        <f t="shared" si="13"/>
        <v>5.83</v>
      </c>
    </row>
    <row r="437" spans="1:12" x14ac:dyDescent="0.3">
      <c r="A437" s="2">
        <v>36954</v>
      </c>
      <c r="B437" t="s">
        <v>13</v>
      </c>
      <c r="D437" s="2">
        <v>37685</v>
      </c>
      <c r="E437">
        <v>5</v>
      </c>
      <c r="G437" s="2">
        <v>37685</v>
      </c>
      <c r="H437">
        <v>5.53</v>
      </c>
      <c r="J437" s="2">
        <v>37692</v>
      </c>
      <c r="K437" s="3">
        <f t="shared" si="12"/>
        <v>5</v>
      </c>
      <c r="L437" s="3">
        <f t="shared" si="13"/>
        <v>5.83</v>
      </c>
    </row>
    <row r="438" spans="1:12" x14ac:dyDescent="0.3">
      <c r="A438" s="2">
        <v>36955</v>
      </c>
      <c r="B438" t="s">
        <v>13</v>
      </c>
      <c r="D438" s="2">
        <v>37686</v>
      </c>
      <c r="E438">
        <v>5</v>
      </c>
      <c r="G438" s="2">
        <v>37686</v>
      </c>
      <c r="H438">
        <v>5.62</v>
      </c>
      <c r="J438" s="2">
        <v>37693</v>
      </c>
      <c r="K438" s="3">
        <f t="shared" si="12"/>
        <v>5</v>
      </c>
      <c r="L438" s="3">
        <f t="shared" si="13"/>
        <v>5.85</v>
      </c>
    </row>
    <row r="439" spans="1:12" x14ac:dyDescent="0.3">
      <c r="A439" s="2">
        <v>36956</v>
      </c>
      <c r="B439" t="s">
        <v>13</v>
      </c>
      <c r="D439" s="2">
        <v>37687</v>
      </c>
      <c r="E439">
        <v>5</v>
      </c>
      <c r="G439" s="2">
        <v>37687</v>
      </c>
      <c r="H439">
        <v>5.88</v>
      </c>
      <c r="J439" s="2">
        <v>37694</v>
      </c>
      <c r="K439" s="3">
        <f t="shared" si="12"/>
        <v>5</v>
      </c>
      <c r="L439" s="3">
        <f t="shared" si="13"/>
        <v>5.85</v>
      </c>
    </row>
    <row r="440" spans="1:12" x14ac:dyDescent="0.3">
      <c r="A440" s="2">
        <v>36957</v>
      </c>
      <c r="B440" t="s">
        <v>13</v>
      </c>
      <c r="D440" s="2">
        <v>37688</v>
      </c>
      <c r="E440">
        <v>5</v>
      </c>
      <c r="G440" s="2">
        <v>37688</v>
      </c>
      <c r="H440">
        <v>5.8120000000000003</v>
      </c>
      <c r="J440" s="2">
        <v>37695</v>
      </c>
      <c r="K440" s="3">
        <f t="shared" si="12"/>
        <v>5</v>
      </c>
      <c r="L440" s="3">
        <f t="shared" si="13"/>
        <v>5.7169999999999996</v>
      </c>
    </row>
    <row r="441" spans="1:12" x14ac:dyDescent="0.3">
      <c r="A441" s="2">
        <v>36958</v>
      </c>
      <c r="B441" t="s">
        <v>13</v>
      </c>
      <c r="D441" s="2">
        <v>37689</v>
      </c>
      <c r="E441">
        <v>5</v>
      </c>
      <c r="G441" s="2">
        <v>37689</v>
      </c>
      <c r="H441">
        <v>5.8120000000000003</v>
      </c>
      <c r="J441" s="2">
        <v>37696</v>
      </c>
      <c r="K441" s="3">
        <f t="shared" si="12"/>
        <v>5</v>
      </c>
      <c r="L441" s="3">
        <f t="shared" si="13"/>
        <v>5.7169999999999996</v>
      </c>
    </row>
    <row r="442" spans="1:12" x14ac:dyDescent="0.3">
      <c r="A442" s="2">
        <v>36959</v>
      </c>
      <c r="B442" t="s">
        <v>13</v>
      </c>
      <c r="D442" s="2">
        <v>37690</v>
      </c>
      <c r="E442">
        <v>5</v>
      </c>
      <c r="G442" s="2">
        <v>37690</v>
      </c>
      <c r="H442">
        <v>5.95</v>
      </c>
      <c r="J442" s="2">
        <v>37697</v>
      </c>
      <c r="K442" s="3">
        <f t="shared" si="12"/>
        <v>5</v>
      </c>
      <c r="L442" s="3">
        <f t="shared" si="13"/>
        <v>5.8570000000000002</v>
      </c>
    </row>
    <row r="443" spans="1:12" x14ac:dyDescent="0.3">
      <c r="A443" s="2">
        <v>36960</v>
      </c>
      <c r="B443" t="s">
        <v>13</v>
      </c>
      <c r="D443" s="2">
        <v>37691</v>
      </c>
      <c r="E443">
        <v>5</v>
      </c>
      <c r="G443" s="2">
        <v>37691</v>
      </c>
      <c r="H443">
        <v>5.83</v>
      </c>
      <c r="J443" s="2">
        <v>37698</v>
      </c>
      <c r="K443" s="3">
        <f t="shared" si="12"/>
        <v>5</v>
      </c>
      <c r="L443" s="3">
        <f t="shared" si="13"/>
        <v>5.8079999999999998</v>
      </c>
    </row>
    <row r="444" spans="1:12" x14ac:dyDescent="0.3">
      <c r="A444" s="2">
        <v>36961</v>
      </c>
      <c r="B444" t="s">
        <v>13</v>
      </c>
      <c r="D444" s="2">
        <v>37692</v>
      </c>
      <c r="E444">
        <v>5</v>
      </c>
      <c r="G444" s="2">
        <v>37692</v>
      </c>
      <c r="H444">
        <v>5.83</v>
      </c>
      <c r="J444" s="2">
        <v>37699</v>
      </c>
      <c r="K444" s="3">
        <f t="shared" si="12"/>
        <v>5</v>
      </c>
      <c r="L444" s="3">
        <f t="shared" si="13"/>
        <v>5.8140000000000001</v>
      </c>
    </row>
    <row r="445" spans="1:12" x14ac:dyDescent="0.3">
      <c r="A445" s="2">
        <v>36962</v>
      </c>
      <c r="B445" t="s">
        <v>13</v>
      </c>
      <c r="D445" s="2">
        <v>37693</v>
      </c>
      <c r="E445">
        <v>5</v>
      </c>
      <c r="G445" s="2">
        <v>37693</v>
      </c>
      <c r="H445">
        <v>5.85</v>
      </c>
      <c r="J445" s="2">
        <v>37700</v>
      </c>
      <c r="K445" s="3">
        <f t="shared" si="12"/>
        <v>5</v>
      </c>
      <c r="L445" s="3">
        <f t="shared" si="13"/>
        <v>5.9139999999999997</v>
      </c>
    </row>
    <row r="446" spans="1:12" x14ac:dyDescent="0.3">
      <c r="A446" s="2">
        <v>36963</v>
      </c>
      <c r="B446" t="s">
        <v>13</v>
      </c>
      <c r="D446" s="2">
        <v>37694</v>
      </c>
      <c r="E446">
        <v>5</v>
      </c>
      <c r="G446" s="2">
        <v>37694</v>
      </c>
      <c r="H446">
        <v>5.85</v>
      </c>
      <c r="J446" s="2">
        <v>37701</v>
      </c>
      <c r="K446" s="3">
        <f t="shared" si="12"/>
        <v>5</v>
      </c>
      <c r="L446" s="3">
        <f t="shared" si="13"/>
        <v>5.8380000000000001</v>
      </c>
    </row>
    <row r="447" spans="1:12" x14ac:dyDescent="0.3">
      <c r="A447" s="2">
        <v>36964</v>
      </c>
      <c r="B447" t="s">
        <v>13</v>
      </c>
      <c r="D447" s="2">
        <v>37695</v>
      </c>
      <c r="E447">
        <v>5</v>
      </c>
      <c r="G447" s="2">
        <v>37695</v>
      </c>
      <c r="H447">
        <v>5.7169999999999996</v>
      </c>
      <c r="J447" s="2">
        <v>37702</v>
      </c>
      <c r="K447" s="3">
        <f t="shared" si="12"/>
        <v>5</v>
      </c>
      <c r="L447" s="3">
        <f t="shared" si="13"/>
        <v>5.7629999999999999</v>
      </c>
    </row>
    <row r="448" spans="1:12" x14ac:dyDescent="0.3">
      <c r="A448" s="2">
        <v>36965</v>
      </c>
      <c r="B448" t="s">
        <v>13</v>
      </c>
      <c r="D448" s="2">
        <v>37696</v>
      </c>
      <c r="E448">
        <v>5</v>
      </c>
      <c r="G448" s="2">
        <v>37696</v>
      </c>
      <c r="H448">
        <v>5.7169999999999996</v>
      </c>
      <c r="J448" s="2">
        <v>37703</v>
      </c>
      <c r="K448" s="3">
        <f t="shared" si="12"/>
        <v>5</v>
      </c>
      <c r="L448" s="3">
        <f t="shared" si="13"/>
        <v>5.7629999999999999</v>
      </c>
    </row>
    <row r="449" spans="1:12" x14ac:dyDescent="0.3">
      <c r="A449" s="2">
        <v>36966</v>
      </c>
      <c r="B449" t="s">
        <v>13</v>
      </c>
      <c r="D449" s="2">
        <v>37697</v>
      </c>
      <c r="E449">
        <v>5</v>
      </c>
      <c r="G449" s="2">
        <v>37697</v>
      </c>
      <c r="H449">
        <v>5.8570000000000002</v>
      </c>
      <c r="J449" s="2">
        <v>37704</v>
      </c>
      <c r="K449" s="3">
        <f t="shared" si="12"/>
        <v>5</v>
      </c>
      <c r="L449" s="3">
        <f t="shared" si="13"/>
        <v>5.9420000000000002</v>
      </c>
    </row>
    <row r="450" spans="1:12" x14ac:dyDescent="0.3">
      <c r="A450" s="2">
        <v>36967</v>
      </c>
      <c r="B450" t="s">
        <v>13</v>
      </c>
      <c r="D450" s="2">
        <v>37698</v>
      </c>
      <c r="E450">
        <v>5</v>
      </c>
      <c r="G450" s="2">
        <v>37698</v>
      </c>
      <c r="H450">
        <v>5.8079999999999998</v>
      </c>
      <c r="J450" s="2">
        <v>37705</v>
      </c>
      <c r="K450" s="3">
        <f t="shared" si="12"/>
        <v>5</v>
      </c>
      <c r="L450" s="3">
        <f t="shared" si="13"/>
        <v>6.07</v>
      </c>
    </row>
    <row r="451" spans="1:12" x14ac:dyDescent="0.3">
      <c r="A451" s="2">
        <v>36968</v>
      </c>
      <c r="B451" t="s">
        <v>13</v>
      </c>
      <c r="D451" s="2">
        <v>37699</v>
      </c>
      <c r="E451">
        <v>5</v>
      </c>
      <c r="G451" s="2">
        <v>37699</v>
      </c>
      <c r="H451">
        <v>5.8140000000000001</v>
      </c>
      <c r="J451" s="2">
        <v>37706</v>
      </c>
      <c r="K451" s="3">
        <f t="shared" ref="K451:K514" si="14">E458</f>
        <v>5</v>
      </c>
      <c r="L451" s="3">
        <f t="shared" ref="L451:L514" si="15">H458</f>
        <v>6.0839999999999996</v>
      </c>
    </row>
    <row r="452" spans="1:12" x14ac:dyDescent="0.3">
      <c r="A452" s="2">
        <v>36969</v>
      </c>
      <c r="B452" t="s">
        <v>13</v>
      </c>
      <c r="D452" s="2">
        <v>37700</v>
      </c>
      <c r="E452">
        <v>5</v>
      </c>
      <c r="G452" s="2">
        <v>37700</v>
      </c>
      <c r="H452">
        <v>5.9139999999999997</v>
      </c>
      <c r="J452" s="2">
        <v>37707</v>
      </c>
      <c r="K452" s="3">
        <f t="shared" si="14"/>
        <v>5</v>
      </c>
      <c r="L452" s="3">
        <f t="shared" si="15"/>
        <v>6.093</v>
      </c>
    </row>
    <row r="453" spans="1:12" x14ac:dyDescent="0.3">
      <c r="A453" s="2">
        <v>36970</v>
      </c>
      <c r="B453" t="s">
        <v>13</v>
      </c>
      <c r="D453" s="2">
        <v>37701</v>
      </c>
      <c r="E453">
        <v>5</v>
      </c>
      <c r="G453" s="2">
        <v>37701</v>
      </c>
      <c r="H453">
        <v>5.8380000000000001</v>
      </c>
      <c r="J453" s="2">
        <v>37708</v>
      </c>
      <c r="K453" s="3">
        <f t="shared" si="14"/>
        <v>5</v>
      </c>
      <c r="L453" s="3">
        <f t="shared" si="15"/>
        <v>6.069</v>
      </c>
    </row>
    <row r="454" spans="1:12" x14ac:dyDescent="0.3">
      <c r="A454" s="2">
        <v>36971</v>
      </c>
      <c r="B454" t="s">
        <v>13</v>
      </c>
      <c r="D454" s="2">
        <v>37702</v>
      </c>
      <c r="E454">
        <v>5</v>
      </c>
      <c r="G454" s="2">
        <v>37702</v>
      </c>
      <c r="H454">
        <v>5.7629999999999999</v>
      </c>
      <c r="J454" s="2">
        <v>37709</v>
      </c>
      <c r="K454" s="3">
        <f t="shared" si="14"/>
        <v>5</v>
      </c>
      <c r="L454" s="3">
        <f t="shared" si="15"/>
        <v>6.0679999999999996</v>
      </c>
    </row>
    <row r="455" spans="1:12" x14ac:dyDescent="0.3">
      <c r="A455" s="2">
        <v>36972</v>
      </c>
      <c r="B455" t="s">
        <v>13</v>
      </c>
      <c r="D455" s="2">
        <v>37703</v>
      </c>
      <c r="E455">
        <v>5</v>
      </c>
      <c r="G455" s="2">
        <v>37703</v>
      </c>
      <c r="H455">
        <v>5.7629999999999999</v>
      </c>
      <c r="J455" s="2">
        <v>37710</v>
      </c>
      <c r="K455" s="3">
        <f t="shared" si="14"/>
        <v>5</v>
      </c>
      <c r="L455" s="3">
        <f t="shared" si="15"/>
        <v>6.0679999999999996</v>
      </c>
    </row>
    <row r="456" spans="1:12" x14ac:dyDescent="0.3">
      <c r="A456" s="2">
        <v>36973</v>
      </c>
      <c r="B456" t="s">
        <v>13</v>
      </c>
      <c r="D456" s="2">
        <v>37704</v>
      </c>
      <c r="E456">
        <v>5</v>
      </c>
      <c r="G456" s="2">
        <v>37704</v>
      </c>
      <c r="H456">
        <v>5.9420000000000002</v>
      </c>
      <c r="J456" s="2">
        <v>37711</v>
      </c>
      <c r="K456" s="3">
        <f t="shared" si="14"/>
        <v>5</v>
      </c>
      <c r="L456" s="3">
        <f t="shared" si="15"/>
        <v>5.6929999999999996</v>
      </c>
    </row>
    <row r="457" spans="1:12" x14ac:dyDescent="0.3">
      <c r="A457" s="2">
        <v>36974</v>
      </c>
      <c r="B457" t="s">
        <v>13</v>
      </c>
      <c r="D457" s="2">
        <v>37705</v>
      </c>
      <c r="E457">
        <v>5</v>
      </c>
      <c r="G457" s="2">
        <v>37705</v>
      </c>
      <c r="H457">
        <v>6.07</v>
      </c>
      <c r="J457" s="2">
        <v>37712</v>
      </c>
      <c r="K457" s="3">
        <f t="shared" si="14"/>
        <v>5</v>
      </c>
      <c r="L457" s="3">
        <f t="shared" si="15"/>
        <v>5.6740000000000004</v>
      </c>
    </row>
    <row r="458" spans="1:12" x14ac:dyDescent="0.3">
      <c r="A458" s="2">
        <v>36975</v>
      </c>
      <c r="B458" t="s">
        <v>13</v>
      </c>
      <c r="D458" s="2">
        <v>37706</v>
      </c>
      <c r="E458">
        <v>5</v>
      </c>
      <c r="G458" s="2">
        <v>37706</v>
      </c>
      <c r="H458">
        <v>6.0839999999999996</v>
      </c>
      <c r="J458" s="2">
        <v>37713</v>
      </c>
      <c r="K458" s="3">
        <f t="shared" si="14"/>
        <v>5</v>
      </c>
      <c r="L458" s="3">
        <f t="shared" si="15"/>
        <v>5.65</v>
      </c>
    </row>
    <row r="459" spans="1:12" x14ac:dyDescent="0.3">
      <c r="A459" s="2">
        <v>36976</v>
      </c>
      <c r="B459" t="s">
        <v>13</v>
      </c>
      <c r="D459" s="2">
        <v>37707</v>
      </c>
      <c r="E459">
        <v>5</v>
      </c>
      <c r="G459" s="2">
        <v>37707</v>
      </c>
      <c r="H459">
        <v>6.093</v>
      </c>
      <c r="J459" s="2">
        <v>37714</v>
      </c>
      <c r="K459" s="3">
        <f t="shared" si="14"/>
        <v>5</v>
      </c>
      <c r="L459" s="3">
        <f t="shared" si="15"/>
        <v>5.5590000000000002</v>
      </c>
    </row>
    <row r="460" spans="1:12" x14ac:dyDescent="0.3">
      <c r="A460" s="2">
        <v>36977</v>
      </c>
      <c r="B460" t="s">
        <v>13</v>
      </c>
      <c r="D460" s="2">
        <v>37708</v>
      </c>
      <c r="E460">
        <v>5</v>
      </c>
      <c r="G460" s="2">
        <v>37708</v>
      </c>
      <c r="H460">
        <v>6.069</v>
      </c>
      <c r="J460" s="2">
        <v>37715</v>
      </c>
      <c r="K460" s="3">
        <f t="shared" si="14"/>
        <v>5</v>
      </c>
      <c r="L460" s="3">
        <f t="shared" si="15"/>
        <v>5.5359999999999996</v>
      </c>
    </row>
    <row r="461" spans="1:12" x14ac:dyDescent="0.3">
      <c r="A461" s="2">
        <v>36978</v>
      </c>
      <c r="B461" t="s">
        <v>13</v>
      </c>
      <c r="D461" s="2">
        <v>37709</v>
      </c>
      <c r="E461">
        <v>5</v>
      </c>
      <c r="G461" s="2">
        <v>37709</v>
      </c>
      <c r="H461">
        <v>6.0679999999999996</v>
      </c>
      <c r="J461" s="2">
        <v>37716</v>
      </c>
      <c r="K461" s="3">
        <f t="shared" si="14"/>
        <v>5</v>
      </c>
      <c r="L461" s="3">
        <f t="shared" si="15"/>
        <v>5.5289999999999999</v>
      </c>
    </row>
    <row r="462" spans="1:12" x14ac:dyDescent="0.3">
      <c r="A462" s="2">
        <v>36979</v>
      </c>
      <c r="B462" t="s">
        <v>13</v>
      </c>
      <c r="D462" s="2">
        <v>37710</v>
      </c>
      <c r="E462">
        <v>5</v>
      </c>
      <c r="G462" s="2">
        <v>37710</v>
      </c>
      <c r="H462">
        <v>6.0679999999999996</v>
      </c>
      <c r="J462" s="2">
        <v>37717</v>
      </c>
      <c r="K462" s="3">
        <f t="shared" si="14"/>
        <v>5</v>
      </c>
      <c r="L462" s="3">
        <f t="shared" si="15"/>
        <v>5.5289999999999999</v>
      </c>
    </row>
    <row r="463" spans="1:12" x14ac:dyDescent="0.3">
      <c r="A463" s="2">
        <v>36980</v>
      </c>
      <c r="B463" t="s">
        <v>13</v>
      </c>
      <c r="D463" s="2">
        <v>37711</v>
      </c>
      <c r="E463">
        <v>5</v>
      </c>
      <c r="G463" s="2">
        <v>37711</v>
      </c>
      <c r="H463">
        <v>5.6929999999999996</v>
      </c>
      <c r="J463" s="2">
        <v>37718</v>
      </c>
      <c r="K463" s="3">
        <f t="shared" si="14"/>
        <v>5</v>
      </c>
      <c r="L463" s="3">
        <f t="shared" si="15"/>
        <v>5.4569999999999999</v>
      </c>
    </row>
    <row r="464" spans="1:12" x14ac:dyDescent="0.3">
      <c r="A464" s="2">
        <v>36981</v>
      </c>
      <c r="B464" t="s">
        <v>13</v>
      </c>
      <c r="D464" s="2">
        <v>37712</v>
      </c>
      <c r="E464">
        <v>5</v>
      </c>
      <c r="G464" s="2">
        <v>37712</v>
      </c>
      <c r="H464">
        <v>5.6740000000000004</v>
      </c>
      <c r="J464" s="2">
        <v>37719</v>
      </c>
      <c r="K464" s="3">
        <f t="shared" si="14"/>
        <v>5</v>
      </c>
      <c r="L464" s="3">
        <f t="shared" si="15"/>
        <v>5.4489999999999998</v>
      </c>
    </row>
    <row r="465" spans="1:12" x14ac:dyDescent="0.3">
      <c r="A465" s="2">
        <v>36982</v>
      </c>
      <c r="B465" t="s">
        <v>13</v>
      </c>
      <c r="D465" s="2">
        <v>37713</v>
      </c>
      <c r="E465">
        <v>5</v>
      </c>
      <c r="G465" s="2">
        <v>37713</v>
      </c>
      <c r="H465">
        <v>5.65</v>
      </c>
      <c r="J465" s="2">
        <v>37720</v>
      </c>
      <c r="K465" s="3">
        <f t="shared" si="14"/>
        <v>5</v>
      </c>
      <c r="L465" s="3">
        <f t="shared" si="15"/>
        <v>5.3659999999999997</v>
      </c>
    </row>
    <row r="466" spans="1:12" x14ac:dyDescent="0.3">
      <c r="A466" s="2">
        <v>36983</v>
      </c>
      <c r="B466" t="s">
        <v>13</v>
      </c>
      <c r="D466" s="2">
        <v>37714</v>
      </c>
      <c r="E466">
        <v>5</v>
      </c>
      <c r="G466" s="2">
        <v>37714</v>
      </c>
      <c r="H466">
        <v>5.5590000000000002</v>
      </c>
      <c r="J466" s="2">
        <v>37721</v>
      </c>
      <c r="K466" s="3">
        <f t="shared" si="14"/>
        <v>5</v>
      </c>
      <c r="L466" s="3">
        <f t="shared" si="15"/>
        <v>5.3520000000000003</v>
      </c>
    </row>
    <row r="467" spans="1:12" x14ac:dyDescent="0.3">
      <c r="A467" s="2">
        <v>36984</v>
      </c>
      <c r="B467" t="s">
        <v>13</v>
      </c>
      <c r="D467" s="2">
        <v>37715</v>
      </c>
      <c r="E467">
        <v>5</v>
      </c>
      <c r="G467" s="2">
        <v>37715</v>
      </c>
      <c r="H467">
        <v>5.5359999999999996</v>
      </c>
      <c r="J467" s="2">
        <v>37722</v>
      </c>
      <c r="K467" s="3">
        <f t="shared" si="14"/>
        <v>5</v>
      </c>
      <c r="L467" s="3">
        <f t="shared" si="15"/>
        <v>5.3520000000000003</v>
      </c>
    </row>
    <row r="468" spans="1:12" x14ac:dyDescent="0.3">
      <c r="A468" s="2">
        <v>36985</v>
      </c>
      <c r="B468" t="s">
        <v>13</v>
      </c>
      <c r="D468" s="2">
        <v>37716</v>
      </c>
      <c r="E468">
        <v>5</v>
      </c>
      <c r="G468" s="2">
        <v>37716</v>
      </c>
      <c r="H468">
        <v>5.5289999999999999</v>
      </c>
      <c r="J468" s="2">
        <v>37723</v>
      </c>
      <c r="K468" s="3">
        <f t="shared" si="14"/>
        <v>5</v>
      </c>
      <c r="L468" s="3">
        <f t="shared" si="15"/>
        <v>5.1950000000000003</v>
      </c>
    </row>
    <row r="469" spans="1:12" x14ac:dyDescent="0.3">
      <c r="A469" s="2">
        <v>36986</v>
      </c>
      <c r="B469" t="s">
        <v>13</v>
      </c>
      <c r="D469" s="2">
        <v>37717</v>
      </c>
      <c r="E469">
        <v>5</v>
      </c>
      <c r="G469" s="2">
        <v>37717</v>
      </c>
      <c r="H469">
        <v>5.5289999999999999</v>
      </c>
      <c r="J469" s="2">
        <v>37724</v>
      </c>
      <c r="K469" s="3">
        <f t="shared" si="14"/>
        <v>5</v>
      </c>
      <c r="L469" s="3">
        <f t="shared" si="15"/>
        <v>5.1950000000000003</v>
      </c>
    </row>
    <row r="470" spans="1:12" x14ac:dyDescent="0.3">
      <c r="A470" s="2">
        <v>36987</v>
      </c>
      <c r="B470" t="s">
        <v>13</v>
      </c>
      <c r="D470" s="2">
        <v>37718</v>
      </c>
      <c r="E470">
        <v>5</v>
      </c>
      <c r="G470" s="2">
        <v>37718</v>
      </c>
      <c r="H470">
        <v>5.4569999999999999</v>
      </c>
      <c r="J470" s="2">
        <v>37725</v>
      </c>
      <c r="K470" s="3">
        <f t="shared" si="14"/>
        <v>5</v>
      </c>
      <c r="L470" s="3">
        <f t="shared" si="15"/>
        <v>5.1950000000000003</v>
      </c>
    </row>
    <row r="471" spans="1:12" x14ac:dyDescent="0.3">
      <c r="A471" s="2">
        <v>36988</v>
      </c>
      <c r="B471" t="s">
        <v>13</v>
      </c>
      <c r="D471" s="2">
        <v>37719</v>
      </c>
      <c r="E471">
        <v>5</v>
      </c>
      <c r="G471" s="2">
        <v>37719</v>
      </c>
      <c r="H471">
        <v>5.4489999999999998</v>
      </c>
      <c r="J471" s="2">
        <v>37726</v>
      </c>
      <c r="K471" s="3">
        <f t="shared" si="14"/>
        <v>5</v>
      </c>
      <c r="L471" s="3">
        <f t="shared" si="15"/>
        <v>5.1950000000000003</v>
      </c>
    </row>
    <row r="472" spans="1:12" x14ac:dyDescent="0.3">
      <c r="A472" s="2">
        <v>36989</v>
      </c>
      <c r="B472" t="s">
        <v>13</v>
      </c>
      <c r="D472" s="2">
        <v>37720</v>
      </c>
      <c r="E472">
        <v>5</v>
      </c>
      <c r="G472" s="2">
        <v>37720</v>
      </c>
      <c r="H472">
        <v>5.3659999999999997</v>
      </c>
      <c r="J472" s="2">
        <v>37727</v>
      </c>
      <c r="K472" s="3">
        <f t="shared" si="14"/>
        <v>5</v>
      </c>
      <c r="L472" s="3">
        <f t="shared" si="15"/>
        <v>5.3019999999999996</v>
      </c>
    </row>
    <row r="473" spans="1:12" x14ac:dyDescent="0.3">
      <c r="A473" s="2">
        <v>36990</v>
      </c>
      <c r="B473" t="s">
        <v>13</v>
      </c>
      <c r="D473" s="2">
        <v>37721</v>
      </c>
      <c r="E473">
        <v>5</v>
      </c>
      <c r="G473" s="2">
        <v>37721</v>
      </c>
      <c r="H473">
        <v>5.3520000000000003</v>
      </c>
      <c r="J473" s="2">
        <v>37728</v>
      </c>
      <c r="K473" s="3">
        <f t="shared" si="14"/>
        <v>5</v>
      </c>
      <c r="L473" s="3">
        <f t="shared" si="15"/>
        <v>5.2779999999999996</v>
      </c>
    </row>
    <row r="474" spans="1:12" x14ac:dyDescent="0.3">
      <c r="A474" s="2">
        <v>36991</v>
      </c>
      <c r="B474" t="s">
        <v>13</v>
      </c>
      <c r="D474" s="2">
        <v>37722</v>
      </c>
      <c r="E474">
        <v>5</v>
      </c>
      <c r="G474" s="2">
        <v>37722</v>
      </c>
      <c r="H474">
        <v>5.3520000000000003</v>
      </c>
      <c r="J474" s="2">
        <v>37729</v>
      </c>
      <c r="K474" s="3">
        <f t="shared" si="14"/>
        <v>5</v>
      </c>
      <c r="L474" s="3">
        <f t="shared" si="15"/>
        <v>5.2779999999999996</v>
      </c>
    </row>
    <row r="475" spans="1:12" x14ac:dyDescent="0.3">
      <c r="A475" s="2">
        <v>36992</v>
      </c>
      <c r="B475" t="s">
        <v>13</v>
      </c>
      <c r="D475" s="2">
        <v>37723</v>
      </c>
      <c r="E475">
        <v>5</v>
      </c>
      <c r="G475" s="2">
        <v>37723</v>
      </c>
      <c r="H475">
        <v>5.1950000000000003</v>
      </c>
      <c r="J475" s="2">
        <v>37730</v>
      </c>
      <c r="K475" s="3">
        <f t="shared" si="14"/>
        <v>5</v>
      </c>
      <c r="L475" s="3">
        <f t="shared" si="15"/>
        <v>5.2539999999999996</v>
      </c>
    </row>
    <row r="476" spans="1:12" x14ac:dyDescent="0.3">
      <c r="A476" s="2">
        <v>36993</v>
      </c>
      <c r="B476" t="s">
        <v>13</v>
      </c>
      <c r="D476" s="2">
        <v>37724</v>
      </c>
      <c r="E476">
        <v>5</v>
      </c>
      <c r="G476" s="2">
        <v>37724</v>
      </c>
      <c r="H476">
        <v>5.1950000000000003</v>
      </c>
      <c r="J476" s="2">
        <v>37731</v>
      </c>
      <c r="K476" s="3">
        <f t="shared" si="14"/>
        <v>5</v>
      </c>
      <c r="L476" s="3">
        <f t="shared" si="15"/>
        <v>5.2539999999999996</v>
      </c>
    </row>
    <row r="477" spans="1:12" x14ac:dyDescent="0.3">
      <c r="A477" s="2">
        <v>36994</v>
      </c>
      <c r="B477" t="s">
        <v>13</v>
      </c>
      <c r="D477" s="2">
        <v>37725</v>
      </c>
      <c r="E477">
        <v>5</v>
      </c>
      <c r="G477" s="2">
        <v>37725</v>
      </c>
      <c r="H477">
        <v>5.1950000000000003</v>
      </c>
      <c r="J477" s="2">
        <v>37732</v>
      </c>
      <c r="K477" s="3">
        <f t="shared" si="14"/>
        <v>5</v>
      </c>
      <c r="L477" s="3">
        <f t="shared" si="15"/>
        <v>5.2140000000000004</v>
      </c>
    </row>
    <row r="478" spans="1:12" x14ac:dyDescent="0.3">
      <c r="A478" s="2">
        <v>36995</v>
      </c>
      <c r="B478" t="s">
        <v>13</v>
      </c>
      <c r="D478" s="2">
        <v>37726</v>
      </c>
      <c r="E478">
        <v>5</v>
      </c>
      <c r="G478" s="2">
        <v>37726</v>
      </c>
      <c r="H478">
        <v>5.1950000000000003</v>
      </c>
      <c r="J478" s="2">
        <v>37733</v>
      </c>
      <c r="K478" s="3">
        <f t="shared" si="14"/>
        <v>5</v>
      </c>
      <c r="L478" s="3">
        <f t="shared" si="15"/>
        <v>5.2430000000000003</v>
      </c>
    </row>
    <row r="479" spans="1:12" x14ac:dyDescent="0.3">
      <c r="A479" s="2">
        <v>36996</v>
      </c>
      <c r="B479" t="s">
        <v>13</v>
      </c>
      <c r="D479" s="2">
        <v>37727</v>
      </c>
      <c r="E479">
        <v>5</v>
      </c>
      <c r="G479" s="2">
        <v>37727</v>
      </c>
      <c r="H479">
        <v>5.3019999999999996</v>
      </c>
      <c r="J479" s="2">
        <v>37734</v>
      </c>
      <c r="K479" s="3">
        <f t="shared" si="14"/>
        <v>5</v>
      </c>
      <c r="L479" s="3">
        <f t="shared" si="15"/>
        <v>5.1790000000000003</v>
      </c>
    </row>
    <row r="480" spans="1:12" x14ac:dyDescent="0.3">
      <c r="A480" s="2">
        <v>36997</v>
      </c>
      <c r="B480" t="s">
        <v>13</v>
      </c>
      <c r="D480" s="2">
        <v>37728</v>
      </c>
      <c r="E480">
        <v>5</v>
      </c>
      <c r="G480" s="2">
        <v>37728</v>
      </c>
      <c r="H480">
        <v>5.2779999999999996</v>
      </c>
      <c r="J480" s="2">
        <v>37735</v>
      </c>
      <c r="K480" s="3">
        <f t="shared" si="14"/>
        <v>5</v>
      </c>
      <c r="L480" s="3">
        <f t="shared" si="15"/>
        <v>5.1669999999999998</v>
      </c>
    </row>
    <row r="481" spans="1:12" x14ac:dyDescent="0.3">
      <c r="A481" s="2">
        <v>36998</v>
      </c>
      <c r="B481" t="s">
        <v>13</v>
      </c>
      <c r="D481" s="2">
        <v>37729</v>
      </c>
      <c r="E481">
        <v>5</v>
      </c>
      <c r="G481" s="2">
        <v>37729</v>
      </c>
      <c r="H481">
        <v>5.2779999999999996</v>
      </c>
      <c r="J481" s="2">
        <v>37736</v>
      </c>
      <c r="K481" s="3">
        <f t="shared" si="14"/>
        <v>5</v>
      </c>
      <c r="L481" s="3">
        <f t="shared" si="15"/>
        <v>5.1680000000000001</v>
      </c>
    </row>
    <row r="482" spans="1:12" x14ac:dyDescent="0.3">
      <c r="A482" s="2">
        <v>36999</v>
      </c>
      <c r="B482" t="s">
        <v>13</v>
      </c>
      <c r="D482" s="2">
        <v>37730</v>
      </c>
      <c r="E482">
        <v>5</v>
      </c>
      <c r="G482" s="2">
        <v>37730</v>
      </c>
      <c r="H482">
        <v>5.2539999999999996</v>
      </c>
      <c r="J482" s="2">
        <v>37737</v>
      </c>
      <c r="K482" s="3">
        <f t="shared" si="14"/>
        <v>5</v>
      </c>
      <c r="L482" s="3">
        <f t="shared" si="15"/>
        <v>5.117</v>
      </c>
    </row>
    <row r="483" spans="1:12" x14ac:dyDescent="0.3">
      <c r="A483" s="2">
        <v>37000</v>
      </c>
      <c r="B483" t="s">
        <v>13</v>
      </c>
      <c r="D483" s="2">
        <v>37731</v>
      </c>
      <c r="E483">
        <v>5</v>
      </c>
      <c r="G483" s="2">
        <v>37731</v>
      </c>
      <c r="H483">
        <v>5.2539999999999996</v>
      </c>
      <c r="J483" s="2">
        <v>37738</v>
      </c>
      <c r="K483" s="3">
        <f t="shared" si="14"/>
        <v>5</v>
      </c>
      <c r="L483" s="3">
        <f t="shared" si="15"/>
        <v>5.117</v>
      </c>
    </row>
    <row r="484" spans="1:12" x14ac:dyDescent="0.3">
      <c r="A484" s="2">
        <v>37001</v>
      </c>
      <c r="B484" t="s">
        <v>13</v>
      </c>
      <c r="D484" s="2">
        <v>37732</v>
      </c>
      <c r="E484">
        <v>5</v>
      </c>
      <c r="G484" s="2">
        <v>37732</v>
      </c>
      <c r="H484">
        <v>5.2140000000000004</v>
      </c>
      <c r="J484" s="2">
        <v>37739</v>
      </c>
      <c r="K484" s="3">
        <f t="shared" si="14"/>
        <v>5</v>
      </c>
      <c r="L484" s="3">
        <f t="shared" si="15"/>
        <v>5.1070000000000002</v>
      </c>
    </row>
    <row r="485" spans="1:12" x14ac:dyDescent="0.3">
      <c r="A485" s="2">
        <v>37002</v>
      </c>
      <c r="B485" t="s">
        <v>13</v>
      </c>
      <c r="D485" s="2">
        <v>37733</v>
      </c>
      <c r="E485">
        <v>5</v>
      </c>
      <c r="G485" s="2">
        <v>37733</v>
      </c>
      <c r="H485">
        <v>5.2430000000000003</v>
      </c>
      <c r="J485" s="2">
        <v>37740</v>
      </c>
      <c r="K485" s="3">
        <f t="shared" si="14"/>
        <v>5</v>
      </c>
      <c r="L485" s="3">
        <f t="shared" si="15"/>
        <v>5.1189999999999998</v>
      </c>
    </row>
    <row r="486" spans="1:12" x14ac:dyDescent="0.3">
      <c r="A486" s="2">
        <v>37003</v>
      </c>
      <c r="B486" t="s">
        <v>13</v>
      </c>
      <c r="D486" s="2">
        <v>37734</v>
      </c>
      <c r="E486">
        <v>5</v>
      </c>
      <c r="G486" s="2">
        <v>37734</v>
      </c>
      <c r="H486">
        <v>5.1790000000000003</v>
      </c>
      <c r="J486" s="2">
        <v>37741</v>
      </c>
      <c r="K486" s="3">
        <f t="shared" si="14"/>
        <v>5</v>
      </c>
      <c r="L486" s="3">
        <f t="shared" si="15"/>
        <v>4.9880000000000004</v>
      </c>
    </row>
    <row r="487" spans="1:12" x14ac:dyDescent="0.3">
      <c r="A487" s="2">
        <v>37004</v>
      </c>
      <c r="B487" t="s">
        <v>13</v>
      </c>
      <c r="D487" s="2">
        <v>37735</v>
      </c>
      <c r="E487">
        <v>5</v>
      </c>
      <c r="G487" s="2">
        <v>37735</v>
      </c>
      <c r="H487">
        <v>5.1669999999999998</v>
      </c>
      <c r="J487" s="2">
        <v>37742</v>
      </c>
      <c r="K487" s="3">
        <f t="shared" si="14"/>
        <v>5</v>
      </c>
      <c r="L487" s="3">
        <f t="shared" si="15"/>
        <v>4.9880000000000004</v>
      </c>
    </row>
    <row r="488" spans="1:12" x14ac:dyDescent="0.3">
      <c r="A488" s="2">
        <v>37005</v>
      </c>
      <c r="B488" t="s">
        <v>13</v>
      </c>
      <c r="D488" s="2">
        <v>37736</v>
      </c>
      <c r="E488">
        <v>5</v>
      </c>
      <c r="G488" s="2">
        <v>37736</v>
      </c>
      <c r="H488">
        <v>5.1680000000000001</v>
      </c>
      <c r="J488" s="2">
        <v>37743</v>
      </c>
      <c r="K488" s="3">
        <f t="shared" si="14"/>
        <v>5</v>
      </c>
      <c r="L488" s="3">
        <f t="shared" si="15"/>
        <v>5.032</v>
      </c>
    </row>
    <row r="489" spans="1:12" x14ac:dyDescent="0.3">
      <c r="A489" s="2">
        <v>37006</v>
      </c>
      <c r="B489" t="s">
        <v>13</v>
      </c>
      <c r="D489" s="2">
        <v>37737</v>
      </c>
      <c r="E489">
        <v>5</v>
      </c>
      <c r="G489" s="2">
        <v>37737</v>
      </c>
      <c r="H489">
        <v>5.117</v>
      </c>
      <c r="J489" s="2">
        <v>37744</v>
      </c>
      <c r="K489" s="3">
        <f t="shared" si="14"/>
        <v>5</v>
      </c>
      <c r="L489" s="3">
        <f t="shared" si="15"/>
        <v>4.9809999999999999</v>
      </c>
    </row>
    <row r="490" spans="1:12" x14ac:dyDescent="0.3">
      <c r="A490" s="2">
        <v>37007</v>
      </c>
      <c r="B490" t="s">
        <v>13</v>
      </c>
      <c r="D490" s="2">
        <v>37738</v>
      </c>
      <c r="E490">
        <v>5</v>
      </c>
      <c r="G490" s="2">
        <v>37738</v>
      </c>
      <c r="H490">
        <v>5.117</v>
      </c>
      <c r="J490" s="2">
        <v>37745</v>
      </c>
      <c r="K490" s="3">
        <f t="shared" si="14"/>
        <v>5</v>
      </c>
      <c r="L490" s="3">
        <f t="shared" si="15"/>
        <v>4.9809999999999999</v>
      </c>
    </row>
    <row r="491" spans="1:12" x14ac:dyDescent="0.3">
      <c r="A491" s="2">
        <v>37008</v>
      </c>
      <c r="B491" t="s">
        <v>13</v>
      </c>
      <c r="D491" s="2">
        <v>37739</v>
      </c>
      <c r="E491">
        <v>5</v>
      </c>
      <c r="G491" s="2">
        <v>37739</v>
      </c>
      <c r="H491">
        <v>5.1070000000000002</v>
      </c>
      <c r="J491" s="2">
        <v>37746</v>
      </c>
      <c r="K491" s="3">
        <f t="shared" si="14"/>
        <v>5</v>
      </c>
      <c r="L491" s="3">
        <f t="shared" si="15"/>
        <v>4.9589999999999996</v>
      </c>
    </row>
    <row r="492" spans="1:12" x14ac:dyDescent="0.3">
      <c r="A492" s="2">
        <v>37009</v>
      </c>
      <c r="B492" t="s">
        <v>13</v>
      </c>
      <c r="D492" s="2">
        <v>37740</v>
      </c>
      <c r="E492">
        <v>5</v>
      </c>
      <c r="G492" s="2">
        <v>37740</v>
      </c>
      <c r="H492">
        <v>5.1189999999999998</v>
      </c>
      <c r="J492" s="2">
        <v>37747</v>
      </c>
      <c r="K492" s="3">
        <f t="shared" si="14"/>
        <v>5</v>
      </c>
      <c r="L492" s="3">
        <f t="shared" si="15"/>
        <v>4.9429999999999996</v>
      </c>
    </row>
    <row r="493" spans="1:12" x14ac:dyDescent="0.3">
      <c r="A493" s="2">
        <v>37010</v>
      </c>
      <c r="B493" t="s">
        <v>13</v>
      </c>
      <c r="D493" s="2">
        <v>37741</v>
      </c>
      <c r="E493">
        <v>5</v>
      </c>
      <c r="G493" s="2">
        <v>37741</v>
      </c>
      <c r="H493">
        <v>4.9880000000000004</v>
      </c>
      <c r="J493" s="2">
        <v>37748</v>
      </c>
      <c r="K493" s="3">
        <f t="shared" si="14"/>
        <v>5</v>
      </c>
      <c r="L493" s="3">
        <f t="shared" si="15"/>
        <v>4.91</v>
      </c>
    </row>
    <row r="494" spans="1:12" x14ac:dyDescent="0.3">
      <c r="A494" s="2">
        <v>37011</v>
      </c>
      <c r="B494" t="s">
        <v>13</v>
      </c>
      <c r="D494" s="2">
        <v>37742</v>
      </c>
      <c r="E494">
        <v>5</v>
      </c>
      <c r="G494" s="2">
        <v>37742</v>
      </c>
      <c r="H494">
        <v>4.9880000000000004</v>
      </c>
      <c r="J494" s="2">
        <v>37749</v>
      </c>
      <c r="K494" s="3">
        <f t="shared" si="14"/>
        <v>5</v>
      </c>
      <c r="L494" s="3">
        <f t="shared" si="15"/>
        <v>4.91</v>
      </c>
    </row>
    <row r="495" spans="1:12" x14ac:dyDescent="0.3">
      <c r="A495" s="2">
        <v>37012</v>
      </c>
      <c r="B495" t="s">
        <v>13</v>
      </c>
      <c r="D495" s="2">
        <v>37743</v>
      </c>
      <c r="E495">
        <v>5</v>
      </c>
      <c r="G495" s="2">
        <v>37743</v>
      </c>
      <c r="H495">
        <v>5.032</v>
      </c>
      <c r="J495" s="2">
        <v>37750</v>
      </c>
      <c r="K495" s="3">
        <f t="shared" si="14"/>
        <v>5</v>
      </c>
      <c r="L495" s="3">
        <f t="shared" si="15"/>
        <v>4.9660000000000002</v>
      </c>
    </row>
    <row r="496" spans="1:12" x14ac:dyDescent="0.3">
      <c r="A496" s="2">
        <v>37013</v>
      </c>
      <c r="B496" t="s">
        <v>13</v>
      </c>
      <c r="D496" s="2">
        <v>37744</v>
      </c>
      <c r="E496">
        <v>5</v>
      </c>
      <c r="G496" s="2">
        <v>37744</v>
      </c>
      <c r="H496">
        <v>4.9809999999999999</v>
      </c>
      <c r="J496" s="2">
        <v>37751</v>
      </c>
      <c r="K496" s="3">
        <f t="shared" si="14"/>
        <v>5</v>
      </c>
      <c r="L496" s="3">
        <f t="shared" si="15"/>
        <v>4.9539999999999997</v>
      </c>
    </row>
    <row r="497" spans="1:12" x14ac:dyDescent="0.3">
      <c r="A497" s="2">
        <v>37014</v>
      </c>
      <c r="B497" t="s">
        <v>13</v>
      </c>
      <c r="D497" s="2">
        <v>37745</v>
      </c>
      <c r="E497">
        <v>5</v>
      </c>
      <c r="G497" s="2">
        <v>37745</v>
      </c>
      <c r="H497">
        <v>4.9809999999999999</v>
      </c>
      <c r="J497" s="2">
        <v>37752</v>
      </c>
      <c r="K497" s="3">
        <f t="shared" si="14"/>
        <v>5</v>
      </c>
      <c r="L497" s="3">
        <f t="shared" si="15"/>
        <v>4.9539999999999997</v>
      </c>
    </row>
    <row r="498" spans="1:12" x14ac:dyDescent="0.3">
      <c r="A498" s="2">
        <v>37015</v>
      </c>
      <c r="B498" t="s">
        <v>13</v>
      </c>
      <c r="D498" s="2">
        <v>37746</v>
      </c>
      <c r="E498">
        <v>5</v>
      </c>
      <c r="G498" s="2">
        <v>37746</v>
      </c>
      <c r="H498">
        <v>4.9589999999999996</v>
      </c>
      <c r="J498" s="2">
        <v>37753</v>
      </c>
      <c r="K498" s="3">
        <f t="shared" si="14"/>
        <v>5</v>
      </c>
      <c r="L498" s="3">
        <f t="shared" si="15"/>
        <v>4.9539999999999997</v>
      </c>
    </row>
    <row r="499" spans="1:12" x14ac:dyDescent="0.3">
      <c r="A499" s="2">
        <v>37016</v>
      </c>
      <c r="B499" t="s">
        <v>13</v>
      </c>
      <c r="D499" s="2">
        <v>37747</v>
      </c>
      <c r="E499">
        <v>5</v>
      </c>
      <c r="G499" s="2">
        <v>37747</v>
      </c>
      <c r="H499">
        <v>4.9429999999999996</v>
      </c>
      <c r="J499" s="2">
        <v>37754</v>
      </c>
      <c r="K499" s="3">
        <f t="shared" si="14"/>
        <v>5</v>
      </c>
      <c r="L499" s="3">
        <f t="shared" si="15"/>
        <v>4.9539999999999997</v>
      </c>
    </row>
    <row r="500" spans="1:12" x14ac:dyDescent="0.3">
      <c r="A500" s="2">
        <v>37017</v>
      </c>
      <c r="B500" t="s">
        <v>13</v>
      </c>
      <c r="D500" s="2">
        <v>37748</v>
      </c>
      <c r="E500">
        <v>5</v>
      </c>
      <c r="G500" s="2">
        <v>37748</v>
      </c>
      <c r="H500">
        <v>4.91</v>
      </c>
      <c r="J500" s="2">
        <v>37755</v>
      </c>
      <c r="K500" s="3">
        <f t="shared" si="14"/>
        <v>5</v>
      </c>
      <c r="L500" s="3">
        <f t="shared" si="15"/>
        <v>4.9539999999999997</v>
      </c>
    </row>
    <row r="501" spans="1:12" x14ac:dyDescent="0.3">
      <c r="A501" s="2">
        <v>37018</v>
      </c>
      <c r="B501" t="s">
        <v>13</v>
      </c>
      <c r="D501" s="2">
        <v>37749</v>
      </c>
      <c r="E501">
        <v>5</v>
      </c>
      <c r="G501" s="2">
        <v>37749</v>
      </c>
      <c r="H501">
        <v>4.91</v>
      </c>
      <c r="J501" s="2">
        <v>37756</v>
      </c>
      <c r="K501" s="3">
        <f t="shared" si="14"/>
        <v>5</v>
      </c>
      <c r="L501" s="3">
        <f t="shared" si="15"/>
        <v>4.9539999999999997</v>
      </c>
    </row>
    <row r="502" spans="1:12" x14ac:dyDescent="0.3">
      <c r="A502" s="2">
        <v>37019</v>
      </c>
      <c r="B502" t="s">
        <v>13</v>
      </c>
      <c r="D502" s="2">
        <v>37750</v>
      </c>
      <c r="E502">
        <v>5</v>
      </c>
      <c r="G502" s="2">
        <v>37750</v>
      </c>
      <c r="H502">
        <v>4.9660000000000002</v>
      </c>
      <c r="J502" s="2">
        <v>37757</v>
      </c>
      <c r="K502" s="3">
        <f t="shared" si="14"/>
        <v>5</v>
      </c>
      <c r="L502" s="3">
        <f t="shared" si="15"/>
        <v>4.9539999999999997</v>
      </c>
    </row>
    <row r="503" spans="1:12" x14ac:dyDescent="0.3">
      <c r="A503" s="2">
        <v>37020</v>
      </c>
      <c r="B503" t="s">
        <v>13</v>
      </c>
      <c r="D503" s="2">
        <v>37751</v>
      </c>
      <c r="E503">
        <v>5</v>
      </c>
      <c r="G503" s="2">
        <v>37751</v>
      </c>
      <c r="H503">
        <v>4.9539999999999997</v>
      </c>
      <c r="J503" s="2">
        <v>37758</v>
      </c>
      <c r="K503" s="3">
        <f t="shared" si="14"/>
        <v>5</v>
      </c>
      <c r="L503" s="3">
        <f t="shared" si="15"/>
        <v>4.9569999999999999</v>
      </c>
    </row>
    <row r="504" spans="1:12" x14ac:dyDescent="0.3">
      <c r="A504" s="2">
        <v>37021</v>
      </c>
      <c r="B504" t="s">
        <v>13</v>
      </c>
      <c r="D504" s="2">
        <v>37752</v>
      </c>
      <c r="E504">
        <v>5</v>
      </c>
      <c r="G504" s="2">
        <v>37752</v>
      </c>
      <c r="H504">
        <v>4.9539999999999997</v>
      </c>
      <c r="J504" s="2">
        <v>37759</v>
      </c>
      <c r="K504" s="3">
        <f t="shared" si="14"/>
        <v>5</v>
      </c>
      <c r="L504" s="3">
        <f t="shared" si="15"/>
        <v>4.9569999999999999</v>
      </c>
    </row>
    <row r="505" spans="1:12" x14ac:dyDescent="0.3">
      <c r="A505" s="2">
        <v>37022</v>
      </c>
      <c r="B505" t="s">
        <v>13</v>
      </c>
      <c r="D505" s="2">
        <v>37753</v>
      </c>
      <c r="E505">
        <v>5</v>
      </c>
      <c r="G505" s="2">
        <v>37753</v>
      </c>
      <c r="H505">
        <v>4.9539999999999997</v>
      </c>
      <c r="J505" s="2">
        <v>37760</v>
      </c>
      <c r="K505" s="3">
        <f t="shared" si="14"/>
        <v>5</v>
      </c>
      <c r="L505" s="3">
        <f t="shared" si="15"/>
        <v>4.9569999999999999</v>
      </c>
    </row>
    <row r="506" spans="1:12" x14ac:dyDescent="0.3">
      <c r="A506" s="2">
        <v>37023</v>
      </c>
      <c r="B506" t="s">
        <v>13</v>
      </c>
      <c r="D506" s="2">
        <v>37754</v>
      </c>
      <c r="E506">
        <v>5</v>
      </c>
      <c r="G506" s="2">
        <v>37754</v>
      </c>
      <c r="H506">
        <v>4.9539999999999997</v>
      </c>
      <c r="J506" s="2">
        <v>37761</v>
      </c>
      <c r="K506" s="3">
        <f t="shared" si="14"/>
        <v>5</v>
      </c>
      <c r="L506" s="3">
        <f t="shared" si="15"/>
        <v>4.9889999999999999</v>
      </c>
    </row>
    <row r="507" spans="1:12" x14ac:dyDescent="0.3">
      <c r="A507" s="2">
        <v>37024</v>
      </c>
      <c r="B507" t="s">
        <v>13</v>
      </c>
      <c r="D507" s="2">
        <v>37755</v>
      </c>
      <c r="E507">
        <v>5</v>
      </c>
      <c r="G507" s="2">
        <v>37755</v>
      </c>
      <c r="H507">
        <v>4.9539999999999997</v>
      </c>
      <c r="J507" s="2">
        <v>37762</v>
      </c>
      <c r="K507" s="3">
        <f t="shared" si="14"/>
        <v>5</v>
      </c>
      <c r="L507" s="3">
        <f t="shared" si="15"/>
        <v>5.2140000000000004</v>
      </c>
    </row>
    <row r="508" spans="1:12" x14ac:dyDescent="0.3">
      <c r="A508" s="2">
        <v>37025</v>
      </c>
      <c r="B508" t="s">
        <v>13</v>
      </c>
      <c r="D508" s="2">
        <v>37756</v>
      </c>
      <c r="E508">
        <v>5</v>
      </c>
      <c r="G508" s="2">
        <v>37756</v>
      </c>
      <c r="H508">
        <v>4.9539999999999997</v>
      </c>
      <c r="J508" s="2">
        <v>37763</v>
      </c>
      <c r="K508" s="3">
        <f t="shared" si="14"/>
        <v>5</v>
      </c>
      <c r="L508" s="3">
        <f t="shared" si="15"/>
        <v>4.9640000000000004</v>
      </c>
    </row>
    <row r="509" spans="1:12" x14ac:dyDescent="0.3">
      <c r="A509" s="2">
        <v>37026</v>
      </c>
      <c r="B509" t="s">
        <v>13</v>
      </c>
      <c r="D509" s="2">
        <v>37757</v>
      </c>
      <c r="E509">
        <v>5</v>
      </c>
      <c r="G509" s="2">
        <v>37757</v>
      </c>
      <c r="H509">
        <v>4.9539999999999997</v>
      </c>
      <c r="J509" s="2">
        <v>37764</v>
      </c>
      <c r="K509" s="3">
        <f t="shared" si="14"/>
        <v>5</v>
      </c>
      <c r="L509" s="3">
        <f t="shared" si="15"/>
        <v>5.2140000000000004</v>
      </c>
    </row>
    <row r="510" spans="1:12" x14ac:dyDescent="0.3">
      <c r="A510" s="2">
        <v>37027</v>
      </c>
      <c r="B510" t="s">
        <v>13</v>
      </c>
      <c r="D510" s="2">
        <v>37758</v>
      </c>
      <c r="E510">
        <v>5</v>
      </c>
      <c r="G510" s="2">
        <v>37758</v>
      </c>
      <c r="H510">
        <v>4.9569999999999999</v>
      </c>
      <c r="J510" s="2">
        <v>37765</v>
      </c>
      <c r="K510" s="3">
        <f t="shared" si="14"/>
        <v>5</v>
      </c>
      <c r="L510" s="3">
        <f t="shared" si="15"/>
        <v>4.9169999999999998</v>
      </c>
    </row>
    <row r="511" spans="1:12" x14ac:dyDescent="0.3">
      <c r="A511" s="2">
        <v>37028</v>
      </c>
      <c r="B511" t="s">
        <v>13</v>
      </c>
      <c r="D511" s="2">
        <v>37759</v>
      </c>
      <c r="E511">
        <v>5</v>
      </c>
      <c r="G511" s="2">
        <v>37759</v>
      </c>
      <c r="H511">
        <v>4.9569999999999999</v>
      </c>
      <c r="J511" s="2">
        <v>37766</v>
      </c>
      <c r="K511" s="3">
        <f t="shared" si="14"/>
        <v>5</v>
      </c>
      <c r="L511" s="3">
        <f t="shared" si="15"/>
        <v>4.9169999999999998</v>
      </c>
    </row>
    <row r="512" spans="1:12" x14ac:dyDescent="0.3">
      <c r="A512" s="2">
        <v>37029</v>
      </c>
      <c r="B512" t="s">
        <v>13</v>
      </c>
      <c r="D512" s="2">
        <v>37760</v>
      </c>
      <c r="E512">
        <v>5</v>
      </c>
      <c r="G512" s="2">
        <v>37760</v>
      </c>
      <c r="H512">
        <v>4.9569999999999999</v>
      </c>
      <c r="J512" s="2">
        <v>37767</v>
      </c>
      <c r="K512" s="3">
        <f t="shared" si="14"/>
        <v>5</v>
      </c>
      <c r="L512" s="3">
        <f t="shared" si="15"/>
        <v>4.9169999999999998</v>
      </c>
    </row>
    <row r="513" spans="1:12" x14ac:dyDescent="0.3">
      <c r="A513" s="2">
        <v>37030</v>
      </c>
      <c r="B513" t="s">
        <v>13</v>
      </c>
      <c r="D513" s="2">
        <v>37761</v>
      </c>
      <c r="E513">
        <v>5</v>
      </c>
      <c r="G513" s="2">
        <v>37761</v>
      </c>
      <c r="H513">
        <v>4.9889999999999999</v>
      </c>
      <c r="J513" s="2">
        <v>37768</v>
      </c>
      <c r="K513" s="3">
        <f t="shared" si="14"/>
        <v>5</v>
      </c>
      <c r="L513" s="3">
        <f t="shared" si="15"/>
        <v>4.9169999999999998</v>
      </c>
    </row>
    <row r="514" spans="1:12" x14ac:dyDescent="0.3">
      <c r="A514" s="2">
        <v>37031</v>
      </c>
      <c r="B514" t="s">
        <v>13</v>
      </c>
      <c r="D514" s="2">
        <v>37762</v>
      </c>
      <c r="E514">
        <v>5</v>
      </c>
      <c r="G514" s="2">
        <v>37762</v>
      </c>
      <c r="H514">
        <v>5.2140000000000004</v>
      </c>
      <c r="J514" s="2">
        <v>37769</v>
      </c>
      <c r="K514" s="3">
        <f t="shared" si="14"/>
        <v>5</v>
      </c>
      <c r="L514" s="3">
        <f t="shared" si="15"/>
        <v>4.9450000000000003</v>
      </c>
    </row>
    <row r="515" spans="1:12" x14ac:dyDescent="0.3">
      <c r="A515" s="2">
        <v>37032</v>
      </c>
      <c r="B515" t="s">
        <v>13</v>
      </c>
      <c r="D515" s="2">
        <v>37763</v>
      </c>
      <c r="E515">
        <v>5</v>
      </c>
      <c r="G515" s="2">
        <v>37763</v>
      </c>
      <c r="H515">
        <v>4.9640000000000004</v>
      </c>
      <c r="J515" s="2">
        <v>37770</v>
      </c>
      <c r="K515" s="3">
        <f t="shared" ref="K515:K578" si="16">E522</f>
        <v>5</v>
      </c>
      <c r="L515" s="3">
        <f t="shared" ref="L515:L578" si="17">H522</f>
        <v>4.9820000000000002</v>
      </c>
    </row>
    <row r="516" spans="1:12" x14ac:dyDescent="0.3">
      <c r="A516" s="2">
        <v>37033</v>
      </c>
      <c r="B516" t="s">
        <v>13</v>
      </c>
      <c r="D516" s="2">
        <v>37764</v>
      </c>
      <c r="E516">
        <v>5</v>
      </c>
      <c r="G516" s="2">
        <v>37764</v>
      </c>
      <c r="H516">
        <v>5.2140000000000004</v>
      </c>
      <c r="J516" s="2">
        <v>37771</v>
      </c>
      <c r="K516" s="3">
        <f t="shared" si="16"/>
        <v>5</v>
      </c>
      <c r="L516" s="3">
        <f t="shared" si="17"/>
        <v>4.9770000000000003</v>
      </c>
    </row>
    <row r="517" spans="1:12" x14ac:dyDescent="0.3">
      <c r="A517" s="2">
        <v>37034</v>
      </c>
      <c r="B517" t="s">
        <v>13</v>
      </c>
      <c r="D517" s="2">
        <v>37765</v>
      </c>
      <c r="E517">
        <v>5</v>
      </c>
      <c r="G517" s="2">
        <v>37765</v>
      </c>
      <c r="H517">
        <v>4.9169999999999998</v>
      </c>
      <c r="J517" s="2">
        <v>37772</v>
      </c>
      <c r="K517" s="3">
        <f t="shared" si="16"/>
        <v>5</v>
      </c>
      <c r="L517" s="3">
        <f t="shared" si="17"/>
        <v>5.0510000000000002</v>
      </c>
    </row>
    <row r="518" spans="1:12" x14ac:dyDescent="0.3">
      <c r="A518" s="2">
        <v>37035</v>
      </c>
      <c r="B518" t="s">
        <v>13</v>
      </c>
      <c r="D518" s="2">
        <v>37766</v>
      </c>
      <c r="E518">
        <v>5</v>
      </c>
      <c r="G518" s="2">
        <v>37766</v>
      </c>
      <c r="H518">
        <v>4.9169999999999998</v>
      </c>
      <c r="J518" s="2">
        <v>37773</v>
      </c>
      <c r="K518" s="3">
        <f t="shared" si="16"/>
        <v>5</v>
      </c>
      <c r="L518" s="3">
        <f t="shared" si="17"/>
        <v>5.0510000000000002</v>
      </c>
    </row>
    <row r="519" spans="1:12" x14ac:dyDescent="0.3">
      <c r="A519" s="2">
        <v>37036</v>
      </c>
      <c r="B519" t="s">
        <v>13</v>
      </c>
      <c r="D519" s="2">
        <v>37767</v>
      </c>
      <c r="E519">
        <v>5</v>
      </c>
      <c r="G519" s="2">
        <v>37767</v>
      </c>
      <c r="H519">
        <v>4.9169999999999998</v>
      </c>
      <c r="J519" s="2">
        <v>37774</v>
      </c>
      <c r="K519" s="3">
        <f t="shared" si="16"/>
        <v>5</v>
      </c>
      <c r="L519" s="3">
        <f t="shared" si="17"/>
        <v>5.0650000000000004</v>
      </c>
    </row>
    <row r="520" spans="1:12" x14ac:dyDescent="0.3">
      <c r="A520" s="2">
        <v>37037</v>
      </c>
      <c r="B520" t="s">
        <v>13</v>
      </c>
      <c r="D520" s="2">
        <v>37768</v>
      </c>
      <c r="E520">
        <v>5</v>
      </c>
      <c r="G520" s="2">
        <v>37768</v>
      </c>
      <c r="H520">
        <v>4.9169999999999998</v>
      </c>
      <c r="J520" s="2">
        <v>37775</v>
      </c>
      <c r="K520" s="3">
        <f t="shared" si="16"/>
        <v>5</v>
      </c>
      <c r="L520" s="3">
        <f t="shared" si="17"/>
        <v>5.0430000000000001</v>
      </c>
    </row>
    <row r="521" spans="1:12" x14ac:dyDescent="0.3">
      <c r="A521" s="2">
        <v>37038</v>
      </c>
      <c r="B521" t="s">
        <v>13</v>
      </c>
      <c r="D521" s="2">
        <v>37769</v>
      </c>
      <c r="E521">
        <v>5</v>
      </c>
      <c r="G521" s="2">
        <v>37769</v>
      </c>
      <c r="H521">
        <v>4.9450000000000003</v>
      </c>
      <c r="J521" s="2">
        <v>37776</v>
      </c>
      <c r="K521" s="3">
        <f t="shared" si="16"/>
        <v>5</v>
      </c>
      <c r="L521" s="3">
        <f t="shared" si="17"/>
        <v>4.9589999999999996</v>
      </c>
    </row>
    <row r="522" spans="1:12" x14ac:dyDescent="0.3">
      <c r="A522" s="2">
        <v>37039</v>
      </c>
      <c r="B522" t="s">
        <v>13</v>
      </c>
      <c r="D522" s="2">
        <v>37770</v>
      </c>
      <c r="E522">
        <v>5</v>
      </c>
      <c r="G522" s="2">
        <v>37770</v>
      </c>
      <c r="H522">
        <v>4.9820000000000002</v>
      </c>
      <c r="J522" s="2">
        <v>37777</v>
      </c>
      <c r="K522" s="3">
        <f t="shared" si="16"/>
        <v>5</v>
      </c>
      <c r="L522" s="3">
        <f t="shared" si="17"/>
        <v>4.9589999999999996</v>
      </c>
    </row>
    <row r="523" spans="1:12" x14ac:dyDescent="0.3">
      <c r="A523" s="2">
        <v>37040</v>
      </c>
      <c r="B523" t="s">
        <v>13</v>
      </c>
      <c r="D523" s="2">
        <v>37771</v>
      </c>
      <c r="E523">
        <v>5</v>
      </c>
      <c r="G523" s="2">
        <v>37771</v>
      </c>
      <c r="H523">
        <v>4.9770000000000003</v>
      </c>
      <c r="J523" s="2">
        <v>37778</v>
      </c>
      <c r="K523" s="3">
        <f t="shared" si="16"/>
        <v>5</v>
      </c>
      <c r="L523" s="3">
        <f t="shared" si="17"/>
        <v>5.0640000000000001</v>
      </c>
    </row>
    <row r="524" spans="1:12" x14ac:dyDescent="0.3">
      <c r="A524" s="2">
        <v>37041</v>
      </c>
      <c r="B524" t="s">
        <v>13</v>
      </c>
      <c r="D524" s="2">
        <v>37772</v>
      </c>
      <c r="E524">
        <v>5</v>
      </c>
      <c r="G524" s="2">
        <v>37772</v>
      </c>
      <c r="H524">
        <v>5.0510000000000002</v>
      </c>
      <c r="J524" s="2">
        <v>37779</v>
      </c>
      <c r="K524" s="3">
        <f t="shared" si="16"/>
        <v>5</v>
      </c>
      <c r="L524" s="3">
        <f t="shared" si="17"/>
        <v>5.0910000000000002</v>
      </c>
    </row>
    <row r="525" spans="1:12" x14ac:dyDescent="0.3">
      <c r="A525" s="2">
        <v>37042</v>
      </c>
      <c r="B525" t="s">
        <v>13</v>
      </c>
      <c r="D525" s="2">
        <v>37773</v>
      </c>
      <c r="E525">
        <v>5</v>
      </c>
      <c r="G525" s="2">
        <v>37773</v>
      </c>
      <c r="H525">
        <v>5.0510000000000002</v>
      </c>
      <c r="J525" s="2">
        <v>37780</v>
      </c>
      <c r="K525" s="3">
        <f t="shared" si="16"/>
        <v>5</v>
      </c>
      <c r="L525" s="3">
        <f t="shared" si="17"/>
        <v>5.0910000000000002</v>
      </c>
    </row>
    <row r="526" spans="1:12" x14ac:dyDescent="0.3">
      <c r="A526" s="2">
        <v>37043</v>
      </c>
      <c r="B526" t="s">
        <v>13</v>
      </c>
      <c r="D526" s="2">
        <v>37774</v>
      </c>
      <c r="E526">
        <v>5</v>
      </c>
      <c r="G526" s="2">
        <v>37774</v>
      </c>
      <c r="H526">
        <v>5.0650000000000004</v>
      </c>
      <c r="J526" s="2">
        <v>37781</v>
      </c>
      <c r="K526" s="3">
        <f t="shared" si="16"/>
        <v>5</v>
      </c>
      <c r="L526" s="3">
        <f t="shared" si="17"/>
        <v>5.0910000000000002</v>
      </c>
    </row>
    <row r="527" spans="1:12" x14ac:dyDescent="0.3">
      <c r="A527" s="2">
        <v>37044</v>
      </c>
      <c r="B527" t="s">
        <v>13</v>
      </c>
      <c r="D527" s="2">
        <v>37775</v>
      </c>
      <c r="E527">
        <v>5</v>
      </c>
      <c r="G527" s="2">
        <v>37775</v>
      </c>
      <c r="H527">
        <v>5.0430000000000001</v>
      </c>
      <c r="J527" s="2">
        <v>37782</v>
      </c>
      <c r="K527" s="3">
        <f t="shared" si="16"/>
        <v>5</v>
      </c>
      <c r="L527" s="3">
        <f t="shared" si="17"/>
        <v>5.0910000000000002</v>
      </c>
    </row>
    <row r="528" spans="1:12" x14ac:dyDescent="0.3">
      <c r="A528" s="2">
        <v>37045</v>
      </c>
      <c r="B528" t="s">
        <v>13</v>
      </c>
      <c r="D528" s="2">
        <v>37776</v>
      </c>
      <c r="E528">
        <v>5</v>
      </c>
      <c r="G528" s="2">
        <v>37776</v>
      </c>
      <c r="H528">
        <v>4.9589999999999996</v>
      </c>
      <c r="J528" s="2">
        <v>37783</v>
      </c>
      <c r="K528" s="3">
        <f t="shared" si="16"/>
        <v>5</v>
      </c>
      <c r="L528" s="3">
        <f t="shared" si="17"/>
        <v>5.0999999999999996</v>
      </c>
    </row>
    <row r="529" spans="1:12" x14ac:dyDescent="0.3">
      <c r="A529" s="2">
        <v>37046</v>
      </c>
      <c r="B529" t="s">
        <v>13</v>
      </c>
      <c r="D529" s="2">
        <v>37777</v>
      </c>
      <c r="E529">
        <v>5</v>
      </c>
      <c r="G529" s="2">
        <v>37777</v>
      </c>
      <c r="H529">
        <v>4.9589999999999996</v>
      </c>
      <c r="J529" s="2">
        <v>37784</v>
      </c>
      <c r="K529" s="3">
        <f t="shared" si="16"/>
        <v>5</v>
      </c>
      <c r="L529" s="3">
        <f t="shared" si="17"/>
        <v>5.1390000000000002</v>
      </c>
    </row>
    <row r="530" spans="1:12" x14ac:dyDescent="0.3">
      <c r="A530" s="2">
        <v>37047</v>
      </c>
      <c r="B530" t="s">
        <v>13</v>
      </c>
      <c r="D530" s="2">
        <v>37778</v>
      </c>
      <c r="E530">
        <v>5</v>
      </c>
      <c r="G530" s="2">
        <v>37778</v>
      </c>
      <c r="H530">
        <v>5.0640000000000001</v>
      </c>
      <c r="J530" s="2">
        <v>37785</v>
      </c>
      <c r="K530" s="3">
        <f t="shared" si="16"/>
        <v>5</v>
      </c>
      <c r="L530" s="3">
        <f t="shared" si="17"/>
        <v>5.1310000000000002</v>
      </c>
    </row>
    <row r="531" spans="1:12" x14ac:dyDescent="0.3">
      <c r="A531" s="2">
        <v>37048</v>
      </c>
      <c r="B531" t="s">
        <v>13</v>
      </c>
      <c r="D531" s="2">
        <v>37779</v>
      </c>
      <c r="E531">
        <v>5</v>
      </c>
      <c r="G531" s="2">
        <v>37779</v>
      </c>
      <c r="H531">
        <v>5.0910000000000002</v>
      </c>
      <c r="J531" s="2">
        <v>37786</v>
      </c>
      <c r="K531" s="3">
        <f t="shared" si="16"/>
        <v>5</v>
      </c>
      <c r="L531" s="3">
        <f t="shared" si="17"/>
        <v>4.9569999999999999</v>
      </c>
    </row>
    <row r="532" spans="1:12" x14ac:dyDescent="0.3">
      <c r="A532" s="2">
        <v>37049</v>
      </c>
      <c r="B532" t="s">
        <v>13</v>
      </c>
      <c r="D532" s="2">
        <v>37780</v>
      </c>
      <c r="E532">
        <v>5</v>
      </c>
      <c r="G532" s="2">
        <v>37780</v>
      </c>
      <c r="H532">
        <v>5.0910000000000002</v>
      </c>
      <c r="J532" s="2">
        <v>37787</v>
      </c>
      <c r="K532" s="3">
        <f t="shared" si="16"/>
        <v>5</v>
      </c>
      <c r="L532" s="3">
        <f t="shared" si="17"/>
        <v>4.9569999999999999</v>
      </c>
    </row>
    <row r="533" spans="1:12" x14ac:dyDescent="0.3">
      <c r="A533" s="2">
        <v>37050</v>
      </c>
      <c r="B533" t="s">
        <v>13</v>
      </c>
      <c r="D533" s="2">
        <v>37781</v>
      </c>
      <c r="E533">
        <v>5</v>
      </c>
      <c r="G533" s="2">
        <v>37781</v>
      </c>
      <c r="H533">
        <v>5.0910000000000002</v>
      </c>
      <c r="J533" s="2">
        <v>37788</v>
      </c>
      <c r="K533" s="3">
        <f t="shared" si="16"/>
        <v>5</v>
      </c>
      <c r="L533" s="3">
        <f t="shared" si="17"/>
        <v>5.0949999999999998</v>
      </c>
    </row>
    <row r="534" spans="1:12" x14ac:dyDescent="0.3">
      <c r="A534" s="2">
        <v>37051</v>
      </c>
      <c r="B534" t="s">
        <v>13</v>
      </c>
      <c r="D534" s="2">
        <v>37782</v>
      </c>
      <c r="E534">
        <v>5</v>
      </c>
      <c r="G534" s="2">
        <v>37782</v>
      </c>
      <c r="H534">
        <v>5.0910000000000002</v>
      </c>
      <c r="J534" s="2">
        <v>37789</v>
      </c>
      <c r="K534" s="3">
        <f t="shared" si="16"/>
        <v>5</v>
      </c>
      <c r="L534" s="3">
        <f t="shared" si="17"/>
        <v>4.8890000000000002</v>
      </c>
    </row>
    <row r="535" spans="1:12" x14ac:dyDescent="0.3">
      <c r="A535" s="2">
        <v>37052</v>
      </c>
      <c r="B535" t="s">
        <v>13</v>
      </c>
      <c r="D535" s="2">
        <v>37783</v>
      </c>
      <c r="E535">
        <v>5</v>
      </c>
      <c r="G535" s="2">
        <v>37783</v>
      </c>
      <c r="H535">
        <v>5.0999999999999996</v>
      </c>
      <c r="J535" s="2">
        <v>37790</v>
      </c>
      <c r="K535" s="3">
        <f t="shared" si="16"/>
        <v>5</v>
      </c>
      <c r="L535" s="3">
        <f t="shared" si="17"/>
        <v>4.8890000000000002</v>
      </c>
    </row>
    <row r="536" spans="1:12" x14ac:dyDescent="0.3">
      <c r="A536" s="2">
        <v>37053</v>
      </c>
      <c r="B536" t="s">
        <v>13</v>
      </c>
      <c r="D536" s="2">
        <v>37784</v>
      </c>
      <c r="E536">
        <v>5</v>
      </c>
      <c r="G536" s="2">
        <v>37784</v>
      </c>
      <c r="H536">
        <v>5.1390000000000002</v>
      </c>
      <c r="J536" s="2">
        <v>37791</v>
      </c>
      <c r="K536" s="3">
        <f t="shared" si="16"/>
        <v>5</v>
      </c>
      <c r="L536" s="3">
        <f t="shared" si="17"/>
        <v>4.8890000000000002</v>
      </c>
    </row>
    <row r="537" spans="1:12" x14ac:dyDescent="0.3">
      <c r="A537" s="2">
        <v>37054</v>
      </c>
      <c r="B537" t="s">
        <v>13</v>
      </c>
      <c r="D537" s="2">
        <v>37785</v>
      </c>
      <c r="E537">
        <v>5</v>
      </c>
      <c r="G537" s="2">
        <v>37785</v>
      </c>
      <c r="H537">
        <v>5.1310000000000002</v>
      </c>
      <c r="J537" s="2">
        <v>37792</v>
      </c>
      <c r="K537" s="3">
        <f t="shared" si="16"/>
        <v>5</v>
      </c>
      <c r="L537" s="3">
        <f t="shared" si="17"/>
        <v>5.1429999999999998</v>
      </c>
    </row>
    <row r="538" spans="1:12" x14ac:dyDescent="0.3">
      <c r="A538" s="2">
        <v>37055</v>
      </c>
      <c r="B538" t="s">
        <v>13</v>
      </c>
      <c r="D538" s="2">
        <v>37786</v>
      </c>
      <c r="E538">
        <v>5</v>
      </c>
      <c r="G538" s="2">
        <v>37786</v>
      </c>
      <c r="H538">
        <v>4.9569999999999999</v>
      </c>
      <c r="J538" s="2">
        <v>37793</v>
      </c>
      <c r="K538" s="3">
        <f t="shared" si="16"/>
        <v>5</v>
      </c>
      <c r="L538" s="3">
        <f t="shared" si="17"/>
        <v>5.1180000000000003</v>
      </c>
    </row>
    <row r="539" spans="1:12" x14ac:dyDescent="0.3">
      <c r="A539" s="2">
        <v>37056</v>
      </c>
      <c r="B539" t="s">
        <v>13</v>
      </c>
      <c r="D539" s="2">
        <v>37787</v>
      </c>
      <c r="E539">
        <v>5</v>
      </c>
      <c r="G539" s="2">
        <v>37787</v>
      </c>
      <c r="H539">
        <v>4.9569999999999999</v>
      </c>
      <c r="J539" s="2">
        <v>37794</v>
      </c>
      <c r="K539" s="3">
        <f t="shared" si="16"/>
        <v>5</v>
      </c>
      <c r="L539" s="3">
        <f t="shared" si="17"/>
        <v>5.1180000000000003</v>
      </c>
    </row>
    <row r="540" spans="1:12" x14ac:dyDescent="0.3">
      <c r="A540" s="2">
        <v>37057</v>
      </c>
      <c r="B540" t="s">
        <v>13</v>
      </c>
      <c r="D540" s="2">
        <v>37788</v>
      </c>
      <c r="E540">
        <v>5</v>
      </c>
      <c r="G540" s="2">
        <v>37788</v>
      </c>
      <c r="H540">
        <v>5.0949999999999998</v>
      </c>
      <c r="J540" s="2">
        <v>37795</v>
      </c>
      <c r="K540" s="3">
        <f t="shared" si="16"/>
        <v>5</v>
      </c>
      <c r="L540" s="3">
        <f t="shared" si="17"/>
        <v>5.1239999999999997</v>
      </c>
    </row>
    <row r="541" spans="1:12" x14ac:dyDescent="0.3">
      <c r="A541" s="2">
        <v>37058</v>
      </c>
      <c r="B541" t="s">
        <v>13</v>
      </c>
      <c r="D541" s="2">
        <v>37789</v>
      </c>
      <c r="E541">
        <v>5</v>
      </c>
      <c r="G541" s="2">
        <v>37789</v>
      </c>
      <c r="H541">
        <v>4.8890000000000002</v>
      </c>
      <c r="J541" s="2">
        <v>37796</v>
      </c>
      <c r="K541" s="3">
        <f t="shared" si="16"/>
        <v>5</v>
      </c>
      <c r="L541" s="3">
        <f t="shared" si="17"/>
        <v>5.0839999999999996</v>
      </c>
    </row>
    <row r="542" spans="1:12" x14ac:dyDescent="0.3">
      <c r="A542" s="2">
        <v>37059</v>
      </c>
      <c r="B542" t="s">
        <v>13</v>
      </c>
      <c r="D542" s="2">
        <v>37790</v>
      </c>
      <c r="E542">
        <v>5</v>
      </c>
      <c r="G542" s="2">
        <v>37790</v>
      </c>
      <c r="H542">
        <v>4.8890000000000002</v>
      </c>
      <c r="J542" s="2">
        <v>37797</v>
      </c>
      <c r="K542" s="3">
        <f t="shared" si="16"/>
        <v>5</v>
      </c>
      <c r="L542" s="3">
        <f t="shared" si="17"/>
        <v>5.0839999999999996</v>
      </c>
    </row>
    <row r="543" spans="1:12" x14ac:dyDescent="0.3">
      <c r="A543" s="2">
        <v>37060</v>
      </c>
      <c r="B543" t="s">
        <v>13</v>
      </c>
      <c r="D543" s="2">
        <v>37791</v>
      </c>
      <c r="E543">
        <v>5</v>
      </c>
      <c r="G543" s="2">
        <v>37791</v>
      </c>
      <c r="H543">
        <v>4.8890000000000002</v>
      </c>
      <c r="J543" s="2">
        <v>37798</v>
      </c>
      <c r="K543" s="3">
        <f t="shared" si="16"/>
        <v>5</v>
      </c>
      <c r="L543" s="3">
        <f t="shared" si="17"/>
        <v>5.0839999999999996</v>
      </c>
    </row>
    <row r="544" spans="1:12" x14ac:dyDescent="0.3">
      <c r="A544" s="2">
        <v>37061</v>
      </c>
      <c r="B544" t="s">
        <v>13</v>
      </c>
      <c r="D544" s="2">
        <v>37792</v>
      </c>
      <c r="E544">
        <v>5</v>
      </c>
      <c r="G544" s="2">
        <v>37792</v>
      </c>
      <c r="H544">
        <v>5.1429999999999998</v>
      </c>
      <c r="J544" s="2">
        <v>37799</v>
      </c>
      <c r="K544" s="3">
        <f t="shared" si="16"/>
        <v>5</v>
      </c>
      <c r="L544" s="3">
        <f t="shared" si="17"/>
        <v>5.1820000000000004</v>
      </c>
    </row>
    <row r="545" spans="1:12" x14ac:dyDescent="0.3">
      <c r="A545" s="2">
        <v>37062</v>
      </c>
      <c r="B545" t="s">
        <v>13</v>
      </c>
      <c r="D545" s="2">
        <v>37793</v>
      </c>
      <c r="E545">
        <v>5</v>
      </c>
      <c r="G545" s="2">
        <v>37793</v>
      </c>
      <c r="H545">
        <v>5.1180000000000003</v>
      </c>
      <c r="J545" s="2">
        <v>37800</v>
      </c>
      <c r="K545" s="3">
        <f t="shared" si="16"/>
        <v>5</v>
      </c>
      <c r="L545" s="3">
        <f t="shared" si="17"/>
        <v>5.1680000000000001</v>
      </c>
    </row>
    <row r="546" spans="1:12" x14ac:dyDescent="0.3">
      <c r="A546" s="2">
        <v>37063</v>
      </c>
      <c r="B546" t="s">
        <v>13</v>
      </c>
      <c r="D546" s="2">
        <v>37794</v>
      </c>
      <c r="E546">
        <v>5</v>
      </c>
      <c r="G546" s="2">
        <v>37794</v>
      </c>
      <c r="H546">
        <v>5.1180000000000003</v>
      </c>
      <c r="J546" s="2">
        <v>37801</v>
      </c>
      <c r="K546" s="3">
        <f t="shared" si="16"/>
        <v>5</v>
      </c>
      <c r="L546" s="3">
        <f t="shared" si="17"/>
        <v>5.1680000000000001</v>
      </c>
    </row>
    <row r="547" spans="1:12" x14ac:dyDescent="0.3">
      <c r="A547" s="2">
        <v>37064</v>
      </c>
      <c r="B547" t="s">
        <v>13</v>
      </c>
      <c r="D547" s="2">
        <v>37795</v>
      </c>
      <c r="E547">
        <v>5</v>
      </c>
      <c r="G547" s="2">
        <v>37795</v>
      </c>
      <c r="H547">
        <v>5.1239999999999997</v>
      </c>
      <c r="J547" s="2">
        <v>37802</v>
      </c>
      <c r="K547" s="3">
        <f t="shared" si="16"/>
        <v>5</v>
      </c>
      <c r="L547" s="3">
        <f t="shared" si="17"/>
        <v>5.1680000000000001</v>
      </c>
    </row>
    <row r="548" spans="1:12" x14ac:dyDescent="0.3">
      <c r="A548" s="2">
        <v>37065</v>
      </c>
      <c r="B548" t="s">
        <v>13</v>
      </c>
      <c r="D548" s="2">
        <v>37796</v>
      </c>
      <c r="E548">
        <v>5</v>
      </c>
      <c r="G548" s="2">
        <v>37796</v>
      </c>
      <c r="H548">
        <v>5.0839999999999996</v>
      </c>
      <c r="J548" s="2">
        <v>37803</v>
      </c>
      <c r="K548" s="3">
        <f t="shared" si="16"/>
        <v>5</v>
      </c>
      <c r="L548" s="3">
        <f t="shared" si="17"/>
        <v>5.149</v>
      </c>
    </row>
    <row r="549" spans="1:12" x14ac:dyDescent="0.3">
      <c r="A549" s="2">
        <v>37066</v>
      </c>
      <c r="B549" t="s">
        <v>13</v>
      </c>
      <c r="D549" s="2">
        <v>37797</v>
      </c>
      <c r="E549">
        <v>5</v>
      </c>
      <c r="G549" s="2">
        <v>37797</v>
      </c>
      <c r="H549">
        <v>5.0839999999999996</v>
      </c>
      <c r="J549" s="2">
        <v>37804</v>
      </c>
      <c r="K549" s="3">
        <f t="shared" si="16"/>
        <v>5</v>
      </c>
      <c r="L549" s="3">
        <f t="shared" si="17"/>
        <v>5.12</v>
      </c>
    </row>
    <row r="550" spans="1:12" x14ac:dyDescent="0.3">
      <c r="A550" s="2">
        <v>37067</v>
      </c>
      <c r="B550" t="s">
        <v>13</v>
      </c>
      <c r="D550" s="2">
        <v>37798</v>
      </c>
      <c r="E550">
        <v>5</v>
      </c>
      <c r="G550" s="2">
        <v>37798</v>
      </c>
      <c r="H550">
        <v>5.0839999999999996</v>
      </c>
      <c r="J550" s="2">
        <v>37805</v>
      </c>
      <c r="K550" s="3">
        <f t="shared" si="16"/>
        <v>5</v>
      </c>
      <c r="L550" s="3">
        <f t="shared" si="17"/>
        <v>5.1360000000000001</v>
      </c>
    </row>
    <row r="551" spans="1:12" x14ac:dyDescent="0.3">
      <c r="A551" s="2">
        <v>37068</v>
      </c>
      <c r="B551" t="s">
        <v>13</v>
      </c>
      <c r="D551" s="2">
        <v>37799</v>
      </c>
      <c r="E551">
        <v>5</v>
      </c>
      <c r="G551" s="2">
        <v>37799</v>
      </c>
      <c r="H551">
        <v>5.1820000000000004</v>
      </c>
      <c r="J551" s="2">
        <v>37806</v>
      </c>
      <c r="K551" s="3">
        <f t="shared" si="16"/>
        <v>5</v>
      </c>
      <c r="L551" s="3">
        <f t="shared" si="17"/>
        <v>5.1360000000000001</v>
      </c>
    </row>
    <row r="552" spans="1:12" x14ac:dyDescent="0.3">
      <c r="A552" s="2">
        <v>37069</v>
      </c>
      <c r="B552" t="s">
        <v>13</v>
      </c>
      <c r="D552" s="2">
        <v>37800</v>
      </c>
      <c r="E552">
        <v>5</v>
      </c>
      <c r="G552" s="2">
        <v>37800</v>
      </c>
      <c r="H552">
        <v>5.1680000000000001</v>
      </c>
      <c r="J552" s="2">
        <v>37807</v>
      </c>
      <c r="K552" s="3">
        <f t="shared" si="16"/>
        <v>5</v>
      </c>
      <c r="L552" s="3">
        <f t="shared" si="17"/>
        <v>5.1669999999999998</v>
      </c>
    </row>
    <row r="553" spans="1:12" x14ac:dyDescent="0.3">
      <c r="A553" s="2">
        <v>37070</v>
      </c>
      <c r="B553" t="s">
        <v>13</v>
      </c>
      <c r="D553" s="2">
        <v>37801</v>
      </c>
      <c r="E553">
        <v>5</v>
      </c>
      <c r="G553" s="2">
        <v>37801</v>
      </c>
      <c r="H553">
        <v>5.1680000000000001</v>
      </c>
      <c r="J553" s="2">
        <v>37808</v>
      </c>
      <c r="K553" s="3">
        <f t="shared" si="16"/>
        <v>5</v>
      </c>
      <c r="L553" s="3">
        <f t="shared" si="17"/>
        <v>5.1669999999999998</v>
      </c>
    </row>
    <row r="554" spans="1:12" x14ac:dyDescent="0.3">
      <c r="A554" s="2">
        <v>37071</v>
      </c>
      <c r="B554" t="s">
        <v>13</v>
      </c>
      <c r="D554" s="2">
        <v>37802</v>
      </c>
      <c r="E554">
        <v>5</v>
      </c>
      <c r="G554" s="2">
        <v>37802</v>
      </c>
      <c r="H554">
        <v>5.1680000000000001</v>
      </c>
      <c r="J554" s="2">
        <v>37809</v>
      </c>
      <c r="K554" s="3">
        <f t="shared" si="16"/>
        <v>5</v>
      </c>
      <c r="L554" s="3">
        <f t="shared" si="17"/>
        <v>5.1669999999999998</v>
      </c>
    </row>
    <row r="555" spans="1:12" x14ac:dyDescent="0.3">
      <c r="A555" s="2">
        <v>37072</v>
      </c>
      <c r="B555" t="s">
        <v>13</v>
      </c>
      <c r="D555" s="2">
        <v>37803</v>
      </c>
      <c r="E555">
        <v>5</v>
      </c>
      <c r="G555" s="2">
        <v>37803</v>
      </c>
      <c r="H555">
        <v>5.149</v>
      </c>
      <c r="J555" s="2">
        <v>37810</v>
      </c>
      <c r="K555" s="3">
        <f t="shared" si="16"/>
        <v>5</v>
      </c>
      <c r="L555" s="3">
        <f t="shared" si="17"/>
        <v>5.1219999999999999</v>
      </c>
    </row>
    <row r="556" spans="1:12" x14ac:dyDescent="0.3">
      <c r="A556" s="2">
        <v>37073</v>
      </c>
      <c r="B556" t="s">
        <v>13</v>
      </c>
      <c r="D556" s="2">
        <v>37804</v>
      </c>
      <c r="E556">
        <v>5</v>
      </c>
      <c r="G556" s="2">
        <v>37804</v>
      </c>
      <c r="H556">
        <v>5.12</v>
      </c>
      <c r="J556" s="2">
        <v>37811</v>
      </c>
      <c r="K556" s="3">
        <f t="shared" si="16"/>
        <v>5</v>
      </c>
      <c r="L556" s="3">
        <f t="shared" si="17"/>
        <v>5.09</v>
      </c>
    </row>
    <row r="557" spans="1:12" x14ac:dyDescent="0.3">
      <c r="A557" s="2">
        <v>37074</v>
      </c>
      <c r="B557" t="s">
        <v>13</v>
      </c>
      <c r="D557" s="2">
        <v>37805</v>
      </c>
      <c r="E557">
        <v>5</v>
      </c>
      <c r="G557" s="2">
        <v>37805</v>
      </c>
      <c r="H557">
        <v>5.1360000000000001</v>
      </c>
      <c r="J557" s="2">
        <v>37812</v>
      </c>
      <c r="K557" s="3">
        <f t="shared" si="16"/>
        <v>5</v>
      </c>
      <c r="L557" s="3">
        <f t="shared" si="17"/>
        <v>5.09</v>
      </c>
    </row>
    <row r="558" spans="1:12" x14ac:dyDescent="0.3">
      <c r="A558" s="2">
        <v>37075</v>
      </c>
      <c r="B558" t="s">
        <v>13</v>
      </c>
      <c r="D558" s="2">
        <v>37806</v>
      </c>
      <c r="E558">
        <v>5</v>
      </c>
      <c r="G558" s="2">
        <v>37806</v>
      </c>
      <c r="H558">
        <v>5.1360000000000001</v>
      </c>
      <c r="J558" s="2">
        <v>37813</v>
      </c>
      <c r="K558" s="3">
        <f t="shared" si="16"/>
        <v>5</v>
      </c>
      <c r="L558" s="3">
        <f t="shared" si="17"/>
        <v>5.09</v>
      </c>
    </row>
    <row r="559" spans="1:12" x14ac:dyDescent="0.3">
      <c r="A559" s="2">
        <v>37076</v>
      </c>
      <c r="B559" t="s">
        <v>13</v>
      </c>
      <c r="D559" s="2">
        <v>37807</v>
      </c>
      <c r="E559">
        <v>5</v>
      </c>
      <c r="G559" s="2">
        <v>37807</v>
      </c>
      <c r="H559">
        <v>5.1669999999999998</v>
      </c>
      <c r="J559" s="2">
        <v>37814</v>
      </c>
      <c r="K559" s="3">
        <f t="shared" si="16"/>
        <v>5</v>
      </c>
      <c r="L559" s="3">
        <f t="shared" si="17"/>
        <v>5.0640000000000001</v>
      </c>
    </row>
    <row r="560" spans="1:12" x14ac:dyDescent="0.3">
      <c r="A560" s="2">
        <v>37077</v>
      </c>
      <c r="B560" t="s">
        <v>13</v>
      </c>
      <c r="D560" s="2">
        <v>37808</v>
      </c>
      <c r="E560">
        <v>5</v>
      </c>
      <c r="G560" s="2">
        <v>37808</v>
      </c>
      <c r="H560">
        <v>5.1669999999999998</v>
      </c>
      <c r="J560" s="2">
        <v>37815</v>
      </c>
      <c r="K560" s="3">
        <f t="shared" si="16"/>
        <v>5</v>
      </c>
      <c r="L560" s="3">
        <f t="shared" si="17"/>
        <v>5.0640000000000001</v>
      </c>
    </row>
    <row r="561" spans="1:12" x14ac:dyDescent="0.3">
      <c r="A561" s="2">
        <v>37078</v>
      </c>
      <c r="B561" t="s">
        <v>13</v>
      </c>
      <c r="D561" s="2">
        <v>37809</v>
      </c>
      <c r="E561">
        <v>5</v>
      </c>
      <c r="G561" s="2">
        <v>37809</v>
      </c>
      <c r="H561">
        <v>5.1669999999999998</v>
      </c>
      <c r="J561" s="2">
        <v>37816</v>
      </c>
      <c r="K561" s="3">
        <f t="shared" si="16"/>
        <v>5</v>
      </c>
      <c r="L561" s="3">
        <f t="shared" si="17"/>
        <v>5.0679999999999996</v>
      </c>
    </row>
    <row r="562" spans="1:12" x14ac:dyDescent="0.3">
      <c r="A562" s="2">
        <v>37079</v>
      </c>
      <c r="B562" t="s">
        <v>13</v>
      </c>
      <c r="D562" s="2">
        <v>37810</v>
      </c>
      <c r="E562">
        <v>5</v>
      </c>
      <c r="G562" s="2">
        <v>37810</v>
      </c>
      <c r="H562">
        <v>5.1219999999999999</v>
      </c>
      <c r="J562" s="2">
        <v>37817</v>
      </c>
      <c r="K562" s="3">
        <f t="shared" si="16"/>
        <v>5</v>
      </c>
      <c r="L562" s="3">
        <f t="shared" si="17"/>
        <v>5.0220000000000002</v>
      </c>
    </row>
    <row r="563" spans="1:12" x14ac:dyDescent="0.3">
      <c r="A563" s="2">
        <v>37080</v>
      </c>
      <c r="B563" t="s">
        <v>13</v>
      </c>
      <c r="D563" s="2">
        <v>37811</v>
      </c>
      <c r="E563">
        <v>5</v>
      </c>
      <c r="G563" s="2">
        <v>37811</v>
      </c>
      <c r="H563">
        <v>5.09</v>
      </c>
      <c r="J563" s="2">
        <v>37818</v>
      </c>
      <c r="K563" s="3">
        <f t="shared" si="16"/>
        <v>5</v>
      </c>
      <c r="L563" s="3">
        <f t="shared" si="17"/>
        <v>5.0529999999999999</v>
      </c>
    </row>
    <row r="564" spans="1:12" x14ac:dyDescent="0.3">
      <c r="A564" s="2">
        <v>37081</v>
      </c>
      <c r="B564" t="s">
        <v>13</v>
      </c>
      <c r="D564" s="2">
        <v>37812</v>
      </c>
      <c r="E564">
        <v>5</v>
      </c>
      <c r="G564" s="2">
        <v>37812</v>
      </c>
      <c r="H564">
        <v>5.09</v>
      </c>
      <c r="J564" s="2">
        <v>37819</v>
      </c>
      <c r="K564" s="3">
        <f t="shared" si="16"/>
        <v>5</v>
      </c>
      <c r="L564" s="3">
        <f t="shared" si="17"/>
        <v>5.0449999999999999</v>
      </c>
    </row>
    <row r="565" spans="1:12" x14ac:dyDescent="0.3">
      <c r="A565" s="2">
        <v>37082</v>
      </c>
      <c r="B565" t="s">
        <v>13</v>
      </c>
      <c r="D565" s="2">
        <v>37813</v>
      </c>
      <c r="E565">
        <v>5</v>
      </c>
      <c r="G565" s="2">
        <v>37813</v>
      </c>
      <c r="H565">
        <v>5.09</v>
      </c>
      <c r="J565" s="2">
        <v>37820</v>
      </c>
      <c r="K565" s="3">
        <f t="shared" si="16"/>
        <v>5</v>
      </c>
      <c r="L565" s="3">
        <f t="shared" si="17"/>
        <v>4.9870000000000001</v>
      </c>
    </row>
    <row r="566" spans="1:12" x14ac:dyDescent="0.3">
      <c r="A566" s="2">
        <v>37083</v>
      </c>
      <c r="B566" t="s">
        <v>13</v>
      </c>
      <c r="D566" s="2">
        <v>37814</v>
      </c>
      <c r="E566">
        <v>5</v>
      </c>
      <c r="G566" s="2">
        <v>37814</v>
      </c>
      <c r="H566">
        <v>5.0640000000000001</v>
      </c>
      <c r="J566" s="2">
        <v>37821</v>
      </c>
      <c r="K566" s="3">
        <f t="shared" si="16"/>
        <v>5</v>
      </c>
      <c r="L566" s="3">
        <f t="shared" si="17"/>
        <v>4.9539999999999997</v>
      </c>
    </row>
    <row r="567" spans="1:12" x14ac:dyDescent="0.3">
      <c r="A567" s="2">
        <v>37084</v>
      </c>
      <c r="B567" t="s">
        <v>13</v>
      </c>
      <c r="D567" s="2">
        <v>37815</v>
      </c>
      <c r="E567">
        <v>5</v>
      </c>
      <c r="G567" s="2">
        <v>37815</v>
      </c>
      <c r="H567">
        <v>5.0640000000000001</v>
      </c>
      <c r="J567" s="2">
        <v>37822</v>
      </c>
      <c r="K567" s="3">
        <f t="shared" si="16"/>
        <v>5</v>
      </c>
      <c r="L567" s="3">
        <f t="shared" si="17"/>
        <v>4.9539999999999997</v>
      </c>
    </row>
    <row r="568" spans="1:12" x14ac:dyDescent="0.3">
      <c r="A568" s="2">
        <v>37085</v>
      </c>
      <c r="B568" t="s">
        <v>13</v>
      </c>
      <c r="D568" s="2">
        <v>37816</v>
      </c>
      <c r="E568">
        <v>5</v>
      </c>
      <c r="G568" s="2">
        <v>37816</v>
      </c>
      <c r="H568">
        <v>5.0679999999999996</v>
      </c>
      <c r="J568" s="2">
        <v>37823</v>
      </c>
      <c r="K568" s="3">
        <f t="shared" si="16"/>
        <v>5</v>
      </c>
      <c r="L568" s="3">
        <f t="shared" si="17"/>
        <v>4.8869999999999996</v>
      </c>
    </row>
    <row r="569" spans="1:12" x14ac:dyDescent="0.3">
      <c r="A569" s="2">
        <v>37086</v>
      </c>
      <c r="B569" t="s">
        <v>13</v>
      </c>
      <c r="D569" s="2">
        <v>37817</v>
      </c>
      <c r="E569">
        <v>5</v>
      </c>
      <c r="G569" s="2">
        <v>37817</v>
      </c>
      <c r="H569">
        <v>5.0220000000000002</v>
      </c>
      <c r="J569" s="2">
        <v>37824</v>
      </c>
      <c r="K569" s="3">
        <f t="shared" si="16"/>
        <v>5</v>
      </c>
      <c r="L569" s="3">
        <f t="shared" si="17"/>
        <v>4.9029999999999996</v>
      </c>
    </row>
    <row r="570" spans="1:12" x14ac:dyDescent="0.3">
      <c r="A570" s="2">
        <v>37087</v>
      </c>
      <c r="B570" t="s">
        <v>13</v>
      </c>
      <c r="D570" s="2">
        <v>37818</v>
      </c>
      <c r="E570">
        <v>5</v>
      </c>
      <c r="G570" s="2">
        <v>37818</v>
      </c>
      <c r="H570">
        <v>5.0529999999999999</v>
      </c>
      <c r="J570" s="2">
        <v>37825</v>
      </c>
      <c r="K570" s="3">
        <f t="shared" si="16"/>
        <v>5</v>
      </c>
      <c r="L570" s="3">
        <f t="shared" si="17"/>
        <v>4.9089999999999998</v>
      </c>
    </row>
    <row r="571" spans="1:12" x14ac:dyDescent="0.3">
      <c r="A571" s="2">
        <v>37088</v>
      </c>
      <c r="B571" t="s">
        <v>13</v>
      </c>
      <c r="D571" s="2">
        <v>37819</v>
      </c>
      <c r="E571">
        <v>5</v>
      </c>
      <c r="G571" s="2">
        <v>37819</v>
      </c>
      <c r="H571">
        <v>5.0449999999999999</v>
      </c>
      <c r="J571" s="2">
        <v>37826</v>
      </c>
      <c r="K571" s="3">
        <f t="shared" si="16"/>
        <v>5</v>
      </c>
      <c r="L571" s="3">
        <f t="shared" si="17"/>
        <v>4.8310000000000004</v>
      </c>
    </row>
    <row r="572" spans="1:12" x14ac:dyDescent="0.3">
      <c r="A572" s="2">
        <v>37089</v>
      </c>
      <c r="B572" t="s">
        <v>13</v>
      </c>
      <c r="D572" s="2">
        <v>37820</v>
      </c>
      <c r="E572">
        <v>5</v>
      </c>
      <c r="G572" s="2">
        <v>37820</v>
      </c>
      <c r="H572">
        <v>4.9870000000000001</v>
      </c>
      <c r="J572" s="2">
        <v>37827</v>
      </c>
      <c r="K572" s="3">
        <f t="shared" si="16"/>
        <v>5</v>
      </c>
      <c r="L572" s="3">
        <f t="shared" si="17"/>
        <v>4.867</v>
      </c>
    </row>
    <row r="573" spans="1:12" x14ac:dyDescent="0.3">
      <c r="A573" s="2">
        <v>37090</v>
      </c>
      <c r="B573" t="s">
        <v>13</v>
      </c>
      <c r="D573" s="2">
        <v>37821</v>
      </c>
      <c r="E573">
        <v>5</v>
      </c>
      <c r="G573" s="2">
        <v>37821</v>
      </c>
      <c r="H573">
        <v>4.9539999999999997</v>
      </c>
      <c r="J573" s="2">
        <v>37828</v>
      </c>
      <c r="K573" s="3">
        <f t="shared" si="16"/>
        <v>5</v>
      </c>
      <c r="L573" s="3">
        <f t="shared" si="17"/>
        <v>4.867</v>
      </c>
    </row>
    <row r="574" spans="1:12" x14ac:dyDescent="0.3">
      <c r="A574" s="2">
        <v>37091</v>
      </c>
      <c r="B574" t="s">
        <v>13</v>
      </c>
      <c r="D574" s="2">
        <v>37822</v>
      </c>
      <c r="E574">
        <v>5</v>
      </c>
      <c r="G574" s="2">
        <v>37822</v>
      </c>
      <c r="H574">
        <v>4.9539999999999997</v>
      </c>
      <c r="J574" s="2">
        <v>37829</v>
      </c>
      <c r="K574" s="3">
        <f t="shared" si="16"/>
        <v>5</v>
      </c>
      <c r="L574" s="3">
        <f t="shared" si="17"/>
        <v>4.867</v>
      </c>
    </row>
    <row r="575" spans="1:12" x14ac:dyDescent="0.3">
      <c r="A575" s="2">
        <v>37092</v>
      </c>
      <c r="B575" t="s">
        <v>13</v>
      </c>
      <c r="D575" s="2">
        <v>37823</v>
      </c>
      <c r="E575">
        <v>5</v>
      </c>
      <c r="G575" s="2">
        <v>37823</v>
      </c>
      <c r="H575">
        <v>4.8869999999999996</v>
      </c>
      <c r="J575" s="2">
        <v>37830</v>
      </c>
      <c r="K575" s="3">
        <f t="shared" si="16"/>
        <v>5</v>
      </c>
      <c r="L575" s="3">
        <f t="shared" si="17"/>
        <v>4.8730000000000002</v>
      </c>
    </row>
    <row r="576" spans="1:12" x14ac:dyDescent="0.3">
      <c r="A576" s="2">
        <v>37093</v>
      </c>
      <c r="B576" t="s">
        <v>13</v>
      </c>
      <c r="D576" s="2">
        <v>37824</v>
      </c>
      <c r="E576">
        <v>5</v>
      </c>
      <c r="G576" s="2">
        <v>37824</v>
      </c>
      <c r="H576">
        <v>4.9029999999999996</v>
      </c>
      <c r="J576" s="2">
        <v>37831</v>
      </c>
      <c r="K576" s="3">
        <f t="shared" si="16"/>
        <v>5</v>
      </c>
      <c r="L576" s="3">
        <f t="shared" si="17"/>
        <v>4.8680000000000003</v>
      </c>
    </row>
    <row r="577" spans="1:12" x14ac:dyDescent="0.3">
      <c r="A577" s="2">
        <v>37094</v>
      </c>
      <c r="B577" t="s">
        <v>13</v>
      </c>
      <c r="D577" s="2">
        <v>37825</v>
      </c>
      <c r="E577">
        <v>5</v>
      </c>
      <c r="G577" s="2">
        <v>37825</v>
      </c>
      <c r="H577">
        <v>4.9089999999999998</v>
      </c>
      <c r="J577" s="2">
        <v>37832</v>
      </c>
      <c r="K577" s="3">
        <f t="shared" si="16"/>
        <v>5</v>
      </c>
      <c r="L577" s="3">
        <f t="shared" si="17"/>
        <v>4.8369999999999997</v>
      </c>
    </row>
    <row r="578" spans="1:12" x14ac:dyDescent="0.3">
      <c r="A578" s="2">
        <v>37095</v>
      </c>
      <c r="B578" t="s">
        <v>13</v>
      </c>
      <c r="D578" s="2">
        <v>37826</v>
      </c>
      <c r="E578">
        <v>5</v>
      </c>
      <c r="G578" s="2">
        <v>37826</v>
      </c>
      <c r="H578">
        <v>4.8310000000000004</v>
      </c>
      <c r="J578" s="2">
        <v>37833</v>
      </c>
      <c r="K578" s="3">
        <f t="shared" si="16"/>
        <v>5</v>
      </c>
      <c r="L578" s="3">
        <f t="shared" si="17"/>
        <v>4.87</v>
      </c>
    </row>
    <row r="579" spans="1:12" x14ac:dyDescent="0.3">
      <c r="A579" s="2">
        <v>37096</v>
      </c>
      <c r="B579" t="s">
        <v>13</v>
      </c>
      <c r="D579" s="2">
        <v>37827</v>
      </c>
      <c r="E579">
        <v>5</v>
      </c>
      <c r="G579" s="2">
        <v>37827</v>
      </c>
      <c r="H579">
        <v>4.867</v>
      </c>
      <c r="J579" s="2">
        <v>37834</v>
      </c>
      <c r="K579" s="3">
        <f t="shared" ref="K579:K642" si="18">E586</f>
        <v>5</v>
      </c>
      <c r="L579" s="3">
        <f t="shared" ref="L579:L642" si="19">H586</f>
        <v>4.8449999999999998</v>
      </c>
    </row>
    <row r="580" spans="1:12" x14ac:dyDescent="0.3">
      <c r="A580" s="2">
        <v>37097</v>
      </c>
      <c r="B580" t="s">
        <v>13</v>
      </c>
      <c r="D580" s="2">
        <v>37828</v>
      </c>
      <c r="E580">
        <v>5</v>
      </c>
      <c r="G580" s="2">
        <v>37828</v>
      </c>
      <c r="H580">
        <v>4.867</v>
      </c>
      <c r="J580" s="2">
        <v>37835</v>
      </c>
      <c r="K580" s="3">
        <f t="shared" si="18"/>
        <v>5</v>
      </c>
      <c r="L580" s="3">
        <f t="shared" si="19"/>
        <v>4.8</v>
      </c>
    </row>
    <row r="581" spans="1:12" x14ac:dyDescent="0.3">
      <c r="A581" s="2">
        <v>37098</v>
      </c>
      <c r="B581" t="s">
        <v>13</v>
      </c>
      <c r="D581" s="2">
        <v>37829</v>
      </c>
      <c r="E581">
        <v>5</v>
      </c>
      <c r="G581" s="2">
        <v>37829</v>
      </c>
      <c r="H581">
        <v>4.867</v>
      </c>
      <c r="J581" s="2">
        <v>37836</v>
      </c>
      <c r="K581" s="3">
        <f t="shared" si="18"/>
        <v>5</v>
      </c>
      <c r="L581" s="3">
        <f t="shared" si="19"/>
        <v>4.8</v>
      </c>
    </row>
    <row r="582" spans="1:12" x14ac:dyDescent="0.3">
      <c r="A582" s="2">
        <v>37099</v>
      </c>
      <c r="B582" t="s">
        <v>13</v>
      </c>
      <c r="D582" s="2">
        <v>37830</v>
      </c>
      <c r="E582">
        <v>5</v>
      </c>
      <c r="G582" s="2">
        <v>37830</v>
      </c>
      <c r="H582">
        <v>4.8730000000000002</v>
      </c>
      <c r="J582" s="2">
        <v>37837</v>
      </c>
      <c r="K582" s="3">
        <f t="shared" si="18"/>
        <v>5</v>
      </c>
      <c r="L582" s="3">
        <f t="shared" si="19"/>
        <v>4.7489999999999997</v>
      </c>
    </row>
    <row r="583" spans="1:12" x14ac:dyDescent="0.3">
      <c r="A583" s="2">
        <v>37100</v>
      </c>
      <c r="B583" t="s">
        <v>13</v>
      </c>
      <c r="D583" s="2">
        <v>37831</v>
      </c>
      <c r="E583">
        <v>5</v>
      </c>
      <c r="G583" s="2">
        <v>37831</v>
      </c>
      <c r="H583">
        <v>4.8680000000000003</v>
      </c>
      <c r="J583" s="2">
        <v>37838</v>
      </c>
      <c r="K583" s="3">
        <f t="shared" si="18"/>
        <v>5</v>
      </c>
      <c r="L583" s="3">
        <f t="shared" si="19"/>
        <v>4.8150000000000004</v>
      </c>
    </row>
    <row r="584" spans="1:12" x14ac:dyDescent="0.3">
      <c r="A584" s="2">
        <v>37101</v>
      </c>
      <c r="B584" t="s">
        <v>13</v>
      </c>
      <c r="D584" s="2">
        <v>37832</v>
      </c>
      <c r="E584">
        <v>5</v>
      </c>
      <c r="G584" s="2">
        <v>37832</v>
      </c>
      <c r="H584">
        <v>4.8369999999999997</v>
      </c>
      <c r="J584" s="2">
        <v>37839</v>
      </c>
      <c r="K584" s="3">
        <f t="shared" si="18"/>
        <v>5</v>
      </c>
      <c r="L584" s="3">
        <f t="shared" si="19"/>
        <v>4.8570000000000002</v>
      </c>
    </row>
    <row r="585" spans="1:12" x14ac:dyDescent="0.3">
      <c r="A585" s="2">
        <v>37102</v>
      </c>
      <c r="B585" t="s">
        <v>13</v>
      </c>
      <c r="D585" s="2">
        <v>37833</v>
      </c>
      <c r="E585">
        <v>5</v>
      </c>
      <c r="G585" s="2">
        <v>37833</v>
      </c>
      <c r="H585">
        <v>4.87</v>
      </c>
      <c r="J585" s="2">
        <v>37840</v>
      </c>
      <c r="K585" s="3">
        <f t="shared" si="18"/>
        <v>5</v>
      </c>
      <c r="L585" s="3">
        <f t="shared" si="19"/>
        <v>4.8049999999999997</v>
      </c>
    </row>
    <row r="586" spans="1:12" x14ac:dyDescent="0.3">
      <c r="A586" s="2">
        <v>37103</v>
      </c>
      <c r="B586" t="s">
        <v>13</v>
      </c>
      <c r="D586" s="2">
        <v>37834</v>
      </c>
      <c r="E586">
        <v>5</v>
      </c>
      <c r="G586" s="2">
        <v>37834</v>
      </c>
      <c r="H586">
        <v>4.8449999999999998</v>
      </c>
      <c r="J586" s="2">
        <v>37841</v>
      </c>
      <c r="K586" s="3">
        <f t="shared" si="18"/>
        <v>5</v>
      </c>
      <c r="L586" s="3">
        <f t="shared" si="19"/>
        <v>4.7779999999999996</v>
      </c>
    </row>
    <row r="587" spans="1:12" x14ac:dyDescent="0.3">
      <c r="A587" s="2">
        <v>37104</v>
      </c>
      <c r="B587" t="s">
        <v>13</v>
      </c>
      <c r="D587" s="2">
        <v>37835</v>
      </c>
      <c r="E587">
        <v>5</v>
      </c>
      <c r="G587" s="2">
        <v>37835</v>
      </c>
      <c r="H587">
        <v>4.8</v>
      </c>
      <c r="J587" s="2">
        <v>37842</v>
      </c>
      <c r="K587" s="3">
        <f t="shared" si="18"/>
        <v>5</v>
      </c>
      <c r="L587" s="3">
        <f t="shared" si="19"/>
        <v>4.7030000000000003</v>
      </c>
    </row>
    <row r="588" spans="1:12" x14ac:dyDescent="0.3">
      <c r="A588" s="2">
        <v>37105</v>
      </c>
      <c r="B588" t="s">
        <v>13</v>
      </c>
      <c r="D588" s="2">
        <v>37836</v>
      </c>
      <c r="E588">
        <v>5</v>
      </c>
      <c r="G588" s="2">
        <v>37836</v>
      </c>
      <c r="H588">
        <v>4.8</v>
      </c>
      <c r="J588" s="2">
        <v>37843</v>
      </c>
      <c r="K588" s="3">
        <f t="shared" si="18"/>
        <v>5</v>
      </c>
      <c r="L588" s="3">
        <f t="shared" si="19"/>
        <v>4.7030000000000003</v>
      </c>
    </row>
    <row r="589" spans="1:12" x14ac:dyDescent="0.3">
      <c r="A589" s="2">
        <v>37106</v>
      </c>
      <c r="B589" t="s">
        <v>13</v>
      </c>
      <c r="D589" s="2">
        <v>37837</v>
      </c>
      <c r="E589">
        <v>5</v>
      </c>
      <c r="G589" s="2">
        <v>37837</v>
      </c>
      <c r="H589">
        <v>4.7489999999999997</v>
      </c>
      <c r="J589" s="2">
        <v>37844</v>
      </c>
      <c r="K589" s="3">
        <f t="shared" si="18"/>
        <v>5</v>
      </c>
      <c r="L589" s="3">
        <f t="shared" si="19"/>
        <v>4.734</v>
      </c>
    </row>
    <row r="590" spans="1:12" x14ac:dyDescent="0.3">
      <c r="A590" s="2">
        <v>37107</v>
      </c>
      <c r="B590" t="s">
        <v>13</v>
      </c>
      <c r="D590" s="2">
        <v>37838</v>
      </c>
      <c r="E590">
        <v>5</v>
      </c>
      <c r="G590" s="2">
        <v>37838</v>
      </c>
      <c r="H590">
        <v>4.8150000000000004</v>
      </c>
      <c r="J590" s="2">
        <v>37845</v>
      </c>
      <c r="K590" s="3">
        <f t="shared" si="18"/>
        <v>5</v>
      </c>
      <c r="L590" s="3">
        <f t="shared" si="19"/>
        <v>4.7670000000000003</v>
      </c>
    </row>
    <row r="591" spans="1:12" x14ac:dyDescent="0.3">
      <c r="A591" s="2">
        <v>37108</v>
      </c>
      <c r="B591" t="s">
        <v>13</v>
      </c>
      <c r="D591" s="2">
        <v>37839</v>
      </c>
      <c r="E591">
        <v>5</v>
      </c>
      <c r="G591" s="2">
        <v>37839</v>
      </c>
      <c r="H591">
        <v>4.8570000000000002</v>
      </c>
      <c r="J591" s="2">
        <v>37846</v>
      </c>
      <c r="K591" s="3">
        <f t="shared" si="18"/>
        <v>5</v>
      </c>
      <c r="L591" s="3">
        <f t="shared" si="19"/>
        <v>4.7939999999999996</v>
      </c>
    </row>
    <row r="592" spans="1:12" x14ac:dyDescent="0.3">
      <c r="A592" s="2">
        <v>37109</v>
      </c>
      <c r="B592" t="s">
        <v>13</v>
      </c>
      <c r="D592" s="2">
        <v>37840</v>
      </c>
      <c r="E592">
        <v>5</v>
      </c>
      <c r="G592" s="2">
        <v>37840</v>
      </c>
      <c r="H592">
        <v>4.8049999999999997</v>
      </c>
      <c r="J592" s="2">
        <v>37847</v>
      </c>
      <c r="K592" s="3">
        <f t="shared" si="18"/>
        <v>5</v>
      </c>
      <c r="L592" s="3">
        <f t="shared" si="19"/>
        <v>4.8600000000000003</v>
      </c>
    </row>
    <row r="593" spans="1:12" x14ac:dyDescent="0.3">
      <c r="A593" s="2">
        <v>37110</v>
      </c>
      <c r="B593" t="s">
        <v>13</v>
      </c>
      <c r="D593" s="2">
        <v>37841</v>
      </c>
      <c r="E593">
        <v>5</v>
      </c>
      <c r="G593" s="2">
        <v>37841</v>
      </c>
      <c r="H593">
        <v>4.7779999999999996</v>
      </c>
      <c r="J593" s="2">
        <v>37848</v>
      </c>
      <c r="K593" s="3">
        <f t="shared" si="18"/>
        <v>5</v>
      </c>
      <c r="L593" s="3">
        <f t="shared" si="19"/>
        <v>4.8600000000000003</v>
      </c>
    </row>
    <row r="594" spans="1:12" x14ac:dyDescent="0.3">
      <c r="A594" s="2">
        <v>37111</v>
      </c>
      <c r="B594" t="s">
        <v>13</v>
      </c>
      <c r="D594" s="2">
        <v>37842</v>
      </c>
      <c r="E594">
        <v>5</v>
      </c>
      <c r="G594" s="2">
        <v>37842</v>
      </c>
      <c r="H594">
        <v>4.7030000000000003</v>
      </c>
      <c r="J594" s="2">
        <v>37849</v>
      </c>
      <c r="K594" s="3">
        <f t="shared" si="18"/>
        <v>5</v>
      </c>
      <c r="L594" s="3">
        <f t="shared" si="19"/>
        <v>4.931</v>
      </c>
    </row>
    <row r="595" spans="1:12" x14ac:dyDescent="0.3">
      <c r="A595" s="2">
        <v>37112</v>
      </c>
      <c r="B595" t="s">
        <v>13</v>
      </c>
      <c r="D595" s="2">
        <v>37843</v>
      </c>
      <c r="E595">
        <v>5</v>
      </c>
      <c r="G595" s="2">
        <v>37843</v>
      </c>
      <c r="H595">
        <v>4.7030000000000003</v>
      </c>
      <c r="J595" s="2">
        <v>37850</v>
      </c>
      <c r="K595" s="3">
        <f t="shared" si="18"/>
        <v>5</v>
      </c>
      <c r="L595" s="3">
        <f t="shared" si="19"/>
        <v>4.931</v>
      </c>
    </row>
    <row r="596" spans="1:12" x14ac:dyDescent="0.3">
      <c r="A596" s="2">
        <v>37113</v>
      </c>
      <c r="B596" t="s">
        <v>13</v>
      </c>
      <c r="D596" s="2">
        <v>37844</v>
      </c>
      <c r="E596">
        <v>5</v>
      </c>
      <c r="G596" s="2">
        <v>37844</v>
      </c>
      <c r="H596">
        <v>4.734</v>
      </c>
      <c r="J596" s="2">
        <v>37851</v>
      </c>
      <c r="K596" s="3">
        <f t="shared" si="18"/>
        <v>5</v>
      </c>
      <c r="L596" s="3">
        <f t="shared" si="19"/>
        <v>4.9630000000000001</v>
      </c>
    </row>
    <row r="597" spans="1:12" x14ac:dyDescent="0.3">
      <c r="A597" s="2">
        <v>37114</v>
      </c>
      <c r="B597" t="s">
        <v>13</v>
      </c>
      <c r="D597" s="2">
        <v>37845</v>
      </c>
      <c r="E597">
        <v>5</v>
      </c>
      <c r="G597" s="2">
        <v>37845</v>
      </c>
      <c r="H597">
        <v>4.7670000000000003</v>
      </c>
      <c r="J597" s="2">
        <v>37852</v>
      </c>
      <c r="K597" s="3">
        <f t="shared" si="18"/>
        <v>5</v>
      </c>
      <c r="L597" s="3">
        <f t="shared" si="19"/>
        <v>4.9690000000000003</v>
      </c>
    </row>
    <row r="598" spans="1:12" x14ac:dyDescent="0.3">
      <c r="A598" s="2">
        <v>37115</v>
      </c>
      <c r="B598" t="s">
        <v>13</v>
      </c>
      <c r="D598" s="2">
        <v>37846</v>
      </c>
      <c r="E598">
        <v>5</v>
      </c>
      <c r="G598" s="2">
        <v>37846</v>
      </c>
      <c r="H598">
        <v>4.7939999999999996</v>
      </c>
      <c r="J598" s="2">
        <v>37853</v>
      </c>
      <c r="K598" s="3">
        <f t="shared" si="18"/>
        <v>5</v>
      </c>
      <c r="L598" s="3">
        <f t="shared" si="19"/>
        <v>5.008</v>
      </c>
    </row>
    <row r="599" spans="1:12" x14ac:dyDescent="0.3">
      <c r="A599" s="2">
        <v>37116</v>
      </c>
      <c r="B599" t="s">
        <v>13</v>
      </c>
      <c r="D599" s="2">
        <v>37847</v>
      </c>
      <c r="E599">
        <v>5</v>
      </c>
      <c r="G599" s="2">
        <v>37847</v>
      </c>
      <c r="H599">
        <v>4.8600000000000003</v>
      </c>
      <c r="J599" s="2">
        <v>37854</v>
      </c>
      <c r="K599" s="3">
        <f t="shared" si="18"/>
        <v>5</v>
      </c>
      <c r="L599" s="3">
        <f t="shared" si="19"/>
        <v>5.0090000000000003</v>
      </c>
    </row>
    <row r="600" spans="1:12" x14ac:dyDescent="0.3">
      <c r="A600" s="2">
        <v>37117</v>
      </c>
      <c r="B600" t="s">
        <v>13</v>
      </c>
      <c r="D600" s="2">
        <v>37848</v>
      </c>
      <c r="E600">
        <v>5</v>
      </c>
      <c r="G600" s="2">
        <v>37848</v>
      </c>
      <c r="H600">
        <v>4.8600000000000003</v>
      </c>
      <c r="J600" s="2">
        <v>37855</v>
      </c>
      <c r="K600" s="3">
        <f t="shared" si="18"/>
        <v>5</v>
      </c>
      <c r="L600" s="3">
        <f t="shared" si="19"/>
        <v>5.0010000000000003</v>
      </c>
    </row>
    <row r="601" spans="1:12" x14ac:dyDescent="0.3">
      <c r="A601" s="2">
        <v>37118</v>
      </c>
      <c r="B601" t="s">
        <v>13</v>
      </c>
      <c r="D601" s="2">
        <v>37849</v>
      </c>
      <c r="E601">
        <v>5</v>
      </c>
      <c r="G601" s="2">
        <v>37849</v>
      </c>
      <c r="H601">
        <v>4.931</v>
      </c>
      <c r="J601" s="2">
        <v>37856</v>
      </c>
      <c r="K601" s="3">
        <f t="shared" si="18"/>
        <v>5</v>
      </c>
      <c r="L601" s="3">
        <f t="shared" si="19"/>
        <v>5.0140000000000002</v>
      </c>
    </row>
    <row r="602" spans="1:12" x14ac:dyDescent="0.3">
      <c r="A602" s="2">
        <v>37119</v>
      </c>
      <c r="B602" t="s">
        <v>13</v>
      </c>
      <c r="D602" s="2">
        <v>37850</v>
      </c>
      <c r="E602">
        <v>5</v>
      </c>
      <c r="G602" s="2">
        <v>37850</v>
      </c>
      <c r="H602">
        <v>4.931</v>
      </c>
      <c r="J602" s="2">
        <v>37857</v>
      </c>
      <c r="K602" s="3">
        <f t="shared" si="18"/>
        <v>5</v>
      </c>
      <c r="L602" s="3">
        <f t="shared" si="19"/>
        <v>5.0140000000000002</v>
      </c>
    </row>
    <row r="603" spans="1:12" x14ac:dyDescent="0.3">
      <c r="A603" s="2">
        <v>37120</v>
      </c>
      <c r="B603" t="s">
        <v>13</v>
      </c>
      <c r="D603" s="2">
        <v>37851</v>
      </c>
      <c r="E603">
        <v>5</v>
      </c>
      <c r="G603" s="2">
        <v>37851</v>
      </c>
      <c r="H603">
        <v>4.9630000000000001</v>
      </c>
      <c r="J603" s="2">
        <v>37858</v>
      </c>
      <c r="K603" s="3">
        <f t="shared" si="18"/>
        <v>4.5</v>
      </c>
      <c r="L603" s="3">
        <f t="shared" si="19"/>
        <v>4.7270000000000003</v>
      </c>
    </row>
    <row r="604" spans="1:12" x14ac:dyDescent="0.3">
      <c r="A604" s="2">
        <v>37121</v>
      </c>
      <c r="B604" t="s">
        <v>13</v>
      </c>
      <c r="D604" s="2">
        <v>37852</v>
      </c>
      <c r="E604">
        <v>5</v>
      </c>
      <c r="G604" s="2">
        <v>37852</v>
      </c>
      <c r="H604">
        <v>4.9690000000000003</v>
      </c>
      <c r="J604" s="2">
        <v>37859</v>
      </c>
      <c r="K604" s="3">
        <f t="shared" si="18"/>
        <v>4.5</v>
      </c>
      <c r="L604" s="3">
        <f t="shared" si="19"/>
        <v>4.6660000000000004</v>
      </c>
    </row>
    <row r="605" spans="1:12" x14ac:dyDescent="0.3">
      <c r="A605" s="2">
        <v>37122</v>
      </c>
      <c r="B605" t="s">
        <v>13</v>
      </c>
      <c r="D605" s="2">
        <v>37853</v>
      </c>
      <c r="E605">
        <v>5</v>
      </c>
      <c r="G605" s="2">
        <v>37853</v>
      </c>
      <c r="H605">
        <v>5.008</v>
      </c>
      <c r="J605" s="2">
        <v>37860</v>
      </c>
      <c r="K605" s="3">
        <f t="shared" si="18"/>
        <v>4.5</v>
      </c>
      <c r="L605" s="3">
        <f t="shared" si="19"/>
        <v>4.7060000000000004</v>
      </c>
    </row>
    <row r="606" spans="1:12" x14ac:dyDescent="0.3">
      <c r="A606" s="2">
        <v>37123</v>
      </c>
      <c r="B606" t="s">
        <v>13</v>
      </c>
      <c r="D606" s="2">
        <v>37854</v>
      </c>
      <c r="E606">
        <v>5</v>
      </c>
      <c r="G606" s="2">
        <v>37854</v>
      </c>
      <c r="H606">
        <v>5.0090000000000003</v>
      </c>
      <c r="J606" s="2">
        <v>37861</v>
      </c>
      <c r="K606" s="3">
        <f t="shared" si="18"/>
        <v>4.5</v>
      </c>
      <c r="L606" s="3">
        <f t="shared" si="19"/>
        <v>4.7220000000000004</v>
      </c>
    </row>
    <row r="607" spans="1:12" x14ac:dyDescent="0.3">
      <c r="A607" s="2">
        <v>37124</v>
      </c>
      <c r="B607" t="s">
        <v>13</v>
      </c>
      <c r="D607" s="2">
        <v>37855</v>
      </c>
      <c r="E607">
        <v>5</v>
      </c>
      <c r="G607" s="2">
        <v>37855</v>
      </c>
      <c r="H607">
        <v>5.0010000000000003</v>
      </c>
      <c r="J607" s="2">
        <v>37862</v>
      </c>
      <c r="K607" s="3">
        <f t="shared" si="18"/>
        <v>4.5</v>
      </c>
      <c r="L607" s="3">
        <f t="shared" si="19"/>
        <v>4.7519999999999998</v>
      </c>
    </row>
    <row r="608" spans="1:12" x14ac:dyDescent="0.3">
      <c r="A608" s="2">
        <v>37125</v>
      </c>
      <c r="B608" t="s">
        <v>13</v>
      </c>
      <c r="D608" s="2">
        <v>37856</v>
      </c>
      <c r="E608">
        <v>5</v>
      </c>
      <c r="G608" s="2">
        <v>37856</v>
      </c>
      <c r="H608">
        <v>5.0140000000000002</v>
      </c>
      <c r="J608" s="2">
        <v>37863</v>
      </c>
      <c r="K608" s="3">
        <f t="shared" si="18"/>
        <v>4.5</v>
      </c>
      <c r="L608" s="3">
        <f t="shared" si="19"/>
        <v>4.7530000000000001</v>
      </c>
    </row>
    <row r="609" spans="1:12" x14ac:dyDescent="0.3">
      <c r="A609" s="2">
        <v>37126</v>
      </c>
      <c r="B609" t="s">
        <v>13</v>
      </c>
      <c r="D609" s="2">
        <v>37857</v>
      </c>
      <c r="E609">
        <v>5</v>
      </c>
      <c r="G609" s="2">
        <v>37857</v>
      </c>
      <c r="H609">
        <v>5.0140000000000002</v>
      </c>
      <c r="J609" s="2">
        <v>37864</v>
      </c>
      <c r="K609" s="3">
        <f t="shared" si="18"/>
        <v>4.5</v>
      </c>
      <c r="L609" s="3">
        <f t="shared" si="19"/>
        <v>4.7530000000000001</v>
      </c>
    </row>
    <row r="610" spans="1:12" x14ac:dyDescent="0.3">
      <c r="A610" s="2">
        <v>37127</v>
      </c>
      <c r="B610" t="s">
        <v>13</v>
      </c>
      <c r="D610" s="2">
        <v>37858</v>
      </c>
      <c r="E610">
        <v>4.5</v>
      </c>
      <c r="G610" s="2">
        <v>37858</v>
      </c>
      <c r="H610">
        <v>4.7270000000000003</v>
      </c>
      <c r="J610" s="2">
        <v>37865</v>
      </c>
      <c r="K610" s="3">
        <f t="shared" si="18"/>
        <v>4.5</v>
      </c>
      <c r="L610" s="3">
        <f t="shared" si="19"/>
        <v>4.7220000000000004</v>
      </c>
    </row>
    <row r="611" spans="1:12" x14ac:dyDescent="0.3">
      <c r="A611" s="2">
        <v>37128</v>
      </c>
      <c r="B611" t="s">
        <v>13</v>
      </c>
      <c r="D611" s="2">
        <v>37859</v>
      </c>
      <c r="E611">
        <v>4.5</v>
      </c>
      <c r="G611" s="2">
        <v>37859</v>
      </c>
      <c r="H611">
        <v>4.6660000000000004</v>
      </c>
      <c r="J611" s="2">
        <v>37866</v>
      </c>
      <c r="K611" s="3">
        <f t="shared" si="18"/>
        <v>4.5</v>
      </c>
      <c r="L611" s="3">
        <f t="shared" si="19"/>
        <v>4.7469999999999999</v>
      </c>
    </row>
    <row r="612" spans="1:12" x14ac:dyDescent="0.3">
      <c r="A612" s="2">
        <v>37129</v>
      </c>
      <c r="B612" t="s">
        <v>13</v>
      </c>
      <c r="D612" s="2">
        <v>37860</v>
      </c>
      <c r="E612">
        <v>4.5</v>
      </c>
      <c r="G612" s="2">
        <v>37860</v>
      </c>
      <c r="H612">
        <v>4.7060000000000004</v>
      </c>
      <c r="J612" s="2">
        <v>37867</v>
      </c>
      <c r="K612" s="3">
        <f t="shared" si="18"/>
        <v>4.5</v>
      </c>
      <c r="L612" s="3">
        <f t="shared" si="19"/>
        <v>4.7270000000000003</v>
      </c>
    </row>
    <row r="613" spans="1:12" x14ac:dyDescent="0.3">
      <c r="A613" s="2">
        <v>37130</v>
      </c>
      <c r="B613" t="s">
        <v>13</v>
      </c>
      <c r="D613" s="2">
        <v>37861</v>
      </c>
      <c r="E613">
        <v>4.5</v>
      </c>
      <c r="G613" s="2">
        <v>37861</v>
      </c>
      <c r="H613">
        <v>4.7220000000000004</v>
      </c>
      <c r="J613" s="2">
        <v>37868</v>
      </c>
      <c r="K613" s="3">
        <f t="shared" si="18"/>
        <v>4.5</v>
      </c>
      <c r="L613" s="3">
        <f t="shared" si="19"/>
        <v>4.7480000000000002</v>
      </c>
    </row>
    <row r="614" spans="1:12" x14ac:dyDescent="0.3">
      <c r="A614" s="2">
        <v>37131</v>
      </c>
      <c r="B614" t="s">
        <v>13</v>
      </c>
      <c r="D614" s="2">
        <v>37862</v>
      </c>
      <c r="E614">
        <v>4.5</v>
      </c>
      <c r="G614" s="2">
        <v>37862</v>
      </c>
      <c r="H614">
        <v>4.7519999999999998</v>
      </c>
      <c r="J614" s="2">
        <v>37869</v>
      </c>
      <c r="K614" s="3">
        <f t="shared" si="18"/>
        <v>4.5</v>
      </c>
      <c r="L614" s="3">
        <f t="shared" si="19"/>
        <v>4.7290000000000001</v>
      </c>
    </row>
    <row r="615" spans="1:12" x14ac:dyDescent="0.3">
      <c r="A615" s="2">
        <v>37132</v>
      </c>
      <c r="B615" t="s">
        <v>13</v>
      </c>
      <c r="D615" s="2">
        <v>37863</v>
      </c>
      <c r="E615">
        <v>4.5</v>
      </c>
      <c r="G615" s="2">
        <v>37863</v>
      </c>
      <c r="H615">
        <v>4.7530000000000001</v>
      </c>
      <c r="J615" s="2">
        <v>37870</v>
      </c>
      <c r="K615" s="3">
        <f t="shared" si="18"/>
        <v>4.5</v>
      </c>
      <c r="L615" s="3">
        <f t="shared" si="19"/>
        <v>4.7460000000000004</v>
      </c>
    </row>
    <row r="616" spans="1:12" x14ac:dyDescent="0.3">
      <c r="A616" s="2">
        <v>37133</v>
      </c>
      <c r="B616" t="s">
        <v>13</v>
      </c>
      <c r="D616" s="2">
        <v>37864</v>
      </c>
      <c r="E616">
        <v>4.5</v>
      </c>
      <c r="G616" s="2">
        <v>37864</v>
      </c>
      <c r="H616">
        <v>4.7530000000000001</v>
      </c>
      <c r="J616" s="2">
        <v>37871</v>
      </c>
      <c r="K616" s="3">
        <f t="shared" si="18"/>
        <v>4.5</v>
      </c>
      <c r="L616" s="3">
        <f t="shared" si="19"/>
        <v>4.7460000000000004</v>
      </c>
    </row>
    <row r="617" spans="1:12" x14ac:dyDescent="0.3">
      <c r="A617" s="2">
        <v>37134</v>
      </c>
      <c r="B617" t="s">
        <v>13</v>
      </c>
      <c r="D617" s="2">
        <v>37865</v>
      </c>
      <c r="E617">
        <v>4.5</v>
      </c>
      <c r="G617" s="2">
        <v>37865</v>
      </c>
      <c r="H617">
        <v>4.7220000000000004</v>
      </c>
      <c r="J617" s="2">
        <v>37872</v>
      </c>
      <c r="K617" s="3">
        <f t="shared" si="18"/>
        <v>4.5</v>
      </c>
      <c r="L617" s="3">
        <f t="shared" si="19"/>
        <v>4.7359999999999998</v>
      </c>
    </row>
    <row r="618" spans="1:12" x14ac:dyDescent="0.3">
      <c r="A618" s="2">
        <v>37135</v>
      </c>
      <c r="B618" t="s">
        <v>13</v>
      </c>
      <c r="D618" s="2">
        <v>37866</v>
      </c>
      <c r="E618">
        <v>4.5</v>
      </c>
      <c r="G618" s="2">
        <v>37866</v>
      </c>
      <c r="H618">
        <v>4.7469999999999999</v>
      </c>
      <c r="J618" s="2">
        <v>37873</v>
      </c>
      <c r="K618" s="3">
        <f t="shared" si="18"/>
        <v>4.5</v>
      </c>
      <c r="L618" s="3">
        <f t="shared" si="19"/>
        <v>4.734</v>
      </c>
    </row>
    <row r="619" spans="1:12" x14ac:dyDescent="0.3">
      <c r="A619" s="2">
        <v>37136</v>
      </c>
      <c r="B619" t="s">
        <v>13</v>
      </c>
      <c r="D619" s="2">
        <v>37867</v>
      </c>
      <c r="E619">
        <v>4.5</v>
      </c>
      <c r="G619" s="2">
        <v>37867</v>
      </c>
      <c r="H619">
        <v>4.7270000000000003</v>
      </c>
      <c r="J619" s="2">
        <v>37874</v>
      </c>
      <c r="K619" s="3">
        <f t="shared" si="18"/>
        <v>4.5</v>
      </c>
      <c r="L619" s="3">
        <f t="shared" si="19"/>
        <v>4.7690000000000001</v>
      </c>
    </row>
    <row r="620" spans="1:12" x14ac:dyDescent="0.3">
      <c r="A620" s="2">
        <v>37137</v>
      </c>
      <c r="B620" t="s">
        <v>13</v>
      </c>
      <c r="D620" s="2">
        <v>37868</v>
      </c>
      <c r="E620">
        <v>4.5</v>
      </c>
      <c r="G620" s="2">
        <v>37868</v>
      </c>
      <c r="H620">
        <v>4.7480000000000002</v>
      </c>
      <c r="J620" s="2">
        <v>37875</v>
      </c>
      <c r="K620" s="3">
        <f t="shared" si="18"/>
        <v>4.5</v>
      </c>
      <c r="L620" s="3">
        <f t="shared" si="19"/>
        <v>4.7359999999999998</v>
      </c>
    </row>
    <row r="621" spans="1:12" x14ac:dyDescent="0.3">
      <c r="A621" s="2">
        <v>37138</v>
      </c>
      <c r="B621" t="s">
        <v>13</v>
      </c>
      <c r="D621" s="2">
        <v>37869</v>
      </c>
      <c r="E621">
        <v>4.5</v>
      </c>
      <c r="G621" s="2">
        <v>37869</v>
      </c>
      <c r="H621">
        <v>4.7290000000000001</v>
      </c>
      <c r="J621" s="2">
        <v>37876</v>
      </c>
      <c r="K621" s="3">
        <f t="shared" si="18"/>
        <v>4.5</v>
      </c>
      <c r="L621" s="3">
        <f t="shared" si="19"/>
        <v>4.742</v>
      </c>
    </row>
    <row r="622" spans="1:12" x14ac:dyDescent="0.3">
      <c r="A622" s="2">
        <v>37139</v>
      </c>
      <c r="B622" t="s">
        <v>13</v>
      </c>
      <c r="D622" s="2">
        <v>37870</v>
      </c>
      <c r="E622">
        <v>4.5</v>
      </c>
      <c r="G622" s="2">
        <v>37870</v>
      </c>
      <c r="H622">
        <v>4.7460000000000004</v>
      </c>
      <c r="J622" s="2">
        <v>37877</v>
      </c>
      <c r="K622" s="3">
        <f t="shared" si="18"/>
        <v>4.5</v>
      </c>
      <c r="L622" s="3">
        <f t="shared" si="19"/>
        <v>4.742</v>
      </c>
    </row>
    <row r="623" spans="1:12" x14ac:dyDescent="0.3">
      <c r="A623" s="2">
        <v>37140</v>
      </c>
      <c r="B623" t="s">
        <v>13</v>
      </c>
      <c r="D623" s="2">
        <v>37871</v>
      </c>
      <c r="E623">
        <v>4.5</v>
      </c>
      <c r="G623" s="2">
        <v>37871</v>
      </c>
      <c r="H623">
        <v>4.7460000000000004</v>
      </c>
      <c r="J623" s="2">
        <v>37878</v>
      </c>
      <c r="K623" s="3">
        <f t="shared" si="18"/>
        <v>4.5</v>
      </c>
      <c r="L623" s="3">
        <f t="shared" si="19"/>
        <v>4.742</v>
      </c>
    </row>
    <row r="624" spans="1:12" x14ac:dyDescent="0.3">
      <c r="A624" s="2">
        <v>37141</v>
      </c>
      <c r="B624" t="s">
        <v>13</v>
      </c>
      <c r="D624" s="2">
        <v>37872</v>
      </c>
      <c r="E624">
        <v>4.5</v>
      </c>
      <c r="G624" s="2">
        <v>37872</v>
      </c>
      <c r="H624">
        <v>4.7359999999999998</v>
      </c>
      <c r="J624" s="2">
        <v>37879</v>
      </c>
      <c r="K624" s="3">
        <f t="shared" si="18"/>
        <v>4.5</v>
      </c>
      <c r="L624" s="3">
        <f t="shared" si="19"/>
        <v>4.6449999999999996</v>
      </c>
    </row>
    <row r="625" spans="1:12" x14ac:dyDescent="0.3">
      <c r="A625" s="2">
        <v>37142</v>
      </c>
      <c r="B625" t="s">
        <v>13</v>
      </c>
      <c r="D625" s="2">
        <v>37873</v>
      </c>
      <c r="E625">
        <v>4.5</v>
      </c>
      <c r="G625" s="2">
        <v>37873</v>
      </c>
      <c r="H625">
        <v>4.734</v>
      </c>
      <c r="J625" s="2">
        <v>37880</v>
      </c>
      <c r="K625" s="3">
        <f t="shared" si="18"/>
        <v>4.5</v>
      </c>
      <c r="L625" s="3">
        <f t="shared" si="19"/>
        <v>4.7279999999999998</v>
      </c>
    </row>
    <row r="626" spans="1:12" x14ac:dyDescent="0.3">
      <c r="A626" s="2">
        <v>37143</v>
      </c>
      <c r="B626" t="s">
        <v>13</v>
      </c>
      <c r="D626" s="2">
        <v>37874</v>
      </c>
      <c r="E626">
        <v>4.5</v>
      </c>
      <c r="G626" s="2">
        <v>37874</v>
      </c>
      <c r="H626">
        <v>4.7690000000000001</v>
      </c>
      <c r="J626" s="2">
        <v>37881</v>
      </c>
      <c r="K626" s="3">
        <f t="shared" si="18"/>
        <v>4.5</v>
      </c>
      <c r="L626" s="3">
        <f t="shared" si="19"/>
        <v>4.7050000000000001</v>
      </c>
    </row>
    <row r="627" spans="1:12" x14ac:dyDescent="0.3">
      <c r="A627" s="2">
        <v>37144</v>
      </c>
      <c r="B627" t="s">
        <v>13</v>
      </c>
      <c r="D627" s="2">
        <v>37875</v>
      </c>
      <c r="E627">
        <v>4.5</v>
      </c>
      <c r="G627" s="2">
        <v>37875</v>
      </c>
      <c r="H627">
        <v>4.7359999999999998</v>
      </c>
      <c r="J627" s="2">
        <v>37882</v>
      </c>
      <c r="K627" s="3">
        <f t="shared" si="18"/>
        <v>4.5</v>
      </c>
      <c r="L627" s="3">
        <f t="shared" si="19"/>
        <v>4.6989999999999998</v>
      </c>
    </row>
    <row r="628" spans="1:12" x14ac:dyDescent="0.3">
      <c r="A628" s="2">
        <v>37145</v>
      </c>
      <c r="B628" t="s">
        <v>13</v>
      </c>
      <c r="D628" s="2">
        <v>37876</v>
      </c>
      <c r="E628">
        <v>4.5</v>
      </c>
      <c r="G628" s="2">
        <v>37876</v>
      </c>
      <c r="H628">
        <v>4.742</v>
      </c>
      <c r="J628" s="2">
        <v>37883</v>
      </c>
      <c r="K628" s="3">
        <f t="shared" si="18"/>
        <v>4.5</v>
      </c>
      <c r="L628" s="3">
        <f t="shared" si="19"/>
        <v>4.7460000000000004</v>
      </c>
    </row>
    <row r="629" spans="1:12" x14ac:dyDescent="0.3">
      <c r="A629" s="2">
        <v>37146</v>
      </c>
      <c r="B629" t="s">
        <v>13</v>
      </c>
      <c r="D629" s="2">
        <v>37877</v>
      </c>
      <c r="E629">
        <v>4.5</v>
      </c>
      <c r="G629" s="2">
        <v>37877</v>
      </c>
      <c r="H629">
        <v>4.742</v>
      </c>
      <c r="J629" s="2">
        <v>37884</v>
      </c>
      <c r="K629" s="3">
        <f t="shared" si="18"/>
        <v>4.5</v>
      </c>
      <c r="L629" s="3">
        <f t="shared" si="19"/>
        <v>4.6189999999999998</v>
      </c>
    </row>
    <row r="630" spans="1:12" x14ac:dyDescent="0.3">
      <c r="A630" s="2">
        <v>37147</v>
      </c>
      <c r="B630" t="s">
        <v>13</v>
      </c>
      <c r="D630" s="2">
        <v>37878</v>
      </c>
      <c r="E630">
        <v>4.5</v>
      </c>
      <c r="G630" s="2">
        <v>37878</v>
      </c>
      <c r="H630">
        <v>4.742</v>
      </c>
      <c r="J630" s="2">
        <v>37885</v>
      </c>
      <c r="K630" s="3">
        <f t="shared" si="18"/>
        <v>4.5</v>
      </c>
      <c r="L630" s="3">
        <f t="shared" si="19"/>
        <v>4.6189999999999998</v>
      </c>
    </row>
    <row r="631" spans="1:12" x14ac:dyDescent="0.3">
      <c r="A631" s="2">
        <v>37148</v>
      </c>
      <c r="B631" t="s">
        <v>13</v>
      </c>
      <c r="D631" s="2">
        <v>37879</v>
      </c>
      <c r="E631">
        <v>4.5</v>
      </c>
      <c r="G631" s="2">
        <v>37879</v>
      </c>
      <c r="H631">
        <v>4.6449999999999996</v>
      </c>
      <c r="J631" s="2">
        <v>37886</v>
      </c>
      <c r="K631" s="3">
        <f t="shared" si="18"/>
        <v>4.5</v>
      </c>
      <c r="L631" s="3">
        <f t="shared" si="19"/>
        <v>4.6669999999999998</v>
      </c>
    </row>
    <row r="632" spans="1:12" x14ac:dyDescent="0.3">
      <c r="A632" s="2">
        <v>37149</v>
      </c>
      <c r="B632" t="s">
        <v>13</v>
      </c>
      <c r="D632" s="2">
        <v>37880</v>
      </c>
      <c r="E632">
        <v>4.5</v>
      </c>
      <c r="G632" s="2">
        <v>37880</v>
      </c>
      <c r="H632">
        <v>4.7279999999999998</v>
      </c>
      <c r="J632" s="2">
        <v>37887</v>
      </c>
      <c r="K632" s="3">
        <f t="shared" si="18"/>
        <v>4.5</v>
      </c>
      <c r="L632" s="3">
        <f t="shared" si="19"/>
        <v>4.7290000000000001</v>
      </c>
    </row>
    <row r="633" spans="1:12" x14ac:dyDescent="0.3">
      <c r="A633" s="2">
        <v>37150</v>
      </c>
      <c r="B633" t="s">
        <v>13</v>
      </c>
      <c r="D633" s="2">
        <v>37881</v>
      </c>
      <c r="E633">
        <v>4.5</v>
      </c>
      <c r="G633" s="2">
        <v>37881</v>
      </c>
      <c r="H633">
        <v>4.7050000000000001</v>
      </c>
      <c r="J633" s="2">
        <v>37888</v>
      </c>
      <c r="K633" s="3">
        <f t="shared" si="18"/>
        <v>4.5</v>
      </c>
      <c r="L633" s="3">
        <f t="shared" si="19"/>
        <v>4.7110000000000003</v>
      </c>
    </row>
    <row r="634" spans="1:12" x14ac:dyDescent="0.3">
      <c r="A634" s="2">
        <v>37151</v>
      </c>
      <c r="B634" t="s">
        <v>13</v>
      </c>
      <c r="D634" s="2">
        <v>37882</v>
      </c>
      <c r="E634">
        <v>4.5</v>
      </c>
      <c r="G634" s="2">
        <v>37882</v>
      </c>
      <c r="H634">
        <v>4.6989999999999998</v>
      </c>
      <c r="J634" s="2">
        <v>37889</v>
      </c>
      <c r="K634" s="3">
        <f t="shared" si="18"/>
        <v>4.5</v>
      </c>
      <c r="L634" s="3">
        <f t="shared" si="19"/>
        <v>4.7149999999999999</v>
      </c>
    </row>
    <row r="635" spans="1:12" x14ac:dyDescent="0.3">
      <c r="A635" s="2">
        <v>37152</v>
      </c>
      <c r="B635" t="s">
        <v>13</v>
      </c>
      <c r="D635" s="2">
        <v>37883</v>
      </c>
      <c r="E635">
        <v>4.5</v>
      </c>
      <c r="G635" s="2">
        <v>37883</v>
      </c>
      <c r="H635">
        <v>4.7460000000000004</v>
      </c>
      <c r="J635" s="2">
        <v>37890</v>
      </c>
      <c r="K635" s="3">
        <f t="shared" si="18"/>
        <v>4.5</v>
      </c>
      <c r="L635" s="3">
        <f t="shared" si="19"/>
        <v>4.71</v>
      </c>
    </row>
    <row r="636" spans="1:12" x14ac:dyDescent="0.3">
      <c r="A636" s="2">
        <v>37153</v>
      </c>
      <c r="B636" t="s">
        <v>13</v>
      </c>
      <c r="D636" s="2">
        <v>37884</v>
      </c>
      <c r="E636">
        <v>4.5</v>
      </c>
      <c r="G636" s="2">
        <v>37884</v>
      </c>
      <c r="H636">
        <v>4.6189999999999998</v>
      </c>
      <c r="J636" s="2">
        <v>37891</v>
      </c>
      <c r="K636" s="3">
        <f t="shared" si="18"/>
        <v>4.5</v>
      </c>
      <c r="L636" s="3">
        <f t="shared" si="19"/>
        <v>4.6669999999999998</v>
      </c>
    </row>
    <row r="637" spans="1:12" x14ac:dyDescent="0.3">
      <c r="A637" s="2">
        <v>37154</v>
      </c>
      <c r="B637" t="s">
        <v>13</v>
      </c>
      <c r="D637" s="2">
        <v>37885</v>
      </c>
      <c r="E637">
        <v>4.5</v>
      </c>
      <c r="G637" s="2">
        <v>37885</v>
      </c>
      <c r="H637">
        <v>4.6189999999999998</v>
      </c>
      <c r="J637" s="2">
        <v>37892</v>
      </c>
      <c r="K637" s="3">
        <f t="shared" si="18"/>
        <v>4.5</v>
      </c>
      <c r="L637" s="3">
        <f t="shared" si="19"/>
        <v>4.6669999999999998</v>
      </c>
    </row>
    <row r="638" spans="1:12" x14ac:dyDescent="0.3">
      <c r="A638" s="2">
        <v>37155</v>
      </c>
      <c r="B638" t="s">
        <v>13</v>
      </c>
      <c r="D638" s="2">
        <v>37886</v>
      </c>
      <c r="E638">
        <v>4.5</v>
      </c>
      <c r="G638" s="2">
        <v>37886</v>
      </c>
      <c r="H638">
        <v>4.6669999999999998</v>
      </c>
      <c r="J638" s="2">
        <v>37893</v>
      </c>
      <c r="K638" s="3">
        <f t="shared" si="18"/>
        <v>4.5</v>
      </c>
      <c r="L638" s="3">
        <f t="shared" si="19"/>
        <v>4.7270000000000003</v>
      </c>
    </row>
    <row r="639" spans="1:12" x14ac:dyDescent="0.3">
      <c r="A639" s="2">
        <v>37156</v>
      </c>
      <c r="B639" t="s">
        <v>13</v>
      </c>
      <c r="D639" s="2">
        <v>37887</v>
      </c>
      <c r="E639">
        <v>4.5</v>
      </c>
      <c r="G639" s="2">
        <v>37887</v>
      </c>
      <c r="H639">
        <v>4.7290000000000001</v>
      </c>
      <c r="J639" s="2">
        <v>37894</v>
      </c>
      <c r="K639" s="3">
        <f t="shared" si="18"/>
        <v>4.5</v>
      </c>
      <c r="L639" s="3">
        <f t="shared" si="19"/>
        <v>4.7270000000000003</v>
      </c>
    </row>
    <row r="640" spans="1:12" x14ac:dyDescent="0.3">
      <c r="A640" s="2">
        <v>37157</v>
      </c>
      <c r="B640" t="s">
        <v>13</v>
      </c>
      <c r="D640" s="2">
        <v>37888</v>
      </c>
      <c r="E640">
        <v>4.5</v>
      </c>
      <c r="G640" s="2">
        <v>37888</v>
      </c>
      <c r="H640">
        <v>4.7110000000000003</v>
      </c>
      <c r="J640" s="2">
        <v>37895</v>
      </c>
      <c r="K640" s="3">
        <f t="shared" si="18"/>
        <v>4.5</v>
      </c>
      <c r="L640" s="3">
        <f t="shared" si="19"/>
        <v>4.5289999999999999</v>
      </c>
    </row>
    <row r="641" spans="1:12" x14ac:dyDescent="0.3">
      <c r="A641" s="2">
        <v>37158</v>
      </c>
      <c r="B641" t="s">
        <v>13</v>
      </c>
      <c r="D641" s="2">
        <v>37889</v>
      </c>
      <c r="E641">
        <v>4.5</v>
      </c>
      <c r="G641" s="2">
        <v>37889</v>
      </c>
      <c r="H641">
        <v>4.7149999999999999</v>
      </c>
      <c r="J641" s="2">
        <v>37896</v>
      </c>
      <c r="K641" s="3">
        <f t="shared" si="18"/>
        <v>4.5</v>
      </c>
      <c r="L641" s="3">
        <f t="shared" si="19"/>
        <v>4.5289999999999999</v>
      </c>
    </row>
    <row r="642" spans="1:12" x14ac:dyDescent="0.3">
      <c r="A642" s="2">
        <v>37159</v>
      </c>
      <c r="B642" t="s">
        <v>13</v>
      </c>
      <c r="D642" s="2">
        <v>37890</v>
      </c>
      <c r="E642">
        <v>4.5</v>
      </c>
      <c r="G642" s="2">
        <v>37890</v>
      </c>
      <c r="H642">
        <v>4.71</v>
      </c>
      <c r="J642" s="2">
        <v>37897</v>
      </c>
      <c r="K642" s="3">
        <f t="shared" si="18"/>
        <v>4.5</v>
      </c>
      <c r="L642" s="3">
        <f t="shared" si="19"/>
        <v>4.649</v>
      </c>
    </row>
    <row r="643" spans="1:12" x14ac:dyDescent="0.3">
      <c r="A643" s="2">
        <v>37160</v>
      </c>
      <c r="B643" t="s">
        <v>13</v>
      </c>
      <c r="D643" s="2">
        <v>37891</v>
      </c>
      <c r="E643">
        <v>4.5</v>
      </c>
      <c r="G643" s="2">
        <v>37891</v>
      </c>
      <c r="H643">
        <v>4.6669999999999998</v>
      </c>
      <c r="J643" s="2">
        <v>37898</v>
      </c>
      <c r="K643" s="3">
        <f t="shared" ref="K643:K706" si="20">E650</f>
        <v>4.5</v>
      </c>
      <c r="L643" s="3">
        <f t="shared" ref="L643:L706" si="21">H650</f>
        <v>4.649</v>
      </c>
    </row>
    <row r="644" spans="1:12" x14ac:dyDescent="0.3">
      <c r="A644" s="2">
        <v>37161</v>
      </c>
      <c r="B644" t="s">
        <v>13</v>
      </c>
      <c r="D644" s="2">
        <v>37892</v>
      </c>
      <c r="E644">
        <v>4.5</v>
      </c>
      <c r="G644" s="2">
        <v>37892</v>
      </c>
      <c r="H644">
        <v>4.6669999999999998</v>
      </c>
      <c r="J644" s="2">
        <v>37899</v>
      </c>
      <c r="K644" s="3">
        <f t="shared" si="20"/>
        <v>4.5</v>
      </c>
      <c r="L644" s="3">
        <f t="shared" si="21"/>
        <v>4.649</v>
      </c>
    </row>
    <row r="645" spans="1:12" x14ac:dyDescent="0.3">
      <c r="A645" s="2">
        <v>37162</v>
      </c>
      <c r="B645" t="s">
        <v>13</v>
      </c>
      <c r="D645" s="2">
        <v>37893</v>
      </c>
      <c r="E645">
        <v>4.5</v>
      </c>
      <c r="G645" s="2">
        <v>37893</v>
      </c>
      <c r="H645">
        <v>4.7270000000000003</v>
      </c>
      <c r="J645" s="2">
        <v>37900</v>
      </c>
      <c r="K645" s="3">
        <f t="shared" si="20"/>
        <v>4.5</v>
      </c>
      <c r="L645" s="3">
        <f t="shared" si="21"/>
        <v>4.3979999999999997</v>
      </c>
    </row>
    <row r="646" spans="1:12" x14ac:dyDescent="0.3">
      <c r="A646" s="2">
        <v>37163</v>
      </c>
      <c r="B646" t="s">
        <v>13</v>
      </c>
      <c r="D646" s="2">
        <v>37894</v>
      </c>
      <c r="E646">
        <v>4.5</v>
      </c>
      <c r="G646" s="2">
        <v>37894</v>
      </c>
      <c r="H646">
        <v>4.7270000000000003</v>
      </c>
      <c r="J646" s="2">
        <v>37901</v>
      </c>
      <c r="K646" s="3">
        <f t="shared" si="20"/>
        <v>4.5</v>
      </c>
      <c r="L646" s="3">
        <f t="shared" si="21"/>
        <v>4.5270000000000001</v>
      </c>
    </row>
    <row r="647" spans="1:12" x14ac:dyDescent="0.3">
      <c r="A647" s="2">
        <v>37164</v>
      </c>
      <c r="B647" t="s">
        <v>13</v>
      </c>
      <c r="D647" s="2">
        <v>37895</v>
      </c>
      <c r="E647">
        <v>4.5</v>
      </c>
      <c r="G647" s="2">
        <v>37895</v>
      </c>
      <c r="H647">
        <v>4.5289999999999999</v>
      </c>
      <c r="J647" s="2">
        <v>37902</v>
      </c>
      <c r="K647" s="3">
        <f t="shared" si="20"/>
        <v>4.5</v>
      </c>
      <c r="L647" s="3">
        <f t="shared" si="21"/>
        <v>4.4660000000000002</v>
      </c>
    </row>
    <row r="648" spans="1:12" x14ac:dyDescent="0.3">
      <c r="A648" s="2">
        <v>37165</v>
      </c>
      <c r="B648" t="s">
        <v>13</v>
      </c>
      <c r="D648" s="2">
        <v>37896</v>
      </c>
      <c r="E648">
        <v>4.5</v>
      </c>
      <c r="G648" s="2">
        <v>37896</v>
      </c>
      <c r="H648">
        <v>4.5289999999999999</v>
      </c>
      <c r="J648" s="2">
        <v>37903</v>
      </c>
      <c r="K648" s="3">
        <f t="shared" si="20"/>
        <v>4.5</v>
      </c>
      <c r="L648" s="3">
        <f t="shared" si="21"/>
        <v>4.4950000000000001</v>
      </c>
    </row>
    <row r="649" spans="1:12" x14ac:dyDescent="0.3">
      <c r="A649" s="2">
        <v>37166</v>
      </c>
      <c r="B649" t="s">
        <v>13</v>
      </c>
      <c r="D649" s="2">
        <v>37897</v>
      </c>
      <c r="E649">
        <v>4.5</v>
      </c>
      <c r="G649" s="2">
        <v>37897</v>
      </c>
      <c r="H649">
        <v>4.649</v>
      </c>
      <c r="J649" s="2">
        <v>37904</v>
      </c>
      <c r="K649" s="3">
        <f t="shared" si="20"/>
        <v>4.5</v>
      </c>
      <c r="L649" s="3">
        <f t="shared" si="21"/>
        <v>4.5279999999999996</v>
      </c>
    </row>
    <row r="650" spans="1:12" x14ac:dyDescent="0.3">
      <c r="A650" s="2">
        <v>37167</v>
      </c>
      <c r="B650" t="s">
        <v>13</v>
      </c>
      <c r="D650" s="2">
        <v>37898</v>
      </c>
      <c r="E650">
        <v>4.5</v>
      </c>
      <c r="G650" s="2">
        <v>37898</v>
      </c>
      <c r="H650">
        <v>4.649</v>
      </c>
      <c r="J650" s="2">
        <v>37905</v>
      </c>
      <c r="K650" s="3">
        <f t="shared" si="20"/>
        <v>4.5</v>
      </c>
      <c r="L650" s="3">
        <f t="shared" si="21"/>
        <v>4.5279999999999996</v>
      </c>
    </row>
    <row r="651" spans="1:12" x14ac:dyDescent="0.3">
      <c r="A651" s="2">
        <v>37168</v>
      </c>
      <c r="B651" t="s">
        <v>13</v>
      </c>
      <c r="D651" s="2">
        <v>37899</v>
      </c>
      <c r="E651">
        <v>4.5</v>
      </c>
      <c r="G651" s="2">
        <v>37899</v>
      </c>
      <c r="H651">
        <v>4.649</v>
      </c>
      <c r="J651" s="2">
        <v>37906</v>
      </c>
      <c r="K651" s="3">
        <f t="shared" si="20"/>
        <v>4.5</v>
      </c>
      <c r="L651" s="3">
        <f t="shared" si="21"/>
        <v>4.5279999999999996</v>
      </c>
    </row>
    <row r="652" spans="1:12" x14ac:dyDescent="0.3">
      <c r="A652" s="2">
        <v>37169</v>
      </c>
      <c r="B652" t="s">
        <v>13</v>
      </c>
      <c r="D652" s="2">
        <v>37900</v>
      </c>
      <c r="E652">
        <v>4.5</v>
      </c>
      <c r="G652" s="2">
        <v>37900</v>
      </c>
      <c r="H652">
        <v>4.3979999999999997</v>
      </c>
      <c r="J652" s="2">
        <v>37907</v>
      </c>
      <c r="K652" s="3">
        <f t="shared" si="20"/>
        <v>4.5</v>
      </c>
      <c r="L652" s="3">
        <f t="shared" si="21"/>
        <v>4.5369999999999999</v>
      </c>
    </row>
    <row r="653" spans="1:12" x14ac:dyDescent="0.3">
      <c r="A653" s="2">
        <v>37170</v>
      </c>
      <c r="B653" t="s">
        <v>13</v>
      </c>
      <c r="D653" s="2">
        <v>37901</v>
      </c>
      <c r="E653">
        <v>4.5</v>
      </c>
      <c r="G653" s="2">
        <v>37901</v>
      </c>
      <c r="H653">
        <v>4.5270000000000001</v>
      </c>
      <c r="J653" s="2">
        <v>37908</v>
      </c>
      <c r="K653" s="3">
        <f t="shared" si="20"/>
        <v>4.5</v>
      </c>
      <c r="L653" s="3">
        <f t="shared" si="21"/>
        <v>4.4509999999999996</v>
      </c>
    </row>
    <row r="654" spans="1:12" x14ac:dyDescent="0.3">
      <c r="A654" s="2">
        <v>37171</v>
      </c>
      <c r="B654" t="s">
        <v>13</v>
      </c>
      <c r="D654" s="2">
        <v>37902</v>
      </c>
      <c r="E654">
        <v>4.5</v>
      </c>
      <c r="G654" s="2">
        <v>37902</v>
      </c>
      <c r="H654">
        <v>4.4660000000000002</v>
      </c>
      <c r="J654" s="2">
        <v>37909</v>
      </c>
      <c r="K654" s="3">
        <f t="shared" si="20"/>
        <v>4.5</v>
      </c>
      <c r="L654" s="3">
        <f t="shared" si="21"/>
        <v>4.5039999999999996</v>
      </c>
    </row>
    <row r="655" spans="1:12" x14ac:dyDescent="0.3">
      <c r="A655" s="2">
        <v>37172</v>
      </c>
      <c r="B655" t="s">
        <v>13</v>
      </c>
      <c r="D655" s="2">
        <v>37903</v>
      </c>
      <c r="E655">
        <v>4.5</v>
      </c>
      <c r="G655" s="2">
        <v>37903</v>
      </c>
      <c r="H655">
        <v>4.4950000000000001</v>
      </c>
      <c r="J655" s="2">
        <v>37910</v>
      </c>
      <c r="K655" s="3">
        <f t="shared" si="20"/>
        <v>4.5</v>
      </c>
      <c r="L655" s="3">
        <f t="shared" si="21"/>
        <v>4.4980000000000002</v>
      </c>
    </row>
    <row r="656" spans="1:12" x14ac:dyDescent="0.3">
      <c r="A656" s="2">
        <v>37173</v>
      </c>
      <c r="B656" t="s">
        <v>13</v>
      </c>
      <c r="D656" s="2">
        <v>37904</v>
      </c>
      <c r="E656">
        <v>4.5</v>
      </c>
      <c r="G656" s="2">
        <v>37904</v>
      </c>
      <c r="H656">
        <v>4.5279999999999996</v>
      </c>
      <c r="J656" s="2">
        <v>37911</v>
      </c>
      <c r="K656" s="3">
        <f t="shared" si="20"/>
        <v>4.5</v>
      </c>
      <c r="L656" s="3">
        <f t="shared" si="21"/>
        <v>4.54</v>
      </c>
    </row>
    <row r="657" spans="1:12" x14ac:dyDescent="0.3">
      <c r="A657" s="2">
        <v>37174</v>
      </c>
      <c r="B657" t="s">
        <v>13</v>
      </c>
      <c r="D657" s="2">
        <v>37905</v>
      </c>
      <c r="E657">
        <v>4.5</v>
      </c>
      <c r="G657" s="2">
        <v>37905</v>
      </c>
      <c r="H657">
        <v>4.5279999999999996</v>
      </c>
      <c r="J657" s="2">
        <v>37912</v>
      </c>
      <c r="K657" s="3">
        <f t="shared" si="20"/>
        <v>4.5</v>
      </c>
      <c r="L657" s="3">
        <f t="shared" si="21"/>
        <v>4.3819999999999997</v>
      </c>
    </row>
    <row r="658" spans="1:12" x14ac:dyDescent="0.3">
      <c r="A658" s="2">
        <v>37175</v>
      </c>
      <c r="B658" t="s">
        <v>13</v>
      </c>
      <c r="D658" s="2">
        <v>37906</v>
      </c>
      <c r="E658">
        <v>4.5</v>
      </c>
      <c r="G658" s="2">
        <v>37906</v>
      </c>
      <c r="H658">
        <v>4.5279999999999996</v>
      </c>
      <c r="J658" s="2">
        <v>37913</v>
      </c>
      <c r="K658" s="3">
        <f t="shared" si="20"/>
        <v>4.5</v>
      </c>
      <c r="L658" s="3">
        <f t="shared" si="21"/>
        <v>4.3819999999999997</v>
      </c>
    </row>
    <row r="659" spans="1:12" x14ac:dyDescent="0.3">
      <c r="A659" s="2">
        <v>37176</v>
      </c>
      <c r="B659" t="s">
        <v>13</v>
      </c>
      <c r="D659" s="2">
        <v>37907</v>
      </c>
      <c r="E659">
        <v>4.5</v>
      </c>
      <c r="G659" s="2">
        <v>37907</v>
      </c>
      <c r="H659">
        <v>4.5369999999999999</v>
      </c>
      <c r="J659" s="2">
        <v>37914</v>
      </c>
      <c r="K659" s="3">
        <f t="shared" si="20"/>
        <v>4.5</v>
      </c>
      <c r="L659" s="3">
        <f t="shared" si="21"/>
        <v>4.57</v>
      </c>
    </row>
    <row r="660" spans="1:12" x14ac:dyDescent="0.3">
      <c r="A660" s="2">
        <v>37177</v>
      </c>
      <c r="B660" t="s">
        <v>13</v>
      </c>
      <c r="D660" s="2">
        <v>37908</v>
      </c>
      <c r="E660">
        <v>4.5</v>
      </c>
      <c r="G660" s="2">
        <v>37908</v>
      </c>
      <c r="H660">
        <v>4.4509999999999996</v>
      </c>
      <c r="J660" s="2">
        <v>37915</v>
      </c>
      <c r="K660" s="3">
        <f t="shared" si="20"/>
        <v>4.5</v>
      </c>
      <c r="L660" s="3">
        <f t="shared" si="21"/>
        <v>4.6120000000000001</v>
      </c>
    </row>
    <row r="661" spans="1:12" x14ac:dyDescent="0.3">
      <c r="A661" s="2">
        <v>37178</v>
      </c>
      <c r="B661" t="s">
        <v>13</v>
      </c>
      <c r="D661" s="2">
        <v>37909</v>
      </c>
      <c r="E661">
        <v>4.5</v>
      </c>
      <c r="G661" s="2">
        <v>37909</v>
      </c>
      <c r="H661">
        <v>4.5039999999999996</v>
      </c>
      <c r="J661" s="2">
        <v>37916</v>
      </c>
      <c r="K661" s="3">
        <f t="shared" si="20"/>
        <v>4.5</v>
      </c>
      <c r="L661" s="3">
        <f t="shared" si="21"/>
        <v>4.7460000000000004</v>
      </c>
    </row>
    <row r="662" spans="1:12" x14ac:dyDescent="0.3">
      <c r="A662" s="2">
        <v>37179</v>
      </c>
      <c r="B662" t="s">
        <v>13</v>
      </c>
      <c r="D662" s="2">
        <v>37910</v>
      </c>
      <c r="E662">
        <v>4.5</v>
      </c>
      <c r="G662" s="2">
        <v>37910</v>
      </c>
      <c r="H662">
        <v>4.4980000000000002</v>
      </c>
      <c r="J662" s="2">
        <v>37917</v>
      </c>
      <c r="K662" s="3">
        <f t="shared" si="20"/>
        <v>4.5</v>
      </c>
      <c r="L662" s="3">
        <f t="shared" si="21"/>
        <v>4.7069999999999999</v>
      </c>
    </row>
    <row r="663" spans="1:12" x14ac:dyDescent="0.3">
      <c r="A663" s="2">
        <v>37180</v>
      </c>
      <c r="B663" t="s">
        <v>13</v>
      </c>
      <c r="D663" s="2">
        <v>37911</v>
      </c>
      <c r="E663">
        <v>4.5</v>
      </c>
      <c r="G663" s="2">
        <v>37911</v>
      </c>
      <c r="H663">
        <v>4.54</v>
      </c>
      <c r="J663" s="2">
        <v>37918</v>
      </c>
      <c r="K663" s="3">
        <f t="shared" si="20"/>
        <v>4.5</v>
      </c>
      <c r="L663" s="3">
        <f t="shared" si="21"/>
        <v>4.6929999999999996</v>
      </c>
    </row>
    <row r="664" spans="1:12" x14ac:dyDescent="0.3">
      <c r="A664" s="2">
        <v>37181</v>
      </c>
      <c r="B664" t="s">
        <v>13</v>
      </c>
      <c r="D664" s="2">
        <v>37912</v>
      </c>
      <c r="E664">
        <v>4.5</v>
      </c>
      <c r="G664" s="2">
        <v>37912</v>
      </c>
      <c r="H664">
        <v>4.3819999999999997</v>
      </c>
      <c r="J664" s="2">
        <v>37919</v>
      </c>
      <c r="K664" s="3">
        <f t="shared" si="20"/>
        <v>4.5</v>
      </c>
      <c r="L664" s="3">
        <f t="shared" si="21"/>
        <v>4.6929999999999996</v>
      </c>
    </row>
    <row r="665" spans="1:12" x14ac:dyDescent="0.3">
      <c r="A665" s="2">
        <v>37182</v>
      </c>
      <c r="B665" t="s">
        <v>13</v>
      </c>
      <c r="D665" s="2">
        <v>37913</v>
      </c>
      <c r="E665">
        <v>4.5</v>
      </c>
      <c r="G665" s="2">
        <v>37913</v>
      </c>
      <c r="H665">
        <v>4.3819999999999997</v>
      </c>
      <c r="J665" s="2">
        <v>37920</v>
      </c>
      <c r="K665" s="3">
        <f t="shared" si="20"/>
        <v>4.5</v>
      </c>
      <c r="L665" s="3">
        <f t="shared" si="21"/>
        <v>4.6929999999999996</v>
      </c>
    </row>
    <row r="666" spans="1:12" x14ac:dyDescent="0.3">
      <c r="A666" s="2">
        <v>37183</v>
      </c>
      <c r="B666" t="s">
        <v>13</v>
      </c>
      <c r="D666" s="2">
        <v>37914</v>
      </c>
      <c r="E666">
        <v>4.5</v>
      </c>
      <c r="G666" s="2">
        <v>37914</v>
      </c>
      <c r="H666">
        <v>4.57</v>
      </c>
      <c r="J666" s="2">
        <v>37921</v>
      </c>
      <c r="K666" s="3">
        <f t="shared" si="20"/>
        <v>4.5</v>
      </c>
      <c r="L666" s="3">
        <f t="shared" si="21"/>
        <v>4.5830000000000002</v>
      </c>
    </row>
    <row r="667" spans="1:12" x14ac:dyDescent="0.3">
      <c r="A667" s="2">
        <v>37184</v>
      </c>
      <c r="B667" t="s">
        <v>13</v>
      </c>
      <c r="D667" s="2">
        <v>37915</v>
      </c>
      <c r="E667">
        <v>4.5</v>
      </c>
      <c r="G667" s="2">
        <v>37915</v>
      </c>
      <c r="H667">
        <v>4.6120000000000001</v>
      </c>
      <c r="J667" s="2">
        <v>37922</v>
      </c>
      <c r="K667" s="3">
        <f t="shared" si="20"/>
        <v>4.5</v>
      </c>
      <c r="L667" s="3">
        <f t="shared" si="21"/>
        <v>4.6769999999999996</v>
      </c>
    </row>
    <row r="668" spans="1:12" x14ac:dyDescent="0.3">
      <c r="A668" s="2">
        <v>37185</v>
      </c>
      <c r="B668" t="s">
        <v>13</v>
      </c>
      <c r="D668" s="2">
        <v>37916</v>
      </c>
      <c r="E668">
        <v>4.5</v>
      </c>
      <c r="G668" s="2">
        <v>37916</v>
      </c>
      <c r="H668">
        <v>4.7460000000000004</v>
      </c>
      <c r="J668" s="2">
        <v>37923</v>
      </c>
      <c r="K668" s="3">
        <f t="shared" si="20"/>
        <v>4.5</v>
      </c>
      <c r="L668" s="3">
        <f t="shared" si="21"/>
        <v>4.7240000000000002</v>
      </c>
    </row>
    <row r="669" spans="1:12" x14ac:dyDescent="0.3">
      <c r="A669" s="2">
        <v>37186</v>
      </c>
      <c r="B669" t="s">
        <v>13</v>
      </c>
      <c r="D669" s="2">
        <v>37917</v>
      </c>
      <c r="E669">
        <v>4.5</v>
      </c>
      <c r="G669" s="2">
        <v>37917</v>
      </c>
      <c r="H669">
        <v>4.7069999999999999</v>
      </c>
      <c r="J669" s="2">
        <v>37924</v>
      </c>
      <c r="K669" s="3">
        <f t="shared" si="20"/>
        <v>4.5</v>
      </c>
      <c r="L669" s="3">
        <f t="shared" si="21"/>
        <v>4.5860000000000003</v>
      </c>
    </row>
    <row r="670" spans="1:12" x14ac:dyDescent="0.3">
      <c r="A670" s="2">
        <v>37187</v>
      </c>
      <c r="B670" t="s">
        <v>13</v>
      </c>
      <c r="D670" s="2">
        <v>37918</v>
      </c>
      <c r="E670">
        <v>4.5</v>
      </c>
      <c r="G670" s="2">
        <v>37918</v>
      </c>
      <c r="H670">
        <v>4.6929999999999996</v>
      </c>
      <c r="J670" s="2">
        <v>37925</v>
      </c>
      <c r="K670" s="3">
        <f t="shared" si="20"/>
        <v>4.5</v>
      </c>
      <c r="L670" s="3">
        <f t="shared" si="21"/>
        <v>4.649</v>
      </c>
    </row>
    <row r="671" spans="1:12" x14ac:dyDescent="0.3">
      <c r="A671" s="2">
        <v>37188</v>
      </c>
      <c r="B671" t="s">
        <v>13</v>
      </c>
      <c r="D671" s="2">
        <v>37919</v>
      </c>
      <c r="E671">
        <v>4.5</v>
      </c>
      <c r="G671" s="2">
        <v>37919</v>
      </c>
      <c r="H671">
        <v>4.6929999999999996</v>
      </c>
      <c r="J671" s="2">
        <v>37926</v>
      </c>
      <c r="K671" s="3">
        <f t="shared" si="20"/>
        <v>4.5</v>
      </c>
      <c r="L671" s="3">
        <f t="shared" si="21"/>
        <v>4.5140000000000002</v>
      </c>
    </row>
    <row r="672" spans="1:12" x14ac:dyDescent="0.3">
      <c r="A672" s="2">
        <v>37189</v>
      </c>
      <c r="B672" t="s">
        <v>13</v>
      </c>
      <c r="D672" s="2">
        <v>37920</v>
      </c>
      <c r="E672">
        <v>4.5</v>
      </c>
      <c r="G672" s="2">
        <v>37920</v>
      </c>
      <c r="H672">
        <v>4.6929999999999996</v>
      </c>
      <c r="J672" s="2">
        <v>37927</v>
      </c>
      <c r="K672" s="3">
        <f t="shared" si="20"/>
        <v>4.5</v>
      </c>
      <c r="L672" s="3">
        <f t="shared" si="21"/>
        <v>4.5140000000000002</v>
      </c>
    </row>
    <row r="673" spans="1:12" x14ac:dyDescent="0.3">
      <c r="A673" s="2">
        <v>37190</v>
      </c>
      <c r="B673" t="s">
        <v>13</v>
      </c>
      <c r="D673" s="2">
        <v>37921</v>
      </c>
      <c r="E673">
        <v>4.5</v>
      </c>
      <c r="G673" s="2">
        <v>37921</v>
      </c>
      <c r="H673">
        <v>4.5830000000000002</v>
      </c>
      <c r="J673" s="2">
        <v>37928</v>
      </c>
      <c r="K673" s="3">
        <f t="shared" si="20"/>
        <v>4.5</v>
      </c>
      <c r="L673" s="3">
        <f t="shared" si="21"/>
        <v>4.5869999999999997</v>
      </c>
    </row>
    <row r="674" spans="1:12" x14ac:dyDescent="0.3">
      <c r="A674" s="2">
        <v>37191</v>
      </c>
      <c r="B674" t="s">
        <v>13</v>
      </c>
      <c r="D674" s="2">
        <v>37922</v>
      </c>
      <c r="E674">
        <v>4.5</v>
      </c>
      <c r="G674" s="2">
        <v>37922</v>
      </c>
      <c r="H674">
        <v>4.6769999999999996</v>
      </c>
      <c r="J674" s="2">
        <v>37929</v>
      </c>
      <c r="K674" s="3">
        <f t="shared" si="20"/>
        <v>4.5</v>
      </c>
      <c r="L674" s="3">
        <f t="shared" si="21"/>
        <v>4.5279999999999996</v>
      </c>
    </row>
    <row r="675" spans="1:12" x14ac:dyDescent="0.3">
      <c r="A675" s="2">
        <v>37192</v>
      </c>
      <c r="B675" t="s">
        <v>13</v>
      </c>
      <c r="D675" s="2">
        <v>37923</v>
      </c>
      <c r="E675">
        <v>4.5</v>
      </c>
      <c r="G675" s="2">
        <v>37923</v>
      </c>
      <c r="H675">
        <v>4.7240000000000002</v>
      </c>
      <c r="J675" s="2">
        <v>37930</v>
      </c>
      <c r="K675" s="3">
        <f t="shared" si="20"/>
        <v>4.5</v>
      </c>
      <c r="L675" s="3">
        <f t="shared" si="21"/>
        <v>4.5910000000000002</v>
      </c>
    </row>
    <row r="676" spans="1:12" x14ac:dyDescent="0.3">
      <c r="A676" s="2">
        <v>37193</v>
      </c>
      <c r="B676" t="s">
        <v>13</v>
      </c>
      <c r="D676" s="2">
        <v>37924</v>
      </c>
      <c r="E676">
        <v>4.5</v>
      </c>
      <c r="G676" s="2">
        <v>37924</v>
      </c>
      <c r="H676">
        <v>4.5860000000000003</v>
      </c>
      <c r="J676" s="2">
        <v>37931</v>
      </c>
      <c r="K676" s="3">
        <f t="shared" si="20"/>
        <v>4.5</v>
      </c>
      <c r="L676" s="3">
        <f t="shared" si="21"/>
        <v>4.6180000000000003</v>
      </c>
    </row>
    <row r="677" spans="1:12" x14ac:dyDescent="0.3">
      <c r="A677" s="2">
        <v>37194</v>
      </c>
      <c r="B677" t="s">
        <v>13</v>
      </c>
      <c r="D677" s="2">
        <v>37925</v>
      </c>
      <c r="E677">
        <v>4.5</v>
      </c>
      <c r="G677" s="2">
        <v>37925</v>
      </c>
      <c r="H677">
        <v>4.649</v>
      </c>
      <c r="J677" s="2">
        <v>37932</v>
      </c>
      <c r="K677" s="3">
        <f t="shared" si="20"/>
        <v>4.5</v>
      </c>
      <c r="L677" s="3">
        <f t="shared" si="21"/>
        <v>4.4690000000000003</v>
      </c>
    </row>
    <row r="678" spans="1:12" x14ac:dyDescent="0.3">
      <c r="A678" s="2">
        <v>37195</v>
      </c>
      <c r="B678" t="s">
        <v>13</v>
      </c>
      <c r="D678" s="2">
        <v>37926</v>
      </c>
      <c r="E678">
        <v>4.5</v>
      </c>
      <c r="G678" s="2">
        <v>37926</v>
      </c>
      <c r="H678">
        <v>4.5140000000000002</v>
      </c>
      <c r="J678" s="2">
        <v>37933</v>
      </c>
      <c r="K678" s="3">
        <f t="shared" si="20"/>
        <v>4.5</v>
      </c>
      <c r="L678" s="3">
        <f t="shared" si="21"/>
        <v>4.4690000000000003</v>
      </c>
    </row>
    <row r="679" spans="1:12" x14ac:dyDescent="0.3">
      <c r="A679" s="2">
        <v>37196</v>
      </c>
      <c r="B679" t="s">
        <v>13</v>
      </c>
      <c r="D679" s="2">
        <v>37927</v>
      </c>
      <c r="E679">
        <v>4.5</v>
      </c>
      <c r="G679" s="2">
        <v>37927</v>
      </c>
      <c r="H679">
        <v>4.5140000000000002</v>
      </c>
      <c r="J679" s="2">
        <v>37934</v>
      </c>
      <c r="K679" s="3">
        <f t="shared" si="20"/>
        <v>4.5</v>
      </c>
      <c r="L679" s="3">
        <f t="shared" si="21"/>
        <v>4.4690000000000003</v>
      </c>
    </row>
    <row r="680" spans="1:12" x14ac:dyDescent="0.3">
      <c r="A680" s="2">
        <v>37197</v>
      </c>
      <c r="B680" t="s">
        <v>13</v>
      </c>
      <c r="D680" s="2">
        <v>37928</v>
      </c>
      <c r="E680">
        <v>4.5</v>
      </c>
      <c r="G680" s="2">
        <v>37928</v>
      </c>
      <c r="H680">
        <v>4.5869999999999997</v>
      </c>
      <c r="J680" s="2">
        <v>37935</v>
      </c>
      <c r="K680" s="3">
        <f t="shared" si="20"/>
        <v>4.5</v>
      </c>
      <c r="L680" s="3">
        <f t="shared" si="21"/>
        <v>4.585</v>
      </c>
    </row>
    <row r="681" spans="1:12" x14ac:dyDescent="0.3">
      <c r="A681" s="2">
        <v>37198</v>
      </c>
      <c r="B681" t="s">
        <v>13</v>
      </c>
      <c r="D681" s="2">
        <v>37929</v>
      </c>
      <c r="E681">
        <v>4.5</v>
      </c>
      <c r="G681" s="2">
        <v>37929</v>
      </c>
      <c r="H681">
        <v>4.5279999999999996</v>
      </c>
      <c r="J681" s="2">
        <v>37936</v>
      </c>
      <c r="K681" s="3">
        <f t="shared" si="20"/>
        <v>4.5</v>
      </c>
      <c r="L681" s="3">
        <f t="shared" si="21"/>
        <v>4.5940000000000003</v>
      </c>
    </row>
    <row r="682" spans="1:12" x14ac:dyDescent="0.3">
      <c r="A682" s="2">
        <v>37199</v>
      </c>
      <c r="B682" t="s">
        <v>13</v>
      </c>
      <c r="D682" s="2">
        <v>37930</v>
      </c>
      <c r="E682">
        <v>4.5</v>
      </c>
      <c r="G682" s="2">
        <v>37930</v>
      </c>
      <c r="H682">
        <v>4.5910000000000002</v>
      </c>
      <c r="J682" s="2">
        <v>37937</v>
      </c>
      <c r="K682" s="3">
        <f t="shared" si="20"/>
        <v>4.5</v>
      </c>
      <c r="L682" s="3">
        <f t="shared" si="21"/>
        <v>4.5640000000000001</v>
      </c>
    </row>
    <row r="683" spans="1:12" x14ac:dyDescent="0.3">
      <c r="A683" s="2">
        <v>37200</v>
      </c>
      <c r="B683" t="s">
        <v>13</v>
      </c>
      <c r="D683" s="2">
        <v>37931</v>
      </c>
      <c r="E683">
        <v>4.5</v>
      </c>
      <c r="G683" s="2">
        <v>37931</v>
      </c>
      <c r="H683">
        <v>4.6180000000000003</v>
      </c>
      <c r="J683" s="2">
        <v>37938</v>
      </c>
      <c r="K683" s="3">
        <f t="shared" si="20"/>
        <v>4.5</v>
      </c>
      <c r="L683" s="3">
        <f t="shared" si="21"/>
        <v>4.5460000000000003</v>
      </c>
    </row>
    <row r="684" spans="1:12" x14ac:dyDescent="0.3">
      <c r="A684" s="2">
        <v>37201</v>
      </c>
      <c r="B684" t="s">
        <v>13</v>
      </c>
      <c r="D684" s="2">
        <v>37932</v>
      </c>
      <c r="E684">
        <v>4.5</v>
      </c>
      <c r="G684" s="2">
        <v>37932</v>
      </c>
      <c r="H684">
        <v>4.4690000000000003</v>
      </c>
      <c r="J684" s="2">
        <v>37939</v>
      </c>
      <c r="K684" s="3">
        <f t="shared" si="20"/>
        <v>4.5</v>
      </c>
      <c r="L684" s="3">
        <f t="shared" si="21"/>
        <v>4.5330000000000004</v>
      </c>
    </row>
    <row r="685" spans="1:12" x14ac:dyDescent="0.3">
      <c r="A685" s="2">
        <v>37202</v>
      </c>
      <c r="B685" t="s">
        <v>13</v>
      </c>
      <c r="D685" s="2">
        <v>37933</v>
      </c>
      <c r="E685">
        <v>4.5</v>
      </c>
      <c r="G685" s="2">
        <v>37933</v>
      </c>
      <c r="H685">
        <v>4.4690000000000003</v>
      </c>
      <c r="J685" s="2">
        <v>37940</v>
      </c>
      <c r="K685" s="3">
        <f t="shared" si="20"/>
        <v>4.5</v>
      </c>
      <c r="L685" s="3">
        <f t="shared" si="21"/>
        <v>4.5330000000000004</v>
      </c>
    </row>
    <row r="686" spans="1:12" x14ac:dyDescent="0.3">
      <c r="A686" s="2">
        <v>37203</v>
      </c>
      <c r="B686" t="s">
        <v>13</v>
      </c>
      <c r="D686" s="2">
        <v>37934</v>
      </c>
      <c r="E686">
        <v>4.5</v>
      </c>
      <c r="G686" s="2">
        <v>37934</v>
      </c>
      <c r="H686">
        <v>4.4690000000000003</v>
      </c>
      <c r="J686" s="2">
        <v>37941</v>
      </c>
      <c r="K686" s="3">
        <f t="shared" si="20"/>
        <v>4.5</v>
      </c>
      <c r="L686" s="3">
        <f t="shared" si="21"/>
        <v>4.5330000000000004</v>
      </c>
    </row>
    <row r="687" spans="1:12" x14ac:dyDescent="0.3">
      <c r="A687" s="2">
        <v>37204</v>
      </c>
      <c r="B687" t="s">
        <v>13</v>
      </c>
      <c r="D687" s="2">
        <v>37935</v>
      </c>
      <c r="E687">
        <v>4.5</v>
      </c>
      <c r="G687" s="2">
        <v>37935</v>
      </c>
      <c r="H687">
        <v>4.585</v>
      </c>
      <c r="J687" s="2">
        <v>37942</v>
      </c>
      <c r="K687" s="3">
        <f t="shared" si="20"/>
        <v>4.5</v>
      </c>
      <c r="L687" s="3">
        <f t="shared" si="21"/>
        <v>4.5519999999999996</v>
      </c>
    </row>
    <row r="688" spans="1:12" x14ac:dyDescent="0.3">
      <c r="A688" s="2">
        <v>37205</v>
      </c>
      <c r="B688" t="s">
        <v>13</v>
      </c>
      <c r="D688" s="2">
        <v>37936</v>
      </c>
      <c r="E688">
        <v>4.5</v>
      </c>
      <c r="G688" s="2">
        <v>37936</v>
      </c>
      <c r="H688">
        <v>4.5940000000000003</v>
      </c>
      <c r="J688" s="2">
        <v>37943</v>
      </c>
      <c r="K688" s="3">
        <f t="shared" si="20"/>
        <v>4.5</v>
      </c>
      <c r="L688" s="3">
        <f t="shared" si="21"/>
        <v>4.6070000000000002</v>
      </c>
    </row>
    <row r="689" spans="1:12" x14ac:dyDescent="0.3">
      <c r="A689" s="2">
        <v>37206</v>
      </c>
      <c r="B689" t="s">
        <v>13</v>
      </c>
      <c r="D689" s="2">
        <v>37937</v>
      </c>
      <c r="E689">
        <v>4.5</v>
      </c>
      <c r="G689" s="2">
        <v>37937</v>
      </c>
      <c r="H689">
        <v>4.5640000000000001</v>
      </c>
      <c r="J689" s="2">
        <v>37944</v>
      </c>
      <c r="K689" s="3">
        <f t="shared" si="20"/>
        <v>4.5</v>
      </c>
      <c r="L689" s="3">
        <f t="shared" si="21"/>
        <v>4.3600000000000003</v>
      </c>
    </row>
    <row r="690" spans="1:12" x14ac:dyDescent="0.3">
      <c r="A690" s="2">
        <v>37207</v>
      </c>
      <c r="B690" t="s">
        <v>13</v>
      </c>
      <c r="D690" s="2">
        <v>37938</v>
      </c>
      <c r="E690">
        <v>4.5</v>
      </c>
      <c r="G690" s="2">
        <v>37938</v>
      </c>
      <c r="H690">
        <v>4.5460000000000003</v>
      </c>
      <c r="J690" s="2">
        <v>37945</v>
      </c>
      <c r="K690" s="3">
        <f t="shared" si="20"/>
        <v>4.5</v>
      </c>
      <c r="L690" s="3">
        <f t="shared" si="21"/>
        <v>4.4950000000000001</v>
      </c>
    </row>
    <row r="691" spans="1:12" x14ac:dyDescent="0.3">
      <c r="A691" s="2">
        <v>37208</v>
      </c>
      <c r="B691" t="s">
        <v>13</v>
      </c>
      <c r="D691" s="2">
        <v>37939</v>
      </c>
      <c r="E691">
        <v>4.5</v>
      </c>
      <c r="G691" s="2">
        <v>37939</v>
      </c>
      <c r="H691">
        <v>4.5330000000000004</v>
      </c>
      <c r="J691" s="2">
        <v>37946</v>
      </c>
      <c r="K691" s="3">
        <f t="shared" si="20"/>
        <v>4.5</v>
      </c>
      <c r="L691" s="3">
        <f t="shared" si="21"/>
        <v>4.391</v>
      </c>
    </row>
    <row r="692" spans="1:12" x14ac:dyDescent="0.3">
      <c r="A692" s="2">
        <v>37209</v>
      </c>
      <c r="B692" t="s">
        <v>13</v>
      </c>
      <c r="D692" s="2">
        <v>37940</v>
      </c>
      <c r="E692">
        <v>4.5</v>
      </c>
      <c r="G692" s="2">
        <v>37940</v>
      </c>
      <c r="H692">
        <v>4.5330000000000004</v>
      </c>
      <c r="J692" s="2">
        <v>37947</v>
      </c>
      <c r="K692" s="3">
        <f t="shared" si="20"/>
        <v>4.5</v>
      </c>
      <c r="L692" s="3">
        <f t="shared" si="21"/>
        <v>4.22</v>
      </c>
    </row>
    <row r="693" spans="1:12" x14ac:dyDescent="0.3">
      <c r="A693" s="2">
        <v>37210</v>
      </c>
      <c r="B693" t="s">
        <v>13</v>
      </c>
      <c r="D693" s="2">
        <v>37941</v>
      </c>
      <c r="E693">
        <v>4.5</v>
      </c>
      <c r="G693" s="2">
        <v>37941</v>
      </c>
      <c r="H693">
        <v>4.5330000000000004</v>
      </c>
      <c r="J693" s="2">
        <v>37948</v>
      </c>
      <c r="K693" s="3">
        <f t="shared" si="20"/>
        <v>4.5</v>
      </c>
      <c r="L693" s="3">
        <f t="shared" si="21"/>
        <v>4.22</v>
      </c>
    </row>
    <row r="694" spans="1:12" x14ac:dyDescent="0.3">
      <c r="A694" s="2">
        <v>37211</v>
      </c>
      <c r="B694" t="s">
        <v>13</v>
      </c>
      <c r="D694" s="2">
        <v>37942</v>
      </c>
      <c r="E694">
        <v>4.5</v>
      </c>
      <c r="G694" s="2">
        <v>37942</v>
      </c>
      <c r="H694">
        <v>4.5519999999999996</v>
      </c>
      <c r="J694" s="2">
        <v>37949</v>
      </c>
      <c r="K694" s="3">
        <f t="shared" si="20"/>
        <v>4.5</v>
      </c>
      <c r="L694" s="3">
        <f t="shared" si="21"/>
        <v>4.22</v>
      </c>
    </row>
    <row r="695" spans="1:12" x14ac:dyDescent="0.3">
      <c r="A695" s="2">
        <v>37212</v>
      </c>
      <c r="B695" t="s">
        <v>13</v>
      </c>
      <c r="D695" s="2">
        <v>37943</v>
      </c>
      <c r="E695">
        <v>4.5</v>
      </c>
      <c r="G695" s="2">
        <v>37943</v>
      </c>
      <c r="H695">
        <v>4.6070000000000002</v>
      </c>
      <c r="J695" s="2">
        <v>37950</v>
      </c>
      <c r="K695" s="3">
        <f t="shared" si="20"/>
        <v>4.5</v>
      </c>
      <c r="L695" s="3">
        <f t="shared" si="21"/>
        <v>4.3470000000000004</v>
      </c>
    </row>
    <row r="696" spans="1:12" x14ac:dyDescent="0.3">
      <c r="A696" s="2">
        <v>37213</v>
      </c>
      <c r="B696" t="s">
        <v>13</v>
      </c>
      <c r="D696" s="2">
        <v>37944</v>
      </c>
      <c r="E696">
        <v>4.5</v>
      </c>
      <c r="G696" s="2">
        <v>37944</v>
      </c>
      <c r="H696">
        <v>4.3600000000000003</v>
      </c>
      <c r="J696" s="2">
        <v>37951</v>
      </c>
      <c r="K696" s="3">
        <f t="shared" si="20"/>
        <v>4.5</v>
      </c>
      <c r="L696" s="3">
        <f t="shared" si="21"/>
        <v>4.3470000000000004</v>
      </c>
    </row>
    <row r="697" spans="1:12" x14ac:dyDescent="0.3">
      <c r="A697" s="2">
        <v>37214</v>
      </c>
      <c r="B697" t="s">
        <v>13</v>
      </c>
      <c r="D697" s="2">
        <v>37945</v>
      </c>
      <c r="E697">
        <v>4.5</v>
      </c>
      <c r="G697" s="2">
        <v>37945</v>
      </c>
      <c r="H697">
        <v>4.4950000000000001</v>
      </c>
      <c r="J697" s="2">
        <v>37952</v>
      </c>
      <c r="K697" s="3">
        <f t="shared" si="20"/>
        <v>4.5</v>
      </c>
      <c r="L697" s="3">
        <f t="shared" si="21"/>
        <v>4.4240000000000004</v>
      </c>
    </row>
    <row r="698" spans="1:12" x14ac:dyDescent="0.3">
      <c r="A698" s="2">
        <v>37215</v>
      </c>
      <c r="B698" t="s">
        <v>13</v>
      </c>
      <c r="D698" s="2">
        <v>37946</v>
      </c>
      <c r="E698">
        <v>4.5</v>
      </c>
      <c r="G698" s="2">
        <v>37946</v>
      </c>
      <c r="H698">
        <v>4.391</v>
      </c>
      <c r="J698" s="2">
        <v>37953</v>
      </c>
      <c r="K698" s="3">
        <f t="shared" si="20"/>
        <v>4.5</v>
      </c>
      <c r="L698" s="3">
        <f t="shared" si="21"/>
        <v>4.3959999999999999</v>
      </c>
    </row>
    <row r="699" spans="1:12" x14ac:dyDescent="0.3">
      <c r="A699" s="2">
        <v>37216</v>
      </c>
      <c r="B699" t="s">
        <v>13</v>
      </c>
      <c r="D699" s="2">
        <v>37947</v>
      </c>
      <c r="E699">
        <v>4.5</v>
      </c>
      <c r="G699" s="2">
        <v>37947</v>
      </c>
      <c r="H699">
        <v>4.22</v>
      </c>
      <c r="J699" s="2">
        <v>37954</v>
      </c>
      <c r="K699" s="3">
        <f t="shared" si="20"/>
        <v>4.5</v>
      </c>
      <c r="L699" s="3">
        <f t="shared" si="21"/>
        <v>4.3959999999999999</v>
      </c>
    </row>
    <row r="700" spans="1:12" x14ac:dyDescent="0.3">
      <c r="A700" s="2">
        <v>37217</v>
      </c>
      <c r="B700" t="s">
        <v>13</v>
      </c>
      <c r="D700" s="2">
        <v>37948</v>
      </c>
      <c r="E700">
        <v>4.5</v>
      </c>
      <c r="G700" s="2">
        <v>37948</v>
      </c>
      <c r="H700">
        <v>4.22</v>
      </c>
      <c r="J700" s="2">
        <v>37955</v>
      </c>
      <c r="K700" s="3">
        <f t="shared" si="20"/>
        <v>4.5</v>
      </c>
      <c r="L700" s="3">
        <f t="shared" si="21"/>
        <v>4.3959999999999999</v>
      </c>
    </row>
    <row r="701" spans="1:12" x14ac:dyDescent="0.3">
      <c r="A701" s="2">
        <v>37218</v>
      </c>
      <c r="B701" t="s">
        <v>13</v>
      </c>
      <c r="D701" s="2">
        <v>37949</v>
      </c>
      <c r="E701">
        <v>4.5</v>
      </c>
      <c r="G701" s="2">
        <v>37949</v>
      </c>
      <c r="H701">
        <v>4.22</v>
      </c>
      <c r="J701" s="2">
        <v>37956</v>
      </c>
      <c r="K701" s="3">
        <f t="shared" si="20"/>
        <v>4.5</v>
      </c>
      <c r="L701" s="3">
        <f t="shared" si="21"/>
        <v>4.3570000000000002</v>
      </c>
    </row>
    <row r="702" spans="1:12" x14ac:dyDescent="0.3">
      <c r="A702" s="2">
        <v>37219</v>
      </c>
      <c r="B702" t="s">
        <v>13</v>
      </c>
      <c r="D702" s="2">
        <v>37950</v>
      </c>
      <c r="E702">
        <v>4.5</v>
      </c>
      <c r="G702" s="2">
        <v>37950</v>
      </c>
      <c r="H702">
        <v>4.3470000000000004</v>
      </c>
      <c r="J702" s="2">
        <v>37957</v>
      </c>
      <c r="K702" s="3">
        <f t="shared" si="20"/>
        <v>4.5</v>
      </c>
      <c r="L702" s="3">
        <f t="shared" si="21"/>
        <v>4.3540000000000001</v>
      </c>
    </row>
    <row r="703" spans="1:12" x14ac:dyDescent="0.3">
      <c r="A703" s="2">
        <v>37220</v>
      </c>
      <c r="B703" t="s">
        <v>13</v>
      </c>
      <c r="D703" s="2">
        <v>37951</v>
      </c>
      <c r="E703">
        <v>4.5</v>
      </c>
      <c r="G703" s="2">
        <v>37951</v>
      </c>
      <c r="H703">
        <v>4.3470000000000004</v>
      </c>
      <c r="J703" s="2">
        <v>37958</v>
      </c>
      <c r="K703" s="3">
        <f t="shared" si="20"/>
        <v>4.5</v>
      </c>
      <c r="L703" s="3">
        <f t="shared" si="21"/>
        <v>4.359</v>
      </c>
    </row>
    <row r="704" spans="1:12" x14ac:dyDescent="0.3">
      <c r="A704" s="2">
        <v>37221</v>
      </c>
      <c r="B704" t="s">
        <v>13</v>
      </c>
      <c r="D704" s="2">
        <v>37952</v>
      </c>
      <c r="E704">
        <v>4.5</v>
      </c>
      <c r="G704" s="2">
        <v>37952</v>
      </c>
      <c r="H704">
        <v>4.4240000000000004</v>
      </c>
      <c r="J704" s="2">
        <v>37959</v>
      </c>
      <c r="K704" s="3">
        <f t="shared" si="20"/>
        <v>4.5</v>
      </c>
      <c r="L704" s="3">
        <f t="shared" si="21"/>
        <v>4.3319999999999999</v>
      </c>
    </row>
    <row r="705" spans="1:12" x14ac:dyDescent="0.3">
      <c r="A705" s="2">
        <v>37222</v>
      </c>
      <c r="B705" t="s">
        <v>13</v>
      </c>
      <c r="D705" s="2">
        <v>37953</v>
      </c>
      <c r="E705">
        <v>4.5</v>
      </c>
      <c r="G705" s="2">
        <v>37953</v>
      </c>
      <c r="H705">
        <v>4.3959999999999999</v>
      </c>
      <c r="J705" s="2">
        <v>37960</v>
      </c>
      <c r="K705" s="3">
        <f t="shared" si="20"/>
        <v>4.5</v>
      </c>
      <c r="L705" s="3">
        <f t="shared" si="21"/>
        <v>4.3860000000000001</v>
      </c>
    </row>
    <row r="706" spans="1:12" x14ac:dyDescent="0.3">
      <c r="A706" s="2">
        <v>37223</v>
      </c>
      <c r="B706" t="s">
        <v>13</v>
      </c>
      <c r="D706" s="2">
        <v>37954</v>
      </c>
      <c r="E706">
        <v>4.5</v>
      </c>
      <c r="G706" s="2">
        <v>37954</v>
      </c>
      <c r="H706">
        <v>4.3959999999999999</v>
      </c>
      <c r="J706" s="2">
        <v>37961</v>
      </c>
      <c r="K706" s="3">
        <f t="shared" si="20"/>
        <v>4.5</v>
      </c>
      <c r="L706" s="3">
        <f t="shared" si="21"/>
        <v>4.3860000000000001</v>
      </c>
    </row>
    <row r="707" spans="1:12" x14ac:dyDescent="0.3">
      <c r="A707" s="2">
        <v>37224</v>
      </c>
      <c r="B707" t="s">
        <v>13</v>
      </c>
      <c r="D707" s="2">
        <v>37955</v>
      </c>
      <c r="E707">
        <v>4.5</v>
      </c>
      <c r="G707" s="2">
        <v>37955</v>
      </c>
      <c r="H707">
        <v>4.3959999999999999</v>
      </c>
      <c r="J707" s="2">
        <v>37962</v>
      </c>
      <c r="K707" s="3">
        <f t="shared" ref="K707:K770" si="22">E714</f>
        <v>4.5</v>
      </c>
      <c r="L707" s="3">
        <f t="shared" ref="L707:L770" si="23">H714</f>
        <v>4.3860000000000001</v>
      </c>
    </row>
    <row r="708" spans="1:12" x14ac:dyDescent="0.3">
      <c r="A708" s="2">
        <v>37225</v>
      </c>
      <c r="B708" t="s">
        <v>13</v>
      </c>
      <c r="D708" s="2">
        <v>37956</v>
      </c>
      <c r="E708">
        <v>4.5</v>
      </c>
      <c r="G708" s="2">
        <v>37956</v>
      </c>
      <c r="H708">
        <v>4.3570000000000002</v>
      </c>
      <c r="J708" s="2">
        <v>37963</v>
      </c>
      <c r="K708" s="3">
        <f t="shared" si="22"/>
        <v>4.5</v>
      </c>
      <c r="L708" s="3">
        <f t="shared" si="23"/>
        <v>4.3090000000000002</v>
      </c>
    </row>
    <row r="709" spans="1:12" x14ac:dyDescent="0.3">
      <c r="A709" s="2">
        <v>37226</v>
      </c>
      <c r="B709" t="s">
        <v>13</v>
      </c>
      <c r="D709" s="2">
        <v>37957</v>
      </c>
      <c r="E709">
        <v>4.5</v>
      </c>
      <c r="G709" s="2">
        <v>37957</v>
      </c>
      <c r="H709">
        <v>4.3540000000000001</v>
      </c>
      <c r="J709" s="2">
        <v>37964</v>
      </c>
      <c r="K709" s="3">
        <f t="shared" si="22"/>
        <v>4.5</v>
      </c>
      <c r="L709" s="3">
        <f t="shared" si="23"/>
        <v>4.3719999999999999</v>
      </c>
    </row>
    <row r="710" spans="1:12" x14ac:dyDescent="0.3">
      <c r="A710" s="2">
        <v>37227</v>
      </c>
      <c r="B710" t="s">
        <v>13</v>
      </c>
      <c r="D710" s="2">
        <v>37958</v>
      </c>
      <c r="E710">
        <v>4.5</v>
      </c>
      <c r="G710" s="2">
        <v>37958</v>
      </c>
      <c r="H710">
        <v>4.359</v>
      </c>
      <c r="J710" s="2">
        <v>37965</v>
      </c>
      <c r="K710" s="3">
        <f t="shared" si="22"/>
        <v>4.5</v>
      </c>
      <c r="L710" s="3">
        <f t="shared" si="23"/>
        <v>4.3819999999999997</v>
      </c>
    </row>
    <row r="711" spans="1:12" x14ac:dyDescent="0.3">
      <c r="A711" s="2">
        <v>37228</v>
      </c>
      <c r="B711" t="s">
        <v>13</v>
      </c>
      <c r="D711" s="2">
        <v>37959</v>
      </c>
      <c r="E711">
        <v>4.5</v>
      </c>
      <c r="G711" s="2">
        <v>37959</v>
      </c>
      <c r="H711">
        <v>4.3319999999999999</v>
      </c>
      <c r="J711" s="2">
        <v>37966</v>
      </c>
      <c r="K711" s="3">
        <f t="shared" si="22"/>
        <v>4.5</v>
      </c>
      <c r="L711" s="3">
        <f t="shared" si="23"/>
        <v>4.2789999999999999</v>
      </c>
    </row>
    <row r="712" spans="1:12" x14ac:dyDescent="0.3">
      <c r="A712" s="2">
        <v>37229</v>
      </c>
      <c r="B712" t="s">
        <v>13</v>
      </c>
      <c r="D712" s="2">
        <v>37960</v>
      </c>
      <c r="E712">
        <v>4.5</v>
      </c>
      <c r="G712" s="2">
        <v>37960</v>
      </c>
      <c r="H712">
        <v>4.3860000000000001</v>
      </c>
      <c r="J712" s="2">
        <v>37967</v>
      </c>
      <c r="K712" s="3">
        <f t="shared" si="22"/>
        <v>4.5</v>
      </c>
      <c r="L712" s="3">
        <f t="shared" si="23"/>
        <v>4.2300000000000004</v>
      </c>
    </row>
    <row r="713" spans="1:12" x14ac:dyDescent="0.3">
      <c r="A713" s="2">
        <v>37230</v>
      </c>
      <c r="B713" t="s">
        <v>13</v>
      </c>
      <c r="D713" s="2">
        <v>37961</v>
      </c>
      <c r="E713">
        <v>4.5</v>
      </c>
      <c r="G713" s="2">
        <v>37961</v>
      </c>
      <c r="H713">
        <v>4.3860000000000001</v>
      </c>
      <c r="J713" s="2">
        <v>37968</v>
      </c>
      <c r="K713" s="3">
        <f t="shared" si="22"/>
        <v>4.5</v>
      </c>
      <c r="L713" s="3">
        <f t="shared" si="23"/>
        <v>4.1349999999999998</v>
      </c>
    </row>
    <row r="714" spans="1:12" x14ac:dyDescent="0.3">
      <c r="A714" s="2">
        <v>37231</v>
      </c>
      <c r="B714" t="s">
        <v>13</v>
      </c>
      <c r="D714" s="2">
        <v>37962</v>
      </c>
      <c r="E714">
        <v>4.5</v>
      </c>
      <c r="G714" s="2">
        <v>37962</v>
      </c>
      <c r="H714">
        <v>4.3860000000000001</v>
      </c>
      <c r="J714" s="2">
        <v>37969</v>
      </c>
      <c r="K714" s="3">
        <f t="shared" si="22"/>
        <v>4.5</v>
      </c>
      <c r="L714" s="3">
        <f t="shared" si="23"/>
        <v>4.1349999999999998</v>
      </c>
    </row>
    <row r="715" spans="1:12" x14ac:dyDescent="0.3">
      <c r="A715" s="2">
        <v>37232</v>
      </c>
      <c r="B715" t="s">
        <v>13</v>
      </c>
      <c r="D715" s="2">
        <v>37963</v>
      </c>
      <c r="E715">
        <v>4.5</v>
      </c>
      <c r="G715" s="2">
        <v>37963</v>
      </c>
      <c r="H715">
        <v>4.3090000000000002</v>
      </c>
      <c r="J715" s="2">
        <v>37970</v>
      </c>
      <c r="K715" s="3">
        <f t="shared" si="22"/>
        <v>4.5</v>
      </c>
      <c r="L715" s="3">
        <f t="shared" si="23"/>
        <v>4.2759999999999998</v>
      </c>
    </row>
    <row r="716" spans="1:12" x14ac:dyDescent="0.3">
      <c r="A716" s="2">
        <v>37233</v>
      </c>
      <c r="B716" t="s">
        <v>13</v>
      </c>
      <c r="D716" s="2">
        <v>37964</v>
      </c>
      <c r="E716">
        <v>4.5</v>
      </c>
      <c r="G716" s="2">
        <v>37964</v>
      </c>
      <c r="H716">
        <v>4.3719999999999999</v>
      </c>
      <c r="J716" s="2">
        <v>37971</v>
      </c>
      <c r="K716" s="3">
        <f t="shared" si="22"/>
        <v>4.5</v>
      </c>
      <c r="L716" s="3">
        <f t="shared" si="23"/>
        <v>4.2990000000000004</v>
      </c>
    </row>
    <row r="717" spans="1:12" x14ac:dyDescent="0.3">
      <c r="A717" s="2">
        <v>37234</v>
      </c>
      <c r="B717" t="s">
        <v>13</v>
      </c>
      <c r="D717" s="2">
        <v>37965</v>
      </c>
      <c r="E717">
        <v>4.5</v>
      </c>
      <c r="G717" s="2">
        <v>37965</v>
      </c>
      <c r="H717">
        <v>4.3819999999999997</v>
      </c>
      <c r="J717" s="2">
        <v>37972</v>
      </c>
      <c r="K717" s="3">
        <f t="shared" si="22"/>
        <v>4.5</v>
      </c>
      <c r="L717" s="3">
        <f t="shared" si="23"/>
        <v>4.141</v>
      </c>
    </row>
    <row r="718" spans="1:12" x14ac:dyDescent="0.3">
      <c r="A718" s="2">
        <v>37235</v>
      </c>
      <c r="B718" t="s">
        <v>13</v>
      </c>
      <c r="D718" s="2">
        <v>37966</v>
      </c>
      <c r="E718">
        <v>4.5</v>
      </c>
      <c r="G718" s="2">
        <v>37966</v>
      </c>
      <c r="H718">
        <v>4.2789999999999999</v>
      </c>
      <c r="J718" s="2">
        <v>37973</v>
      </c>
      <c r="K718" s="3">
        <f t="shared" si="22"/>
        <v>4.5</v>
      </c>
      <c r="L718" s="3">
        <f t="shared" si="23"/>
        <v>4.2910000000000004</v>
      </c>
    </row>
    <row r="719" spans="1:12" x14ac:dyDescent="0.3">
      <c r="A719" s="2">
        <v>37236</v>
      </c>
      <c r="B719" t="s">
        <v>13</v>
      </c>
      <c r="D719" s="2">
        <v>37967</v>
      </c>
      <c r="E719">
        <v>4.5</v>
      </c>
      <c r="G719" s="2">
        <v>37967</v>
      </c>
      <c r="H719">
        <v>4.2300000000000004</v>
      </c>
      <c r="J719" s="2">
        <v>37974</v>
      </c>
      <c r="K719" s="3">
        <f t="shared" si="22"/>
        <v>4.5</v>
      </c>
      <c r="L719" s="3">
        <f t="shared" si="23"/>
        <v>4.2130000000000001</v>
      </c>
    </row>
    <row r="720" spans="1:12" x14ac:dyDescent="0.3">
      <c r="A720" s="2">
        <v>37237</v>
      </c>
      <c r="B720" t="s">
        <v>13</v>
      </c>
      <c r="D720" s="2">
        <v>37968</v>
      </c>
      <c r="E720">
        <v>4.5</v>
      </c>
      <c r="G720" s="2">
        <v>37968</v>
      </c>
      <c r="H720">
        <v>4.1349999999999998</v>
      </c>
      <c r="J720" s="2">
        <v>37975</v>
      </c>
      <c r="K720" s="3">
        <f t="shared" si="22"/>
        <v>4.5</v>
      </c>
      <c r="L720" s="3">
        <f t="shared" si="23"/>
        <v>4.2130000000000001</v>
      </c>
    </row>
    <row r="721" spans="1:12" x14ac:dyDescent="0.3">
      <c r="A721" s="2">
        <v>37238</v>
      </c>
      <c r="B721" t="s">
        <v>13</v>
      </c>
      <c r="D721" s="2">
        <v>37969</v>
      </c>
      <c r="E721">
        <v>4.5</v>
      </c>
      <c r="G721" s="2">
        <v>37969</v>
      </c>
      <c r="H721">
        <v>4.1349999999999998</v>
      </c>
      <c r="J721" s="2">
        <v>37976</v>
      </c>
      <c r="K721" s="3">
        <f t="shared" si="22"/>
        <v>4.5</v>
      </c>
      <c r="L721" s="3">
        <f t="shared" si="23"/>
        <v>4.2130000000000001</v>
      </c>
    </row>
    <row r="722" spans="1:12" x14ac:dyDescent="0.3">
      <c r="A722" s="2">
        <v>37239</v>
      </c>
      <c r="B722" t="s">
        <v>13</v>
      </c>
      <c r="D722" s="2">
        <v>37970</v>
      </c>
      <c r="E722">
        <v>4.5</v>
      </c>
      <c r="G722" s="2">
        <v>37970</v>
      </c>
      <c r="H722">
        <v>4.2759999999999998</v>
      </c>
      <c r="J722" s="2">
        <v>37977</v>
      </c>
      <c r="K722" s="3">
        <f t="shared" si="22"/>
        <v>4.5</v>
      </c>
      <c r="L722" s="3">
        <f t="shared" si="23"/>
        <v>4.2039999999999997</v>
      </c>
    </row>
    <row r="723" spans="1:12" x14ac:dyDescent="0.3">
      <c r="A723" s="2">
        <v>37240</v>
      </c>
      <c r="B723" t="s">
        <v>13</v>
      </c>
      <c r="D723" s="2">
        <v>37971</v>
      </c>
      <c r="E723">
        <v>4.5</v>
      </c>
      <c r="G723" s="2">
        <v>37971</v>
      </c>
      <c r="H723">
        <v>4.2990000000000004</v>
      </c>
      <c r="J723" s="2">
        <v>37978</v>
      </c>
      <c r="K723" s="3">
        <f t="shared" si="22"/>
        <v>4.5</v>
      </c>
      <c r="L723" s="3">
        <f t="shared" si="23"/>
        <v>4.5190000000000001</v>
      </c>
    </row>
    <row r="724" spans="1:12" x14ac:dyDescent="0.3">
      <c r="A724" s="2">
        <v>37241</v>
      </c>
      <c r="B724" t="s">
        <v>13</v>
      </c>
      <c r="D724" s="2">
        <v>37972</v>
      </c>
      <c r="E724">
        <v>4.5</v>
      </c>
      <c r="G724" s="2">
        <v>37972</v>
      </c>
      <c r="H724">
        <v>4.141</v>
      </c>
      <c r="J724" s="2">
        <v>37979</v>
      </c>
      <c r="K724" s="3">
        <f t="shared" si="22"/>
        <v>4.5</v>
      </c>
      <c r="L724" s="3">
        <f t="shared" si="23"/>
        <v>4.5049999999999999</v>
      </c>
    </row>
    <row r="725" spans="1:12" x14ac:dyDescent="0.3">
      <c r="A725" s="2">
        <v>37242</v>
      </c>
      <c r="B725" t="s">
        <v>13</v>
      </c>
      <c r="D725" s="2">
        <v>37973</v>
      </c>
      <c r="E725">
        <v>4.5</v>
      </c>
      <c r="G725" s="2">
        <v>37973</v>
      </c>
      <c r="H725">
        <v>4.2910000000000004</v>
      </c>
      <c r="J725" s="2">
        <v>37980</v>
      </c>
      <c r="K725" s="3">
        <f t="shared" si="22"/>
        <v>4.5</v>
      </c>
      <c r="L725" s="3">
        <f t="shared" si="23"/>
        <v>4.5049999999999999</v>
      </c>
    </row>
    <row r="726" spans="1:12" x14ac:dyDescent="0.3">
      <c r="A726" s="2">
        <v>37243</v>
      </c>
      <c r="B726" t="s">
        <v>13</v>
      </c>
      <c r="D726" s="2">
        <v>37974</v>
      </c>
      <c r="E726">
        <v>4.5</v>
      </c>
      <c r="G726" s="2">
        <v>37974</v>
      </c>
      <c r="H726">
        <v>4.2130000000000001</v>
      </c>
      <c r="J726" s="2">
        <v>37981</v>
      </c>
      <c r="K726" s="3">
        <f t="shared" si="22"/>
        <v>4.5</v>
      </c>
      <c r="L726" s="3">
        <f t="shared" si="23"/>
        <v>4.516</v>
      </c>
    </row>
    <row r="727" spans="1:12" x14ac:dyDescent="0.3">
      <c r="A727" s="2">
        <v>37244</v>
      </c>
      <c r="B727" t="s">
        <v>13</v>
      </c>
      <c r="D727" s="2">
        <v>37975</v>
      </c>
      <c r="E727">
        <v>4.5</v>
      </c>
      <c r="G727" s="2">
        <v>37975</v>
      </c>
      <c r="H727">
        <v>4.2130000000000001</v>
      </c>
      <c r="J727" s="2">
        <v>37982</v>
      </c>
      <c r="K727" s="3">
        <f t="shared" si="22"/>
        <v>4.5</v>
      </c>
      <c r="L727" s="3">
        <f t="shared" si="23"/>
        <v>4.516</v>
      </c>
    </row>
    <row r="728" spans="1:12" x14ac:dyDescent="0.3">
      <c r="A728" s="2">
        <v>37245</v>
      </c>
      <c r="B728" t="s">
        <v>13</v>
      </c>
      <c r="D728" s="2">
        <v>37976</v>
      </c>
      <c r="E728">
        <v>4.5</v>
      </c>
      <c r="G728" s="2">
        <v>37976</v>
      </c>
      <c r="H728">
        <v>4.2130000000000001</v>
      </c>
      <c r="J728" s="2">
        <v>37983</v>
      </c>
      <c r="K728" s="3">
        <f t="shared" si="22"/>
        <v>4.5</v>
      </c>
      <c r="L728" s="3">
        <f t="shared" si="23"/>
        <v>4.516</v>
      </c>
    </row>
    <row r="729" spans="1:12" x14ac:dyDescent="0.3">
      <c r="A729" s="2">
        <v>37246</v>
      </c>
      <c r="B729" t="s">
        <v>13</v>
      </c>
      <c r="D729" s="2">
        <v>37977</v>
      </c>
      <c r="E729">
        <v>4.5</v>
      </c>
      <c r="G729" s="2">
        <v>37977</v>
      </c>
      <c r="H729">
        <v>4.2039999999999997</v>
      </c>
      <c r="J729" s="2">
        <v>37984</v>
      </c>
      <c r="K729" s="3">
        <f t="shared" si="22"/>
        <v>4.5</v>
      </c>
      <c r="L729" s="3">
        <f t="shared" si="23"/>
        <v>4.3559999999999999</v>
      </c>
    </row>
    <row r="730" spans="1:12" x14ac:dyDescent="0.3">
      <c r="A730" s="2">
        <v>37247</v>
      </c>
      <c r="B730" t="s">
        <v>13</v>
      </c>
      <c r="D730" s="2">
        <v>37978</v>
      </c>
      <c r="E730">
        <v>4.5</v>
      </c>
      <c r="G730" s="2">
        <v>37978</v>
      </c>
      <c r="H730">
        <v>4.5190000000000001</v>
      </c>
      <c r="J730" s="2">
        <v>37985</v>
      </c>
      <c r="K730" s="3">
        <f t="shared" si="22"/>
        <v>4.5</v>
      </c>
      <c r="L730" s="3">
        <f t="shared" si="23"/>
        <v>4.4729999999999999</v>
      </c>
    </row>
    <row r="731" spans="1:12" x14ac:dyDescent="0.3">
      <c r="A731" s="2">
        <v>37248</v>
      </c>
      <c r="B731" t="s">
        <v>13</v>
      </c>
      <c r="D731" s="2">
        <v>37979</v>
      </c>
      <c r="E731">
        <v>4.5</v>
      </c>
      <c r="G731" s="2">
        <v>37979</v>
      </c>
      <c r="H731">
        <v>4.5049999999999999</v>
      </c>
      <c r="J731" s="2">
        <v>37986</v>
      </c>
      <c r="K731" s="3">
        <f t="shared" si="22"/>
        <v>4.5</v>
      </c>
      <c r="L731" s="3">
        <f t="shared" si="23"/>
        <v>4.5540000000000003</v>
      </c>
    </row>
    <row r="732" spans="1:12" x14ac:dyDescent="0.3">
      <c r="A732" s="2">
        <v>37249</v>
      </c>
      <c r="B732" t="s">
        <v>13</v>
      </c>
      <c r="D732" s="2">
        <v>37980</v>
      </c>
      <c r="E732">
        <v>4.5</v>
      </c>
      <c r="G732" s="2">
        <v>37980</v>
      </c>
      <c r="H732">
        <v>4.5049999999999999</v>
      </c>
      <c r="J732" s="2">
        <v>37987</v>
      </c>
      <c r="K732" s="3">
        <f t="shared" si="22"/>
        <v>4.5</v>
      </c>
      <c r="L732" s="3">
        <f t="shared" si="23"/>
        <v>4.4429999999999996</v>
      </c>
    </row>
    <row r="733" spans="1:12" x14ac:dyDescent="0.3">
      <c r="A733" s="2">
        <v>37250</v>
      </c>
      <c r="B733" t="s">
        <v>13</v>
      </c>
      <c r="D733" s="2">
        <v>37981</v>
      </c>
      <c r="E733">
        <v>4.5</v>
      </c>
      <c r="G733" s="2">
        <v>37981</v>
      </c>
      <c r="H733">
        <v>4.516</v>
      </c>
      <c r="J733" s="2">
        <v>37988</v>
      </c>
      <c r="K733" s="3">
        <f t="shared" si="22"/>
        <v>4.5</v>
      </c>
      <c r="L733" s="3">
        <f t="shared" si="23"/>
        <v>4.2</v>
      </c>
    </row>
    <row r="734" spans="1:12" x14ac:dyDescent="0.3">
      <c r="A734" s="2">
        <v>37251</v>
      </c>
      <c r="B734" t="s">
        <v>13</v>
      </c>
      <c r="D734" s="2">
        <v>37982</v>
      </c>
      <c r="E734">
        <v>4.5</v>
      </c>
      <c r="G734" s="2">
        <v>37982</v>
      </c>
      <c r="H734">
        <v>4.516</v>
      </c>
      <c r="J734" s="2">
        <v>37989</v>
      </c>
      <c r="K734" s="3">
        <f t="shared" si="22"/>
        <v>4.5</v>
      </c>
      <c r="L734" s="3">
        <f t="shared" si="23"/>
        <v>4.2</v>
      </c>
    </row>
    <row r="735" spans="1:12" x14ac:dyDescent="0.3">
      <c r="A735" s="2">
        <v>37252</v>
      </c>
      <c r="B735" t="s">
        <v>13</v>
      </c>
      <c r="D735" s="2">
        <v>37983</v>
      </c>
      <c r="E735">
        <v>4.5</v>
      </c>
      <c r="G735" s="2">
        <v>37983</v>
      </c>
      <c r="H735">
        <v>4.516</v>
      </c>
      <c r="J735" s="2">
        <v>37990</v>
      </c>
      <c r="K735" s="3">
        <f t="shared" si="22"/>
        <v>4.5</v>
      </c>
      <c r="L735" s="3">
        <f t="shared" si="23"/>
        <v>4.2</v>
      </c>
    </row>
    <row r="736" spans="1:12" x14ac:dyDescent="0.3">
      <c r="A736" s="2">
        <v>37253</v>
      </c>
      <c r="B736" t="s">
        <v>13</v>
      </c>
      <c r="D736" s="2">
        <v>37984</v>
      </c>
      <c r="E736">
        <v>4.5</v>
      </c>
      <c r="G736" s="2">
        <v>37984</v>
      </c>
      <c r="H736">
        <v>4.3559999999999999</v>
      </c>
      <c r="J736" s="2">
        <v>37991</v>
      </c>
      <c r="K736" s="3">
        <f t="shared" si="22"/>
        <v>4.5</v>
      </c>
      <c r="L736" s="3">
        <f t="shared" si="23"/>
        <v>4.4820000000000002</v>
      </c>
    </row>
    <row r="737" spans="1:12" x14ac:dyDescent="0.3">
      <c r="A737" s="2">
        <v>37254</v>
      </c>
      <c r="B737" t="s">
        <v>13</v>
      </c>
      <c r="D737" s="2">
        <v>37985</v>
      </c>
      <c r="E737">
        <v>4.5</v>
      </c>
      <c r="G737" s="2">
        <v>37985</v>
      </c>
      <c r="H737">
        <v>4.4729999999999999</v>
      </c>
      <c r="J737" s="2">
        <v>37992</v>
      </c>
      <c r="K737" s="3">
        <f t="shared" si="22"/>
        <v>4.5</v>
      </c>
      <c r="L737" s="3">
        <f t="shared" si="23"/>
        <v>4.4660000000000002</v>
      </c>
    </row>
    <row r="738" spans="1:12" x14ac:dyDescent="0.3">
      <c r="A738" s="2">
        <v>37255</v>
      </c>
      <c r="B738" t="s">
        <v>13</v>
      </c>
      <c r="D738" s="2">
        <v>37986</v>
      </c>
      <c r="E738">
        <v>4.5</v>
      </c>
      <c r="G738" s="2">
        <v>37986</v>
      </c>
      <c r="H738">
        <v>4.5540000000000003</v>
      </c>
      <c r="J738" s="2">
        <v>37993</v>
      </c>
      <c r="K738" s="3">
        <f t="shared" si="22"/>
        <v>4.5</v>
      </c>
      <c r="L738" s="3">
        <f t="shared" si="23"/>
        <v>4.4820000000000002</v>
      </c>
    </row>
    <row r="739" spans="1:12" x14ac:dyDescent="0.3">
      <c r="A739" s="2">
        <v>37256</v>
      </c>
      <c r="B739" t="s">
        <v>13</v>
      </c>
      <c r="D739" s="2">
        <v>37987</v>
      </c>
      <c r="E739">
        <v>4.5</v>
      </c>
      <c r="G739" s="2">
        <v>37987</v>
      </c>
      <c r="H739">
        <v>4.4429999999999996</v>
      </c>
      <c r="J739" s="2">
        <v>37994</v>
      </c>
      <c r="K739" s="3">
        <f t="shared" si="22"/>
        <v>4.5</v>
      </c>
      <c r="L739" s="3">
        <f t="shared" si="23"/>
        <v>4.4960000000000004</v>
      </c>
    </row>
    <row r="740" spans="1:12" x14ac:dyDescent="0.3">
      <c r="A740" s="2">
        <v>37257</v>
      </c>
      <c r="B740" t="s">
        <v>13</v>
      </c>
      <c r="D740" s="2">
        <v>37988</v>
      </c>
      <c r="E740">
        <v>4.5</v>
      </c>
      <c r="G740" s="2">
        <v>37988</v>
      </c>
      <c r="H740">
        <v>4.2</v>
      </c>
      <c r="J740" s="2">
        <v>37995</v>
      </c>
      <c r="K740" s="3">
        <f t="shared" si="22"/>
        <v>4.5</v>
      </c>
      <c r="L740" s="3">
        <f t="shared" si="23"/>
        <v>4.4870000000000001</v>
      </c>
    </row>
    <row r="741" spans="1:12" x14ac:dyDescent="0.3">
      <c r="A741" s="2">
        <v>37258</v>
      </c>
      <c r="B741" t="s">
        <v>13</v>
      </c>
      <c r="D741" s="2">
        <v>37989</v>
      </c>
      <c r="E741">
        <v>4.5</v>
      </c>
      <c r="G741" s="2">
        <v>37989</v>
      </c>
      <c r="H741">
        <v>4.2</v>
      </c>
      <c r="J741" s="2">
        <v>37996</v>
      </c>
      <c r="K741" s="3">
        <f t="shared" si="22"/>
        <v>4.5</v>
      </c>
      <c r="L741" s="3">
        <f t="shared" si="23"/>
        <v>4.4870000000000001</v>
      </c>
    </row>
    <row r="742" spans="1:12" x14ac:dyDescent="0.3">
      <c r="A742" s="2">
        <v>37259</v>
      </c>
      <c r="B742" t="s">
        <v>13</v>
      </c>
      <c r="D742" s="2">
        <v>37990</v>
      </c>
      <c r="E742">
        <v>4.5</v>
      </c>
      <c r="G742" s="2">
        <v>37990</v>
      </c>
      <c r="H742">
        <v>4.2</v>
      </c>
      <c r="J742" s="2">
        <v>37997</v>
      </c>
      <c r="K742" s="3">
        <f t="shared" si="22"/>
        <v>4.5</v>
      </c>
      <c r="L742" s="3">
        <f t="shared" si="23"/>
        <v>4.4870000000000001</v>
      </c>
    </row>
    <row r="743" spans="1:12" x14ac:dyDescent="0.3">
      <c r="A743" s="2">
        <v>37260</v>
      </c>
      <c r="B743" t="s">
        <v>13</v>
      </c>
      <c r="D743" s="2">
        <v>37991</v>
      </c>
      <c r="E743">
        <v>4.5</v>
      </c>
      <c r="G743" s="2">
        <v>37991</v>
      </c>
      <c r="H743">
        <v>4.4820000000000002</v>
      </c>
      <c r="J743" s="2">
        <v>37998</v>
      </c>
      <c r="K743" s="3">
        <f t="shared" si="22"/>
        <v>4.5</v>
      </c>
      <c r="L743" s="3">
        <f t="shared" si="23"/>
        <v>4.4820000000000002</v>
      </c>
    </row>
    <row r="744" spans="1:12" x14ac:dyDescent="0.3">
      <c r="A744" s="2">
        <v>37261</v>
      </c>
      <c r="B744" t="s">
        <v>13</v>
      </c>
      <c r="D744" s="2">
        <v>37992</v>
      </c>
      <c r="E744">
        <v>4.5</v>
      </c>
      <c r="G744" s="2">
        <v>37992</v>
      </c>
      <c r="H744">
        <v>4.4660000000000002</v>
      </c>
      <c r="J744" s="2">
        <v>37999</v>
      </c>
      <c r="K744" s="3">
        <f t="shared" si="22"/>
        <v>4.5</v>
      </c>
      <c r="L744" s="3">
        <f t="shared" si="23"/>
        <v>4.524</v>
      </c>
    </row>
    <row r="745" spans="1:12" x14ac:dyDescent="0.3">
      <c r="A745" s="2">
        <v>37262</v>
      </c>
      <c r="B745" t="s">
        <v>13</v>
      </c>
      <c r="D745" s="2">
        <v>37993</v>
      </c>
      <c r="E745">
        <v>4.5</v>
      </c>
      <c r="G745" s="2">
        <v>37993</v>
      </c>
      <c r="H745">
        <v>4.4820000000000002</v>
      </c>
      <c r="J745" s="2">
        <v>38000</v>
      </c>
      <c r="K745" s="3">
        <f t="shared" si="22"/>
        <v>4.5</v>
      </c>
      <c r="L745" s="3">
        <f t="shared" si="23"/>
        <v>4.5179999999999998</v>
      </c>
    </row>
    <row r="746" spans="1:12" x14ac:dyDescent="0.3">
      <c r="A746" s="2">
        <v>37263</v>
      </c>
      <c r="B746" t="s">
        <v>13</v>
      </c>
      <c r="D746" s="2">
        <v>37994</v>
      </c>
      <c r="E746">
        <v>4.5</v>
      </c>
      <c r="G746" s="2">
        <v>37994</v>
      </c>
      <c r="H746">
        <v>4.4960000000000004</v>
      </c>
      <c r="J746" s="2">
        <v>38001</v>
      </c>
      <c r="K746" s="3">
        <f t="shared" si="22"/>
        <v>4.5</v>
      </c>
      <c r="L746" s="3">
        <f t="shared" si="23"/>
        <v>4.51</v>
      </c>
    </row>
    <row r="747" spans="1:12" x14ac:dyDescent="0.3">
      <c r="A747" s="2">
        <v>37264</v>
      </c>
      <c r="B747" t="s">
        <v>13</v>
      </c>
      <c r="D747" s="2">
        <v>37995</v>
      </c>
      <c r="E747">
        <v>4.5</v>
      </c>
      <c r="G747" s="2">
        <v>37995</v>
      </c>
      <c r="H747">
        <v>4.4870000000000001</v>
      </c>
      <c r="J747" s="2">
        <v>38002</v>
      </c>
      <c r="K747" s="3">
        <f t="shared" si="22"/>
        <v>4.5</v>
      </c>
      <c r="L747" s="3">
        <f t="shared" si="23"/>
        <v>4.5229999999999997</v>
      </c>
    </row>
    <row r="748" spans="1:12" x14ac:dyDescent="0.3">
      <c r="A748" s="2">
        <v>37265</v>
      </c>
      <c r="B748" t="s">
        <v>13</v>
      </c>
      <c r="D748" s="2">
        <v>37996</v>
      </c>
      <c r="E748">
        <v>4.5</v>
      </c>
      <c r="G748" s="2">
        <v>37996</v>
      </c>
      <c r="H748">
        <v>4.4870000000000001</v>
      </c>
      <c r="J748" s="2">
        <v>38003</v>
      </c>
      <c r="K748" s="3">
        <f t="shared" si="22"/>
        <v>4.5</v>
      </c>
      <c r="L748" s="3">
        <f t="shared" si="23"/>
        <v>4.5229999999999997</v>
      </c>
    </row>
    <row r="749" spans="1:12" x14ac:dyDescent="0.3">
      <c r="A749" s="2">
        <v>37266</v>
      </c>
      <c r="B749" t="s">
        <v>13</v>
      </c>
      <c r="D749" s="2">
        <v>37997</v>
      </c>
      <c r="E749">
        <v>4.5</v>
      </c>
      <c r="G749" s="2">
        <v>37997</v>
      </c>
      <c r="H749">
        <v>4.4870000000000001</v>
      </c>
      <c r="J749" s="2">
        <v>38004</v>
      </c>
      <c r="K749" s="3">
        <f t="shared" si="22"/>
        <v>4.5</v>
      </c>
      <c r="L749" s="3">
        <f t="shared" si="23"/>
        <v>4.5229999999999997</v>
      </c>
    </row>
    <row r="750" spans="1:12" x14ac:dyDescent="0.3">
      <c r="A750" s="2">
        <v>37267</v>
      </c>
      <c r="B750" t="s">
        <v>13</v>
      </c>
      <c r="D750" s="2">
        <v>37998</v>
      </c>
      <c r="E750">
        <v>4.5</v>
      </c>
      <c r="G750" s="2">
        <v>37998</v>
      </c>
      <c r="H750">
        <v>4.4820000000000002</v>
      </c>
      <c r="J750" s="2">
        <v>38005</v>
      </c>
      <c r="K750" s="3">
        <f t="shared" si="22"/>
        <v>4.5</v>
      </c>
      <c r="L750" s="3">
        <f t="shared" si="23"/>
        <v>4.5289999999999999</v>
      </c>
    </row>
    <row r="751" spans="1:12" x14ac:dyDescent="0.3">
      <c r="A751" s="2">
        <v>37268</v>
      </c>
      <c r="B751" t="s">
        <v>13</v>
      </c>
      <c r="D751" s="2">
        <v>37999</v>
      </c>
      <c r="E751">
        <v>4.5</v>
      </c>
      <c r="G751" s="2">
        <v>37999</v>
      </c>
      <c r="H751">
        <v>4.524</v>
      </c>
      <c r="J751" s="2">
        <v>38006</v>
      </c>
      <c r="K751" s="3">
        <f t="shared" si="22"/>
        <v>4.5</v>
      </c>
      <c r="L751" s="3">
        <f t="shared" si="23"/>
        <v>4.5309999999999997</v>
      </c>
    </row>
    <row r="752" spans="1:12" x14ac:dyDescent="0.3">
      <c r="A752" s="2">
        <v>37269</v>
      </c>
      <c r="B752" t="s">
        <v>13</v>
      </c>
      <c r="D752" s="2">
        <v>38000</v>
      </c>
      <c r="E752">
        <v>4.5</v>
      </c>
      <c r="G752" s="2">
        <v>38000</v>
      </c>
      <c r="H752">
        <v>4.5179999999999998</v>
      </c>
      <c r="J752" s="2">
        <v>38007</v>
      </c>
      <c r="K752" s="3">
        <f t="shared" si="22"/>
        <v>4.5</v>
      </c>
      <c r="L752" s="3">
        <f t="shared" si="23"/>
        <v>4.5209999999999999</v>
      </c>
    </row>
    <row r="753" spans="1:12" x14ac:dyDescent="0.3">
      <c r="A753" s="2">
        <v>37270</v>
      </c>
      <c r="B753" t="s">
        <v>13</v>
      </c>
      <c r="D753" s="2">
        <v>38001</v>
      </c>
      <c r="E753">
        <v>4.5</v>
      </c>
      <c r="G753" s="2">
        <v>38001</v>
      </c>
      <c r="H753">
        <v>4.51</v>
      </c>
      <c r="J753" s="2">
        <v>38008</v>
      </c>
      <c r="K753" s="3">
        <f t="shared" si="22"/>
        <v>4.5</v>
      </c>
      <c r="L753" s="3">
        <f t="shared" si="23"/>
        <v>4.5330000000000004</v>
      </c>
    </row>
    <row r="754" spans="1:12" x14ac:dyDescent="0.3">
      <c r="A754" s="2">
        <v>37271</v>
      </c>
      <c r="B754" t="s">
        <v>13</v>
      </c>
      <c r="D754" s="2">
        <v>38002</v>
      </c>
      <c r="E754">
        <v>4.5</v>
      </c>
      <c r="G754" s="2">
        <v>38002</v>
      </c>
      <c r="H754">
        <v>4.5229999999999997</v>
      </c>
      <c r="J754" s="2">
        <v>38009</v>
      </c>
      <c r="K754" s="3">
        <f t="shared" si="22"/>
        <v>4.5</v>
      </c>
      <c r="L754" s="3">
        <f t="shared" si="23"/>
        <v>4.532</v>
      </c>
    </row>
    <row r="755" spans="1:12" x14ac:dyDescent="0.3">
      <c r="A755" s="2">
        <v>37272</v>
      </c>
      <c r="B755" t="s">
        <v>13</v>
      </c>
      <c r="D755" s="2">
        <v>38003</v>
      </c>
      <c r="E755">
        <v>4.5</v>
      </c>
      <c r="G755" s="2">
        <v>38003</v>
      </c>
      <c r="H755">
        <v>4.5229999999999997</v>
      </c>
      <c r="J755" s="2">
        <v>38010</v>
      </c>
      <c r="K755" s="3">
        <f t="shared" si="22"/>
        <v>4.5</v>
      </c>
      <c r="L755" s="3">
        <f t="shared" si="23"/>
        <v>4.532</v>
      </c>
    </row>
    <row r="756" spans="1:12" x14ac:dyDescent="0.3">
      <c r="A756" s="2">
        <v>37273</v>
      </c>
      <c r="B756" t="s">
        <v>13</v>
      </c>
      <c r="D756" s="2">
        <v>38004</v>
      </c>
      <c r="E756">
        <v>4.5</v>
      </c>
      <c r="G756" s="2">
        <v>38004</v>
      </c>
      <c r="H756">
        <v>4.5229999999999997</v>
      </c>
      <c r="J756" s="2">
        <v>38011</v>
      </c>
      <c r="K756" s="3">
        <f t="shared" si="22"/>
        <v>4.5</v>
      </c>
      <c r="L756" s="3">
        <f t="shared" si="23"/>
        <v>4.532</v>
      </c>
    </row>
    <row r="757" spans="1:12" x14ac:dyDescent="0.3">
      <c r="A757" s="2">
        <v>37274</v>
      </c>
      <c r="B757" t="s">
        <v>13</v>
      </c>
      <c r="D757" s="2">
        <v>38005</v>
      </c>
      <c r="E757">
        <v>4.5</v>
      </c>
      <c r="G757" s="2">
        <v>38005</v>
      </c>
      <c r="H757">
        <v>4.5289999999999999</v>
      </c>
      <c r="J757" s="2">
        <v>38012</v>
      </c>
      <c r="K757" s="3">
        <f t="shared" si="22"/>
        <v>4.5</v>
      </c>
      <c r="L757" s="3">
        <f t="shared" si="23"/>
        <v>4.532</v>
      </c>
    </row>
    <row r="758" spans="1:12" x14ac:dyDescent="0.3">
      <c r="A758" s="2">
        <v>37275</v>
      </c>
      <c r="B758" t="s">
        <v>13</v>
      </c>
      <c r="D758" s="2">
        <v>38006</v>
      </c>
      <c r="E758">
        <v>4.5</v>
      </c>
      <c r="G758" s="2">
        <v>38006</v>
      </c>
      <c r="H758">
        <v>4.5309999999999997</v>
      </c>
      <c r="J758" s="2">
        <v>38013</v>
      </c>
      <c r="K758" s="3">
        <f t="shared" si="22"/>
        <v>4.5</v>
      </c>
      <c r="L758" s="3">
        <f t="shared" si="23"/>
        <v>4.5270000000000001</v>
      </c>
    </row>
    <row r="759" spans="1:12" x14ac:dyDescent="0.3">
      <c r="A759" s="2">
        <v>37276</v>
      </c>
      <c r="B759" t="s">
        <v>13</v>
      </c>
      <c r="D759" s="2">
        <v>38007</v>
      </c>
      <c r="E759">
        <v>4.5</v>
      </c>
      <c r="G759" s="2">
        <v>38007</v>
      </c>
      <c r="H759">
        <v>4.5209999999999999</v>
      </c>
      <c r="J759" s="2">
        <v>38014</v>
      </c>
      <c r="K759" s="3">
        <f t="shared" si="22"/>
        <v>4.5</v>
      </c>
      <c r="L759" s="3">
        <f t="shared" si="23"/>
        <v>4.5380000000000003</v>
      </c>
    </row>
    <row r="760" spans="1:12" x14ac:dyDescent="0.3">
      <c r="A760" s="2">
        <v>37277</v>
      </c>
      <c r="B760" t="s">
        <v>13</v>
      </c>
      <c r="D760" s="2">
        <v>38008</v>
      </c>
      <c r="E760">
        <v>4.5</v>
      </c>
      <c r="G760" s="2">
        <v>38008</v>
      </c>
      <c r="H760">
        <v>4.5330000000000004</v>
      </c>
      <c r="J760" s="2">
        <v>38015</v>
      </c>
      <c r="K760" s="3">
        <f t="shared" si="22"/>
        <v>4.5</v>
      </c>
      <c r="L760" s="3">
        <f t="shared" si="23"/>
        <v>4.5549999999999997</v>
      </c>
    </row>
    <row r="761" spans="1:12" x14ac:dyDescent="0.3">
      <c r="A761" s="2">
        <v>37278</v>
      </c>
      <c r="B761" t="s">
        <v>13</v>
      </c>
      <c r="D761" s="2">
        <v>38009</v>
      </c>
      <c r="E761">
        <v>4.5</v>
      </c>
      <c r="G761" s="2">
        <v>38009</v>
      </c>
      <c r="H761">
        <v>4.532</v>
      </c>
      <c r="J761" s="2">
        <v>38016</v>
      </c>
      <c r="K761" s="3">
        <f t="shared" si="22"/>
        <v>4.5</v>
      </c>
      <c r="L761" s="3">
        <f t="shared" si="23"/>
        <v>4.5730000000000004</v>
      </c>
    </row>
    <row r="762" spans="1:12" x14ac:dyDescent="0.3">
      <c r="A762" s="2">
        <v>37279</v>
      </c>
      <c r="B762" t="s">
        <v>13</v>
      </c>
      <c r="D762" s="2">
        <v>38010</v>
      </c>
      <c r="E762">
        <v>4.5</v>
      </c>
      <c r="G762" s="2">
        <v>38010</v>
      </c>
      <c r="H762">
        <v>4.532</v>
      </c>
      <c r="J762" s="2">
        <v>38017</v>
      </c>
      <c r="K762" s="3">
        <f t="shared" si="22"/>
        <v>4.5</v>
      </c>
      <c r="L762" s="3">
        <f t="shared" si="23"/>
        <v>4.5730000000000004</v>
      </c>
    </row>
    <row r="763" spans="1:12" x14ac:dyDescent="0.3">
      <c r="A763" s="2">
        <v>37280</v>
      </c>
      <c r="B763" t="s">
        <v>13</v>
      </c>
      <c r="D763" s="2">
        <v>38011</v>
      </c>
      <c r="E763">
        <v>4.5</v>
      </c>
      <c r="G763" s="2">
        <v>38011</v>
      </c>
      <c r="H763">
        <v>4.532</v>
      </c>
      <c r="J763" s="2">
        <v>38018</v>
      </c>
      <c r="K763" s="3">
        <f t="shared" si="22"/>
        <v>4.5</v>
      </c>
      <c r="L763" s="3">
        <f t="shared" si="23"/>
        <v>4.5730000000000004</v>
      </c>
    </row>
    <row r="764" spans="1:12" x14ac:dyDescent="0.3">
      <c r="A764" s="2">
        <v>37281</v>
      </c>
      <c r="B764" t="s">
        <v>13</v>
      </c>
      <c r="D764" s="2">
        <v>38012</v>
      </c>
      <c r="E764">
        <v>4.5</v>
      </c>
      <c r="G764" s="2">
        <v>38012</v>
      </c>
      <c r="H764">
        <v>4.532</v>
      </c>
      <c r="J764" s="2">
        <v>38019</v>
      </c>
      <c r="K764" s="3">
        <f t="shared" si="22"/>
        <v>4.5</v>
      </c>
      <c r="L764" s="3">
        <f t="shared" si="23"/>
        <v>4.5730000000000004</v>
      </c>
    </row>
    <row r="765" spans="1:12" x14ac:dyDescent="0.3">
      <c r="A765" s="2">
        <v>37282</v>
      </c>
      <c r="B765" t="s">
        <v>13</v>
      </c>
      <c r="D765" s="2">
        <v>38013</v>
      </c>
      <c r="E765">
        <v>4.5</v>
      </c>
      <c r="G765" s="2">
        <v>38013</v>
      </c>
      <c r="H765">
        <v>4.5270000000000001</v>
      </c>
      <c r="J765" s="2">
        <v>38020</v>
      </c>
      <c r="K765" s="3">
        <f t="shared" si="22"/>
        <v>4.5</v>
      </c>
      <c r="L765" s="3">
        <f t="shared" si="23"/>
        <v>4.5519999999999996</v>
      </c>
    </row>
    <row r="766" spans="1:12" x14ac:dyDescent="0.3">
      <c r="A766" s="2">
        <v>37283</v>
      </c>
      <c r="B766" t="s">
        <v>13</v>
      </c>
      <c r="D766" s="2">
        <v>38014</v>
      </c>
      <c r="E766">
        <v>4.5</v>
      </c>
      <c r="G766" s="2">
        <v>38014</v>
      </c>
      <c r="H766">
        <v>4.5380000000000003</v>
      </c>
      <c r="J766" s="2">
        <v>38021</v>
      </c>
      <c r="K766" s="3">
        <f t="shared" si="22"/>
        <v>4.5</v>
      </c>
      <c r="L766" s="3">
        <f t="shared" si="23"/>
        <v>4.5220000000000002</v>
      </c>
    </row>
    <row r="767" spans="1:12" x14ac:dyDescent="0.3">
      <c r="A767" s="2">
        <v>37284</v>
      </c>
      <c r="B767" t="s">
        <v>13</v>
      </c>
      <c r="D767" s="2">
        <v>38015</v>
      </c>
      <c r="E767">
        <v>4.5</v>
      </c>
      <c r="G767" s="2">
        <v>38015</v>
      </c>
      <c r="H767">
        <v>4.5549999999999997</v>
      </c>
      <c r="J767" s="2">
        <v>38022</v>
      </c>
      <c r="K767" s="3">
        <f t="shared" si="22"/>
        <v>4.5</v>
      </c>
      <c r="L767" s="3">
        <f t="shared" si="23"/>
        <v>4.5650000000000004</v>
      </c>
    </row>
    <row r="768" spans="1:12" x14ac:dyDescent="0.3">
      <c r="A768" s="2">
        <v>37285</v>
      </c>
      <c r="B768" t="s">
        <v>13</v>
      </c>
      <c r="D768" s="2">
        <v>38016</v>
      </c>
      <c r="E768">
        <v>4.5</v>
      </c>
      <c r="G768" s="2">
        <v>38016</v>
      </c>
      <c r="H768">
        <v>4.5730000000000004</v>
      </c>
      <c r="J768" s="2">
        <v>38023</v>
      </c>
      <c r="K768" s="3">
        <f t="shared" si="22"/>
        <v>4.5</v>
      </c>
      <c r="L768" s="3">
        <f t="shared" si="23"/>
        <v>4.5490000000000004</v>
      </c>
    </row>
    <row r="769" spans="1:12" x14ac:dyDescent="0.3">
      <c r="A769" s="2">
        <v>37286</v>
      </c>
      <c r="B769" t="s">
        <v>13</v>
      </c>
      <c r="D769" s="2">
        <v>38017</v>
      </c>
      <c r="E769">
        <v>4.5</v>
      </c>
      <c r="G769" s="2">
        <v>38017</v>
      </c>
      <c r="H769">
        <v>4.5730000000000004</v>
      </c>
      <c r="J769" s="2">
        <v>38024</v>
      </c>
      <c r="K769" s="3">
        <f t="shared" si="22"/>
        <v>4.5</v>
      </c>
      <c r="L769" s="3">
        <f t="shared" si="23"/>
        <v>4.5490000000000004</v>
      </c>
    </row>
    <row r="770" spans="1:12" x14ac:dyDescent="0.3">
      <c r="A770" s="2">
        <v>37287</v>
      </c>
      <c r="B770" t="s">
        <v>13</v>
      </c>
      <c r="D770" s="2">
        <v>38018</v>
      </c>
      <c r="E770">
        <v>4.5</v>
      </c>
      <c r="G770" s="2">
        <v>38018</v>
      </c>
      <c r="H770">
        <v>4.5730000000000004</v>
      </c>
      <c r="J770" s="2">
        <v>38025</v>
      </c>
      <c r="K770" s="3">
        <f t="shared" si="22"/>
        <v>4.5</v>
      </c>
      <c r="L770" s="3">
        <f t="shared" si="23"/>
        <v>4.5490000000000004</v>
      </c>
    </row>
    <row r="771" spans="1:12" x14ac:dyDescent="0.3">
      <c r="A771" s="2">
        <v>37288</v>
      </c>
      <c r="B771" t="s">
        <v>13</v>
      </c>
      <c r="D771" s="2">
        <v>38019</v>
      </c>
      <c r="E771">
        <v>4.5</v>
      </c>
      <c r="G771" s="2">
        <v>38019</v>
      </c>
      <c r="H771">
        <v>4.5730000000000004</v>
      </c>
      <c r="J771" s="2">
        <v>38026</v>
      </c>
      <c r="K771" s="3">
        <f t="shared" ref="K771:K834" si="24">E778</f>
        <v>4.5</v>
      </c>
      <c r="L771" s="3">
        <f t="shared" ref="L771:L834" si="25">H778</f>
        <v>4.556</v>
      </c>
    </row>
    <row r="772" spans="1:12" x14ac:dyDescent="0.3">
      <c r="A772" s="2">
        <v>37289</v>
      </c>
      <c r="B772" t="s">
        <v>13</v>
      </c>
      <c r="D772" s="2">
        <v>38020</v>
      </c>
      <c r="E772">
        <v>4.5</v>
      </c>
      <c r="G772" s="2">
        <v>38020</v>
      </c>
      <c r="H772">
        <v>4.5519999999999996</v>
      </c>
      <c r="J772" s="2">
        <v>38027</v>
      </c>
      <c r="K772" s="3">
        <f t="shared" si="24"/>
        <v>4.5</v>
      </c>
      <c r="L772" s="3">
        <f t="shared" si="25"/>
        <v>4.5599999999999996</v>
      </c>
    </row>
    <row r="773" spans="1:12" x14ac:dyDescent="0.3">
      <c r="A773" s="2">
        <v>37290</v>
      </c>
      <c r="B773" t="s">
        <v>13</v>
      </c>
      <c r="D773" s="2">
        <v>38021</v>
      </c>
      <c r="E773">
        <v>4.5</v>
      </c>
      <c r="G773" s="2">
        <v>38021</v>
      </c>
      <c r="H773">
        <v>4.5220000000000002</v>
      </c>
      <c r="J773" s="2">
        <v>38028</v>
      </c>
      <c r="K773" s="3">
        <f t="shared" si="24"/>
        <v>4.5</v>
      </c>
      <c r="L773" s="3">
        <f t="shared" si="25"/>
        <v>4.5960000000000001</v>
      </c>
    </row>
    <row r="774" spans="1:12" x14ac:dyDescent="0.3">
      <c r="A774" s="2">
        <v>37291</v>
      </c>
      <c r="B774" t="s">
        <v>13</v>
      </c>
      <c r="D774" s="2">
        <v>38022</v>
      </c>
      <c r="E774">
        <v>4.5</v>
      </c>
      <c r="G774" s="2">
        <v>38022</v>
      </c>
      <c r="H774">
        <v>4.5650000000000004</v>
      </c>
      <c r="J774" s="2">
        <v>38029</v>
      </c>
      <c r="K774" s="3">
        <f t="shared" si="24"/>
        <v>4.5</v>
      </c>
      <c r="L774" s="3">
        <f t="shared" si="25"/>
        <v>4.585</v>
      </c>
    </row>
    <row r="775" spans="1:12" x14ac:dyDescent="0.3">
      <c r="A775" s="2">
        <v>37292</v>
      </c>
      <c r="B775" t="s">
        <v>13</v>
      </c>
      <c r="D775" s="2">
        <v>38023</v>
      </c>
      <c r="E775">
        <v>4.5</v>
      </c>
      <c r="G775" s="2">
        <v>38023</v>
      </c>
      <c r="H775">
        <v>4.5490000000000004</v>
      </c>
      <c r="J775" s="2">
        <v>38030</v>
      </c>
      <c r="K775" s="3">
        <f t="shared" si="24"/>
        <v>4.5</v>
      </c>
      <c r="L775" s="3">
        <f t="shared" si="25"/>
        <v>4.585</v>
      </c>
    </row>
    <row r="776" spans="1:12" x14ac:dyDescent="0.3">
      <c r="A776" s="2">
        <v>37293</v>
      </c>
      <c r="B776" t="s">
        <v>13</v>
      </c>
      <c r="D776" s="2">
        <v>38024</v>
      </c>
      <c r="E776">
        <v>4.5</v>
      </c>
      <c r="G776" s="2">
        <v>38024</v>
      </c>
      <c r="H776">
        <v>4.5490000000000004</v>
      </c>
      <c r="J776" s="2">
        <v>38031</v>
      </c>
      <c r="K776" s="3">
        <f t="shared" si="24"/>
        <v>4.5</v>
      </c>
      <c r="L776" s="3">
        <f t="shared" si="25"/>
        <v>4.585</v>
      </c>
    </row>
    <row r="777" spans="1:12" x14ac:dyDescent="0.3">
      <c r="A777" s="2">
        <v>37294</v>
      </c>
      <c r="B777" t="s">
        <v>13</v>
      </c>
      <c r="D777" s="2">
        <v>38025</v>
      </c>
      <c r="E777">
        <v>4.5</v>
      </c>
      <c r="G777" s="2">
        <v>38025</v>
      </c>
      <c r="H777">
        <v>4.5490000000000004</v>
      </c>
      <c r="J777" s="2">
        <v>38032</v>
      </c>
      <c r="K777" s="3">
        <f t="shared" si="24"/>
        <v>4.5</v>
      </c>
      <c r="L777" s="3">
        <f t="shared" si="25"/>
        <v>4.585</v>
      </c>
    </row>
    <row r="778" spans="1:12" x14ac:dyDescent="0.3">
      <c r="A778" s="2">
        <v>37295</v>
      </c>
      <c r="B778" t="s">
        <v>13</v>
      </c>
      <c r="D778" s="2">
        <v>38026</v>
      </c>
      <c r="E778">
        <v>4.5</v>
      </c>
      <c r="G778" s="2">
        <v>38026</v>
      </c>
      <c r="H778">
        <v>4.556</v>
      </c>
      <c r="J778" s="2">
        <v>38033</v>
      </c>
      <c r="K778" s="3">
        <f t="shared" si="24"/>
        <v>4.5</v>
      </c>
      <c r="L778" s="3">
        <f t="shared" si="25"/>
        <v>4.6150000000000002</v>
      </c>
    </row>
    <row r="779" spans="1:12" x14ac:dyDescent="0.3">
      <c r="A779" s="2">
        <v>37296</v>
      </c>
      <c r="B779" t="s">
        <v>13</v>
      </c>
      <c r="D779" s="2">
        <v>38027</v>
      </c>
      <c r="E779">
        <v>4.5</v>
      </c>
      <c r="G779" s="2">
        <v>38027</v>
      </c>
      <c r="H779">
        <v>4.5599999999999996</v>
      </c>
      <c r="J779" s="2">
        <v>38034</v>
      </c>
      <c r="K779" s="3">
        <f t="shared" si="24"/>
        <v>4.5</v>
      </c>
      <c r="L779" s="3">
        <f t="shared" si="25"/>
        <v>4.6150000000000002</v>
      </c>
    </row>
    <row r="780" spans="1:12" x14ac:dyDescent="0.3">
      <c r="A780" s="2">
        <v>37297</v>
      </c>
      <c r="B780" t="s">
        <v>13</v>
      </c>
      <c r="D780" s="2">
        <v>38028</v>
      </c>
      <c r="E780">
        <v>4.5</v>
      </c>
      <c r="G780" s="2">
        <v>38028</v>
      </c>
      <c r="H780">
        <v>4.5960000000000001</v>
      </c>
      <c r="J780" s="2">
        <v>38035</v>
      </c>
      <c r="K780" s="3">
        <f t="shared" si="24"/>
        <v>4.5</v>
      </c>
      <c r="L780" s="3">
        <f t="shared" si="25"/>
        <v>4.6150000000000002</v>
      </c>
    </row>
    <row r="781" spans="1:12" x14ac:dyDescent="0.3">
      <c r="A781" s="2">
        <v>37298</v>
      </c>
      <c r="B781" t="s">
        <v>13</v>
      </c>
      <c r="D781" s="2">
        <v>38029</v>
      </c>
      <c r="E781">
        <v>4.5</v>
      </c>
      <c r="G781" s="2">
        <v>38029</v>
      </c>
      <c r="H781">
        <v>4.585</v>
      </c>
      <c r="J781" s="2">
        <v>38036</v>
      </c>
      <c r="K781" s="3">
        <f t="shared" si="24"/>
        <v>4.5</v>
      </c>
      <c r="L781" s="3">
        <f t="shared" si="25"/>
        <v>4.6100000000000003</v>
      </c>
    </row>
    <row r="782" spans="1:12" x14ac:dyDescent="0.3">
      <c r="A782" s="2">
        <v>37299</v>
      </c>
      <c r="B782" t="s">
        <v>13</v>
      </c>
      <c r="D782" s="2">
        <v>38030</v>
      </c>
      <c r="E782">
        <v>4.5</v>
      </c>
      <c r="G782" s="2">
        <v>38030</v>
      </c>
      <c r="H782">
        <v>4.585</v>
      </c>
      <c r="J782" s="2">
        <v>38037</v>
      </c>
      <c r="K782" s="3">
        <f t="shared" si="24"/>
        <v>4.5</v>
      </c>
      <c r="L782" s="3">
        <f t="shared" si="25"/>
        <v>4.6150000000000002</v>
      </c>
    </row>
    <row r="783" spans="1:12" x14ac:dyDescent="0.3">
      <c r="A783" s="2">
        <v>37300</v>
      </c>
      <c r="B783" t="s">
        <v>13</v>
      </c>
      <c r="D783" s="2">
        <v>38031</v>
      </c>
      <c r="E783">
        <v>4.5</v>
      </c>
      <c r="G783" s="2">
        <v>38031</v>
      </c>
      <c r="H783">
        <v>4.585</v>
      </c>
      <c r="J783" s="2">
        <v>38038</v>
      </c>
      <c r="K783" s="3">
        <f t="shared" si="24"/>
        <v>4.5</v>
      </c>
      <c r="L783" s="3">
        <f t="shared" si="25"/>
        <v>4.6150000000000002</v>
      </c>
    </row>
    <row r="784" spans="1:12" x14ac:dyDescent="0.3">
      <c r="A784" s="2">
        <v>37301</v>
      </c>
      <c r="B784" t="s">
        <v>13</v>
      </c>
      <c r="D784" s="2">
        <v>38032</v>
      </c>
      <c r="E784">
        <v>4.5</v>
      </c>
      <c r="G784" s="2">
        <v>38032</v>
      </c>
      <c r="H784">
        <v>4.585</v>
      </c>
      <c r="J784" s="2">
        <v>38039</v>
      </c>
      <c r="K784" s="3">
        <f t="shared" si="24"/>
        <v>4.5</v>
      </c>
      <c r="L784" s="3">
        <f t="shared" si="25"/>
        <v>4.6150000000000002</v>
      </c>
    </row>
    <row r="785" spans="1:12" x14ac:dyDescent="0.3">
      <c r="A785" s="2">
        <v>37302</v>
      </c>
      <c r="B785" t="s">
        <v>13</v>
      </c>
      <c r="D785" s="2">
        <v>38033</v>
      </c>
      <c r="E785">
        <v>4.5</v>
      </c>
      <c r="G785" s="2">
        <v>38033</v>
      </c>
      <c r="H785">
        <v>4.6150000000000002</v>
      </c>
      <c r="J785" s="2">
        <v>38040</v>
      </c>
      <c r="K785" s="3">
        <f t="shared" si="24"/>
        <v>4.5</v>
      </c>
      <c r="L785" s="3">
        <f t="shared" si="25"/>
        <v>4.5510000000000002</v>
      </c>
    </row>
    <row r="786" spans="1:12" x14ac:dyDescent="0.3">
      <c r="A786" s="2">
        <v>37303</v>
      </c>
      <c r="B786" t="s">
        <v>13</v>
      </c>
      <c r="D786" s="2">
        <v>38034</v>
      </c>
      <c r="E786">
        <v>4.5</v>
      </c>
      <c r="G786" s="2">
        <v>38034</v>
      </c>
      <c r="H786">
        <v>4.6150000000000002</v>
      </c>
      <c r="J786" s="2">
        <v>38041</v>
      </c>
      <c r="K786" s="3">
        <f t="shared" si="24"/>
        <v>4.5</v>
      </c>
      <c r="L786" s="3">
        <f t="shared" si="25"/>
        <v>4.585</v>
      </c>
    </row>
    <row r="787" spans="1:12" x14ac:dyDescent="0.3">
      <c r="A787" s="2">
        <v>37304</v>
      </c>
      <c r="B787" t="s">
        <v>13</v>
      </c>
      <c r="D787" s="2">
        <v>38035</v>
      </c>
      <c r="E787">
        <v>4.5</v>
      </c>
      <c r="G787" s="2">
        <v>38035</v>
      </c>
      <c r="H787">
        <v>4.6150000000000002</v>
      </c>
      <c r="J787" s="2">
        <v>38042</v>
      </c>
      <c r="K787" s="3">
        <f t="shared" si="24"/>
        <v>4.5</v>
      </c>
      <c r="L787" s="3">
        <f t="shared" si="25"/>
        <v>4.5540000000000003</v>
      </c>
    </row>
    <row r="788" spans="1:12" x14ac:dyDescent="0.3">
      <c r="A788" s="2">
        <v>37305</v>
      </c>
      <c r="B788" t="s">
        <v>13</v>
      </c>
      <c r="D788" s="2">
        <v>38036</v>
      </c>
      <c r="E788">
        <v>4.5</v>
      </c>
      <c r="G788" s="2">
        <v>38036</v>
      </c>
      <c r="H788">
        <v>4.6100000000000003</v>
      </c>
      <c r="J788" s="2">
        <v>38043</v>
      </c>
      <c r="K788" s="3">
        <f t="shared" si="24"/>
        <v>4.5</v>
      </c>
      <c r="L788" s="3">
        <f t="shared" si="25"/>
        <v>4.5410000000000004</v>
      </c>
    </row>
    <row r="789" spans="1:12" x14ac:dyDescent="0.3">
      <c r="A789" s="2">
        <v>37306</v>
      </c>
      <c r="B789" t="s">
        <v>13</v>
      </c>
      <c r="D789" s="2">
        <v>38037</v>
      </c>
      <c r="E789">
        <v>4.5</v>
      </c>
      <c r="G789" s="2">
        <v>38037</v>
      </c>
      <c r="H789">
        <v>4.6150000000000002</v>
      </c>
      <c r="J789" s="2">
        <v>38044</v>
      </c>
      <c r="K789" s="3">
        <f t="shared" si="24"/>
        <v>4.5</v>
      </c>
      <c r="L789" s="3">
        <f t="shared" si="25"/>
        <v>4.5250000000000004</v>
      </c>
    </row>
    <row r="790" spans="1:12" x14ac:dyDescent="0.3">
      <c r="A790" s="2">
        <v>37307</v>
      </c>
      <c r="B790" t="s">
        <v>13</v>
      </c>
      <c r="D790" s="2">
        <v>38038</v>
      </c>
      <c r="E790">
        <v>4.5</v>
      </c>
      <c r="G790" s="2">
        <v>38038</v>
      </c>
      <c r="H790">
        <v>4.6150000000000002</v>
      </c>
      <c r="J790" s="2">
        <v>38045</v>
      </c>
      <c r="K790" s="3">
        <f t="shared" si="24"/>
        <v>4.5</v>
      </c>
      <c r="L790" s="3">
        <f t="shared" si="25"/>
        <v>4.532</v>
      </c>
    </row>
    <row r="791" spans="1:12" x14ac:dyDescent="0.3">
      <c r="A791" s="2">
        <v>37308</v>
      </c>
      <c r="B791" t="s">
        <v>13</v>
      </c>
      <c r="D791" s="2">
        <v>38039</v>
      </c>
      <c r="E791">
        <v>4.5</v>
      </c>
      <c r="G791" s="2">
        <v>38039</v>
      </c>
      <c r="H791">
        <v>4.6150000000000002</v>
      </c>
      <c r="J791" s="2">
        <v>38046</v>
      </c>
      <c r="K791" s="3">
        <f t="shared" si="24"/>
        <v>4.5</v>
      </c>
      <c r="L791" s="3">
        <f t="shared" si="25"/>
        <v>4.532</v>
      </c>
    </row>
    <row r="792" spans="1:12" x14ac:dyDescent="0.3">
      <c r="A792" s="2">
        <v>37309</v>
      </c>
      <c r="B792" t="s">
        <v>13</v>
      </c>
      <c r="D792" s="2">
        <v>38040</v>
      </c>
      <c r="E792">
        <v>4.5</v>
      </c>
      <c r="G792" s="2">
        <v>38040</v>
      </c>
      <c r="H792">
        <v>4.5510000000000002</v>
      </c>
      <c r="J792" s="2">
        <v>38047</v>
      </c>
      <c r="K792" s="3">
        <f t="shared" si="24"/>
        <v>4.5</v>
      </c>
      <c r="L792" s="3">
        <f t="shared" si="25"/>
        <v>4.5039999999999996</v>
      </c>
    </row>
    <row r="793" spans="1:12" x14ac:dyDescent="0.3">
      <c r="A793" s="2">
        <v>37310</v>
      </c>
      <c r="B793" t="s">
        <v>13</v>
      </c>
      <c r="D793" s="2">
        <v>38041</v>
      </c>
      <c r="E793">
        <v>4.5</v>
      </c>
      <c r="G793" s="2">
        <v>38041</v>
      </c>
      <c r="H793">
        <v>4.585</v>
      </c>
      <c r="J793" s="2">
        <v>38048</v>
      </c>
      <c r="K793" s="3">
        <f t="shared" si="24"/>
        <v>4.5</v>
      </c>
      <c r="L793" s="3">
        <f t="shared" si="25"/>
        <v>4.5039999999999996</v>
      </c>
    </row>
    <row r="794" spans="1:12" x14ac:dyDescent="0.3">
      <c r="A794" s="2">
        <v>37311</v>
      </c>
      <c r="B794" t="s">
        <v>13</v>
      </c>
      <c r="D794" s="2">
        <v>38042</v>
      </c>
      <c r="E794">
        <v>4.5</v>
      </c>
      <c r="G794" s="2">
        <v>38042</v>
      </c>
      <c r="H794">
        <v>4.5540000000000003</v>
      </c>
      <c r="J794" s="2">
        <v>38049</v>
      </c>
      <c r="K794" s="3">
        <f t="shared" si="24"/>
        <v>4.5</v>
      </c>
      <c r="L794" s="3">
        <f t="shared" si="25"/>
        <v>4.484</v>
      </c>
    </row>
    <row r="795" spans="1:12" x14ac:dyDescent="0.3">
      <c r="A795" s="2">
        <v>37312</v>
      </c>
      <c r="B795" t="s">
        <v>13</v>
      </c>
      <c r="D795" s="2">
        <v>38043</v>
      </c>
      <c r="E795">
        <v>4.5</v>
      </c>
      <c r="G795" s="2">
        <v>38043</v>
      </c>
      <c r="H795">
        <v>4.5410000000000004</v>
      </c>
      <c r="J795" s="2">
        <v>38050</v>
      </c>
      <c r="K795" s="3">
        <f t="shared" si="24"/>
        <v>4.5</v>
      </c>
      <c r="L795" s="3">
        <f t="shared" si="25"/>
        <v>4.4619999999999997</v>
      </c>
    </row>
    <row r="796" spans="1:12" x14ac:dyDescent="0.3">
      <c r="A796" s="2">
        <v>37313</v>
      </c>
      <c r="B796" t="s">
        <v>13</v>
      </c>
      <c r="D796" s="2">
        <v>38044</v>
      </c>
      <c r="E796">
        <v>4.5</v>
      </c>
      <c r="G796" s="2">
        <v>38044</v>
      </c>
      <c r="H796">
        <v>4.5250000000000004</v>
      </c>
      <c r="J796" s="2">
        <v>38051</v>
      </c>
      <c r="K796" s="3">
        <f t="shared" si="24"/>
        <v>4.5</v>
      </c>
      <c r="L796" s="3">
        <f t="shared" si="25"/>
        <v>4.4660000000000002</v>
      </c>
    </row>
    <row r="797" spans="1:12" x14ac:dyDescent="0.3">
      <c r="A797" s="2">
        <v>37314</v>
      </c>
      <c r="B797" t="s">
        <v>13</v>
      </c>
      <c r="D797" s="2">
        <v>38045</v>
      </c>
      <c r="E797">
        <v>4.5</v>
      </c>
      <c r="G797" s="2">
        <v>38045</v>
      </c>
      <c r="H797">
        <v>4.532</v>
      </c>
      <c r="J797" s="2">
        <v>38052</v>
      </c>
      <c r="K797" s="3">
        <f t="shared" si="24"/>
        <v>4.5</v>
      </c>
      <c r="L797" s="3">
        <f t="shared" si="25"/>
        <v>4.45</v>
      </c>
    </row>
    <row r="798" spans="1:12" x14ac:dyDescent="0.3">
      <c r="A798" s="2">
        <v>37315</v>
      </c>
      <c r="B798" t="s">
        <v>13</v>
      </c>
      <c r="D798" s="2">
        <v>38046</v>
      </c>
      <c r="E798">
        <v>4.5</v>
      </c>
      <c r="G798" s="2">
        <v>38046</v>
      </c>
      <c r="H798">
        <v>4.532</v>
      </c>
      <c r="J798" s="2">
        <v>38053</v>
      </c>
      <c r="K798" s="3">
        <f t="shared" si="24"/>
        <v>4.5</v>
      </c>
      <c r="L798" s="3">
        <f t="shared" si="25"/>
        <v>4.45</v>
      </c>
    </row>
    <row r="799" spans="1:12" x14ac:dyDescent="0.3">
      <c r="A799" s="2">
        <v>37316</v>
      </c>
      <c r="B799" t="s">
        <v>13</v>
      </c>
      <c r="D799" s="2">
        <v>38047</v>
      </c>
      <c r="E799">
        <v>4.5</v>
      </c>
      <c r="G799" s="2">
        <v>38047</v>
      </c>
      <c r="H799">
        <v>4.5039999999999996</v>
      </c>
      <c r="J799" s="2">
        <v>38054</v>
      </c>
      <c r="K799" s="3">
        <f t="shared" si="24"/>
        <v>4.5</v>
      </c>
      <c r="L799" s="3">
        <f t="shared" si="25"/>
        <v>4.4429999999999996</v>
      </c>
    </row>
    <row r="800" spans="1:12" x14ac:dyDescent="0.3">
      <c r="A800" s="2">
        <v>37317</v>
      </c>
      <c r="B800" t="s">
        <v>13</v>
      </c>
      <c r="D800" s="2">
        <v>38048</v>
      </c>
      <c r="E800">
        <v>4.5</v>
      </c>
      <c r="G800" s="2">
        <v>38048</v>
      </c>
      <c r="H800">
        <v>4.5039999999999996</v>
      </c>
      <c r="J800" s="2">
        <v>38055</v>
      </c>
      <c r="K800" s="3">
        <f t="shared" si="24"/>
        <v>4.5</v>
      </c>
      <c r="L800" s="3">
        <f t="shared" si="25"/>
        <v>4.4370000000000003</v>
      </c>
    </row>
    <row r="801" spans="1:12" x14ac:dyDescent="0.3">
      <c r="A801" s="2">
        <v>37318</v>
      </c>
      <c r="B801" t="s">
        <v>13</v>
      </c>
      <c r="D801" s="2">
        <v>38049</v>
      </c>
      <c r="E801">
        <v>4.5</v>
      </c>
      <c r="G801" s="2">
        <v>38049</v>
      </c>
      <c r="H801">
        <v>4.484</v>
      </c>
      <c r="J801" s="2">
        <v>38056</v>
      </c>
      <c r="K801" s="3">
        <f t="shared" si="24"/>
        <v>4.5</v>
      </c>
      <c r="L801" s="3">
        <f t="shared" si="25"/>
        <v>4.4290000000000003</v>
      </c>
    </row>
    <row r="802" spans="1:12" x14ac:dyDescent="0.3">
      <c r="A802" s="2">
        <v>37319</v>
      </c>
      <c r="B802" t="s">
        <v>13</v>
      </c>
      <c r="D802" s="2">
        <v>38050</v>
      </c>
      <c r="E802">
        <v>4.5</v>
      </c>
      <c r="G802" s="2">
        <v>38050</v>
      </c>
      <c r="H802">
        <v>4.4619999999999997</v>
      </c>
      <c r="J802" s="2">
        <v>38057</v>
      </c>
      <c r="K802" s="3">
        <f t="shared" si="24"/>
        <v>4.5</v>
      </c>
      <c r="L802" s="3">
        <f t="shared" si="25"/>
        <v>4.4349999999999996</v>
      </c>
    </row>
    <row r="803" spans="1:12" x14ac:dyDescent="0.3">
      <c r="A803" s="2">
        <v>37320</v>
      </c>
      <c r="B803" t="s">
        <v>13</v>
      </c>
      <c r="D803" s="2">
        <v>38051</v>
      </c>
      <c r="E803">
        <v>4.5</v>
      </c>
      <c r="G803" s="2">
        <v>38051</v>
      </c>
      <c r="H803">
        <v>4.4660000000000002</v>
      </c>
      <c r="J803" s="2">
        <v>38058</v>
      </c>
      <c r="K803" s="3">
        <f t="shared" si="24"/>
        <v>4.5</v>
      </c>
      <c r="L803" s="3">
        <f t="shared" si="25"/>
        <v>4.3849999999999998</v>
      </c>
    </row>
    <row r="804" spans="1:12" x14ac:dyDescent="0.3">
      <c r="A804" s="2">
        <v>37321</v>
      </c>
      <c r="B804" t="s">
        <v>13</v>
      </c>
      <c r="D804" s="2">
        <v>38052</v>
      </c>
      <c r="E804">
        <v>4.5</v>
      </c>
      <c r="G804" s="2">
        <v>38052</v>
      </c>
      <c r="H804">
        <v>4.45</v>
      </c>
      <c r="J804" s="2">
        <v>38059</v>
      </c>
      <c r="K804" s="3">
        <f t="shared" si="24"/>
        <v>4.5</v>
      </c>
      <c r="L804" s="3">
        <f t="shared" si="25"/>
        <v>4.468</v>
      </c>
    </row>
    <row r="805" spans="1:12" x14ac:dyDescent="0.3">
      <c r="A805" s="2">
        <v>37322</v>
      </c>
      <c r="B805" t="s">
        <v>13</v>
      </c>
      <c r="D805" s="2">
        <v>38053</v>
      </c>
      <c r="E805">
        <v>4.5</v>
      </c>
      <c r="G805" s="2">
        <v>38053</v>
      </c>
      <c r="H805">
        <v>4.45</v>
      </c>
      <c r="J805" s="2">
        <v>38060</v>
      </c>
      <c r="K805" s="3">
        <f t="shared" si="24"/>
        <v>4.5</v>
      </c>
      <c r="L805" s="3">
        <f t="shared" si="25"/>
        <v>4.468</v>
      </c>
    </row>
    <row r="806" spans="1:12" x14ac:dyDescent="0.3">
      <c r="A806" s="2">
        <v>37323</v>
      </c>
      <c r="B806" t="s">
        <v>13</v>
      </c>
      <c r="D806" s="2">
        <v>38054</v>
      </c>
      <c r="E806">
        <v>4.5</v>
      </c>
      <c r="G806" s="2">
        <v>38054</v>
      </c>
      <c r="H806">
        <v>4.4429999999999996</v>
      </c>
      <c r="J806" s="2">
        <v>38061</v>
      </c>
      <c r="K806" s="3">
        <f t="shared" si="24"/>
        <v>4.5</v>
      </c>
      <c r="L806" s="3">
        <f t="shared" si="25"/>
        <v>4.4649999999999999</v>
      </c>
    </row>
    <row r="807" spans="1:12" x14ac:dyDescent="0.3">
      <c r="A807" s="2">
        <v>37324</v>
      </c>
      <c r="B807" t="s">
        <v>13</v>
      </c>
      <c r="D807" s="2">
        <v>38055</v>
      </c>
      <c r="E807">
        <v>4.5</v>
      </c>
      <c r="G807" s="2">
        <v>38055</v>
      </c>
      <c r="H807">
        <v>4.4370000000000003</v>
      </c>
      <c r="J807" s="2">
        <v>38062</v>
      </c>
      <c r="K807" s="3">
        <f t="shared" si="24"/>
        <v>4.5</v>
      </c>
      <c r="L807" s="3">
        <f t="shared" si="25"/>
        <v>4.4539999999999997</v>
      </c>
    </row>
    <row r="808" spans="1:12" x14ac:dyDescent="0.3">
      <c r="A808" s="2">
        <v>37325</v>
      </c>
      <c r="B808" t="s">
        <v>13</v>
      </c>
      <c r="D808" s="2">
        <v>38056</v>
      </c>
      <c r="E808">
        <v>4.5</v>
      </c>
      <c r="G808" s="2">
        <v>38056</v>
      </c>
      <c r="H808">
        <v>4.4290000000000003</v>
      </c>
      <c r="J808" s="2">
        <v>38063</v>
      </c>
      <c r="K808" s="3">
        <f t="shared" si="24"/>
        <v>4.5</v>
      </c>
      <c r="L808" s="3">
        <f t="shared" si="25"/>
        <v>4.4279999999999999</v>
      </c>
    </row>
    <row r="809" spans="1:12" x14ac:dyDescent="0.3">
      <c r="A809" s="2">
        <v>37326</v>
      </c>
      <c r="B809" t="s">
        <v>13</v>
      </c>
      <c r="D809" s="2">
        <v>38057</v>
      </c>
      <c r="E809">
        <v>4.5</v>
      </c>
      <c r="G809" s="2">
        <v>38057</v>
      </c>
      <c r="H809">
        <v>4.4349999999999996</v>
      </c>
      <c r="J809" s="2">
        <v>38064</v>
      </c>
      <c r="K809" s="3">
        <f t="shared" si="24"/>
        <v>4.5</v>
      </c>
      <c r="L809" s="3">
        <f t="shared" si="25"/>
        <v>4.4349999999999996</v>
      </c>
    </row>
    <row r="810" spans="1:12" x14ac:dyDescent="0.3">
      <c r="A810" s="2">
        <v>37327</v>
      </c>
      <c r="B810" t="s">
        <v>13</v>
      </c>
      <c r="D810" s="2">
        <v>38058</v>
      </c>
      <c r="E810">
        <v>4.5</v>
      </c>
      <c r="G810" s="2">
        <v>38058</v>
      </c>
      <c r="H810">
        <v>4.3849999999999998</v>
      </c>
      <c r="J810" s="2">
        <v>38065</v>
      </c>
      <c r="K810" s="3">
        <f t="shared" si="24"/>
        <v>4.5</v>
      </c>
      <c r="L810" s="3">
        <f t="shared" si="25"/>
        <v>4.4089999999999998</v>
      </c>
    </row>
    <row r="811" spans="1:12" x14ac:dyDescent="0.3">
      <c r="A811" s="2">
        <v>37328</v>
      </c>
      <c r="B811" t="s">
        <v>13</v>
      </c>
      <c r="D811" s="2">
        <v>38059</v>
      </c>
      <c r="E811">
        <v>4.5</v>
      </c>
      <c r="G811" s="2">
        <v>38059</v>
      </c>
      <c r="H811">
        <v>4.468</v>
      </c>
      <c r="J811" s="2">
        <v>38066</v>
      </c>
      <c r="K811" s="3">
        <f t="shared" si="24"/>
        <v>4.5</v>
      </c>
      <c r="L811" s="3">
        <f t="shared" si="25"/>
        <v>4.3879999999999999</v>
      </c>
    </row>
    <row r="812" spans="1:12" x14ac:dyDescent="0.3">
      <c r="A812" s="2">
        <v>37329</v>
      </c>
      <c r="B812" t="s">
        <v>13</v>
      </c>
      <c r="D812" s="2">
        <v>38060</v>
      </c>
      <c r="E812">
        <v>4.5</v>
      </c>
      <c r="G812" s="2">
        <v>38060</v>
      </c>
      <c r="H812">
        <v>4.468</v>
      </c>
      <c r="J812" s="2">
        <v>38067</v>
      </c>
      <c r="K812" s="3">
        <f t="shared" si="24"/>
        <v>4.5</v>
      </c>
      <c r="L812" s="3">
        <f t="shared" si="25"/>
        <v>4.3879999999999999</v>
      </c>
    </row>
    <row r="813" spans="1:12" x14ac:dyDescent="0.3">
      <c r="A813" s="2">
        <v>37330</v>
      </c>
      <c r="B813" t="s">
        <v>13</v>
      </c>
      <c r="D813" s="2">
        <v>38061</v>
      </c>
      <c r="E813">
        <v>4.5</v>
      </c>
      <c r="G813" s="2">
        <v>38061</v>
      </c>
      <c r="H813">
        <v>4.4649999999999999</v>
      </c>
      <c r="J813" s="2">
        <v>38068</v>
      </c>
      <c r="K813" s="3">
        <f t="shared" si="24"/>
        <v>4.5</v>
      </c>
      <c r="L813" s="3">
        <f t="shared" si="25"/>
        <v>4.4109999999999996</v>
      </c>
    </row>
    <row r="814" spans="1:12" x14ac:dyDescent="0.3">
      <c r="A814" s="2">
        <v>37331</v>
      </c>
      <c r="B814" t="s">
        <v>13</v>
      </c>
      <c r="D814" s="2">
        <v>38062</v>
      </c>
      <c r="E814">
        <v>4.5</v>
      </c>
      <c r="G814" s="2">
        <v>38062</v>
      </c>
      <c r="H814">
        <v>4.4539999999999997</v>
      </c>
      <c r="J814" s="2">
        <v>38069</v>
      </c>
      <c r="K814" s="3">
        <f t="shared" si="24"/>
        <v>4.5</v>
      </c>
      <c r="L814" s="3">
        <f t="shared" si="25"/>
        <v>4.423</v>
      </c>
    </row>
    <row r="815" spans="1:12" x14ac:dyDescent="0.3">
      <c r="A815" s="2">
        <v>37332</v>
      </c>
      <c r="B815" t="s">
        <v>13</v>
      </c>
      <c r="D815" s="2">
        <v>38063</v>
      </c>
      <c r="E815">
        <v>4.5</v>
      </c>
      <c r="G815" s="2">
        <v>38063</v>
      </c>
      <c r="H815">
        <v>4.4279999999999999</v>
      </c>
      <c r="J815" s="2">
        <v>38070</v>
      </c>
      <c r="K815" s="3">
        <f t="shared" si="24"/>
        <v>4.5</v>
      </c>
      <c r="L815" s="3">
        <f t="shared" si="25"/>
        <v>4.3970000000000002</v>
      </c>
    </row>
    <row r="816" spans="1:12" x14ac:dyDescent="0.3">
      <c r="A816" s="2">
        <v>37333</v>
      </c>
      <c r="B816" t="s">
        <v>13</v>
      </c>
      <c r="D816" s="2">
        <v>38064</v>
      </c>
      <c r="E816">
        <v>4.5</v>
      </c>
      <c r="G816" s="2">
        <v>38064</v>
      </c>
      <c r="H816">
        <v>4.4349999999999996</v>
      </c>
      <c r="J816" s="2">
        <v>38071</v>
      </c>
      <c r="K816" s="3">
        <f t="shared" si="24"/>
        <v>4.5</v>
      </c>
      <c r="L816" s="3">
        <f t="shared" si="25"/>
        <v>4.41</v>
      </c>
    </row>
    <row r="817" spans="1:12" x14ac:dyDescent="0.3">
      <c r="A817" s="2">
        <v>37334</v>
      </c>
      <c r="B817" t="s">
        <v>13</v>
      </c>
      <c r="D817" s="2">
        <v>38065</v>
      </c>
      <c r="E817">
        <v>4.5</v>
      </c>
      <c r="G817" s="2">
        <v>38065</v>
      </c>
      <c r="H817">
        <v>4.4089999999999998</v>
      </c>
      <c r="J817" s="2">
        <v>38072</v>
      </c>
      <c r="K817" s="3">
        <f t="shared" si="24"/>
        <v>4.5</v>
      </c>
      <c r="L817" s="3">
        <f t="shared" si="25"/>
        <v>4.5129999999999999</v>
      </c>
    </row>
    <row r="818" spans="1:12" x14ac:dyDescent="0.3">
      <c r="A818" s="2">
        <v>37335</v>
      </c>
      <c r="B818" t="s">
        <v>13</v>
      </c>
      <c r="D818" s="2">
        <v>38066</v>
      </c>
      <c r="E818">
        <v>4.5</v>
      </c>
      <c r="G818" s="2">
        <v>38066</v>
      </c>
      <c r="H818">
        <v>4.3879999999999999</v>
      </c>
      <c r="J818" s="2">
        <v>38073</v>
      </c>
      <c r="K818" s="3">
        <f t="shared" si="24"/>
        <v>4.5</v>
      </c>
      <c r="L818" s="3">
        <f t="shared" si="25"/>
        <v>4.4320000000000004</v>
      </c>
    </row>
    <row r="819" spans="1:12" x14ac:dyDescent="0.3">
      <c r="A819" s="2">
        <v>37336</v>
      </c>
      <c r="B819" t="s">
        <v>13</v>
      </c>
      <c r="D819" s="2">
        <v>38067</v>
      </c>
      <c r="E819">
        <v>4.5</v>
      </c>
      <c r="G819" s="2">
        <v>38067</v>
      </c>
      <c r="H819">
        <v>4.3879999999999999</v>
      </c>
      <c r="J819" s="2">
        <v>38074</v>
      </c>
      <c r="K819" s="3">
        <f t="shared" si="24"/>
        <v>4.5</v>
      </c>
      <c r="L819" s="3">
        <f t="shared" si="25"/>
        <v>4.4320000000000004</v>
      </c>
    </row>
    <row r="820" spans="1:12" x14ac:dyDescent="0.3">
      <c r="A820" s="2">
        <v>37337</v>
      </c>
      <c r="B820" t="s">
        <v>13</v>
      </c>
      <c r="D820" s="2">
        <v>38068</v>
      </c>
      <c r="E820">
        <v>4.5</v>
      </c>
      <c r="G820" s="2">
        <v>38068</v>
      </c>
      <c r="H820">
        <v>4.4109999999999996</v>
      </c>
      <c r="J820" s="2">
        <v>38075</v>
      </c>
      <c r="K820" s="3">
        <f t="shared" si="24"/>
        <v>4.5</v>
      </c>
      <c r="L820" s="3">
        <f t="shared" si="25"/>
        <v>4.4340000000000002</v>
      </c>
    </row>
    <row r="821" spans="1:12" x14ac:dyDescent="0.3">
      <c r="A821" s="2">
        <v>37338</v>
      </c>
      <c r="B821" t="s">
        <v>13</v>
      </c>
      <c r="D821" s="2">
        <v>38069</v>
      </c>
      <c r="E821">
        <v>4.5</v>
      </c>
      <c r="G821" s="2">
        <v>38069</v>
      </c>
      <c r="H821">
        <v>4.423</v>
      </c>
      <c r="J821" s="2">
        <v>38076</v>
      </c>
      <c r="K821" s="3">
        <f t="shared" si="24"/>
        <v>4.5</v>
      </c>
      <c r="L821" s="3">
        <f t="shared" si="25"/>
        <v>4.4340000000000002</v>
      </c>
    </row>
    <row r="822" spans="1:12" x14ac:dyDescent="0.3">
      <c r="A822" s="2">
        <v>37339</v>
      </c>
      <c r="B822" t="s">
        <v>13</v>
      </c>
      <c r="D822" s="2">
        <v>38070</v>
      </c>
      <c r="E822">
        <v>4.5</v>
      </c>
      <c r="G822" s="2">
        <v>38070</v>
      </c>
      <c r="H822">
        <v>4.3970000000000002</v>
      </c>
      <c r="J822" s="2">
        <v>38077</v>
      </c>
      <c r="K822" s="3">
        <f t="shared" si="24"/>
        <v>4.5</v>
      </c>
      <c r="L822" s="3">
        <f t="shared" si="25"/>
        <v>4.4180000000000001</v>
      </c>
    </row>
    <row r="823" spans="1:12" x14ac:dyDescent="0.3">
      <c r="A823" s="2">
        <v>37340</v>
      </c>
      <c r="B823" t="s">
        <v>13</v>
      </c>
      <c r="D823" s="2">
        <v>38071</v>
      </c>
      <c r="E823">
        <v>4.5</v>
      </c>
      <c r="G823" s="2">
        <v>38071</v>
      </c>
      <c r="H823">
        <v>4.41</v>
      </c>
      <c r="J823" s="2">
        <v>38078</v>
      </c>
      <c r="K823" s="3">
        <f t="shared" si="24"/>
        <v>4.5</v>
      </c>
      <c r="L823" s="3">
        <f t="shared" si="25"/>
        <v>4.4329999999999998</v>
      </c>
    </row>
    <row r="824" spans="1:12" x14ac:dyDescent="0.3">
      <c r="A824" s="2">
        <v>37341</v>
      </c>
      <c r="B824" t="s">
        <v>13</v>
      </c>
      <c r="D824" s="2">
        <v>38072</v>
      </c>
      <c r="E824">
        <v>4.5</v>
      </c>
      <c r="G824" s="2">
        <v>38072</v>
      </c>
      <c r="H824">
        <v>4.5129999999999999</v>
      </c>
      <c r="J824" s="2">
        <v>38079</v>
      </c>
      <c r="K824" s="3">
        <f t="shared" si="24"/>
        <v>4.5</v>
      </c>
      <c r="L824" s="3">
        <f t="shared" si="25"/>
        <v>4.4450000000000003</v>
      </c>
    </row>
    <row r="825" spans="1:12" x14ac:dyDescent="0.3">
      <c r="A825" s="2">
        <v>37342</v>
      </c>
      <c r="B825" t="s">
        <v>13</v>
      </c>
      <c r="D825" s="2">
        <v>38073</v>
      </c>
      <c r="E825">
        <v>4.5</v>
      </c>
      <c r="G825" s="2">
        <v>38073</v>
      </c>
      <c r="H825">
        <v>4.4320000000000004</v>
      </c>
      <c r="J825" s="2">
        <v>38080</v>
      </c>
      <c r="K825" s="3">
        <f t="shared" si="24"/>
        <v>4.5</v>
      </c>
      <c r="L825" s="3">
        <f t="shared" si="25"/>
        <v>4.4450000000000003</v>
      </c>
    </row>
    <row r="826" spans="1:12" x14ac:dyDescent="0.3">
      <c r="A826" s="2">
        <v>37343</v>
      </c>
      <c r="B826" t="s">
        <v>13</v>
      </c>
      <c r="D826" s="2">
        <v>38074</v>
      </c>
      <c r="E826">
        <v>4.5</v>
      </c>
      <c r="G826" s="2">
        <v>38074</v>
      </c>
      <c r="H826">
        <v>4.4320000000000004</v>
      </c>
      <c r="J826" s="2">
        <v>38081</v>
      </c>
      <c r="K826" s="3">
        <f t="shared" si="24"/>
        <v>4.5</v>
      </c>
      <c r="L826" s="3">
        <f t="shared" si="25"/>
        <v>4.4450000000000003</v>
      </c>
    </row>
    <row r="827" spans="1:12" x14ac:dyDescent="0.3">
      <c r="A827" s="2">
        <v>37344</v>
      </c>
      <c r="B827" t="s">
        <v>13</v>
      </c>
      <c r="D827" s="2">
        <v>38075</v>
      </c>
      <c r="E827">
        <v>4.5</v>
      </c>
      <c r="G827" s="2">
        <v>38075</v>
      </c>
      <c r="H827">
        <v>4.4340000000000002</v>
      </c>
      <c r="J827" s="2">
        <v>38082</v>
      </c>
      <c r="K827" s="3">
        <f t="shared" si="24"/>
        <v>4.5</v>
      </c>
      <c r="L827" s="3">
        <f t="shared" si="25"/>
        <v>4.4779999999999998</v>
      </c>
    </row>
    <row r="828" spans="1:12" x14ac:dyDescent="0.3">
      <c r="A828" s="2">
        <v>37345</v>
      </c>
      <c r="B828" t="s">
        <v>13</v>
      </c>
      <c r="D828" s="2">
        <v>38076</v>
      </c>
      <c r="E828">
        <v>4.5</v>
      </c>
      <c r="G828" s="2">
        <v>38076</v>
      </c>
      <c r="H828">
        <v>4.4340000000000002</v>
      </c>
      <c r="J828" s="2">
        <v>38083</v>
      </c>
      <c r="K828" s="3">
        <f t="shared" si="24"/>
        <v>4.5</v>
      </c>
      <c r="L828" s="3">
        <f t="shared" si="25"/>
        <v>4.5419999999999998</v>
      </c>
    </row>
    <row r="829" spans="1:12" x14ac:dyDescent="0.3">
      <c r="A829" s="2">
        <v>37346</v>
      </c>
      <c r="B829" t="s">
        <v>13</v>
      </c>
      <c r="D829" s="2">
        <v>38077</v>
      </c>
      <c r="E829">
        <v>4.5</v>
      </c>
      <c r="G829" s="2">
        <v>38077</v>
      </c>
      <c r="H829">
        <v>4.4180000000000001</v>
      </c>
      <c r="J829" s="2">
        <v>38084</v>
      </c>
      <c r="K829" s="3">
        <f t="shared" si="24"/>
        <v>4.5</v>
      </c>
      <c r="L829" s="3">
        <f t="shared" si="25"/>
        <v>4.5060000000000002</v>
      </c>
    </row>
    <row r="830" spans="1:12" x14ac:dyDescent="0.3">
      <c r="A830" s="2">
        <v>37347</v>
      </c>
      <c r="B830" t="s">
        <v>13</v>
      </c>
      <c r="D830" s="2">
        <v>38078</v>
      </c>
      <c r="E830">
        <v>4.5</v>
      </c>
      <c r="G830" s="2">
        <v>38078</v>
      </c>
      <c r="H830">
        <v>4.4329999999999998</v>
      </c>
      <c r="J830" s="2">
        <v>38085</v>
      </c>
      <c r="K830" s="3">
        <f t="shared" si="24"/>
        <v>4.5</v>
      </c>
      <c r="L830" s="3">
        <f t="shared" si="25"/>
        <v>4.5110000000000001</v>
      </c>
    </row>
    <row r="831" spans="1:12" x14ac:dyDescent="0.3">
      <c r="A831" s="2">
        <v>37348</v>
      </c>
      <c r="B831" t="s">
        <v>13</v>
      </c>
      <c r="D831" s="2">
        <v>38079</v>
      </c>
      <c r="E831">
        <v>4.5</v>
      </c>
      <c r="G831" s="2">
        <v>38079</v>
      </c>
      <c r="H831">
        <v>4.4450000000000003</v>
      </c>
      <c r="J831" s="2">
        <v>38086</v>
      </c>
      <c r="K831" s="3">
        <f t="shared" si="24"/>
        <v>4.5</v>
      </c>
      <c r="L831" s="3">
        <f t="shared" si="25"/>
        <v>4.5110000000000001</v>
      </c>
    </row>
    <row r="832" spans="1:12" x14ac:dyDescent="0.3">
      <c r="A832" s="2">
        <v>37349</v>
      </c>
      <c r="B832" t="s">
        <v>13</v>
      </c>
      <c r="D832" s="2">
        <v>38080</v>
      </c>
      <c r="E832">
        <v>4.5</v>
      </c>
      <c r="G832" s="2">
        <v>38080</v>
      </c>
      <c r="H832">
        <v>4.4450000000000003</v>
      </c>
      <c r="J832" s="2">
        <v>38087</v>
      </c>
      <c r="K832" s="3">
        <f t="shared" si="24"/>
        <v>4.5</v>
      </c>
      <c r="L832" s="3">
        <f t="shared" si="25"/>
        <v>4.5110000000000001</v>
      </c>
    </row>
    <row r="833" spans="1:12" x14ac:dyDescent="0.3">
      <c r="A833" s="2">
        <v>37350</v>
      </c>
      <c r="B833" t="s">
        <v>13</v>
      </c>
      <c r="D833" s="2">
        <v>38081</v>
      </c>
      <c r="E833">
        <v>4.5</v>
      </c>
      <c r="G833" s="2">
        <v>38081</v>
      </c>
      <c r="H833">
        <v>4.4450000000000003</v>
      </c>
      <c r="J833" s="2">
        <v>38088</v>
      </c>
      <c r="K833" s="3">
        <f t="shared" si="24"/>
        <v>4.5</v>
      </c>
      <c r="L833" s="3">
        <f t="shared" si="25"/>
        <v>4.5110000000000001</v>
      </c>
    </row>
    <row r="834" spans="1:12" x14ac:dyDescent="0.3">
      <c r="A834" s="2">
        <v>37351</v>
      </c>
      <c r="B834" t="s">
        <v>13</v>
      </c>
      <c r="D834" s="2">
        <v>38082</v>
      </c>
      <c r="E834">
        <v>4.5</v>
      </c>
      <c r="G834" s="2">
        <v>38082</v>
      </c>
      <c r="H834">
        <v>4.4779999999999998</v>
      </c>
      <c r="J834" s="2">
        <v>38089</v>
      </c>
      <c r="K834" s="3">
        <f t="shared" si="24"/>
        <v>4.5</v>
      </c>
      <c r="L834" s="3">
        <f t="shared" si="25"/>
        <v>4.5250000000000004</v>
      </c>
    </row>
    <row r="835" spans="1:12" x14ac:dyDescent="0.3">
      <c r="A835" s="2">
        <v>37352</v>
      </c>
      <c r="B835" t="s">
        <v>13</v>
      </c>
      <c r="D835" s="2">
        <v>38083</v>
      </c>
      <c r="E835">
        <v>4.5</v>
      </c>
      <c r="G835" s="2">
        <v>38083</v>
      </c>
      <c r="H835">
        <v>4.5419999999999998</v>
      </c>
      <c r="J835" s="2">
        <v>38090</v>
      </c>
      <c r="K835" s="3">
        <f t="shared" ref="K835:K898" si="26">E842</f>
        <v>4.5</v>
      </c>
      <c r="L835" s="3">
        <f t="shared" ref="L835:L898" si="27">H842</f>
        <v>4.5149999999999997</v>
      </c>
    </row>
    <row r="836" spans="1:12" x14ac:dyDescent="0.3">
      <c r="A836" s="2">
        <v>37353</v>
      </c>
      <c r="B836" t="s">
        <v>13</v>
      </c>
      <c r="D836" s="2">
        <v>38084</v>
      </c>
      <c r="E836">
        <v>4.5</v>
      </c>
      <c r="G836" s="2">
        <v>38084</v>
      </c>
      <c r="H836">
        <v>4.5060000000000002</v>
      </c>
      <c r="J836" s="2">
        <v>38091</v>
      </c>
      <c r="K836" s="3">
        <f t="shared" si="26"/>
        <v>4.5</v>
      </c>
      <c r="L836" s="3">
        <f t="shared" si="27"/>
        <v>4.5149999999999997</v>
      </c>
    </row>
    <row r="837" spans="1:12" x14ac:dyDescent="0.3">
      <c r="A837" s="2">
        <v>37354</v>
      </c>
      <c r="B837" t="s">
        <v>13</v>
      </c>
      <c r="D837" s="2">
        <v>38085</v>
      </c>
      <c r="E837">
        <v>4.5</v>
      </c>
      <c r="G837" s="2">
        <v>38085</v>
      </c>
      <c r="H837">
        <v>4.5110000000000001</v>
      </c>
      <c r="J837" s="2">
        <v>38092</v>
      </c>
      <c r="K837" s="3">
        <f t="shared" si="26"/>
        <v>4.5</v>
      </c>
      <c r="L837" s="3">
        <f t="shared" si="27"/>
        <v>4.5030000000000001</v>
      </c>
    </row>
    <row r="838" spans="1:12" x14ac:dyDescent="0.3">
      <c r="A838" s="2">
        <v>37355</v>
      </c>
      <c r="B838" t="s">
        <v>13</v>
      </c>
      <c r="D838" s="2">
        <v>38086</v>
      </c>
      <c r="E838">
        <v>4.5</v>
      </c>
      <c r="G838" s="2">
        <v>38086</v>
      </c>
      <c r="H838">
        <v>4.5110000000000001</v>
      </c>
      <c r="J838" s="2">
        <v>38093</v>
      </c>
      <c r="K838" s="3">
        <f t="shared" si="26"/>
        <v>4.5</v>
      </c>
      <c r="L838" s="3">
        <f t="shared" si="27"/>
        <v>4.548</v>
      </c>
    </row>
    <row r="839" spans="1:12" x14ac:dyDescent="0.3">
      <c r="A839" s="2">
        <v>37356</v>
      </c>
      <c r="B839" t="s">
        <v>13</v>
      </c>
      <c r="D839" s="2">
        <v>38087</v>
      </c>
      <c r="E839">
        <v>4.5</v>
      </c>
      <c r="G839" s="2">
        <v>38087</v>
      </c>
      <c r="H839">
        <v>4.5110000000000001</v>
      </c>
      <c r="J839" s="2">
        <v>38094</v>
      </c>
      <c r="K839" s="3">
        <f t="shared" si="26"/>
        <v>4.5</v>
      </c>
      <c r="L839" s="3">
        <f t="shared" si="27"/>
        <v>4.5350000000000001</v>
      </c>
    </row>
    <row r="840" spans="1:12" x14ac:dyDescent="0.3">
      <c r="A840" s="2">
        <v>37357</v>
      </c>
      <c r="B840" t="s">
        <v>13</v>
      </c>
      <c r="D840" s="2">
        <v>38088</v>
      </c>
      <c r="E840">
        <v>4.5</v>
      </c>
      <c r="G840" s="2">
        <v>38088</v>
      </c>
      <c r="H840">
        <v>4.5110000000000001</v>
      </c>
      <c r="J840" s="2">
        <v>38095</v>
      </c>
      <c r="K840" s="3">
        <f t="shared" si="26"/>
        <v>4.5</v>
      </c>
      <c r="L840" s="3">
        <f t="shared" si="27"/>
        <v>4.5350000000000001</v>
      </c>
    </row>
    <row r="841" spans="1:12" x14ac:dyDescent="0.3">
      <c r="A841" s="2">
        <v>37358</v>
      </c>
      <c r="B841" t="s">
        <v>13</v>
      </c>
      <c r="D841" s="2">
        <v>38089</v>
      </c>
      <c r="E841">
        <v>4.5</v>
      </c>
      <c r="G841" s="2">
        <v>38089</v>
      </c>
      <c r="H841">
        <v>4.5250000000000004</v>
      </c>
      <c r="J841" s="2">
        <v>38096</v>
      </c>
      <c r="K841" s="3">
        <f t="shared" si="26"/>
        <v>4.5</v>
      </c>
      <c r="L841" s="3">
        <f t="shared" si="27"/>
        <v>4.5259999999999998</v>
      </c>
    </row>
    <row r="842" spans="1:12" x14ac:dyDescent="0.3">
      <c r="A842" s="2">
        <v>37359</v>
      </c>
      <c r="B842" t="s">
        <v>13</v>
      </c>
      <c r="D842" s="2">
        <v>38090</v>
      </c>
      <c r="E842">
        <v>4.5</v>
      </c>
      <c r="G842" s="2">
        <v>38090</v>
      </c>
      <c r="H842">
        <v>4.5149999999999997</v>
      </c>
      <c r="J842" s="2">
        <v>38097</v>
      </c>
      <c r="K842" s="3">
        <f t="shared" si="26"/>
        <v>4.5</v>
      </c>
      <c r="L842" s="3">
        <f t="shared" si="27"/>
        <v>4.5250000000000004</v>
      </c>
    </row>
    <row r="843" spans="1:12" x14ac:dyDescent="0.3">
      <c r="A843" s="2">
        <v>37360</v>
      </c>
      <c r="B843" t="s">
        <v>13</v>
      </c>
      <c r="D843" s="2">
        <v>38091</v>
      </c>
      <c r="E843">
        <v>4.5</v>
      </c>
      <c r="G843" s="2">
        <v>38091</v>
      </c>
      <c r="H843">
        <v>4.5149999999999997</v>
      </c>
      <c r="J843" s="2">
        <v>38098</v>
      </c>
      <c r="K843" s="3">
        <f t="shared" si="26"/>
        <v>4.5</v>
      </c>
      <c r="L843" s="3">
        <f t="shared" si="27"/>
        <v>4.5179999999999998</v>
      </c>
    </row>
    <row r="844" spans="1:12" x14ac:dyDescent="0.3">
      <c r="A844" s="2">
        <v>37361</v>
      </c>
      <c r="B844" t="s">
        <v>13</v>
      </c>
      <c r="D844" s="2">
        <v>38092</v>
      </c>
      <c r="E844">
        <v>4.5</v>
      </c>
      <c r="G844" s="2">
        <v>38092</v>
      </c>
      <c r="H844">
        <v>4.5030000000000001</v>
      </c>
      <c r="J844" s="2">
        <v>38099</v>
      </c>
      <c r="K844" s="3">
        <f t="shared" si="26"/>
        <v>4.5</v>
      </c>
      <c r="L844" s="3">
        <f t="shared" si="27"/>
        <v>4.5339999999999998</v>
      </c>
    </row>
    <row r="845" spans="1:12" x14ac:dyDescent="0.3">
      <c r="A845" s="2">
        <v>37362</v>
      </c>
      <c r="B845" t="s">
        <v>13</v>
      </c>
      <c r="D845" s="2">
        <v>38093</v>
      </c>
      <c r="E845">
        <v>4.5</v>
      </c>
      <c r="G845" s="2">
        <v>38093</v>
      </c>
      <c r="H845">
        <v>4.548</v>
      </c>
      <c r="J845" s="2">
        <v>38100</v>
      </c>
      <c r="K845" s="3">
        <f t="shared" si="26"/>
        <v>4.5</v>
      </c>
      <c r="L845" s="3">
        <f t="shared" si="27"/>
        <v>4.524</v>
      </c>
    </row>
    <row r="846" spans="1:12" x14ac:dyDescent="0.3">
      <c r="A846" s="2">
        <v>37363</v>
      </c>
      <c r="B846" t="s">
        <v>13</v>
      </c>
      <c r="D846" s="2">
        <v>38094</v>
      </c>
      <c r="E846">
        <v>4.5</v>
      </c>
      <c r="G846" s="2">
        <v>38094</v>
      </c>
      <c r="H846">
        <v>4.5350000000000001</v>
      </c>
      <c r="J846" s="2">
        <v>38101</v>
      </c>
      <c r="K846" s="3">
        <f t="shared" si="26"/>
        <v>4.5</v>
      </c>
      <c r="L846" s="3">
        <f t="shared" si="27"/>
        <v>4.5110000000000001</v>
      </c>
    </row>
    <row r="847" spans="1:12" x14ac:dyDescent="0.3">
      <c r="A847" s="2">
        <v>37364</v>
      </c>
      <c r="B847" t="s">
        <v>13</v>
      </c>
      <c r="D847" s="2">
        <v>38095</v>
      </c>
      <c r="E847">
        <v>4.5</v>
      </c>
      <c r="G847" s="2">
        <v>38095</v>
      </c>
      <c r="H847">
        <v>4.5350000000000001</v>
      </c>
      <c r="J847" s="2">
        <v>38102</v>
      </c>
      <c r="K847" s="3">
        <f t="shared" si="26"/>
        <v>4.5</v>
      </c>
      <c r="L847" s="3">
        <f t="shared" si="27"/>
        <v>4.5110000000000001</v>
      </c>
    </row>
    <row r="848" spans="1:12" x14ac:dyDescent="0.3">
      <c r="A848" s="2">
        <v>37365</v>
      </c>
      <c r="B848" t="s">
        <v>13</v>
      </c>
      <c r="D848" s="2">
        <v>38096</v>
      </c>
      <c r="E848">
        <v>4.5</v>
      </c>
      <c r="G848" s="2">
        <v>38096</v>
      </c>
      <c r="H848">
        <v>4.5259999999999998</v>
      </c>
      <c r="J848" s="2">
        <v>38103</v>
      </c>
      <c r="K848" s="3">
        <f t="shared" si="26"/>
        <v>4.5</v>
      </c>
      <c r="L848" s="3">
        <f t="shared" si="27"/>
        <v>4.5110000000000001</v>
      </c>
    </row>
    <row r="849" spans="1:12" x14ac:dyDescent="0.3">
      <c r="A849" s="2">
        <v>37366</v>
      </c>
      <c r="B849" t="s">
        <v>13</v>
      </c>
      <c r="D849" s="2">
        <v>38097</v>
      </c>
      <c r="E849">
        <v>4.5</v>
      </c>
      <c r="G849" s="2">
        <v>38097</v>
      </c>
      <c r="H849">
        <v>4.5250000000000004</v>
      </c>
      <c r="J849" s="2">
        <v>38104</v>
      </c>
      <c r="K849" s="3">
        <f t="shared" si="26"/>
        <v>4.5</v>
      </c>
      <c r="L849" s="3">
        <f t="shared" si="27"/>
        <v>4.532</v>
      </c>
    </row>
    <row r="850" spans="1:12" x14ac:dyDescent="0.3">
      <c r="A850" s="2">
        <v>37367</v>
      </c>
      <c r="B850" t="s">
        <v>13</v>
      </c>
      <c r="D850" s="2">
        <v>38098</v>
      </c>
      <c r="E850">
        <v>4.5</v>
      </c>
      <c r="G850" s="2">
        <v>38098</v>
      </c>
      <c r="H850">
        <v>4.5179999999999998</v>
      </c>
      <c r="J850" s="2">
        <v>38105</v>
      </c>
      <c r="K850" s="3">
        <f t="shared" si="26"/>
        <v>4.5</v>
      </c>
      <c r="L850" s="3">
        <f t="shared" si="27"/>
        <v>4.5220000000000002</v>
      </c>
    </row>
    <row r="851" spans="1:12" x14ac:dyDescent="0.3">
      <c r="A851" s="2">
        <v>37368</v>
      </c>
      <c r="B851" t="s">
        <v>13</v>
      </c>
      <c r="D851" s="2">
        <v>38099</v>
      </c>
      <c r="E851">
        <v>4.5</v>
      </c>
      <c r="G851" s="2">
        <v>38099</v>
      </c>
      <c r="H851">
        <v>4.5339999999999998</v>
      </c>
      <c r="J851" s="2">
        <v>38106</v>
      </c>
      <c r="K851" s="3">
        <f t="shared" si="26"/>
        <v>4.5</v>
      </c>
      <c r="L851" s="3">
        <f t="shared" si="27"/>
        <v>4.5419999999999998</v>
      </c>
    </row>
    <row r="852" spans="1:12" x14ac:dyDescent="0.3">
      <c r="A852" s="2">
        <v>37369</v>
      </c>
      <c r="B852" t="s">
        <v>13</v>
      </c>
      <c r="D852" s="2">
        <v>38100</v>
      </c>
      <c r="E852">
        <v>4.5</v>
      </c>
      <c r="G852" s="2">
        <v>38100</v>
      </c>
      <c r="H852">
        <v>4.524</v>
      </c>
      <c r="J852" s="2">
        <v>38107</v>
      </c>
      <c r="K852" s="3">
        <f t="shared" si="26"/>
        <v>4.5</v>
      </c>
      <c r="L852" s="3">
        <f t="shared" si="27"/>
        <v>4.5179999999999998</v>
      </c>
    </row>
    <row r="853" spans="1:12" x14ac:dyDescent="0.3">
      <c r="A853" s="2">
        <v>37370</v>
      </c>
      <c r="B853" t="s">
        <v>13</v>
      </c>
      <c r="D853" s="2">
        <v>38101</v>
      </c>
      <c r="E853">
        <v>4.5</v>
      </c>
      <c r="G853" s="2">
        <v>38101</v>
      </c>
      <c r="H853">
        <v>4.5110000000000001</v>
      </c>
      <c r="J853" s="2">
        <v>38108</v>
      </c>
      <c r="K853" s="3">
        <f t="shared" si="26"/>
        <v>4.5</v>
      </c>
      <c r="L853" s="3">
        <f t="shared" si="27"/>
        <v>4.5179999999999998</v>
      </c>
    </row>
    <row r="854" spans="1:12" x14ac:dyDescent="0.3">
      <c r="A854" s="2">
        <v>37371</v>
      </c>
      <c r="B854" t="s">
        <v>13</v>
      </c>
      <c r="D854" s="2">
        <v>38102</v>
      </c>
      <c r="E854">
        <v>4.5</v>
      </c>
      <c r="G854" s="2">
        <v>38102</v>
      </c>
      <c r="H854">
        <v>4.5110000000000001</v>
      </c>
      <c r="J854" s="2">
        <v>38109</v>
      </c>
      <c r="K854" s="3">
        <f t="shared" si="26"/>
        <v>4.5</v>
      </c>
      <c r="L854" s="3">
        <f t="shared" si="27"/>
        <v>4.5179999999999998</v>
      </c>
    </row>
    <row r="855" spans="1:12" x14ac:dyDescent="0.3">
      <c r="A855" s="2">
        <v>37372</v>
      </c>
      <c r="B855" t="s">
        <v>13</v>
      </c>
      <c r="D855" s="2">
        <v>38103</v>
      </c>
      <c r="E855">
        <v>4.5</v>
      </c>
      <c r="G855" s="2">
        <v>38103</v>
      </c>
      <c r="H855">
        <v>4.5110000000000001</v>
      </c>
      <c r="J855" s="2">
        <v>38110</v>
      </c>
      <c r="K855" s="3">
        <f t="shared" si="26"/>
        <v>4.5</v>
      </c>
      <c r="L855" s="3">
        <f t="shared" si="27"/>
        <v>4.5129999999999999</v>
      </c>
    </row>
    <row r="856" spans="1:12" x14ac:dyDescent="0.3">
      <c r="A856" s="2">
        <v>37373</v>
      </c>
      <c r="B856" t="s">
        <v>13</v>
      </c>
      <c r="D856" s="2">
        <v>38104</v>
      </c>
      <c r="E856">
        <v>4.5</v>
      </c>
      <c r="G856" s="2">
        <v>38104</v>
      </c>
      <c r="H856">
        <v>4.532</v>
      </c>
      <c r="J856" s="2">
        <v>38111</v>
      </c>
      <c r="K856" s="3">
        <f t="shared" si="26"/>
        <v>4.5</v>
      </c>
      <c r="L856" s="3">
        <f t="shared" si="27"/>
        <v>4.5129999999999999</v>
      </c>
    </row>
    <row r="857" spans="1:12" x14ac:dyDescent="0.3">
      <c r="A857" s="2">
        <v>37374</v>
      </c>
      <c r="B857" t="s">
        <v>13</v>
      </c>
      <c r="D857" s="2">
        <v>38105</v>
      </c>
      <c r="E857">
        <v>4.5</v>
      </c>
      <c r="G857" s="2">
        <v>38105</v>
      </c>
      <c r="H857">
        <v>4.5220000000000002</v>
      </c>
      <c r="J857" s="2">
        <v>38112</v>
      </c>
      <c r="K857" s="3">
        <f t="shared" si="26"/>
        <v>4.5</v>
      </c>
      <c r="L857" s="3">
        <f t="shared" si="27"/>
        <v>4.5010000000000003</v>
      </c>
    </row>
    <row r="858" spans="1:12" x14ac:dyDescent="0.3">
      <c r="A858" s="2">
        <v>37375</v>
      </c>
      <c r="B858" t="s">
        <v>13</v>
      </c>
      <c r="D858" s="2">
        <v>38106</v>
      </c>
      <c r="E858">
        <v>4.5</v>
      </c>
      <c r="G858" s="2">
        <v>38106</v>
      </c>
      <c r="H858">
        <v>4.5419999999999998</v>
      </c>
      <c r="J858" s="2">
        <v>38113</v>
      </c>
      <c r="K858" s="3">
        <f t="shared" si="26"/>
        <v>4.5</v>
      </c>
      <c r="L858" s="3">
        <f t="shared" si="27"/>
        <v>4.5039999999999996</v>
      </c>
    </row>
    <row r="859" spans="1:12" x14ac:dyDescent="0.3">
      <c r="A859" s="2">
        <v>37376</v>
      </c>
      <c r="B859" t="s">
        <v>13</v>
      </c>
      <c r="D859" s="2">
        <v>38107</v>
      </c>
      <c r="E859">
        <v>4.5</v>
      </c>
      <c r="G859" s="2">
        <v>38107</v>
      </c>
      <c r="H859">
        <v>4.5179999999999998</v>
      </c>
      <c r="J859" s="2">
        <v>38114</v>
      </c>
      <c r="K859" s="3">
        <f t="shared" si="26"/>
        <v>4.5</v>
      </c>
      <c r="L859" s="3">
        <f t="shared" si="27"/>
        <v>4.5149999999999997</v>
      </c>
    </row>
    <row r="860" spans="1:12" x14ac:dyDescent="0.3">
      <c r="A860" s="2">
        <v>37377</v>
      </c>
      <c r="B860" t="s">
        <v>13</v>
      </c>
      <c r="D860" s="2">
        <v>38108</v>
      </c>
      <c r="E860">
        <v>4.5</v>
      </c>
      <c r="G860" s="2">
        <v>38108</v>
      </c>
      <c r="H860">
        <v>4.5179999999999998</v>
      </c>
      <c r="J860" s="2">
        <v>38115</v>
      </c>
      <c r="K860" s="3">
        <f t="shared" si="26"/>
        <v>4.5</v>
      </c>
      <c r="L860" s="3">
        <f t="shared" si="27"/>
        <v>4.5149999999999997</v>
      </c>
    </row>
    <row r="861" spans="1:12" x14ac:dyDescent="0.3">
      <c r="A861" s="2">
        <v>37378</v>
      </c>
      <c r="B861" t="s">
        <v>13</v>
      </c>
      <c r="D861" s="2">
        <v>38109</v>
      </c>
      <c r="E861">
        <v>4.5</v>
      </c>
      <c r="G861" s="2">
        <v>38109</v>
      </c>
      <c r="H861">
        <v>4.5179999999999998</v>
      </c>
      <c r="J861" s="2">
        <v>38116</v>
      </c>
      <c r="K861" s="3">
        <f t="shared" si="26"/>
        <v>4.5</v>
      </c>
      <c r="L861" s="3">
        <f t="shared" si="27"/>
        <v>4.5149999999999997</v>
      </c>
    </row>
    <row r="862" spans="1:12" x14ac:dyDescent="0.3">
      <c r="A862" s="2">
        <v>37379</v>
      </c>
      <c r="B862" t="s">
        <v>13</v>
      </c>
      <c r="D862" s="2">
        <v>38110</v>
      </c>
      <c r="E862">
        <v>4.5</v>
      </c>
      <c r="G862" s="2">
        <v>38110</v>
      </c>
      <c r="H862">
        <v>4.5129999999999999</v>
      </c>
      <c r="J862" s="2">
        <v>38117</v>
      </c>
      <c r="K862" s="3">
        <f t="shared" si="26"/>
        <v>4.5</v>
      </c>
      <c r="L862" s="3">
        <f t="shared" si="27"/>
        <v>4.54</v>
      </c>
    </row>
    <row r="863" spans="1:12" x14ac:dyDescent="0.3">
      <c r="A863" s="2">
        <v>37380</v>
      </c>
      <c r="B863" t="s">
        <v>13</v>
      </c>
      <c r="D863" s="2">
        <v>38111</v>
      </c>
      <c r="E863">
        <v>4.5</v>
      </c>
      <c r="G863" s="2">
        <v>38111</v>
      </c>
      <c r="H863">
        <v>4.5129999999999999</v>
      </c>
      <c r="J863" s="2">
        <v>38118</v>
      </c>
      <c r="K863" s="3">
        <f t="shared" si="26"/>
        <v>4.5</v>
      </c>
      <c r="L863" s="3">
        <f t="shared" si="27"/>
        <v>4.54</v>
      </c>
    </row>
    <row r="864" spans="1:12" x14ac:dyDescent="0.3">
      <c r="A864" s="2">
        <v>37381</v>
      </c>
      <c r="B864" t="s">
        <v>13</v>
      </c>
      <c r="D864" s="2">
        <v>38112</v>
      </c>
      <c r="E864">
        <v>4.5</v>
      </c>
      <c r="G864" s="2">
        <v>38112</v>
      </c>
      <c r="H864">
        <v>4.5010000000000003</v>
      </c>
      <c r="J864" s="2">
        <v>38119</v>
      </c>
      <c r="K864" s="3">
        <f t="shared" si="26"/>
        <v>4.5</v>
      </c>
      <c r="L864" s="3">
        <f t="shared" si="27"/>
        <v>4.5090000000000003</v>
      </c>
    </row>
    <row r="865" spans="1:12" x14ac:dyDescent="0.3">
      <c r="A865" s="2">
        <v>37382</v>
      </c>
      <c r="B865" t="s">
        <v>13</v>
      </c>
      <c r="D865" s="2">
        <v>38113</v>
      </c>
      <c r="E865">
        <v>4.5</v>
      </c>
      <c r="G865" s="2">
        <v>38113</v>
      </c>
      <c r="H865">
        <v>4.5039999999999996</v>
      </c>
      <c r="J865" s="2">
        <v>38120</v>
      </c>
      <c r="K865" s="3">
        <f t="shared" si="26"/>
        <v>4.5</v>
      </c>
      <c r="L865" s="3">
        <f t="shared" si="27"/>
        <v>4.4820000000000002</v>
      </c>
    </row>
    <row r="866" spans="1:12" x14ac:dyDescent="0.3">
      <c r="A866" s="2">
        <v>37383</v>
      </c>
      <c r="B866" t="s">
        <v>13</v>
      </c>
      <c r="D866" s="2">
        <v>38114</v>
      </c>
      <c r="E866">
        <v>4.5</v>
      </c>
      <c r="G866" s="2">
        <v>38114</v>
      </c>
      <c r="H866">
        <v>4.5149999999999997</v>
      </c>
      <c r="J866" s="2">
        <v>38121</v>
      </c>
      <c r="K866" s="3">
        <f t="shared" si="26"/>
        <v>4.5</v>
      </c>
      <c r="L866" s="3">
        <f t="shared" si="27"/>
        <v>4.5019999999999998</v>
      </c>
    </row>
    <row r="867" spans="1:12" x14ac:dyDescent="0.3">
      <c r="A867" s="2">
        <v>37384</v>
      </c>
      <c r="B867" t="s">
        <v>13</v>
      </c>
      <c r="D867" s="2">
        <v>38115</v>
      </c>
      <c r="E867">
        <v>4.5</v>
      </c>
      <c r="G867" s="2">
        <v>38115</v>
      </c>
      <c r="H867">
        <v>4.5149999999999997</v>
      </c>
      <c r="J867" s="2">
        <v>38122</v>
      </c>
      <c r="K867" s="3">
        <f t="shared" si="26"/>
        <v>4.5</v>
      </c>
      <c r="L867" s="3">
        <f t="shared" si="27"/>
        <v>4.5110000000000001</v>
      </c>
    </row>
    <row r="868" spans="1:12" x14ac:dyDescent="0.3">
      <c r="A868" s="2">
        <v>37385</v>
      </c>
      <c r="B868" t="s">
        <v>13</v>
      </c>
      <c r="D868" s="2">
        <v>38116</v>
      </c>
      <c r="E868">
        <v>4.5</v>
      </c>
      <c r="G868" s="2">
        <v>38116</v>
      </c>
      <c r="H868">
        <v>4.5149999999999997</v>
      </c>
      <c r="J868" s="2">
        <v>38123</v>
      </c>
      <c r="K868" s="3">
        <f t="shared" si="26"/>
        <v>4.5</v>
      </c>
      <c r="L868" s="3">
        <f t="shared" si="27"/>
        <v>4.5110000000000001</v>
      </c>
    </row>
    <row r="869" spans="1:12" x14ac:dyDescent="0.3">
      <c r="A869" s="2">
        <v>37386</v>
      </c>
      <c r="B869" t="s">
        <v>13</v>
      </c>
      <c r="D869" s="2">
        <v>38117</v>
      </c>
      <c r="E869">
        <v>4.5</v>
      </c>
      <c r="G869" s="2">
        <v>38117</v>
      </c>
      <c r="H869">
        <v>4.54</v>
      </c>
      <c r="J869" s="2">
        <v>38124</v>
      </c>
      <c r="K869" s="3">
        <f t="shared" si="26"/>
        <v>4.5</v>
      </c>
      <c r="L869" s="3">
        <f t="shared" si="27"/>
        <v>4.5039999999999996</v>
      </c>
    </row>
    <row r="870" spans="1:12" x14ac:dyDescent="0.3">
      <c r="A870" s="2">
        <v>37387</v>
      </c>
      <c r="B870" t="s">
        <v>13</v>
      </c>
      <c r="D870" s="2">
        <v>38118</v>
      </c>
      <c r="E870">
        <v>4.5</v>
      </c>
      <c r="G870" s="2">
        <v>38118</v>
      </c>
      <c r="H870">
        <v>4.54</v>
      </c>
      <c r="J870" s="2">
        <v>38125</v>
      </c>
      <c r="K870" s="3">
        <f t="shared" si="26"/>
        <v>4.5</v>
      </c>
      <c r="L870" s="3">
        <f t="shared" si="27"/>
        <v>4.5030000000000001</v>
      </c>
    </row>
    <row r="871" spans="1:12" x14ac:dyDescent="0.3">
      <c r="A871" s="2">
        <v>37388</v>
      </c>
      <c r="B871" t="s">
        <v>13</v>
      </c>
      <c r="D871" s="2">
        <v>38119</v>
      </c>
      <c r="E871">
        <v>4.5</v>
      </c>
      <c r="G871" s="2">
        <v>38119</v>
      </c>
      <c r="H871">
        <v>4.5090000000000003</v>
      </c>
      <c r="J871" s="2">
        <v>38126</v>
      </c>
      <c r="K871" s="3">
        <f t="shared" si="26"/>
        <v>4.5</v>
      </c>
      <c r="L871" s="3">
        <f t="shared" si="27"/>
        <v>4.4870000000000001</v>
      </c>
    </row>
    <row r="872" spans="1:12" x14ac:dyDescent="0.3">
      <c r="A872" s="2">
        <v>37389</v>
      </c>
      <c r="B872" t="s">
        <v>13</v>
      </c>
      <c r="D872" s="2">
        <v>38120</v>
      </c>
      <c r="E872">
        <v>4.5</v>
      </c>
      <c r="G872" s="2">
        <v>38120</v>
      </c>
      <c r="H872">
        <v>4.4820000000000002</v>
      </c>
      <c r="J872" s="2">
        <v>38127</v>
      </c>
      <c r="K872" s="3">
        <f t="shared" si="26"/>
        <v>4.5</v>
      </c>
      <c r="L872" s="3">
        <f t="shared" si="27"/>
        <v>4.4889999999999999</v>
      </c>
    </row>
    <row r="873" spans="1:12" x14ac:dyDescent="0.3">
      <c r="A873" s="2">
        <v>37390</v>
      </c>
      <c r="B873" t="s">
        <v>13</v>
      </c>
      <c r="D873" s="2">
        <v>38121</v>
      </c>
      <c r="E873">
        <v>4.5</v>
      </c>
      <c r="G873" s="2">
        <v>38121</v>
      </c>
      <c r="H873">
        <v>4.5019999999999998</v>
      </c>
      <c r="J873" s="2">
        <v>38128</v>
      </c>
      <c r="K873" s="3">
        <f t="shared" si="26"/>
        <v>4.5</v>
      </c>
      <c r="L873" s="3">
        <f t="shared" si="27"/>
        <v>4.4889999999999999</v>
      </c>
    </row>
    <row r="874" spans="1:12" x14ac:dyDescent="0.3">
      <c r="A874" s="2">
        <v>37391</v>
      </c>
      <c r="B874" t="s">
        <v>13</v>
      </c>
      <c r="D874" s="2">
        <v>38122</v>
      </c>
      <c r="E874">
        <v>4.5</v>
      </c>
      <c r="G874" s="2">
        <v>38122</v>
      </c>
      <c r="H874">
        <v>4.5110000000000001</v>
      </c>
      <c r="J874" s="2">
        <v>38129</v>
      </c>
      <c r="K874" s="3">
        <f t="shared" si="26"/>
        <v>4.5</v>
      </c>
      <c r="L874" s="3">
        <f t="shared" si="27"/>
        <v>4.4850000000000003</v>
      </c>
    </row>
    <row r="875" spans="1:12" x14ac:dyDescent="0.3">
      <c r="A875" s="2">
        <v>37392</v>
      </c>
      <c r="B875" t="s">
        <v>13</v>
      </c>
      <c r="D875" s="2">
        <v>38123</v>
      </c>
      <c r="E875">
        <v>4.5</v>
      </c>
      <c r="G875" s="2">
        <v>38123</v>
      </c>
      <c r="H875">
        <v>4.5110000000000001</v>
      </c>
      <c r="J875" s="2">
        <v>38130</v>
      </c>
      <c r="K875" s="3">
        <f t="shared" si="26"/>
        <v>4.5</v>
      </c>
      <c r="L875" s="3">
        <f t="shared" si="27"/>
        <v>4.4850000000000003</v>
      </c>
    </row>
    <row r="876" spans="1:12" x14ac:dyDescent="0.3">
      <c r="A876" s="2">
        <v>37393</v>
      </c>
      <c r="B876" t="s">
        <v>13</v>
      </c>
      <c r="D876" s="2">
        <v>38124</v>
      </c>
      <c r="E876">
        <v>4.5</v>
      </c>
      <c r="G876" s="2">
        <v>38124</v>
      </c>
      <c r="H876">
        <v>4.5039999999999996</v>
      </c>
      <c r="J876" s="2">
        <v>38131</v>
      </c>
      <c r="K876" s="3">
        <f t="shared" si="26"/>
        <v>4.5</v>
      </c>
      <c r="L876" s="3">
        <f t="shared" si="27"/>
        <v>4.4850000000000003</v>
      </c>
    </row>
    <row r="877" spans="1:12" x14ac:dyDescent="0.3">
      <c r="A877" s="2">
        <v>37394</v>
      </c>
      <c r="B877" t="s">
        <v>13</v>
      </c>
      <c r="D877" s="2">
        <v>38125</v>
      </c>
      <c r="E877">
        <v>4.5</v>
      </c>
      <c r="G877" s="2">
        <v>38125</v>
      </c>
      <c r="H877">
        <v>4.5030000000000001</v>
      </c>
      <c r="J877" s="2">
        <v>38132</v>
      </c>
      <c r="K877" s="3">
        <f t="shared" si="26"/>
        <v>4.5</v>
      </c>
      <c r="L877" s="3">
        <f t="shared" si="27"/>
        <v>4.5060000000000002</v>
      </c>
    </row>
    <row r="878" spans="1:12" x14ac:dyDescent="0.3">
      <c r="A878" s="2">
        <v>37395</v>
      </c>
      <c r="B878" t="s">
        <v>13</v>
      </c>
      <c r="D878" s="2">
        <v>38126</v>
      </c>
      <c r="E878">
        <v>4.5</v>
      </c>
      <c r="G878" s="2">
        <v>38126</v>
      </c>
      <c r="H878">
        <v>4.4870000000000001</v>
      </c>
      <c r="J878" s="2">
        <v>38133</v>
      </c>
      <c r="K878" s="3">
        <f t="shared" si="26"/>
        <v>4.5</v>
      </c>
      <c r="L878" s="3">
        <f t="shared" si="27"/>
        <v>4.5030000000000001</v>
      </c>
    </row>
    <row r="879" spans="1:12" x14ac:dyDescent="0.3">
      <c r="A879" s="2">
        <v>37396</v>
      </c>
      <c r="B879" t="s">
        <v>13</v>
      </c>
      <c r="D879" s="2">
        <v>38127</v>
      </c>
      <c r="E879">
        <v>4.5</v>
      </c>
      <c r="G879" s="2">
        <v>38127</v>
      </c>
      <c r="H879">
        <v>4.4889999999999999</v>
      </c>
      <c r="J879" s="2">
        <v>38134</v>
      </c>
      <c r="K879" s="3">
        <f t="shared" si="26"/>
        <v>4.5</v>
      </c>
      <c r="L879" s="3">
        <f t="shared" si="27"/>
        <v>4.5090000000000003</v>
      </c>
    </row>
    <row r="880" spans="1:12" x14ac:dyDescent="0.3">
      <c r="A880" s="2">
        <v>37397</v>
      </c>
      <c r="B880" t="s">
        <v>13</v>
      </c>
      <c r="D880" s="2">
        <v>38128</v>
      </c>
      <c r="E880">
        <v>4.5</v>
      </c>
      <c r="G880" s="2">
        <v>38128</v>
      </c>
      <c r="H880">
        <v>4.4889999999999999</v>
      </c>
      <c r="J880" s="2">
        <v>38135</v>
      </c>
      <c r="K880" s="3">
        <f t="shared" si="26"/>
        <v>4.5</v>
      </c>
      <c r="L880" s="3">
        <f t="shared" si="27"/>
        <v>4.4859999999999998</v>
      </c>
    </row>
    <row r="881" spans="1:12" x14ac:dyDescent="0.3">
      <c r="A881" s="2">
        <v>37398</v>
      </c>
      <c r="B881" t="s">
        <v>13</v>
      </c>
      <c r="D881" s="2">
        <v>38129</v>
      </c>
      <c r="E881">
        <v>4.5</v>
      </c>
      <c r="G881" s="2">
        <v>38129</v>
      </c>
      <c r="H881">
        <v>4.4850000000000003</v>
      </c>
      <c r="J881" s="2">
        <v>38136</v>
      </c>
      <c r="K881" s="3">
        <f t="shared" si="26"/>
        <v>4.5</v>
      </c>
      <c r="L881" s="3">
        <f t="shared" si="27"/>
        <v>4.5019999999999998</v>
      </c>
    </row>
    <row r="882" spans="1:12" x14ac:dyDescent="0.3">
      <c r="A882" s="2">
        <v>37399</v>
      </c>
      <c r="B882" t="s">
        <v>13</v>
      </c>
      <c r="D882" s="2">
        <v>38130</v>
      </c>
      <c r="E882">
        <v>4.5</v>
      </c>
      <c r="G882" s="2">
        <v>38130</v>
      </c>
      <c r="H882">
        <v>4.4850000000000003</v>
      </c>
      <c r="J882" s="2">
        <v>38137</v>
      </c>
      <c r="K882" s="3">
        <f t="shared" si="26"/>
        <v>4.5</v>
      </c>
      <c r="L882" s="3">
        <f t="shared" si="27"/>
        <v>4.5019999999999998</v>
      </c>
    </row>
    <row r="883" spans="1:12" x14ac:dyDescent="0.3">
      <c r="A883" s="2">
        <v>37400</v>
      </c>
      <c r="B883" t="s">
        <v>13</v>
      </c>
      <c r="D883" s="2">
        <v>38131</v>
      </c>
      <c r="E883">
        <v>4.5</v>
      </c>
      <c r="G883" s="2">
        <v>38131</v>
      </c>
      <c r="H883">
        <v>4.4850000000000003</v>
      </c>
      <c r="J883" s="2">
        <v>38138</v>
      </c>
      <c r="K883" s="3">
        <f t="shared" si="26"/>
        <v>4.5</v>
      </c>
      <c r="L883" s="3">
        <f t="shared" si="27"/>
        <v>4.5069999999999997</v>
      </c>
    </row>
    <row r="884" spans="1:12" x14ac:dyDescent="0.3">
      <c r="A884" s="2">
        <v>37401</v>
      </c>
      <c r="B884" t="s">
        <v>13</v>
      </c>
      <c r="D884" s="2">
        <v>38132</v>
      </c>
      <c r="E884">
        <v>4.5</v>
      </c>
      <c r="G884" s="2">
        <v>38132</v>
      </c>
      <c r="H884">
        <v>4.5060000000000002</v>
      </c>
      <c r="J884" s="2">
        <v>38139</v>
      </c>
      <c r="K884" s="3">
        <f t="shared" si="26"/>
        <v>4.5</v>
      </c>
      <c r="L884" s="3">
        <f t="shared" si="27"/>
        <v>4.508</v>
      </c>
    </row>
    <row r="885" spans="1:12" x14ac:dyDescent="0.3">
      <c r="A885" s="2">
        <v>37402</v>
      </c>
      <c r="B885" t="s">
        <v>13</v>
      </c>
      <c r="D885" s="2">
        <v>38133</v>
      </c>
      <c r="E885">
        <v>4.5</v>
      </c>
      <c r="G885" s="2">
        <v>38133</v>
      </c>
      <c r="H885">
        <v>4.5030000000000001</v>
      </c>
      <c r="J885" s="2">
        <v>38140</v>
      </c>
      <c r="K885" s="3">
        <f t="shared" si="26"/>
        <v>4.5</v>
      </c>
      <c r="L885" s="3">
        <f t="shared" si="27"/>
        <v>4.5490000000000004</v>
      </c>
    </row>
    <row r="886" spans="1:12" x14ac:dyDescent="0.3">
      <c r="A886" s="2">
        <v>37403</v>
      </c>
      <c r="B886" t="s">
        <v>13</v>
      </c>
      <c r="D886" s="2">
        <v>38134</v>
      </c>
      <c r="E886">
        <v>4.5</v>
      </c>
      <c r="G886" s="2">
        <v>38134</v>
      </c>
      <c r="H886">
        <v>4.5090000000000003</v>
      </c>
      <c r="J886" s="2">
        <v>38141</v>
      </c>
      <c r="K886" s="3">
        <f t="shared" si="26"/>
        <v>4.5</v>
      </c>
      <c r="L886" s="3">
        <f t="shared" si="27"/>
        <v>4.5389999999999997</v>
      </c>
    </row>
    <row r="887" spans="1:12" x14ac:dyDescent="0.3">
      <c r="A887" s="2">
        <v>37404</v>
      </c>
      <c r="B887" t="s">
        <v>13</v>
      </c>
      <c r="D887" s="2">
        <v>38135</v>
      </c>
      <c r="E887">
        <v>4.5</v>
      </c>
      <c r="G887" s="2">
        <v>38135</v>
      </c>
      <c r="H887">
        <v>4.4859999999999998</v>
      </c>
      <c r="J887" s="2">
        <v>38142</v>
      </c>
      <c r="K887" s="3">
        <f t="shared" si="26"/>
        <v>4.5</v>
      </c>
      <c r="L887" s="3">
        <f t="shared" si="27"/>
        <v>4.5330000000000004</v>
      </c>
    </row>
    <row r="888" spans="1:12" x14ac:dyDescent="0.3">
      <c r="A888" s="2">
        <v>37405</v>
      </c>
      <c r="B888" t="s">
        <v>13</v>
      </c>
      <c r="D888" s="2">
        <v>38136</v>
      </c>
      <c r="E888">
        <v>4.5</v>
      </c>
      <c r="G888" s="2">
        <v>38136</v>
      </c>
      <c r="H888">
        <v>4.5019999999999998</v>
      </c>
      <c r="J888" s="2">
        <v>38143</v>
      </c>
      <c r="K888" s="3">
        <f t="shared" si="26"/>
        <v>4.5</v>
      </c>
      <c r="L888" s="3">
        <f t="shared" si="27"/>
        <v>4.5110000000000001</v>
      </c>
    </row>
    <row r="889" spans="1:12" x14ac:dyDescent="0.3">
      <c r="A889" s="2">
        <v>37406</v>
      </c>
      <c r="B889" t="s">
        <v>13</v>
      </c>
      <c r="D889" s="2">
        <v>38137</v>
      </c>
      <c r="E889">
        <v>4.5</v>
      </c>
      <c r="G889" s="2">
        <v>38137</v>
      </c>
      <c r="H889">
        <v>4.5019999999999998</v>
      </c>
      <c r="J889" s="2">
        <v>38144</v>
      </c>
      <c r="K889" s="3">
        <f t="shared" si="26"/>
        <v>4.5</v>
      </c>
      <c r="L889" s="3">
        <f t="shared" si="27"/>
        <v>4.5110000000000001</v>
      </c>
    </row>
    <row r="890" spans="1:12" x14ac:dyDescent="0.3">
      <c r="A890" s="2">
        <v>37407</v>
      </c>
      <c r="B890" t="s">
        <v>13</v>
      </c>
      <c r="D890" s="2">
        <v>38138</v>
      </c>
      <c r="E890">
        <v>4.5</v>
      </c>
      <c r="G890" s="2">
        <v>38138</v>
      </c>
      <c r="H890">
        <v>4.5069999999999997</v>
      </c>
      <c r="J890" s="2">
        <v>38145</v>
      </c>
      <c r="K890" s="3">
        <f t="shared" si="26"/>
        <v>4.5</v>
      </c>
      <c r="L890" s="3">
        <f t="shared" si="27"/>
        <v>4.5540000000000003</v>
      </c>
    </row>
    <row r="891" spans="1:12" x14ac:dyDescent="0.3">
      <c r="A891" s="2">
        <v>37408</v>
      </c>
      <c r="B891" t="s">
        <v>13</v>
      </c>
      <c r="D891" s="2">
        <v>38139</v>
      </c>
      <c r="E891">
        <v>4.5</v>
      </c>
      <c r="G891" s="2">
        <v>38139</v>
      </c>
      <c r="H891">
        <v>4.508</v>
      </c>
      <c r="J891" s="2">
        <v>38146</v>
      </c>
      <c r="K891" s="3">
        <f t="shared" si="26"/>
        <v>4.5</v>
      </c>
      <c r="L891" s="3">
        <f t="shared" si="27"/>
        <v>4.5369999999999999</v>
      </c>
    </row>
    <row r="892" spans="1:12" x14ac:dyDescent="0.3">
      <c r="A892" s="2">
        <v>37409</v>
      </c>
      <c r="B892" t="s">
        <v>13</v>
      </c>
      <c r="D892" s="2">
        <v>38140</v>
      </c>
      <c r="E892">
        <v>4.5</v>
      </c>
      <c r="G892" s="2">
        <v>38140</v>
      </c>
      <c r="H892">
        <v>4.5490000000000004</v>
      </c>
      <c r="J892" s="2">
        <v>38147</v>
      </c>
      <c r="K892" s="3">
        <f t="shared" si="26"/>
        <v>4.5</v>
      </c>
      <c r="L892" s="3">
        <f t="shared" si="27"/>
        <v>4.5590000000000002</v>
      </c>
    </row>
    <row r="893" spans="1:12" x14ac:dyDescent="0.3">
      <c r="A893" s="2">
        <v>37410</v>
      </c>
      <c r="B893" t="s">
        <v>13</v>
      </c>
      <c r="D893" s="2">
        <v>38141</v>
      </c>
      <c r="E893">
        <v>4.5</v>
      </c>
      <c r="G893" s="2">
        <v>38141</v>
      </c>
      <c r="H893">
        <v>4.5389999999999997</v>
      </c>
      <c r="J893" s="2">
        <v>38148</v>
      </c>
      <c r="K893" s="3">
        <f t="shared" si="26"/>
        <v>4.5</v>
      </c>
      <c r="L893" s="3">
        <f t="shared" si="27"/>
        <v>4.5759999999999996</v>
      </c>
    </row>
    <row r="894" spans="1:12" x14ac:dyDescent="0.3">
      <c r="A894" s="2">
        <v>37411</v>
      </c>
      <c r="B894" t="s">
        <v>13</v>
      </c>
      <c r="D894" s="2">
        <v>38142</v>
      </c>
      <c r="E894">
        <v>4.5</v>
      </c>
      <c r="G894" s="2">
        <v>38142</v>
      </c>
      <c r="H894">
        <v>4.5330000000000004</v>
      </c>
      <c r="J894" s="2">
        <v>38149</v>
      </c>
      <c r="K894" s="3">
        <f t="shared" si="26"/>
        <v>4.5</v>
      </c>
      <c r="L894" s="3">
        <f t="shared" si="27"/>
        <v>4.5720000000000001</v>
      </c>
    </row>
    <row r="895" spans="1:12" x14ac:dyDescent="0.3">
      <c r="A895" s="2">
        <v>37412</v>
      </c>
      <c r="B895" t="s">
        <v>13</v>
      </c>
      <c r="D895" s="2">
        <v>38143</v>
      </c>
      <c r="E895">
        <v>4.5</v>
      </c>
      <c r="G895" s="2">
        <v>38143</v>
      </c>
      <c r="H895">
        <v>4.5110000000000001</v>
      </c>
      <c r="J895" s="2">
        <v>38150</v>
      </c>
      <c r="K895" s="3">
        <f t="shared" si="26"/>
        <v>4.5</v>
      </c>
      <c r="L895" s="3">
        <f t="shared" si="27"/>
        <v>4.5629999999999997</v>
      </c>
    </row>
    <row r="896" spans="1:12" x14ac:dyDescent="0.3">
      <c r="A896" s="2">
        <v>37413</v>
      </c>
      <c r="B896" t="s">
        <v>13</v>
      </c>
      <c r="D896" s="2">
        <v>38144</v>
      </c>
      <c r="E896">
        <v>4.5</v>
      </c>
      <c r="G896" s="2">
        <v>38144</v>
      </c>
      <c r="H896">
        <v>4.5110000000000001</v>
      </c>
      <c r="J896" s="2">
        <v>38151</v>
      </c>
      <c r="K896" s="3">
        <f t="shared" si="26"/>
        <v>4.5</v>
      </c>
      <c r="L896" s="3">
        <f t="shared" si="27"/>
        <v>4.5629999999999997</v>
      </c>
    </row>
    <row r="897" spans="1:12" x14ac:dyDescent="0.3">
      <c r="A897" s="2">
        <v>37414</v>
      </c>
      <c r="B897" t="s">
        <v>13</v>
      </c>
      <c r="D897" s="2">
        <v>38145</v>
      </c>
      <c r="E897">
        <v>4.5</v>
      </c>
      <c r="G897" s="2">
        <v>38145</v>
      </c>
      <c r="H897">
        <v>4.5540000000000003</v>
      </c>
      <c r="J897" s="2">
        <v>38152</v>
      </c>
      <c r="K897" s="3">
        <f t="shared" si="26"/>
        <v>4.5</v>
      </c>
      <c r="L897" s="3">
        <f t="shared" si="27"/>
        <v>4.5629999999999997</v>
      </c>
    </row>
    <row r="898" spans="1:12" x14ac:dyDescent="0.3">
      <c r="A898" s="2">
        <v>37415</v>
      </c>
      <c r="B898" t="s">
        <v>13</v>
      </c>
      <c r="D898" s="2">
        <v>38146</v>
      </c>
      <c r="E898">
        <v>4.5</v>
      </c>
      <c r="G898" s="2">
        <v>38146</v>
      </c>
      <c r="H898">
        <v>4.5369999999999999</v>
      </c>
      <c r="J898" s="2">
        <v>38153</v>
      </c>
      <c r="K898" s="3">
        <f t="shared" si="26"/>
        <v>4.5</v>
      </c>
      <c r="L898" s="3">
        <f t="shared" si="27"/>
        <v>4.6479999999999997</v>
      </c>
    </row>
    <row r="899" spans="1:12" x14ac:dyDescent="0.3">
      <c r="A899" s="2">
        <v>37416</v>
      </c>
      <c r="B899" t="s">
        <v>13</v>
      </c>
      <c r="D899" s="2">
        <v>38147</v>
      </c>
      <c r="E899">
        <v>4.5</v>
      </c>
      <c r="G899" s="2">
        <v>38147</v>
      </c>
      <c r="H899">
        <v>4.5590000000000002</v>
      </c>
      <c r="J899" s="2">
        <v>38154</v>
      </c>
      <c r="K899" s="3">
        <f t="shared" ref="K899:K962" si="28">E906</f>
        <v>4.5</v>
      </c>
      <c r="L899" s="3">
        <f t="shared" ref="L899:L962" si="29">H906</f>
        <v>4.6379999999999999</v>
      </c>
    </row>
    <row r="900" spans="1:12" x14ac:dyDescent="0.3">
      <c r="A900" s="2">
        <v>37417</v>
      </c>
      <c r="B900" t="s">
        <v>13</v>
      </c>
      <c r="D900" s="2">
        <v>38148</v>
      </c>
      <c r="E900">
        <v>4.5</v>
      </c>
      <c r="G900" s="2">
        <v>38148</v>
      </c>
      <c r="H900">
        <v>4.5759999999999996</v>
      </c>
      <c r="J900" s="2">
        <v>38155</v>
      </c>
      <c r="K900" s="3">
        <f t="shared" si="28"/>
        <v>4.5</v>
      </c>
      <c r="L900" s="3">
        <f t="shared" si="29"/>
        <v>4.5960000000000001</v>
      </c>
    </row>
    <row r="901" spans="1:12" x14ac:dyDescent="0.3">
      <c r="A901" s="2">
        <v>37418</v>
      </c>
      <c r="B901" t="s">
        <v>13</v>
      </c>
      <c r="D901" s="2">
        <v>38149</v>
      </c>
      <c r="E901">
        <v>4.5</v>
      </c>
      <c r="G901" s="2">
        <v>38149</v>
      </c>
      <c r="H901">
        <v>4.5720000000000001</v>
      </c>
      <c r="J901" s="2">
        <v>38156</v>
      </c>
      <c r="K901" s="3">
        <f t="shared" si="28"/>
        <v>4.5</v>
      </c>
      <c r="L901" s="3">
        <f t="shared" si="29"/>
        <v>4.617</v>
      </c>
    </row>
    <row r="902" spans="1:12" x14ac:dyDescent="0.3">
      <c r="A902" s="2">
        <v>37419</v>
      </c>
      <c r="B902" t="s">
        <v>13</v>
      </c>
      <c r="D902" s="2">
        <v>38150</v>
      </c>
      <c r="E902">
        <v>4.5</v>
      </c>
      <c r="G902" s="2">
        <v>38150</v>
      </c>
      <c r="H902">
        <v>4.5629999999999997</v>
      </c>
      <c r="J902" s="2">
        <v>38157</v>
      </c>
      <c r="K902" s="3">
        <f t="shared" si="28"/>
        <v>4.5</v>
      </c>
      <c r="L902" s="3">
        <f t="shared" si="29"/>
        <v>4.5979999999999999</v>
      </c>
    </row>
    <row r="903" spans="1:12" x14ac:dyDescent="0.3">
      <c r="A903" s="2">
        <v>37420</v>
      </c>
      <c r="B903" t="s">
        <v>13</v>
      </c>
      <c r="D903" s="2">
        <v>38151</v>
      </c>
      <c r="E903">
        <v>4.5</v>
      </c>
      <c r="G903" s="2">
        <v>38151</v>
      </c>
      <c r="H903">
        <v>4.5629999999999997</v>
      </c>
      <c r="J903" s="2">
        <v>38158</v>
      </c>
      <c r="K903" s="3">
        <f t="shared" si="28"/>
        <v>4.5</v>
      </c>
      <c r="L903" s="3">
        <f t="shared" si="29"/>
        <v>4.5979999999999999</v>
      </c>
    </row>
    <row r="904" spans="1:12" x14ac:dyDescent="0.3">
      <c r="A904" s="2">
        <v>37421</v>
      </c>
      <c r="B904" t="s">
        <v>13</v>
      </c>
      <c r="D904" s="2">
        <v>38152</v>
      </c>
      <c r="E904">
        <v>4.5</v>
      </c>
      <c r="G904" s="2">
        <v>38152</v>
      </c>
      <c r="H904">
        <v>4.5629999999999997</v>
      </c>
      <c r="J904" s="2">
        <v>38159</v>
      </c>
      <c r="K904" s="3">
        <f t="shared" si="28"/>
        <v>4.5</v>
      </c>
      <c r="L904" s="3">
        <f t="shared" si="29"/>
        <v>4.6529999999999996</v>
      </c>
    </row>
    <row r="905" spans="1:12" x14ac:dyDescent="0.3">
      <c r="A905" s="2">
        <v>37422</v>
      </c>
      <c r="B905" t="s">
        <v>13</v>
      </c>
      <c r="D905" s="2">
        <v>38153</v>
      </c>
      <c r="E905">
        <v>4.5</v>
      </c>
      <c r="G905" s="2">
        <v>38153</v>
      </c>
      <c r="H905">
        <v>4.6479999999999997</v>
      </c>
      <c r="J905" s="2">
        <v>38160</v>
      </c>
      <c r="K905" s="3">
        <f t="shared" si="28"/>
        <v>4.5</v>
      </c>
      <c r="L905" s="3">
        <f t="shared" si="29"/>
        <v>4.7039999999999997</v>
      </c>
    </row>
    <row r="906" spans="1:12" x14ac:dyDescent="0.3">
      <c r="A906" s="2">
        <v>37423</v>
      </c>
      <c r="B906" t="s">
        <v>13</v>
      </c>
      <c r="D906" s="2">
        <v>38154</v>
      </c>
      <c r="E906">
        <v>4.5</v>
      </c>
      <c r="G906" s="2">
        <v>38154</v>
      </c>
      <c r="H906">
        <v>4.6379999999999999</v>
      </c>
      <c r="J906" s="2">
        <v>38161</v>
      </c>
      <c r="K906" s="3">
        <f t="shared" si="28"/>
        <v>4.5</v>
      </c>
      <c r="L906" s="3">
        <f t="shared" si="29"/>
        <v>4.7300000000000004</v>
      </c>
    </row>
    <row r="907" spans="1:12" x14ac:dyDescent="0.3">
      <c r="A907" s="2">
        <v>37424</v>
      </c>
      <c r="B907" t="s">
        <v>13</v>
      </c>
      <c r="D907" s="2">
        <v>38155</v>
      </c>
      <c r="E907">
        <v>4.5</v>
      </c>
      <c r="G907" s="2">
        <v>38155</v>
      </c>
      <c r="H907">
        <v>4.5960000000000001</v>
      </c>
      <c r="J907" s="2">
        <v>38162</v>
      </c>
      <c r="K907" s="3">
        <f t="shared" si="28"/>
        <v>4.5</v>
      </c>
      <c r="L907" s="3">
        <f t="shared" si="29"/>
        <v>4.718</v>
      </c>
    </row>
    <row r="908" spans="1:12" x14ac:dyDescent="0.3">
      <c r="A908" s="2">
        <v>37425</v>
      </c>
      <c r="B908" t="s">
        <v>13</v>
      </c>
      <c r="D908" s="2">
        <v>38156</v>
      </c>
      <c r="E908">
        <v>4.5</v>
      </c>
      <c r="G908" s="2">
        <v>38156</v>
      </c>
      <c r="H908">
        <v>4.617</v>
      </c>
      <c r="J908" s="2">
        <v>38163</v>
      </c>
      <c r="K908" s="3">
        <f t="shared" si="28"/>
        <v>4.5</v>
      </c>
      <c r="L908" s="3">
        <f t="shared" si="29"/>
        <v>4.7629999999999999</v>
      </c>
    </row>
    <row r="909" spans="1:12" x14ac:dyDescent="0.3">
      <c r="A909" s="2">
        <v>37426</v>
      </c>
      <c r="B909" t="s">
        <v>13</v>
      </c>
      <c r="D909" s="2">
        <v>38157</v>
      </c>
      <c r="E909">
        <v>4.5</v>
      </c>
      <c r="G909" s="2">
        <v>38157</v>
      </c>
      <c r="H909">
        <v>4.5979999999999999</v>
      </c>
      <c r="J909" s="2">
        <v>38164</v>
      </c>
      <c r="K909" s="3">
        <f t="shared" si="28"/>
        <v>4.5</v>
      </c>
      <c r="L909" s="3">
        <f t="shared" si="29"/>
        <v>4.76</v>
      </c>
    </row>
    <row r="910" spans="1:12" x14ac:dyDescent="0.3">
      <c r="A910" s="2">
        <v>37427</v>
      </c>
      <c r="B910" t="s">
        <v>13</v>
      </c>
      <c r="D910" s="2">
        <v>38158</v>
      </c>
      <c r="E910">
        <v>4.5</v>
      </c>
      <c r="G910" s="2">
        <v>38158</v>
      </c>
      <c r="H910">
        <v>4.5979999999999999</v>
      </c>
      <c r="J910" s="2">
        <v>38165</v>
      </c>
      <c r="K910" s="3">
        <f t="shared" si="28"/>
        <v>4.5</v>
      </c>
      <c r="L910" s="3">
        <f t="shared" si="29"/>
        <v>4.76</v>
      </c>
    </row>
    <row r="911" spans="1:12" x14ac:dyDescent="0.3">
      <c r="A911" s="2">
        <v>37428</v>
      </c>
      <c r="B911" t="s">
        <v>13</v>
      </c>
      <c r="D911" s="2">
        <v>38159</v>
      </c>
      <c r="E911">
        <v>4.5</v>
      </c>
      <c r="G911" s="2">
        <v>38159</v>
      </c>
      <c r="H911">
        <v>4.6529999999999996</v>
      </c>
      <c r="J911" s="2">
        <v>38166</v>
      </c>
      <c r="K911" s="3">
        <f t="shared" si="28"/>
        <v>4.5</v>
      </c>
      <c r="L911" s="3">
        <f t="shared" si="29"/>
        <v>4.7089999999999996</v>
      </c>
    </row>
    <row r="912" spans="1:12" x14ac:dyDescent="0.3">
      <c r="A912" s="2">
        <v>37429</v>
      </c>
      <c r="B912" t="s">
        <v>13</v>
      </c>
      <c r="D912" s="2">
        <v>38160</v>
      </c>
      <c r="E912">
        <v>4.5</v>
      </c>
      <c r="G912" s="2">
        <v>38160</v>
      </c>
      <c r="H912">
        <v>4.7039999999999997</v>
      </c>
      <c r="J912" s="2">
        <v>38167</v>
      </c>
      <c r="K912" s="3">
        <f t="shared" si="28"/>
        <v>4.5</v>
      </c>
      <c r="L912" s="3">
        <f t="shared" si="29"/>
        <v>4.6879999999999997</v>
      </c>
    </row>
    <row r="913" spans="1:12" x14ac:dyDescent="0.3">
      <c r="A913" s="2">
        <v>37430</v>
      </c>
      <c r="B913" t="s">
        <v>13</v>
      </c>
      <c r="D913" s="2">
        <v>38161</v>
      </c>
      <c r="E913">
        <v>4.5</v>
      </c>
      <c r="G913" s="2">
        <v>38161</v>
      </c>
      <c r="H913">
        <v>4.7300000000000004</v>
      </c>
      <c r="J913" s="2">
        <v>38168</v>
      </c>
      <c r="K913" s="3">
        <f t="shared" si="28"/>
        <v>4.5</v>
      </c>
      <c r="L913" s="3">
        <f t="shared" si="29"/>
        <v>4.681</v>
      </c>
    </row>
    <row r="914" spans="1:12" x14ac:dyDescent="0.3">
      <c r="A914" s="2">
        <v>37431</v>
      </c>
      <c r="B914" t="s">
        <v>13</v>
      </c>
      <c r="D914" s="2">
        <v>38162</v>
      </c>
      <c r="E914">
        <v>4.5</v>
      </c>
      <c r="G914" s="2">
        <v>38162</v>
      </c>
      <c r="H914">
        <v>4.718</v>
      </c>
      <c r="J914" s="2">
        <v>38169</v>
      </c>
      <c r="K914" s="3">
        <f t="shared" si="28"/>
        <v>4.5</v>
      </c>
      <c r="L914" s="3">
        <f t="shared" si="29"/>
        <v>4.718</v>
      </c>
    </row>
    <row r="915" spans="1:12" x14ac:dyDescent="0.3">
      <c r="A915" s="2">
        <v>37432</v>
      </c>
      <c r="B915" t="s">
        <v>13</v>
      </c>
      <c r="D915" s="2">
        <v>38163</v>
      </c>
      <c r="E915">
        <v>4.5</v>
      </c>
      <c r="G915" s="2">
        <v>38163</v>
      </c>
      <c r="H915">
        <v>4.7629999999999999</v>
      </c>
      <c r="J915" s="2">
        <v>38170</v>
      </c>
      <c r="K915" s="3">
        <f t="shared" si="28"/>
        <v>4.5</v>
      </c>
      <c r="L915" s="3">
        <f t="shared" si="29"/>
        <v>4.74</v>
      </c>
    </row>
    <row r="916" spans="1:12" x14ac:dyDescent="0.3">
      <c r="A916" s="2">
        <v>37433</v>
      </c>
      <c r="B916" t="s">
        <v>13</v>
      </c>
      <c r="D916" s="2">
        <v>38164</v>
      </c>
      <c r="E916">
        <v>4.5</v>
      </c>
      <c r="G916" s="2">
        <v>38164</v>
      </c>
      <c r="H916">
        <v>4.76</v>
      </c>
      <c r="J916" s="2">
        <v>38171</v>
      </c>
      <c r="K916" s="3">
        <f t="shared" si="28"/>
        <v>4.5</v>
      </c>
      <c r="L916" s="3">
        <f t="shared" si="29"/>
        <v>4.7050000000000001</v>
      </c>
    </row>
    <row r="917" spans="1:12" x14ac:dyDescent="0.3">
      <c r="A917" s="2">
        <v>37434</v>
      </c>
      <c r="B917" t="s">
        <v>13</v>
      </c>
      <c r="D917" s="2">
        <v>38165</v>
      </c>
      <c r="E917">
        <v>4.5</v>
      </c>
      <c r="G917" s="2">
        <v>38165</v>
      </c>
      <c r="H917">
        <v>4.76</v>
      </c>
      <c r="J917" s="2">
        <v>38172</v>
      </c>
      <c r="K917" s="3">
        <f t="shared" si="28"/>
        <v>4.5</v>
      </c>
      <c r="L917" s="3">
        <f t="shared" si="29"/>
        <v>4.7050000000000001</v>
      </c>
    </row>
    <row r="918" spans="1:12" x14ac:dyDescent="0.3">
      <c r="A918" s="2">
        <v>37435</v>
      </c>
      <c r="B918" t="s">
        <v>13</v>
      </c>
      <c r="D918" s="2">
        <v>38166</v>
      </c>
      <c r="E918">
        <v>4.5</v>
      </c>
      <c r="G918" s="2">
        <v>38166</v>
      </c>
      <c r="H918">
        <v>4.7089999999999996</v>
      </c>
      <c r="J918" s="2">
        <v>38173</v>
      </c>
      <c r="K918" s="3">
        <f t="shared" si="28"/>
        <v>4.5</v>
      </c>
      <c r="L918" s="3">
        <f t="shared" si="29"/>
        <v>4.6890000000000001</v>
      </c>
    </row>
    <row r="919" spans="1:12" x14ac:dyDescent="0.3">
      <c r="A919" s="2">
        <v>37436</v>
      </c>
      <c r="B919" t="s">
        <v>13</v>
      </c>
      <c r="D919" s="2">
        <v>38167</v>
      </c>
      <c r="E919">
        <v>4.5</v>
      </c>
      <c r="G919" s="2">
        <v>38167</v>
      </c>
      <c r="H919">
        <v>4.6879999999999997</v>
      </c>
      <c r="J919" s="2">
        <v>38174</v>
      </c>
      <c r="K919" s="3">
        <f t="shared" si="28"/>
        <v>4.5</v>
      </c>
      <c r="L919" s="3">
        <f t="shared" si="29"/>
        <v>4.7140000000000004</v>
      </c>
    </row>
    <row r="920" spans="1:12" x14ac:dyDescent="0.3">
      <c r="A920" s="2">
        <v>37437</v>
      </c>
      <c r="B920" t="s">
        <v>13</v>
      </c>
      <c r="D920" s="2">
        <v>38168</v>
      </c>
      <c r="E920">
        <v>4.5</v>
      </c>
      <c r="G920" s="2">
        <v>38168</v>
      </c>
      <c r="H920">
        <v>4.681</v>
      </c>
      <c r="J920" s="2">
        <v>38175</v>
      </c>
      <c r="K920" s="3">
        <f t="shared" si="28"/>
        <v>4.5</v>
      </c>
      <c r="L920" s="3">
        <f t="shared" si="29"/>
        <v>4.7549999999999999</v>
      </c>
    </row>
    <row r="921" spans="1:12" x14ac:dyDescent="0.3">
      <c r="A921" s="2">
        <v>37438</v>
      </c>
      <c r="B921" t="s">
        <v>13</v>
      </c>
      <c r="D921" s="2">
        <v>38169</v>
      </c>
      <c r="E921">
        <v>4.5</v>
      </c>
      <c r="G921" s="2">
        <v>38169</v>
      </c>
      <c r="H921">
        <v>4.718</v>
      </c>
      <c r="J921" s="2">
        <v>38176</v>
      </c>
      <c r="K921" s="3">
        <f t="shared" si="28"/>
        <v>4.5</v>
      </c>
      <c r="L921" s="3">
        <f t="shared" si="29"/>
        <v>4.7460000000000004</v>
      </c>
    </row>
    <row r="922" spans="1:12" x14ac:dyDescent="0.3">
      <c r="A922" s="2">
        <v>37439</v>
      </c>
      <c r="B922" t="s">
        <v>13</v>
      </c>
      <c r="D922" s="2">
        <v>38170</v>
      </c>
      <c r="E922">
        <v>4.5</v>
      </c>
      <c r="G922" s="2">
        <v>38170</v>
      </c>
      <c r="H922">
        <v>4.74</v>
      </c>
      <c r="J922" s="2">
        <v>38177</v>
      </c>
      <c r="K922" s="3">
        <f t="shared" si="28"/>
        <v>4.5</v>
      </c>
      <c r="L922" s="3">
        <f t="shared" si="29"/>
        <v>4.6989999999999998</v>
      </c>
    </row>
    <row r="923" spans="1:12" x14ac:dyDescent="0.3">
      <c r="A923" s="2">
        <v>37440</v>
      </c>
      <c r="B923" t="s">
        <v>13</v>
      </c>
      <c r="D923" s="2">
        <v>38171</v>
      </c>
      <c r="E923">
        <v>4.5</v>
      </c>
      <c r="G923" s="2">
        <v>38171</v>
      </c>
      <c r="H923">
        <v>4.7050000000000001</v>
      </c>
      <c r="J923" s="2">
        <v>38178</v>
      </c>
      <c r="K923" s="3">
        <f t="shared" si="28"/>
        <v>4.5</v>
      </c>
      <c r="L923" s="3">
        <f t="shared" si="29"/>
        <v>4.8250000000000002</v>
      </c>
    </row>
    <row r="924" spans="1:12" x14ac:dyDescent="0.3">
      <c r="A924" s="2">
        <v>37441</v>
      </c>
      <c r="B924" t="s">
        <v>13</v>
      </c>
      <c r="D924" s="2">
        <v>38172</v>
      </c>
      <c r="E924">
        <v>4.5</v>
      </c>
      <c r="G924" s="2">
        <v>38172</v>
      </c>
      <c r="H924">
        <v>4.7050000000000001</v>
      </c>
      <c r="J924" s="2">
        <v>38179</v>
      </c>
      <c r="K924" s="3">
        <f t="shared" si="28"/>
        <v>4.5</v>
      </c>
      <c r="L924" s="3">
        <f t="shared" si="29"/>
        <v>4.8250000000000002</v>
      </c>
    </row>
    <row r="925" spans="1:12" x14ac:dyDescent="0.3">
      <c r="A925" s="2">
        <v>37442</v>
      </c>
      <c r="B925" t="s">
        <v>13</v>
      </c>
      <c r="D925" s="2">
        <v>38173</v>
      </c>
      <c r="E925">
        <v>4.5</v>
      </c>
      <c r="G925" s="2">
        <v>38173</v>
      </c>
      <c r="H925">
        <v>4.6890000000000001</v>
      </c>
      <c r="J925" s="2">
        <v>38180</v>
      </c>
      <c r="K925" s="3">
        <f t="shared" si="28"/>
        <v>4.5</v>
      </c>
      <c r="L925" s="3">
        <f t="shared" si="29"/>
        <v>4.8310000000000004</v>
      </c>
    </row>
    <row r="926" spans="1:12" x14ac:dyDescent="0.3">
      <c r="A926" s="2">
        <v>37443</v>
      </c>
      <c r="B926" t="s">
        <v>13</v>
      </c>
      <c r="D926" s="2">
        <v>38174</v>
      </c>
      <c r="E926">
        <v>4.5</v>
      </c>
      <c r="G926" s="2">
        <v>38174</v>
      </c>
      <c r="H926">
        <v>4.7140000000000004</v>
      </c>
      <c r="J926" s="2">
        <v>38181</v>
      </c>
      <c r="K926" s="3">
        <f t="shared" si="28"/>
        <v>4.5</v>
      </c>
      <c r="L926" s="3">
        <f t="shared" si="29"/>
        <v>4.891</v>
      </c>
    </row>
    <row r="927" spans="1:12" x14ac:dyDescent="0.3">
      <c r="A927" s="2">
        <v>37444</v>
      </c>
      <c r="B927" t="s">
        <v>13</v>
      </c>
      <c r="D927" s="2">
        <v>38175</v>
      </c>
      <c r="E927">
        <v>4.5</v>
      </c>
      <c r="G927" s="2">
        <v>38175</v>
      </c>
      <c r="H927">
        <v>4.7549999999999999</v>
      </c>
      <c r="J927" s="2">
        <v>38182</v>
      </c>
      <c r="K927" s="3">
        <f t="shared" si="28"/>
        <v>4.5</v>
      </c>
      <c r="L927" s="3">
        <f t="shared" si="29"/>
        <v>4.8330000000000002</v>
      </c>
    </row>
    <row r="928" spans="1:12" x14ac:dyDescent="0.3">
      <c r="A928" s="2">
        <v>37445</v>
      </c>
      <c r="B928" t="s">
        <v>13</v>
      </c>
      <c r="D928" s="2">
        <v>38176</v>
      </c>
      <c r="E928">
        <v>4.5</v>
      </c>
      <c r="G928" s="2">
        <v>38176</v>
      </c>
      <c r="H928">
        <v>4.7460000000000004</v>
      </c>
      <c r="J928" s="2">
        <v>38183</v>
      </c>
      <c r="K928" s="3">
        <f t="shared" si="28"/>
        <v>4.5</v>
      </c>
      <c r="L928" s="3">
        <f t="shared" si="29"/>
        <v>4.827</v>
      </c>
    </row>
    <row r="929" spans="1:12" x14ac:dyDescent="0.3">
      <c r="A929" s="2">
        <v>37446</v>
      </c>
      <c r="B929" t="s">
        <v>13</v>
      </c>
      <c r="D929" s="2">
        <v>38177</v>
      </c>
      <c r="E929">
        <v>4.5</v>
      </c>
      <c r="G929" s="2">
        <v>38177</v>
      </c>
      <c r="H929">
        <v>4.6989999999999998</v>
      </c>
      <c r="J929" s="2">
        <v>38184</v>
      </c>
      <c r="K929" s="3">
        <f t="shared" si="28"/>
        <v>4.5</v>
      </c>
      <c r="L929" s="3">
        <f t="shared" si="29"/>
        <v>4.8339999999999996</v>
      </c>
    </row>
    <row r="930" spans="1:12" x14ac:dyDescent="0.3">
      <c r="A930" s="2">
        <v>37447</v>
      </c>
      <c r="B930" t="s">
        <v>13</v>
      </c>
      <c r="D930" s="2">
        <v>38178</v>
      </c>
      <c r="E930">
        <v>4.5</v>
      </c>
      <c r="G930" s="2">
        <v>38178</v>
      </c>
      <c r="H930">
        <v>4.8250000000000002</v>
      </c>
      <c r="J930" s="2">
        <v>38185</v>
      </c>
      <c r="K930" s="3">
        <f t="shared" si="28"/>
        <v>4.5</v>
      </c>
      <c r="L930" s="3">
        <f t="shared" si="29"/>
        <v>4.7560000000000002</v>
      </c>
    </row>
    <row r="931" spans="1:12" x14ac:dyDescent="0.3">
      <c r="A931" s="2">
        <v>37448</v>
      </c>
      <c r="B931" t="s">
        <v>13</v>
      </c>
      <c r="D931" s="2">
        <v>38179</v>
      </c>
      <c r="E931">
        <v>4.5</v>
      </c>
      <c r="G931" s="2">
        <v>38179</v>
      </c>
      <c r="H931">
        <v>4.8250000000000002</v>
      </c>
      <c r="J931" s="2">
        <v>38186</v>
      </c>
      <c r="K931" s="3">
        <f t="shared" si="28"/>
        <v>4.5</v>
      </c>
      <c r="L931" s="3">
        <f t="shared" si="29"/>
        <v>4.7560000000000002</v>
      </c>
    </row>
    <row r="932" spans="1:12" x14ac:dyDescent="0.3">
      <c r="A932" s="2">
        <v>37449</v>
      </c>
      <c r="B932" t="s">
        <v>13</v>
      </c>
      <c r="D932" s="2">
        <v>38180</v>
      </c>
      <c r="E932">
        <v>4.5</v>
      </c>
      <c r="G932" s="2">
        <v>38180</v>
      </c>
      <c r="H932">
        <v>4.8310000000000004</v>
      </c>
      <c r="J932" s="2">
        <v>38187</v>
      </c>
      <c r="K932" s="3">
        <f t="shared" si="28"/>
        <v>4.5</v>
      </c>
      <c r="L932" s="3">
        <f t="shared" si="29"/>
        <v>4.7939999999999996</v>
      </c>
    </row>
    <row r="933" spans="1:12" x14ac:dyDescent="0.3">
      <c r="A933" s="2">
        <v>37450</v>
      </c>
      <c r="B933" t="s">
        <v>13</v>
      </c>
      <c r="D933" s="2">
        <v>38181</v>
      </c>
      <c r="E933">
        <v>4.5</v>
      </c>
      <c r="G933" s="2">
        <v>38181</v>
      </c>
      <c r="H933">
        <v>4.891</v>
      </c>
      <c r="J933" s="2">
        <v>38188</v>
      </c>
      <c r="K933" s="3">
        <f t="shared" si="28"/>
        <v>4.5</v>
      </c>
      <c r="L933" s="3">
        <f t="shared" si="29"/>
        <v>4.7789999999999999</v>
      </c>
    </row>
    <row r="934" spans="1:12" x14ac:dyDescent="0.3">
      <c r="A934" s="2">
        <v>37451</v>
      </c>
      <c r="B934" t="s">
        <v>13</v>
      </c>
      <c r="D934" s="2">
        <v>38182</v>
      </c>
      <c r="E934">
        <v>4.5</v>
      </c>
      <c r="G934" s="2">
        <v>38182</v>
      </c>
      <c r="H934">
        <v>4.8330000000000002</v>
      </c>
      <c r="J934" s="2">
        <v>38189</v>
      </c>
      <c r="K934" s="3">
        <f t="shared" si="28"/>
        <v>4.5</v>
      </c>
      <c r="L934" s="3">
        <f t="shared" si="29"/>
        <v>4.7480000000000002</v>
      </c>
    </row>
    <row r="935" spans="1:12" x14ac:dyDescent="0.3">
      <c r="A935" s="2">
        <v>37452</v>
      </c>
      <c r="B935" t="s">
        <v>13</v>
      </c>
      <c r="D935" s="2">
        <v>38183</v>
      </c>
      <c r="E935">
        <v>4.5</v>
      </c>
      <c r="G935" s="2">
        <v>38183</v>
      </c>
      <c r="H935">
        <v>4.827</v>
      </c>
      <c r="J935" s="2">
        <v>38190</v>
      </c>
      <c r="K935" s="3">
        <f t="shared" si="28"/>
        <v>4.5</v>
      </c>
      <c r="L935" s="3">
        <f t="shared" si="29"/>
        <v>4.7869999999999999</v>
      </c>
    </row>
    <row r="936" spans="1:12" x14ac:dyDescent="0.3">
      <c r="A936" s="2">
        <v>37453</v>
      </c>
      <c r="B936" t="s">
        <v>13</v>
      </c>
      <c r="D936" s="2">
        <v>38184</v>
      </c>
      <c r="E936">
        <v>4.5</v>
      </c>
      <c r="G936" s="2">
        <v>38184</v>
      </c>
      <c r="H936">
        <v>4.8339999999999996</v>
      </c>
      <c r="J936" s="2">
        <v>38191</v>
      </c>
      <c r="K936" s="3">
        <f t="shared" si="28"/>
        <v>4.5</v>
      </c>
      <c r="L936" s="3">
        <f t="shared" si="29"/>
        <v>4.8639999999999999</v>
      </c>
    </row>
    <row r="937" spans="1:12" x14ac:dyDescent="0.3">
      <c r="A937" s="2">
        <v>37454</v>
      </c>
      <c r="B937" t="s">
        <v>13</v>
      </c>
      <c r="D937" s="2">
        <v>38185</v>
      </c>
      <c r="E937">
        <v>4.5</v>
      </c>
      <c r="G937" s="2">
        <v>38185</v>
      </c>
      <c r="H937">
        <v>4.7560000000000002</v>
      </c>
      <c r="J937" s="2">
        <v>38192</v>
      </c>
      <c r="K937" s="3">
        <f t="shared" si="28"/>
        <v>4.5</v>
      </c>
      <c r="L937" s="3">
        <f t="shared" si="29"/>
        <v>4.8090000000000002</v>
      </c>
    </row>
    <row r="938" spans="1:12" x14ac:dyDescent="0.3">
      <c r="A938" s="2">
        <v>37455</v>
      </c>
      <c r="B938" t="s">
        <v>13</v>
      </c>
      <c r="D938" s="2">
        <v>38186</v>
      </c>
      <c r="E938">
        <v>4.5</v>
      </c>
      <c r="G938" s="2">
        <v>38186</v>
      </c>
      <c r="H938">
        <v>4.7560000000000002</v>
      </c>
      <c r="J938" s="2">
        <v>38193</v>
      </c>
      <c r="K938" s="3">
        <f t="shared" si="28"/>
        <v>4.5</v>
      </c>
      <c r="L938" s="3">
        <f t="shared" si="29"/>
        <v>4.8090000000000002</v>
      </c>
    </row>
    <row r="939" spans="1:12" x14ac:dyDescent="0.3">
      <c r="A939" s="2">
        <v>37456</v>
      </c>
      <c r="B939" t="s">
        <v>13</v>
      </c>
      <c r="D939" s="2">
        <v>38187</v>
      </c>
      <c r="E939">
        <v>4.5</v>
      </c>
      <c r="G939" s="2">
        <v>38187</v>
      </c>
      <c r="H939">
        <v>4.7939999999999996</v>
      </c>
      <c r="J939" s="2">
        <v>38194</v>
      </c>
      <c r="K939" s="3">
        <f t="shared" si="28"/>
        <v>4.5</v>
      </c>
      <c r="L939" s="3">
        <f t="shared" si="29"/>
        <v>4.78</v>
      </c>
    </row>
    <row r="940" spans="1:12" x14ac:dyDescent="0.3">
      <c r="A940" s="2">
        <v>37457</v>
      </c>
      <c r="B940" t="s">
        <v>13</v>
      </c>
      <c r="D940" s="2">
        <v>38188</v>
      </c>
      <c r="E940">
        <v>4.5</v>
      </c>
      <c r="G940" s="2">
        <v>38188</v>
      </c>
      <c r="H940">
        <v>4.7789999999999999</v>
      </c>
      <c r="J940" s="2">
        <v>38195</v>
      </c>
      <c r="K940" s="3">
        <f t="shared" si="28"/>
        <v>4.5</v>
      </c>
      <c r="L940" s="3">
        <f t="shared" si="29"/>
        <v>4.7300000000000004</v>
      </c>
    </row>
    <row r="941" spans="1:12" x14ac:dyDescent="0.3">
      <c r="A941" s="2">
        <v>37458</v>
      </c>
      <c r="B941" t="s">
        <v>13</v>
      </c>
      <c r="D941" s="2">
        <v>38189</v>
      </c>
      <c r="E941">
        <v>4.5</v>
      </c>
      <c r="G941" s="2">
        <v>38189</v>
      </c>
      <c r="H941">
        <v>4.7480000000000002</v>
      </c>
      <c r="J941" s="2">
        <v>38196</v>
      </c>
      <c r="K941" s="3">
        <f t="shared" si="28"/>
        <v>4.5</v>
      </c>
      <c r="L941" s="3">
        <f t="shared" si="29"/>
        <v>4.8159999999999998</v>
      </c>
    </row>
    <row r="942" spans="1:12" x14ac:dyDescent="0.3">
      <c r="A942" s="2">
        <v>37459</v>
      </c>
      <c r="B942" t="s">
        <v>13</v>
      </c>
      <c r="D942" s="2">
        <v>38190</v>
      </c>
      <c r="E942">
        <v>4.5</v>
      </c>
      <c r="G942" s="2">
        <v>38190</v>
      </c>
      <c r="H942">
        <v>4.7869999999999999</v>
      </c>
      <c r="J942" s="2">
        <v>38197</v>
      </c>
      <c r="K942" s="3">
        <f t="shared" si="28"/>
        <v>4.5</v>
      </c>
      <c r="L942" s="3">
        <f t="shared" si="29"/>
        <v>4.8769999999999998</v>
      </c>
    </row>
    <row r="943" spans="1:12" x14ac:dyDescent="0.3">
      <c r="A943" s="2">
        <v>37460</v>
      </c>
      <c r="B943" t="s">
        <v>13</v>
      </c>
      <c r="D943" s="2">
        <v>38191</v>
      </c>
      <c r="E943">
        <v>4.5</v>
      </c>
      <c r="G943" s="2">
        <v>38191</v>
      </c>
      <c r="H943">
        <v>4.8639999999999999</v>
      </c>
      <c r="J943" s="2">
        <v>38198</v>
      </c>
      <c r="K943" s="3">
        <f t="shared" si="28"/>
        <v>4.5</v>
      </c>
      <c r="L943" s="3">
        <f t="shared" si="29"/>
        <v>4.8129999999999997</v>
      </c>
    </row>
    <row r="944" spans="1:12" x14ac:dyDescent="0.3">
      <c r="A944" s="2">
        <v>37461</v>
      </c>
      <c r="B944" t="s">
        <v>13</v>
      </c>
      <c r="D944" s="2">
        <v>38192</v>
      </c>
      <c r="E944">
        <v>4.5</v>
      </c>
      <c r="G944" s="2">
        <v>38192</v>
      </c>
      <c r="H944">
        <v>4.8090000000000002</v>
      </c>
      <c r="J944" s="2">
        <v>38199</v>
      </c>
      <c r="K944" s="3">
        <f t="shared" si="28"/>
        <v>4.5</v>
      </c>
      <c r="L944" s="3">
        <f t="shared" si="29"/>
        <v>4.7839999999999998</v>
      </c>
    </row>
    <row r="945" spans="1:12" x14ac:dyDescent="0.3">
      <c r="A945" s="2">
        <v>37462</v>
      </c>
      <c r="B945" t="s">
        <v>13</v>
      </c>
      <c r="D945" s="2">
        <v>38193</v>
      </c>
      <c r="E945">
        <v>4.5</v>
      </c>
      <c r="G945" s="2">
        <v>38193</v>
      </c>
      <c r="H945">
        <v>4.8090000000000002</v>
      </c>
      <c r="J945" s="2">
        <v>38200</v>
      </c>
      <c r="K945" s="3">
        <f t="shared" si="28"/>
        <v>4.5</v>
      </c>
      <c r="L945" s="3">
        <f t="shared" si="29"/>
        <v>4.7839999999999998</v>
      </c>
    </row>
    <row r="946" spans="1:12" x14ac:dyDescent="0.3">
      <c r="A946" s="2">
        <v>37463</v>
      </c>
      <c r="B946" t="s">
        <v>13</v>
      </c>
      <c r="D946" s="2">
        <v>38194</v>
      </c>
      <c r="E946">
        <v>4.5</v>
      </c>
      <c r="G946" s="2">
        <v>38194</v>
      </c>
      <c r="H946">
        <v>4.78</v>
      </c>
      <c r="J946" s="2">
        <v>38201</v>
      </c>
      <c r="K946" s="3">
        <f t="shared" si="28"/>
        <v>4.5</v>
      </c>
      <c r="L946" s="3">
        <f t="shared" si="29"/>
        <v>4.8529999999999998</v>
      </c>
    </row>
    <row r="947" spans="1:12" x14ac:dyDescent="0.3">
      <c r="A947" s="2">
        <v>37464</v>
      </c>
      <c r="B947" t="s">
        <v>13</v>
      </c>
      <c r="D947" s="2">
        <v>38195</v>
      </c>
      <c r="E947">
        <v>4.5</v>
      </c>
      <c r="G947" s="2">
        <v>38195</v>
      </c>
      <c r="H947">
        <v>4.7300000000000004</v>
      </c>
      <c r="J947" s="2">
        <v>38202</v>
      </c>
      <c r="K947" s="3">
        <f t="shared" si="28"/>
        <v>4.5</v>
      </c>
      <c r="L947" s="3">
        <f t="shared" si="29"/>
        <v>4.8570000000000002</v>
      </c>
    </row>
    <row r="948" spans="1:12" x14ac:dyDescent="0.3">
      <c r="A948" s="2">
        <v>37465</v>
      </c>
      <c r="B948" t="s">
        <v>13</v>
      </c>
      <c r="D948" s="2">
        <v>38196</v>
      </c>
      <c r="E948">
        <v>4.5</v>
      </c>
      <c r="G948" s="2">
        <v>38196</v>
      </c>
      <c r="H948">
        <v>4.8159999999999998</v>
      </c>
      <c r="J948" s="2">
        <v>38203</v>
      </c>
      <c r="K948" s="3">
        <f t="shared" si="28"/>
        <v>4.5</v>
      </c>
      <c r="L948" s="3">
        <f t="shared" si="29"/>
        <v>4.8410000000000002</v>
      </c>
    </row>
    <row r="949" spans="1:12" x14ac:dyDescent="0.3">
      <c r="A949" s="2">
        <v>37466</v>
      </c>
      <c r="B949" t="s">
        <v>13</v>
      </c>
      <c r="D949" s="2">
        <v>38197</v>
      </c>
      <c r="E949">
        <v>4.5</v>
      </c>
      <c r="G949" s="2">
        <v>38197</v>
      </c>
      <c r="H949">
        <v>4.8769999999999998</v>
      </c>
      <c r="J949" s="2">
        <v>38204</v>
      </c>
      <c r="K949" s="3">
        <f t="shared" si="28"/>
        <v>4.5</v>
      </c>
      <c r="L949" s="3">
        <f t="shared" si="29"/>
        <v>4.8540000000000001</v>
      </c>
    </row>
    <row r="950" spans="1:12" x14ac:dyDescent="0.3">
      <c r="A950" s="2">
        <v>37467</v>
      </c>
      <c r="B950" t="s">
        <v>13</v>
      </c>
      <c r="D950" s="2">
        <v>38198</v>
      </c>
      <c r="E950">
        <v>4.5</v>
      </c>
      <c r="G950" s="2">
        <v>38198</v>
      </c>
      <c r="H950">
        <v>4.8129999999999997</v>
      </c>
      <c r="J950" s="2">
        <v>38205</v>
      </c>
      <c r="K950" s="3">
        <f t="shared" si="28"/>
        <v>4.5</v>
      </c>
      <c r="L950" s="3">
        <f t="shared" si="29"/>
        <v>4.8739999999999997</v>
      </c>
    </row>
    <row r="951" spans="1:12" x14ac:dyDescent="0.3">
      <c r="A951" s="2">
        <v>37468</v>
      </c>
      <c r="B951" t="s">
        <v>13</v>
      </c>
      <c r="D951" s="2">
        <v>38199</v>
      </c>
      <c r="E951">
        <v>4.5</v>
      </c>
      <c r="G951" s="2">
        <v>38199</v>
      </c>
      <c r="H951">
        <v>4.7839999999999998</v>
      </c>
      <c r="J951" s="2">
        <v>38206</v>
      </c>
      <c r="K951" s="3">
        <f t="shared" si="28"/>
        <v>4.5</v>
      </c>
      <c r="L951" s="3">
        <f t="shared" si="29"/>
        <v>4.8499999999999996</v>
      </c>
    </row>
    <row r="952" spans="1:12" x14ac:dyDescent="0.3">
      <c r="A952" s="2">
        <v>37469</v>
      </c>
      <c r="B952" t="s">
        <v>13</v>
      </c>
      <c r="D952" s="2">
        <v>38200</v>
      </c>
      <c r="E952">
        <v>4.5</v>
      </c>
      <c r="G952" s="2">
        <v>38200</v>
      </c>
      <c r="H952">
        <v>4.7839999999999998</v>
      </c>
      <c r="J952" s="2">
        <v>38207</v>
      </c>
      <c r="K952" s="3">
        <f t="shared" si="28"/>
        <v>4.5</v>
      </c>
      <c r="L952" s="3">
        <f t="shared" si="29"/>
        <v>4.8499999999999996</v>
      </c>
    </row>
    <row r="953" spans="1:12" x14ac:dyDescent="0.3">
      <c r="A953" s="2">
        <v>37470</v>
      </c>
      <c r="B953" t="s">
        <v>13</v>
      </c>
      <c r="D953" s="2">
        <v>38201</v>
      </c>
      <c r="E953">
        <v>4.5</v>
      </c>
      <c r="G953" s="2">
        <v>38201</v>
      </c>
      <c r="H953">
        <v>4.8529999999999998</v>
      </c>
      <c r="J953" s="2">
        <v>38208</v>
      </c>
      <c r="K953" s="3">
        <f t="shared" si="28"/>
        <v>4.5</v>
      </c>
      <c r="L953" s="3">
        <f t="shared" si="29"/>
        <v>4.7859999999999996</v>
      </c>
    </row>
    <row r="954" spans="1:12" x14ac:dyDescent="0.3">
      <c r="A954" s="2">
        <v>37471</v>
      </c>
      <c r="B954" t="s">
        <v>13</v>
      </c>
      <c r="D954" s="2">
        <v>38202</v>
      </c>
      <c r="E954">
        <v>4.5</v>
      </c>
      <c r="G954" s="2">
        <v>38202</v>
      </c>
      <c r="H954">
        <v>4.8570000000000002</v>
      </c>
      <c r="J954" s="2">
        <v>38209</v>
      </c>
      <c r="K954" s="3">
        <f t="shared" si="28"/>
        <v>4.5</v>
      </c>
      <c r="L954" s="3">
        <f t="shared" si="29"/>
        <v>4.9279999999999999</v>
      </c>
    </row>
    <row r="955" spans="1:12" x14ac:dyDescent="0.3">
      <c r="A955" s="2">
        <v>37472</v>
      </c>
      <c r="B955" t="s">
        <v>13</v>
      </c>
      <c r="D955" s="2">
        <v>38203</v>
      </c>
      <c r="E955">
        <v>4.5</v>
      </c>
      <c r="G955" s="2">
        <v>38203</v>
      </c>
      <c r="H955">
        <v>4.8410000000000002</v>
      </c>
      <c r="J955" s="2">
        <v>38210</v>
      </c>
      <c r="K955" s="3">
        <f t="shared" si="28"/>
        <v>4.5</v>
      </c>
      <c r="L955" s="3">
        <f t="shared" si="29"/>
        <v>5.2039999999999997</v>
      </c>
    </row>
    <row r="956" spans="1:12" x14ac:dyDescent="0.3">
      <c r="A956" s="2">
        <v>37473</v>
      </c>
      <c r="B956" t="s">
        <v>13</v>
      </c>
      <c r="D956" s="2">
        <v>38204</v>
      </c>
      <c r="E956">
        <v>4.5</v>
      </c>
      <c r="G956" s="2">
        <v>38204</v>
      </c>
      <c r="H956">
        <v>4.8540000000000001</v>
      </c>
      <c r="J956" s="2">
        <v>38211</v>
      </c>
      <c r="K956" s="3">
        <f t="shared" si="28"/>
        <v>4.5</v>
      </c>
      <c r="L956" s="3">
        <f t="shared" si="29"/>
        <v>5.1980000000000004</v>
      </c>
    </row>
    <row r="957" spans="1:12" x14ac:dyDescent="0.3">
      <c r="A957" s="2">
        <v>37474</v>
      </c>
      <c r="B957" t="s">
        <v>13</v>
      </c>
      <c r="D957" s="2">
        <v>38205</v>
      </c>
      <c r="E957">
        <v>4.5</v>
      </c>
      <c r="G957" s="2">
        <v>38205</v>
      </c>
      <c r="H957">
        <v>4.8739999999999997</v>
      </c>
      <c r="J957" s="2">
        <v>38212</v>
      </c>
      <c r="K957" s="3">
        <f t="shared" si="28"/>
        <v>4.5</v>
      </c>
      <c r="L957" s="3">
        <f t="shared" si="29"/>
        <v>5.1980000000000004</v>
      </c>
    </row>
    <row r="958" spans="1:12" x14ac:dyDescent="0.3">
      <c r="A958" s="2">
        <v>37475</v>
      </c>
      <c r="B958" t="s">
        <v>13</v>
      </c>
      <c r="D958" s="2">
        <v>38206</v>
      </c>
      <c r="E958">
        <v>4.5</v>
      </c>
      <c r="G958" s="2">
        <v>38206</v>
      </c>
      <c r="H958">
        <v>4.8499999999999996</v>
      </c>
      <c r="J958" s="2">
        <v>38213</v>
      </c>
      <c r="K958" s="3">
        <f t="shared" si="28"/>
        <v>4.5</v>
      </c>
      <c r="L958" s="3">
        <f t="shared" si="29"/>
        <v>5.3239999999999998</v>
      </c>
    </row>
    <row r="959" spans="1:12" x14ac:dyDescent="0.3">
      <c r="A959" s="2">
        <v>37476</v>
      </c>
      <c r="B959" t="s">
        <v>13</v>
      </c>
      <c r="D959" s="2">
        <v>38207</v>
      </c>
      <c r="E959">
        <v>4.5</v>
      </c>
      <c r="G959" s="2">
        <v>38207</v>
      </c>
      <c r="H959">
        <v>4.8499999999999996</v>
      </c>
      <c r="J959" s="2">
        <v>38214</v>
      </c>
      <c r="K959" s="3">
        <f t="shared" si="28"/>
        <v>4.5</v>
      </c>
      <c r="L959" s="3">
        <f t="shared" si="29"/>
        <v>5.3239999999999998</v>
      </c>
    </row>
    <row r="960" spans="1:12" x14ac:dyDescent="0.3">
      <c r="A960" s="2">
        <v>37477</v>
      </c>
      <c r="B960" t="s">
        <v>13</v>
      </c>
      <c r="D960" s="2">
        <v>38208</v>
      </c>
      <c r="E960">
        <v>4.5</v>
      </c>
      <c r="G960" s="2">
        <v>38208</v>
      </c>
      <c r="H960">
        <v>4.7859999999999996</v>
      </c>
      <c r="J960" s="2">
        <v>38215</v>
      </c>
      <c r="K960" s="3">
        <f t="shared" si="28"/>
        <v>4.5</v>
      </c>
      <c r="L960" s="3">
        <f t="shared" si="29"/>
        <v>5.3010000000000002</v>
      </c>
    </row>
    <row r="961" spans="1:12" x14ac:dyDescent="0.3">
      <c r="A961" s="2">
        <v>37478</v>
      </c>
      <c r="B961" t="s">
        <v>13</v>
      </c>
      <c r="D961" s="2">
        <v>38209</v>
      </c>
      <c r="E961">
        <v>4.5</v>
      </c>
      <c r="G961" s="2">
        <v>38209</v>
      </c>
      <c r="H961">
        <v>4.9279999999999999</v>
      </c>
      <c r="J961" s="2">
        <v>38216</v>
      </c>
      <c r="K961" s="3">
        <f t="shared" si="28"/>
        <v>4.5</v>
      </c>
      <c r="L961" s="3">
        <f t="shared" si="29"/>
        <v>5.2169999999999996</v>
      </c>
    </row>
    <row r="962" spans="1:12" x14ac:dyDescent="0.3">
      <c r="A962" s="2">
        <v>37479</v>
      </c>
      <c r="B962" t="s">
        <v>13</v>
      </c>
      <c r="D962" s="2">
        <v>38210</v>
      </c>
      <c r="E962">
        <v>4.5</v>
      </c>
      <c r="G962" s="2">
        <v>38210</v>
      </c>
      <c r="H962">
        <v>5.2039999999999997</v>
      </c>
      <c r="J962" s="2">
        <v>38217</v>
      </c>
      <c r="K962" s="3">
        <f t="shared" si="28"/>
        <v>4.5</v>
      </c>
      <c r="L962" s="3">
        <f t="shared" si="29"/>
        <v>5.1779999999999999</v>
      </c>
    </row>
    <row r="963" spans="1:12" x14ac:dyDescent="0.3">
      <c r="A963" s="2">
        <v>37480</v>
      </c>
      <c r="B963" t="s">
        <v>13</v>
      </c>
      <c r="D963" s="2">
        <v>38211</v>
      </c>
      <c r="E963">
        <v>4.5</v>
      </c>
      <c r="G963" s="2">
        <v>38211</v>
      </c>
      <c r="H963">
        <v>5.1980000000000004</v>
      </c>
      <c r="J963" s="2">
        <v>38218</v>
      </c>
      <c r="K963" s="3">
        <f t="shared" ref="K963:K1026" si="30">E970</f>
        <v>4.5</v>
      </c>
      <c r="L963" s="3">
        <f t="shared" ref="L963:L1026" si="31">H970</f>
        <v>5.1619999999999999</v>
      </c>
    </row>
    <row r="964" spans="1:12" x14ac:dyDescent="0.3">
      <c r="A964" s="2">
        <v>37481</v>
      </c>
      <c r="B964" t="s">
        <v>13</v>
      </c>
      <c r="D964" s="2">
        <v>38212</v>
      </c>
      <c r="E964">
        <v>4.5</v>
      </c>
      <c r="G964" s="2">
        <v>38212</v>
      </c>
      <c r="H964">
        <v>5.1980000000000004</v>
      </c>
      <c r="J964" s="2">
        <v>38219</v>
      </c>
      <c r="K964" s="3">
        <f t="shared" si="30"/>
        <v>4.5</v>
      </c>
      <c r="L964" s="3">
        <f t="shared" si="31"/>
        <v>5.1619999999999999</v>
      </c>
    </row>
    <row r="965" spans="1:12" x14ac:dyDescent="0.3">
      <c r="A965" s="2">
        <v>37482</v>
      </c>
      <c r="B965" t="s">
        <v>13</v>
      </c>
      <c r="D965" s="2">
        <v>38213</v>
      </c>
      <c r="E965">
        <v>4.5</v>
      </c>
      <c r="G965" s="2">
        <v>38213</v>
      </c>
      <c r="H965">
        <v>5.3239999999999998</v>
      </c>
      <c r="J965" s="2">
        <v>38220</v>
      </c>
      <c r="K965" s="3">
        <f t="shared" si="30"/>
        <v>4.5</v>
      </c>
      <c r="L965" s="3">
        <f t="shared" si="31"/>
        <v>5.1520000000000001</v>
      </c>
    </row>
    <row r="966" spans="1:12" x14ac:dyDescent="0.3">
      <c r="A966" s="2">
        <v>37483</v>
      </c>
      <c r="B966" t="s">
        <v>13</v>
      </c>
      <c r="D966" s="2">
        <v>38214</v>
      </c>
      <c r="E966">
        <v>4.5</v>
      </c>
      <c r="G966" s="2">
        <v>38214</v>
      </c>
      <c r="H966">
        <v>5.3239999999999998</v>
      </c>
      <c r="J966" s="2">
        <v>38221</v>
      </c>
      <c r="K966" s="3">
        <f t="shared" si="30"/>
        <v>4.5</v>
      </c>
      <c r="L966" s="3">
        <f t="shared" si="31"/>
        <v>5.1520000000000001</v>
      </c>
    </row>
    <row r="967" spans="1:12" x14ac:dyDescent="0.3">
      <c r="A967" s="2">
        <v>37484</v>
      </c>
      <c r="B967" t="s">
        <v>13</v>
      </c>
      <c r="D967" s="2">
        <v>38215</v>
      </c>
      <c r="E967">
        <v>4.5</v>
      </c>
      <c r="G967" s="2">
        <v>38215</v>
      </c>
      <c r="H967">
        <v>5.3010000000000002</v>
      </c>
      <c r="J967" s="2">
        <v>38222</v>
      </c>
      <c r="K967" s="3">
        <f t="shared" si="30"/>
        <v>4.5</v>
      </c>
      <c r="L967" s="3">
        <f t="shared" si="31"/>
        <v>5.2389999999999999</v>
      </c>
    </row>
    <row r="968" spans="1:12" x14ac:dyDescent="0.3">
      <c r="A968" s="2">
        <v>37485</v>
      </c>
      <c r="B968" t="s">
        <v>13</v>
      </c>
      <c r="D968" s="2">
        <v>38216</v>
      </c>
      <c r="E968">
        <v>4.5</v>
      </c>
      <c r="G968" s="2">
        <v>38216</v>
      </c>
      <c r="H968">
        <v>5.2169999999999996</v>
      </c>
      <c r="J968" s="2">
        <v>38223</v>
      </c>
      <c r="K968" s="3">
        <f t="shared" si="30"/>
        <v>4.5</v>
      </c>
      <c r="L968" s="3">
        <f t="shared" si="31"/>
        <v>5.2229999999999999</v>
      </c>
    </row>
    <row r="969" spans="1:12" x14ac:dyDescent="0.3">
      <c r="A969" s="2">
        <v>37486</v>
      </c>
      <c r="B969" t="s">
        <v>13</v>
      </c>
      <c r="D969" s="2">
        <v>38217</v>
      </c>
      <c r="E969">
        <v>4.5</v>
      </c>
      <c r="G969" s="2">
        <v>38217</v>
      </c>
      <c r="H969">
        <v>5.1779999999999999</v>
      </c>
      <c r="J969" s="2">
        <v>38224</v>
      </c>
      <c r="K969" s="3">
        <f t="shared" si="30"/>
        <v>4.5</v>
      </c>
      <c r="L969" s="3">
        <f t="shared" si="31"/>
        <v>5.2069999999999999</v>
      </c>
    </row>
    <row r="970" spans="1:12" x14ac:dyDescent="0.3">
      <c r="A970" s="2">
        <v>37487</v>
      </c>
      <c r="B970" t="s">
        <v>13</v>
      </c>
      <c r="D970" s="2">
        <v>38218</v>
      </c>
      <c r="E970">
        <v>4.5</v>
      </c>
      <c r="G970" s="2">
        <v>38218</v>
      </c>
      <c r="H970">
        <v>5.1619999999999999</v>
      </c>
      <c r="J970" s="2">
        <v>38225</v>
      </c>
      <c r="K970" s="3">
        <f t="shared" si="30"/>
        <v>4.5</v>
      </c>
      <c r="L970" s="3">
        <f t="shared" si="31"/>
        <v>5.4059999999999997</v>
      </c>
    </row>
    <row r="971" spans="1:12" x14ac:dyDescent="0.3">
      <c r="A971" s="2">
        <v>37488</v>
      </c>
      <c r="B971" t="s">
        <v>13</v>
      </c>
      <c r="D971" s="2">
        <v>38219</v>
      </c>
      <c r="E971">
        <v>4.5</v>
      </c>
      <c r="G971" s="2">
        <v>38219</v>
      </c>
      <c r="H971">
        <v>5.1619999999999999</v>
      </c>
      <c r="J971" s="2">
        <v>38226</v>
      </c>
      <c r="K971" s="3">
        <f t="shared" si="30"/>
        <v>4.5</v>
      </c>
      <c r="L971" s="3">
        <f t="shared" si="31"/>
        <v>5.4059999999999997</v>
      </c>
    </row>
    <row r="972" spans="1:12" x14ac:dyDescent="0.3">
      <c r="A972" s="2">
        <v>37489</v>
      </c>
      <c r="B972" t="s">
        <v>13</v>
      </c>
      <c r="D972" s="2">
        <v>38220</v>
      </c>
      <c r="E972">
        <v>4.5</v>
      </c>
      <c r="G972" s="2">
        <v>38220</v>
      </c>
      <c r="H972">
        <v>5.1520000000000001</v>
      </c>
      <c r="J972" s="2">
        <v>38227</v>
      </c>
      <c r="K972" s="3">
        <f t="shared" si="30"/>
        <v>4.5</v>
      </c>
      <c r="L972" s="3">
        <f t="shared" si="31"/>
        <v>5.2190000000000003</v>
      </c>
    </row>
    <row r="973" spans="1:12" x14ac:dyDescent="0.3">
      <c r="A973" s="2">
        <v>37490</v>
      </c>
      <c r="B973" t="s">
        <v>13</v>
      </c>
      <c r="D973" s="2">
        <v>38221</v>
      </c>
      <c r="E973">
        <v>4.5</v>
      </c>
      <c r="G973" s="2">
        <v>38221</v>
      </c>
      <c r="H973">
        <v>5.1520000000000001</v>
      </c>
      <c r="J973" s="2">
        <v>38228</v>
      </c>
      <c r="K973" s="3">
        <f t="shared" si="30"/>
        <v>4.5</v>
      </c>
      <c r="L973" s="3">
        <f t="shared" si="31"/>
        <v>5.2190000000000003</v>
      </c>
    </row>
    <row r="974" spans="1:12" x14ac:dyDescent="0.3">
      <c r="A974" s="2">
        <v>37491</v>
      </c>
      <c r="B974" t="s">
        <v>13</v>
      </c>
      <c r="D974" s="2">
        <v>38222</v>
      </c>
      <c r="E974">
        <v>4.5</v>
      </c>
      <c r="G974" s="2">
        <v>38222</v>
      </c>
      <c r="H974">
        <v>5.2389999999999999</v>
      </c>
      <c r="J974" s="2">
        <v>38229</v>
      </c>
      <c r="K974" s="3">
        <f t="shared" si="30"/>
        <v>4.5</v>
      </c>
      <c r="L974" s="3">
        <f t="shared" si="31"/>
        <v>5.2510000000000003</v>
      </c>
    </row>
    <row r="975" spans="1:12" x14ac:dyDescent="0.3">
      <c r="A975" s="2">
        <v>37492</v>
      </c>
      <c r="B975" t="s">
        <v>13</v>
      </c>
      <c r="D975" s="2">
        <v>38223</v>
      </c>
      <c r="E975">
        <v>4.5</v>
      </c>
      <c r="G975" s="2">
        <v>38223</v>
      </c>
      <c r="H975">
        <v>5.2229999999999999</v>
      </c>
      <c r="J975" s="2">
        <v>38230</v>
      </c>
      <c r="K975" s="3">
        <f t="shared" si="30"/>
        <v>4.5</v>
      </c>
      <c r="L975" s="3">
        <f t="shared" si="31"/>
        <v>5.202</v>
      </c>
    </row>
    <row r="976" spans="1:12" x14ac:dyDescent="0.3">
      <c r="A976" s="2">
        <v>37493</v>
      </c>
      <c r="B976" t="s">
        <v>13</v>
      </c>
      <c r="D976" s="2">
        <v>38224</v>
      </c>
      <c r="E976">
        <v>4.5</v>
      </c>
      <c r="G976" s="2">
        <v>38224</v>
      </c>
      <c r="H976">
        <v>5.2069999999999999</v>
      </c>
      <c r="J976" s="2">
        <v>38231</v>
      </c>
      <c r="K976" s="3">
        <f t="shared" si="30"/>
        <v>4.5</v>
      </c>
      <c r="L976" s="3">
        <f t="shared" si="31"/>
        <v>5.1609999999999996</v>
      </c>
    </row>
    <row r="977" spans="1:12" x14ac:dyDescent="0.3">
      <c r="A977" s="2">
        <v>37494</v>
      </c>
      <c r="B977" t="s">
        <v>13</v>
      </c>
      <c r="D977" s="2">
        <v>38225</v>
      </c>
      <c r="E977">
        <v>4.5</v>
      </c>
      <c r="G977" s="2">
        <v>38225</v>
      </c>
      <c r="H977">
        <v>5.4059999999999997</v>
      </c>
      <c r="J977" s="2">
        <v>38232</v>
      </c>
      <c r="K977" s="3">
        <f t="shared" si="30"/>
        <v>4.5</v>
      </c>
      <c r="L977" s="3">
        <f t="shared" si="31"/>
        <v>5.1509999999999998</v>
      </c>
    </row>
    <row r="978" spans="1:12" x14ac:dyDescent="0.3">
      <c r="A978" s="2">
        <v>37495</v>
      </c>
      <c r="B978" t="s">
        <v>13</v>
      </c>
      <c r="D978" s="2">
        <v>38226</v>
      </c>
      <c r="E978">
        <v>4.5</v>
      </c>
      <c r="G978" s="2">
        <v>38226</v>
      </c>
      <c r="H978">
        <v>5.4059999999999997</v>
      </c>
      <c r="J978" s="2">
        <v>38233</v>
      </c>
      <c r="K978" s="3">
        <f t="shared" si="30"/>
        <v>4.5</v>
      </c>
      <c r="L978" s="3">
        <f t="shared" si="31"/>
        <v>5.1040000000000001</v>
      </c>
    </row>
    <row r="979" spans="1:12" x14ac:dyDescent="0.3">
      <c r="A979" s="2">
        <v>37496</v>
      </c>
      <c r="B979" t="s">
        <v>13</v>
      </c>
      <c r="D979" s="2">
        <v>38227</v>
      </c>
      <c r="E979">
        <v>4.5</v>
      </c>
      <c r="G979" s="2">
        <v>38227</v>
      </c>
      <c r="H979">
        <v>5.2190000000000003</v>
      </c>
      <c r="J979" s="2">
        <v>38234</v>
      </c>
      <c r="K979" s="3">
        <f t="shared" si="30"/>
        <v>4.5</v>
      </c>
      <c r="L979" s="3">
        <f t="shared" si="31"/>
        <v>5.0410000000000004</v>
      </c>
    </row>
    <row r="980" spans="1:12" x14ac:dyDescent="0.3">
      <c r="A980" s="2">
        <v>37497</v>
      </c>
      <c r="B980" t="s">
        <v>13</v>
      </c>
      <c r="D980" s="2">
        <v>38228</v>
      </c>
      <c r="E980">
        <v>4.5</v>
      </c>
      <c r="G980" s="2">
        <v>38228</v>
      </c>
      <c r="H980">
        <v>5.2190000000000003</v>
      </c>
      <c r="J980" s="2">
        <v>38235</v>
      </c>
      <c r="K980" s="3">
        <f t="shared" si="30"/>
        <v>4.5</v>
      </c>
      <c r="L980" s="3">
        <f t="shared" si="31"/>
        <v>5.0410000000000004</v>
      </c>
    </row>
    <row r="981" spans="1:12" x14ac:dyDescent="0.3">
      <c r="A981" s="2">
        <v>37498</v>
      </c>
      <c r="B981" t="s">
        <v>13</v>
      </c>
      <c r="D981" s="2">
        <v>38229</v>
      </c>
      <c r="E981">
        <v>4.5</v>
      </c>
      <c r="G981" s="2">
        <v>38229</v>
      </c>
      <c r="H981">
        <v>5.2510000000000003</v>
      </c>
      <c r="J981" s="2">
        <v>38236</v>
      </c>
      <c r="K981" s="3">
        <f t="shared" si="30"/>
        <v>4.5</v>
      </c>
      <c r="L981" s="3">
        <f t="shared" si="31"/>
        <v>5.0659999999999998</v>
      </c>
    </row>
    <row r="982" spans="1:12" x14ac:dyDescent="0.3">
      <c r="A982" s="2">
        <v>37499</v>
      </c>
      <c r="B982" t="s">
        <v>13</v>
      </c>
      <c r="D982" s="2">
        <v>38230</v>
      </c>
      <c r="E982">
        <v>4.5</v>
      </c>
      <c r="G982" s="2">
        <v>38230</v>
      </c>
      <c r="H982">
        <v>5.202</v>
      </c>
      <c r="J982" s="2">
        <v>38237</v>
      </c>
      <c r="K982" s="3">
        <f t="shared" si="30"/>
        <v>4.5</v>
      </c>
      <c r="L982" s="3">
        <f t="shared" si="31"/>
        <v>5.1130000000000004</v>
      </c>
    </row>
    <row r="983" spans="1:12" x14ac:dyDescent="0.3">
      <c r="A983" s="2">
        <v>37500</v>
      </c>
      <c r="B983" t="s">
        <v>13</v>
      </c>
      <c r="D983" s="2">
        <v>38231</v>
      </c>
      <c r="E983">
        <v>4.5</v>
      </c>
      <c r="G983" s="2">
        <v>38231</v>
      </c>
      <c r="H983">
        <v>5.1609999999999996</v>
      </c>
      <c r="J983" s="2">
        <v>38238</v>
      </c>
      <c r="K983" s="3">
        <f t="shared" si="30"/>
        <v>4.5</v>
      </c>
      <c r="L983" s="3">
        <f t="shared" si="31"/>
        <v>5.1070000000000002</v>
      </c>
    </row>
    <row r="984" spans="1:12" x14ac:dyDescent="0.3">
      <c r="A984" s="2">
        <v>37501</v>
      </c>
      <c r="B984" t="s">
        <v>13</v>
      </c>
      <c r="D984" s="2">
        <v>38232</v>
      </c>
      <c r="E984">
        <v>4.5</v>
      </c>
      <c r="G984" s="2">
        <v>38232</v>
      </c>
      <c r="H984">
        <v>5.1509999999999998</v>
      </c>
      <c r="J984" s="2">
        <v>38239</v>
      </c>
      <c r="K984" s="3">
        <f t="shared" si="30"/>
        <v>4.5</v>
      </c>
      <c r="L984" s="3">
        <f t="shared" si="31"/>
        <v>5.0979999999999999</v>
      </c>
    </row>
    <row r="985" spans="1:12" x14ac:dyDescent="0.3">
      <c r="A985" s="2">
        <v>37502</v>
      </c>
      <c r="B985" t="s">
        <v>13</v>
      </c>
      <c r="D985" s="2">
        <v>38233</v>
      </c>
      <c r="E985">
        <v>4.5</v>
      </c>
      <c r="G985" s="2">
        <v>38233</v>
      </c>
      <c r="H985">
        <v>5.1040000000000001</v>
      </c>
      <c r="J985" s="2">
        <v>38240</v>
      </c>
      <c r="K985" s="3">
        <f t="shared" si="30"/>
        <v>4.5</v>
      </c>
      <c r="L985" s="3">
        <f t="shared" si="31"/>
        <v>5.0890000000000004</v>
      </c>
    </row>
    <row r="986" spans="1:12" x14ac:dyDescent="0.3">
      <c r="A986" s="2">
        <v>37503</v>
      </c>
      <c r="B986" t="s">
        <v>13</v>
      </c>
      <c r="D986" s="2">
        <v>38234</v>
      </c>
      <c r="E986">
        <v>4.5</v>
      </c>
      <c r="G986" s="2">
        <v>38234</v>
      </c>
      <c r="H986">
        <v>5.0410000000000004</v>
      </c>
      <c r="J986" s="2">
        <v>38241</v>
      </c>
      <c r="K986" s="3">
        <f t="shared" si="30"/>
        <v>4.5</v>
      </c>
      <c r="L986" s="3">
        <f t="shared" si="31"/>
        <v>5.048</v>
      </c>
    </row>
    <row r="987" spans="1:12" x14ac:dyDescent="0.3">
      <c r="A987" s="2">
        <v>37504</v>
      </c>
      <c r="B987" t="s">
        <v>13</v>
      </c>
      <c r="D987" s="2">
        <v>38235</v>
      </c>
      <c r="E987">
        <v>4.5</v>
      </c>
      <c r="G987" s="2">
        <v>38235</v>
      </c>
      <c r="H987">
        <v>5.0410000000000004</v>
      </c>
      <c r="J987" s="2">
        <v>38242</v>
      </c>
      <c r="K987" s="3">
        <f t="shared" si="30"/>
        <v>4.5</v>
      </c>
      <c r="L987" s="3">
        <f t="shared" si="31"/>
        <v>5.048</v>
      </c>
    </row>
    <row r="988" spans="1:12" x14ac:dyDescent="0.3">
      <c r="A988" s="2">
        <v>37505</v>
      </c>
      <c r="B988" t="s">
        <v>13</v>
      </c>
      <c r="D988" s="2">
        <v>38236</v>
      </c>
      <c r="E988">
        <v>4.5</v>
      </c>
      <c r="G988" s="2">
        <v>38236</v>
      </c>
      <c r="H988">
        <v>5.0659999999999998</v>
      </c>
      <c r="J988" s="2">
        <v>38243</v>
      </c>
      <c r="K988" s="3">
        <f t="shared" si="30"/>
        <v>4.5</v>
      </c>
      <c r="L988" s="3">
        <f t="shared" si="31"/>
        <v>5.2409999999999997</v>
      </c>
    </row>
    <row r="989" spans="1:12" x14ac:dyDescent="0.3">
      <c r="A989" s="2">
        <v>37506</v>
      </c>
      <c r="B989" t="s">
        <v>13</v>
      </c>
      <c r="D989" s="2">
        <v>38237</v>
      </c>
      <c r="E989">
        <v>4.5</v>
      </c>
      <c r="G989" s="2">
        <v>38237</v>
      </c>
      <c r="H989">
        <v>5.1130000000000004</v>
      </c>
      <c r="J989" s="2">
        <v>38244</v>
      </c>
      <c r="K989" s="3">
        <f t="shared" si="30"/>
        <v>4.5</v>
      </c>
      <c r="L989" s="3">
        <f t="shared" si="31"/>
        <v>5.165</v>
      </c>
    </row>
    <row r="990" spans="1:12" x14ac:dyDescent="0.3">
      <c r="A990" s="2">
        <v>37507</v>
      </c>
      <c r="B990" t="s">
        <v>13</v>
      </c>
      <c r="D990" s="2">
        <v>38238</v>
      </c>
      <c r="E990">
        <v>4.5</v>
      </c>
      <c r="G990" s="2">
        <v>38238</v>
      </c>
      <c r="H990">
        <v>5.1070000000000002</v>
      </c>
      <c r="J990" s="2">
        <v>38245</v>
      </c>
      <c r="K990" s="3">
        <f t="shared" si="30"/>
        <v>4.5</v>
      </c>
      <c r="L990" s="3">
        <f t="shared" si="31"/>
        <v>5.218</v>
      </c>
    </row>
    <row r="991" spans="1:12" x14ac:dyDescent="0.3">
      <c r="A991" s="2">
        <v>37508</v>
      </c>
      <c r="B991" t="s">
        <v>13</v>
      </c>
      <c r="D991" s="2">
        <v>38239</v>
      </c>
      <c r="E991">
        <v>4.5</v>
      </c>
      <c r="G991" s="2">
        <v>38239</v>
      </c>
      <c r="H991">
        <v>5.0979999999999999</v>
      </c>
      <c r="J991" s="2">
        <v>38246</v>
      </c>
      <c r="K991" s="3">
        <f t="shared" si="30"/>
        <v>4.5</v>
      </c>
      <c r="L991" s="3">
        <f t="shared" si="31"/>
        <v>5.2089999999999996</v>
      </c>
    </row>
    <row r="992" spans="1:12" x14ac:dyDescent="0.3">
      <c r="A992" s="2">
        <v>37509</v>
      </c>
      <c r="B992" t="s">
        <v>13</v>
      </c>
      <c r="D992" s="2">
        <v>38240</v>
      </c>
      <c r="E992">
        <v>4.5</v>
      </c>
      <c r="G992" s="2">
        <v>38240</v>
      </c>
      <c r="H992">
        <v>5.0890000000000004</v>
      </c>
      <c r="J992" s="2">
        <v>38247</v>
      </c>
      <c r="K992" s="3">
        <f t="shared" si="30"/>
        <v>4.5</v>
      </c>
      <c r="L992" s="3">
        <f t="shared" si="31"/>
        <v>5.218</v>
      </c>
    </row>
    <row r="993" spans="1:12" x14ac:dyDescent="0.3">
      <c r="A993" s="2">
        <v>37510</v>
      </c>
      <c r="B993" t="s">
        <v>13</v>
      </c>
      <c r="D993" s="2">
        <v>38241</v>
      </c>
      <c r="E993">
        <v>4.5</v>
      </c>
      <c r="G993" s="2">
        <v>38241</v>
      </c>
      <c r="H993">
        <v>5.048</v>
      </c>
      <c r="J993" s="2">
        <v>38248</v>
      </c>
      <c r="K993" s="3">
        <f t="shared" si="30"/>
        <v>4.5</v>
      </c>
      <c r="L993" s="3">
        <f t="shared" si="31"/>
        <v>5.218</v>
      </c>
    </row>
    <row r="994" spans="1:12" x14ac:dyDescent="0.3">
      <c r="A994" s="2">
        <v>37511</v>
      </c>
      <c r="B994" t="s">
        <v>13</v>
      </c>
      <c r="D994" s="2">
        <v>38242</v>
      </c>
      <c r="E994">
        <v>4.5</v>
      </c>
      <c r="G994" s="2">
        <v>38242</v>
      </c>
      <c r="H994">
        <v>5.048</v>
      </c>
      <c r="J994" s="2">
        <v>38249</v>
      </c>
      <c r="K994" s="3">
        <f t="shared" si="30"/>
        <v>4.5</v>
      </c>
      <c r="L994" s="3">
        <f t="shared" si="31"/>
        <v>5.218</v>
      </c>
    </row>
    <row r="995" spans="1:12" x14ac:dyDescent="0.3">
      <c r="A995" s="2">
        <v>37512</v>
      </c>
      <c r="B995" t="s">
        <v>13</v>
      </c>
      <c r="D995" s="2">
        <v>38243</v>
      </c>
      <c r="E995">
        <v>4.5</v>
      </c>
      <c r="G995" s="2">
        <v>38243</v>
      </c>
      <c r="H995">
        <v>5.2409999999999997</v>
      </c>
      <c r="J995" s="2">
        <v>38250</v>
      </c>
      <c r="K995" s="3">
        <f t="shared" si="30"/>
        <v>4.5</v>
      </c>
      <c r="L995" s="3">
        <f t="shared" si="31"/>
        <v>5.24</v>
      </c>
    </row>
    <row r="996" spans="1:12" x14ac:dyDescent="0.3">
      <c r="A996" s="2">
        <v>37513</v>
      </c>
      <c r="B996" t="s">
        <v>13</v>
      </c>
      <c r="D996" s="2">
        <v>38244</v>
      </c>
      <c r="E996">
        <v>4.5</v>
      </c>
      <c r="G996" s="2">
        <v>38244</v>
      </c>
      <c r="H996">
        <v>5.165</v>
      </c>
      <c r="J996" s="2">
        <v>38251</v>
      </c>
      <c r="K996" s="3">
        <f t="shared" si="30"/>
        <v>4.5</v>
      </c>
      <c r="L996" s="3">
        <f t="shared" si="31"/>
        <v>5.2370000000000001</v>
      </c>
    </row>
    <row r="997" spans="1:12" x14ac:dyDescent="0.3">
      <c r="A997" s="2">
        <v>37514</v>
      </c>
      <c r="B997" t="s">
        <v>13</v>
      </c>
      <c r="D997" s="2">
        <v>38245</v>
      </c>
      <c r="E997">
        <v>4.5</v>
      </c>
      <c r="G997" s="2">
        <v>38245</v>
      </c>
      <c r="H997">
        <v>5.218</v>
      </c>
      <c r="J997" s="2">
        <v>38252</v>
      </c>
      <c r="K997" s="3">
        <f t="shared" si="30"/>
        <v>4.5</v>
      </c>
      <c r="L997" s="3">
        <f t="shared" si="31"/>
        <v>5.25</v>
      </c>
    </row>
    <row r="998" spans="1:12" x14ac:dyDescent="0.3">
      <c r="A998" s="2">
        <v>37515</v>
      </c>
      <c r="B998" t="s">
        <v>13</v>
      </c>
      <c r="D998" s="2">
        <v>38246</v>
      </c>
      <c r="E998">
        <v>4.5</v>
      </c>
      <c r="G998" s="2">
        <v>38246</v>
      </c>
      <c r="H998">
        <v>5.2089999999999996</v>
      </c>
      <c r="J998" s="2">
        <v>38253</v>
      </c>
      <c r="K998" s="3">
        <f t="shared" si="30"/>
        <v>4.5</v>
      </c>
      <c r="L998" s="3">
        <f t="shared" si="31"/>
        <v>5.2060000000000004</v>
      </c>
    </row>
    <row r="999" spans="1:12" x14ac:dyDescent="0.3">
      <c r="A999" s="2">
        <v>37516</v>
      </c>
      <c r="B999" t="s">
        <v>13</v>
      </c>
      <c r="D999" s="2">
        <v>38247</v>
      </c>
      <c r="E999">
        <v>4.5</v>
      </c>
      <c r="G999" s="2">
        <v>38247</v>
      </c>
      <c r="H999">
        <v>5.218</v>
      </c>
      <c r="J999" s="2">
        <v>38254</v>
      </c>
      <c r="K999" s="3">
        <f t="shared" si="30"/>
        <v>4.5</v>
      </c>
      <c r="L999" s="3">
        <f t="shared" si="31"/>
        <v>5.1509999999999998</v>
      </c>
    </row>
    <row r="1000" spans="1:12" x14ac:dyDescent="0.3">
      <c r="A1000" s="2">
        <v>37517</v>
      </c>
      <c r="B1000" t="s">
        <v>13</v>
      </c>
      <c r="D1000" s="2">
        <v>38248</v>
      </c>
      <c r="E1000">
        <v>4.5</v>
      </c>
      <c r="G1000" s="2">
        <v>38248</v>
      </c>
      <c r="H1000">
        <v>5.218</v>
      </c>
      <c r="J1000" s="2">
        <v>38255</v>
      </c>
      <c r="K1000" s="3">
        <f t="shared" si="30"/>
        <v>4.5</v>
      </c>
      <c r="L1000" s="3">
        <f t="shared" si="31"/>
        <v>5.1829999999999998</v>
      </c>
    </row>
    <row r="1001" spans="1:12" x14ac:dyDescent="0.3">
      <c r="A1001" s="2">
        <v>37518</v>
      </c>
      <c r="B1001" t="s">
        <v>13</v>
      </c>
      <c r="D1001" s="2">
        <v>38249</v>
      </c>
      <c r="E1001">
        <v>4.5</v>
      </c>
      <c r="G1001" s="2">
        <v>38249</v>
      </c>
      <c r="H1001">
        <v>5.218</v>
      </c>
      <c r="J1001" s="2">
        <v>38256</v>
      </c>
      <c r="K1001" s="3">
        <f t="shared" si="30"/>
        <v>4.5</v>
      </c>
      <c r="L1001" s="3">
        <f t="shared" si="31"/>
        <v>5.1829999999999998</v>
      </c>
    </row>
    <row r="1002" spans="1:12" x14ac:dyDescent="0.3">
      <c r="A1002" s="2">
        <v>37519</v>
      </c>
      <c r="B1002" t="s">
        <v>13</v>
      </c>
      <c r="D1002" s="2">
        <v>38250</v>
      </c>
      <c r="E1002">
        <v>4.5</v>
      </c>
      <c r="G1002" s="2">
        <v>38250</v>
      </c>
      <c r="H1002">
        <v>5.24</v>
      </c>
      <c r="J1002" s="2">
        <v>38257</v>
      </c>
      <c r="K1002" s="3">
        <f t="shared" si="30"/>
        <v>4.5</v>
      </c>
      <c r="L1002" s="3">
        <f t="shared" si="31"/>
        <v>5.2210000000000001</v>
      </c>
    </row>
    <row r="1003" spans="1:12" x14ac:dyDescent="0.3">
      <c r="A1003" s="2">
        <v>37520</v>
      </c>
      <c r="B1003" t="s">
        <v>13</v>
      </c>
      <c r="D1003" s="2">
        <v>38251</v>
      </c>
      <c r="E1003">
        <v>4.5</v>
      </c>
      <c r="G1003" s="2">
        <v>38251</v>
      </c>
      <c r="H1003">
        <v>5.2370000000000001</v>
      </c>
      <c r="J1003" s="2">
        <v>38258</v>
      </c>
      <c r="K1003" s="3">
        <f t="shared" si="30"/>
        <v>4.5</v>
      </c>
      <c r="L1003" s="3">
        <f t="shared" si="31"/>
        <v>5.258</v>
      </c>
    </row>
    <row r="1004" spans="1:12" x14ac:dyDescent="0.3">
      <c r="A1004" s="2">
        <v>37521</v>
      </c>
      <c r="B1004" t="s">
        <v>13</v>
      </c>
      <c r="D1004" s="2">
        <v>38252</v>
      </c>
      <c r="E1004">
        <v>4.5</v>
      </c>
      <c r="G1004" s="2">
        <v>38252</v>
      </c>
      <c r="H1004">
        <v>5.25</v>
      </c>
      <c r="J1004" s="2">
        <v>38259</v>
      </c>
      <c r="K1004" s="3">
        <f t="shared" si="30"/>
        <v>4.5</v>
      </c>
      <c r="L1004" s="3">
        <f t="shared" si="31"/>
        <v>5.3019999999999996</v>
      </c>
    </row>
    <row r="1005" spans="1:12" x14ac:dyDescent="0.3">
      <c r="A1005" s="2">
        <v>37522</v>
      </c>
      <c r="B1005" t="s">
        <v>13</v>
      </c>
      <c r="D1005" s="2">
        <v>38253</v>
      </c>
      <c r="E1005">
        <v>4.5</v>
      </c>
      <c r="G1005" s="2">
        <v>38253</v>
      </c>
      <c r="H1005">
        <v>5.2060000000000004</v>
      </c>
      <c r="J1005" s="2">
        <v>38260</v>
      </c>
      <c r="K1005" s="3">
        <f t="shared" si="30"/>
        <v>4.5</v>
      </c>
      <c r="L1005" s="3">
        <f t="shared" si="31"/>
        <v>5.2779999999999996</v>
      </c>
    </row>
    <row r="1006" spans="1:12" x14ac:dyDescent="0.3">
      <c r="A1006" s="2">
        <v>37523</v>
      </c>
      <c r="B1006" t="s">
        <v>13</v>
      </c>
      <c r="D1006" s="2">
        <v>38254</v>
      </c>
      <c r="E1006">
        <v>4.5</v>
      </c>
      <c r="G1006" s="2">
        <v>38254</v>
      </c>
      <c r="H1006">
        <v>5.1509999999999998</v>
      </c>
      <c r="J1006" s="2">
        <v>38261</v>
      </c>
      <c r="K1006" s="3">
        <f t="shared" si="30"/>
        <v>4.5</v>
      </c>
      <c r="L1006" s="3">
        <f t="shared" si="31"/>
        <v>5.3540000000000001</v>
      </c>
    </row>
    <row r="1007" spans="1:12" x14ac:dyDescent="0.3">
      <c r="A1007" s="2">
        <v>37524</v>
      </c>
      <c r="B1007" t="s">
        <v>13</v>
      </c>
      <c r="D1007" s="2">
        <v>38255</v>
      </c>
      <c r="E1007">
        <v>4.5</v>
      </c>
      <c r="G1007" s="2">
        <v>38255</v>
      </c>
      <c r="H1007">
        <v>5.1829999999999998</v>
      </c>
      <c r="J1007" s="2">
        <v>38262</v>
      </c>
      <c r="K1007" s="3">
        <f t="shared" si="30"/>
        <v>4.5</v>
      </c>
      <c r="L1007" s="3">
        <f t="shared" si="31"/>
        <v>5.3540000000000001</v>
      </c>
    </row>
    <row r="1008" spans="1:12" x14ac:dyDescent="0.3">
      <c r="A1008" s="2">
        <v>37525</v>
      </c>
      <c r="B1008" t="s">
        <v>13</v>
      </c>
      <c r="D1008" s="2">
        <v>38256</v>
      </c>
      <c r="E1008">
        <v>4.5</v>
      </c>
      <c r="G1008" s="2">
        <v>38256</v>
      </c>
      <c r="H1008">
        <v>5.1829999999999998</v>
      </c>
      <c r="J1008" s="2">
        <v>38263</v>
      </c>
      <c r="K1008" s="3">
        <f t="shared" si="30"/>
        <v>4.5</v>
      </c>
      <c r="L1008" s="3">
        <f t="shared" si="31"/>
        <v>5.3540000000000001</v>
      </c>
    </row>
    <row r="1009" spans="1:12" x14ac:dyDescent="0.3">
      <c r="A1009" s="2">
        <v>37526</v>
      </c>
      <c r="B1009" t="s">
        <v>13</v>
      </c>
      <c r="D1009" s="2">
        <v>38257</v>
      </c>
      <c r="E1009">
        <v>4.5</v>
      </c>
      <c r="G1009" s="2">
        <v>38257</v>
      </c>
      <c r="H1009">
        <v>5.2210000000000001</v>
      </c>
      <c r="J1009" s="2">
        <v>38264</v>
      </c>
      <c r="K1009" s="3">
        <f t="shared" si="30"/>
        <v>4.5</v>
      </c>
      <c r="L1009" s="3">
        <f t="shared" si="31"/>
        <v>5.3310000000000004</v>
      </c>
    </row>
    <row r="1010" spans="1:12" x14ac:dyDescent="0.3">
      <c r="A1010" s="2">
        <v>37527</v>
      </c>
      <c r="B1010" t="s">
        <v>13</v>
      </c>
      <c r="D1010" s="2">
        <v>38258</v>
      </c>
      <c r="E1010">
        <v>4.5</v>
      </c>
      <c r="G1010" s="2">
        <v>38258</v>
      </c>
      <c r="H1010">
        <v>5.258</v>
      </c>
      <c r="J1010" s="2">
        <v>38265</v>
      </c>
      <c r="K1010" s="3">
        <f t="shared" si="30"/>
        <v>4.5</v>
      </c>
      <c r="L1010" s="3">
        <f t="shared" si="31"/>
        <v>5.3719999999999999</v>
      </c>
    </row>
    <row r="1011" spans="1:12" x14ac:dyDescent="0.3">
      <c r="A1011" s="2">
        <v>37528</v>
      </c>
      <c r="B1011" t="s">
        <v>13</v>
      </c>
      <c r="D1011" s="2">
        <v>38259</v>
      </c>
      <c r="E1011">
        <v>4.5</v>
      </c>
      <c r="G1011" s="2">
        <v>38259</v>
      </c>
      <c r="H1011">
        <v>5.3019999999999996</v>
      </c>
      <c r="J1011" s="2">
        <v>38266</v>
      </c>
      <c r="K1011" s="3">
        <f t="shared" si="30"/>
        <v>4.5</v>
      </c>
      <c r="L1011" s="3">
        <f t="shared" si="31"/>
        <v>5.3760000000000003</v>
      </c>
    </row>
    <row r="1012" spans="1:12" x14ac:dyDescent="0.3">
      <c r="A1012" s="2">
        <v>37529</v>
      </c>
      <c r="B1012" t="s">
        <v>13</v>
      </c>
      <c r="D1012" s="2">
        <v>38260</v>
      </c>
      <c r="E1012">
        <v>4.5</v>
      </c>
      <c r="G1012" s="2">
        <v>38260</v>
      </c>
      <c r="H1012">
        <v>5.2779999999999996</v>
      </c>
      <c r="J1012" s="2">
        <v>38267</v>
      </c>
      <c r="K1012" s="3">
        <f t="shared" si="30"/>
        <v>4.5</v>
      </c>
      <c r="L1012" s="3">
        <f t="shared" si="31"/>
        <v>5.4260000000000002</v>
      </c>
    </row>
    <row r="1013" spans="1:12" x14ac:dyDescent="0.3">
      <c r="A1013" s="2">
        <v>37530</v>
      </c>
      <c r="B1013" t="s">
        <v>13</v>
      </c>
      <c r="D1013" s="2">
        <v>38261</v>
      </c>
      <c r="E1013">
        <v>4.5</v>
      </c>
      <c r="G1013" s="2">
        <v>38261</v>
      </c>
      <c r="H1013">
        <v>5.3540000000000001</v>
      </c>
      <c r="J1013" s="2">
        <v>38268</v>
      </c>
      <c r="K1013" s="3">
        <f t="shared" si="30"/>
        <v>4.5</v>
      </c>
      <c r="L1013" s="3">
        <f t="shared" si="31"/>
        <v>5.42</v>
      </c>
    </row>
    <row r="1014" spans="1:12" x14ac:dyDescent="0.3">
      <c r="A1014" s="2">
        <v>37531</v>
      </c>
      <c r="B1014" t="s">
        <v>13</v>
      </c>
      <c r="D1014" s="2">
        <v>38262</v>
      </c>
      <c r="E1014">
        <v>4.5</v>
      </c>
      <c r="G1014" s="2">
        <v>38262</v>
      </c>
      <c r="H1014">
        <v>5.3540000000000001</v>
      </c>
      <c r="J1014" s="2">
        <v>38269</v>
      </c>
      <c r="K1014" s="3">
        <f t="shared" si="30"/>
        <v>4.5</v>
      </c>
      <c r="L1014" s="3">
        <f t="shared" si="31"/>
        <v>5.4610000000000003</v>
      </c>
    </row>
    <row r="1015" spans="1:12" x14ac:dyDescent="0.3">
      <c r="A1015" s="2">
        <v>37532</v>
      </c>
      <c r="B1015" t="s">
        <v>13</v>
      </c>
      <c r="D1015" s="2">
        <v>38263</v>
      </c>
      <c r="E1015">
        <v>4.5</v>
      </c>
      <c r="G1015" s="2">
        <v>38263</v>
      </c>
      <c r="H1015">
        <v>5.3540000000000001</v>
      </c>
      <c r="J1015" s="2">
        <v>38270</v>
      </c>
      <c r="K1015" s="3">
        <f t="shared" si="30"/>
        <v>4.5</v>
      </c>
      <c r="L1015" s="3">
        <f t="shared" si="31"/>
        <v>5.4610000000000003</v>
      </c>
    </row>
    <row r="1016" spans="1:12" x14ac:dyDescent="0.3">
      <c r="A1016" s="2">
        <v>37533</v>
      </c>
      <c r="B1016" t="s">
        <v>13</v>
      </c>
      <c r="D1016" s="2">
        <v>38264</v>
      </c>
      <c r="E1016">
        <v>4.5</v>
      </c>
      <c r="G1016" s="2">
        <v>38264</v>
      </c>
      <c r="H1016">
        <v>5.3310000000000004</v>
      </c>
      <c r="J1016" s="2">
        <v>38271</v>
      </c>
      <c r="K1016" s="3">
        <f t="shared" si="30"/>
        <v>4.5</v>
      </c>
      <c r="L1016" s="3">
        <f t="shared" si="31"/>
        <v>5.4989999999999997</v>
      </c>
    </row>
    <row r="1017" spans="1:12" x14ac:dyDescent="0.3">
      <c r="A1017" s="2">
        <v>37534</v>
      </c>
      <c r="B1017" t="s">
        <v>13</v>
      </c>
      <c r="D1017" s="2">
        <v>38265</v>
      </c>
      <c r="E1017">
        <v>4.5</v>
      </c>
      <c r="G1017" s="2">
        <v>38265</v>
      </c>
      <c r="H1017">
        <v>5.3719999999999999</v>
      </c>
      <c r="J1017" s="2">
        <v>38272</v>
      </c>
      <c r="K1017" s="3">
        <f t="shared" si="30"/>
        <v>4.5</v>
      </c>
      <c r="L1017" s="3">
        <f t="shared" si="31"/>
        <v>5.524</v>
      </c>
    </row>
    <row r="1018" spans="1:12" x14ac:dyDescent="0.3">
      <c r="A1018" s="2">
        <v>37535</v>
      </c>
      <c r="B1018" t="s">
        <v>13</v>
      </c>
      <c r="D1018" s="2">
        <v>38266</v>
      </c>
      <c r="E1018">
        <v>4.5</v>
      </c>
      <c r="G1018" s="2">
        <v>38266</v>
      </c>
      <c r="H1018">
        <v>5.3760000000000003</v>
      </c>
      <c r="J1018" s="2">
        <v>38273</v>
      </c>
      <c r="K1018" s="3">
        <f t="shared" si="30"/>
        <v>4.5</v>
      </c>
      <c r="L1018" s="3">
        <f t="shared" si="31"/>
        <v>5.524</v>
      </c>
    </row>
    <row r="1019" spans="1:12" x14ac:dyDescent="0.3">
      <c r="A1019" s="2">
        <v>37536</v>
      </c>
      <c r="B1019" t="s">
        <v>13</v>
      </c>
      <c r="D1019" s="2">
        <v>38267</v>
      </c>
      <c r="E1019">
        <v>4.5</v>
      </c>
      <c r="G1019" s="2">
        <v>38267</v>
      </c>
      <c r="H1019">
        <v>5.4260000000000002</v>
      </c>
      <c r="J1019" s="2">
        <v>38274</v>
      </c>
      <c r="K1019" s="3">
        <f t="shared" si="30"/>
        <v>4.5</v>
      </c>
      <c r="L1019" s="3">
        <f t="shared" si="31"/>
        <v>5.4939999999999998</v>
      </c>
    </row>
    <row r="1020" spans="1:12" x14ac:dyDescent="0.3">
      <c r="A1020" s="2">
        <v>37537</v>
      </c>
      <c r="B1020" t="s">
        <v>13</v>
      </c>
      <c r="D1020" s="2">
        <v>38268</v>
      </c>
      <c r="E1020">
        <v>4.5</v>
      </c>
      <c r="G1020" s="2">
        <v>38268</v>
      </c>
      <c r="H1020">
        <v>5.42</v>
      </c>
      <c r="J1020" s="2">
        <v>38275</v>
      </c>
      <c r="K1020" s="3">
        <f t="shared" si="30"/>
        <v>4.5</v>
      </c>
      <c r="L1020" s="3">
        <f t="shared" si="31"/>
        <v>5.4740000000000002</v>
      </c>
    </row>
    <row r="1021" spans="1:12" x14ac:dyDescent="0.3">
      <c r="A1021" s="2">
        <v>37538</v>
      </c>
      <c r="B1021" t="s">
        <v>13</v>
      </c>
      <c r="D1021" s="2">
        <v>38269</v>
      </c>
      <c r="E1021">
        <v>4.5</v>
      </c>
      <c r="G1021" s="2">
        <v>38269</v>
      </c>
      <c r="H1021">
        <v>5.4610000000000003</v>
      </c>
      <c r="J1021" s="2">
        <v>38276</v>
      </c>
      <c r="K1021" s="3">
        <f t="shared" si="30"/>
        <v>4.5</v>
      </c>
      <c r="L1021" s="3">
        <f t="shared" si="31"/>
        <v>5.476</v>
      </c>
    </row>
    <row r="1022" spans="1:12" x14ac:dyDescent="0.3">
      <c r="A1022" s="2">
        <v>37539</v>
      </c>
      <c r="B1022" t="s">
        <v>13</v>
      </c>
      <c r="D1022" s="2">
        <v>38270</v>
      </c>
      <c r="E1022">
        <v>4.5</v>
      </c>
      <c r="G1022" s="2">
        <v>38270</v>
      </c>
      <c r="H1022">
        <v>5.4610000000000003</v>
      </c>
      <c r="J1022" s="2">
        <v>38277</v>
      </c>
      <c r="K1022" s="3">
        <f t="shared" si="30"/>
        <v>4.5</v>
      </c>
      <c r="L1022" s="3">
        <f t="shared" si="31"/>
        <v>5.476</v>
      </c>
    </row>
    <row r="1023" spans="1:12" x14ac:dyDescent="0.3">
      <c r="A1023" s="2">
        <v>37540</v>
      </c>
      <c r="B1023" t="s">
        <v>13</v>
      </c>
      <c r="D1023" s="2">
        <v>38271</v>
      </c>
      <c r="E1023">
        <v>4.5</v>
      </c>
      <c r="G1023" s="2">
        <v>38271</v>
      </c>
      <c r="H1023">
        <v>5.4989999999999997</v>
      </c>
      <c r="J1023" s="2">
        <v>38278</v>
      </c>
      <c r="K1023" s="3">
        <f t="shared" si="30"/>
        <v>4.5</v>
      </c>
      <c r="L1023" s="3">
        <f t="shared" si="31"/>
        <v>5.4950000000000001</v>
      </c>
    </row>
    <row r="1024" spans="1:12" x14ac:dyDescent="0.3">
      <c r="A1024" s="2">
        <v>37541</v>
      </c>
      <c r="B1024" t="s">
        <v>13</v>
      </c>
      <c r="D1024" s="2">
        <v>38272</v>
      </c>
      <c r="E1024">
        <v>4.5</v>
      </c>
      <c r="G1024" s="2">
        <v>38272</v>
      </c>
      <c r="H1024">
        <v>5.524</v>
      </c>
      <c r="J1024" s="2">
        <v>38279</v>
      </c>
      <c r="K1024" s="3">
        <f t="shared" si="30"/>
        <v>4.5</v>
      </c>
      <c r="L1024" s="3">
        <f t="shared" si="31"/>
        <v>5.468</v>
      </c>
    </row>
    <row r="1025" spans="1:12" x14ac:dyDescent="0.3">
      <c r="A1025" s="2">
        <v>37542</v>
      </c>
      <c r="B1025" t="s">
        <v>13</v>
      </c>
      <c r="D1025" s="2">
        <v>38273</v>
      </c>
      <c r="E1025">
        <v>4.5</v>
      </c>
      <c r="G1025" s="2">
        <v>38273</v>
      </c>
      <c r="H1025">
        <v>5.524</v>
      </c>
      <c r="J1025" s="2">
        <v>38280</v>
      </c>
      <c r="K1025" s="3">
        <f t="shared" si="30"/>
        <v>4.5</v>
      </c>
      <c r="L1025" s="3">
        <f t="shared" si="31"/>
        <v>5.5</v>
      </c>
    </row>
    <row r="1026" spans="1:12" x14ac:dyDescent="0.3">
      <c r="A1026" s="2">
        <v>37543</v>
      </c>
      <c r="B1026" t="s">
        <v>13</v>
      </c>
      <c r="D1026" s="2">
        <v>38274</v>
      </c>
      <c r="E1026">
        <v>4.5</v>
      </c>
      <c r="G1026" s="2">
        <v>38274</v>
      </c>
      <c r="H1026">
        <v>5.4939999999999998</v>
      </c>
      <c r="J1026" s="2">
        <v>38281</v>
      </c>
      <c r="K1026" s="3">
        <f t="shared" si="30"/>
        <v>4.5</v>
      </c>
      <c r="L1026" s="3">
        <f t="shared" si="31"/>
        <v>5.4969999999999999</v>
      </c>
    </row>
    <row r="1027" spans="1:12" x14ac:dyDescent="0.3">
      <c r="A1027" s="2">
        <v>37544</v>
      </c>
      <c r="B1027" t="s">
        <v>13</v>
      </c>
      <c r="D1027" s="2">
        <v>38275</v>
      </c>
      <c r="E1027">
        <v>4.5</v>
      </c>
      <c r="G1027" s="2">
        <v>38275</v>
      </c>
      <c r="H1027">
        <v>5.4740000000000002</v>
      </c>
      <c r="J1027" s="2">
        <v>38282</v>
      </c>
      <c r="K1027" s="3">
        <f t="shared" ref="K1027:K1090" si="32">E1034</f>
        <v>4.5</v>
      </c>
      <c r="L1027" s="3">
        <f t="shared" ref="L1027:L1090" si="33">H1034</f>
        <v>5.4969999999999999</v>
      </c>
    </row>
    <row r="1028" spans="1:12" x14ac:dyDescent="0.3">
      <c r="A1028" s="2">
        <v>37545</v>
      </c>
      <c r="B1028" t="s">
        <v>13</v>
      </c>
      <c r="D1028" s="2">
        <v>38276</v>
      </c>
      <c r="E1028">
        <v>4.5</v>
      </c>
      <c r="G1028" s="2">
        <v>38276</v>
      </c>
      <c r="H1028">
        <v>5.476</v>
      </c>
      <c r="J1028" s="2">
        <v>38283</v>
      </c>
      <c r="K1028" s="3">
        <f t="shared" si="32"/>
        <v>4.5</v>
      </c>
      <c r="L1028" s="3">
        <f t="shared" si="33"/>
        <v>5.4589999999999996</v>
      </c>
    </row>
    <row r="1029" spans="1:12" x14ac:dyDescent="0.3">
      <c r="A1029" s="2">
        <v>37546</v>
      </c>
      <c r="B1029" t="s">
        <v>13</v>
      </c>
      <c r="D1029" s="2">
        <v>38277</v>
      </c>
      <c r="E1029">
        <v>4.5</v>
      </c>
      <c r="G1029" s="2">
        <v>38277</v>
      </c>
      <c r="H1029">
        <v>5.476</v>
      </c>
      <c r="J1029" s="2">
        <v>38284</v>
      </c>
      <c r="K1029" s="3">
        <f t="shared" si="32"/>
        <v>4.5</v>
      </c>
      <c r="L1029" s="3">
        <f t="shared" si="33"/>
        <v>5.4589999999999996</v>
      </c>
    </row>
    <row r="1030" spans="1:12" x14ac:dyDescent="0.3">
      <c r="A1030" s="2">
        <v>37547</v>
      </c>
      <c r="B1030" t="s">
        <v>13</v>
      </c>
      <c r="D1030" s="2">
        <v>38278</v>
      </c>
      <c r="E1030">
        <v>4.5</v>
      </c>
      <c r="G1030" s="2">
        <v>38278</v>
      </c>
      <c r="H1030">
        <v>5.4950000000000001</v>
      </c>
      <c r="J1030" s="2">
        <v>38285</v>
      </c>
      <c r="K1030" s="3">
        <f t="shared" si="32"/>
        <v>4.5</v>
      </c>
      <c r="L1030" s="3">
        <f t="shared" si="33"/>
        <v>5.51</v>
      </c>
    </row>
    <row r="1031" spans="1:12" x14ac:dyDescent="0.3">
      <c r="A1031" s="2">
        <v>37548</v>
      </c>
      <c r="B1031" t="s">
        <v>13</v>
      </c>
      <c r="D1031" s="2">
        <v>38279</v>
      </c>
      <c r="E1031">
        <v>4.5</v>
      </c>
      <c r="G1031" s="2">
        <v>38279</v>
      </c>
      <c r="H1031">
        <v>5.468</v>
      </c>
      <c r="J1031" s="2">
        <v>38286</v>
      </c>
      <c r="K1031" s="3">
        <f t="shared" si="32"/>
        <v>4.5</v>
      </c>
      <c r="L1031" s="3">
        <f t="shared" si="33"/>
        <v>5.5609999999999999</v>
      </c>
    </row>
    <row r="1032" spans="1:12" x14ac:dyDescent="0.3">
      <c r="A1032" s="2">
        <v>37549</v>
      </c>
      <c r="B1032" t="s">
        <v>13</v>
      </c>
      <c r="D1032" s="2">
        <v>38280</v>
      </c>
      <c r="E1032">
        <v>4.5</v>
      </c>
      <c r="G1032" s="2">
        <v>38280</v>
      </c>
      <c r="H1032">
        <v>5.5</v>
      </c>
      <c r="J1032" s="2">
        <v>38287</v>
      </c>
      <c r="K1032" s="3">
        <f t="shared" si="32"/>
        <v>6</v>
      </c>
      <c r="L1032" s="3">
        <f t="shared" si="33"/>
        <v>5.6749999999999998</v>
      </c>
    </row>
    <row r="1033" spans="1:12" x14ac:dyDescent="0.3">
      <c r="A1033" s="2">
        <v>37550</v>
      </c>
      <c r="B1033" t="s">
        <v>13</v>
      </c>
      <c r="D1033" s="2">
        <v>38281</v>
      </c>
      <c r="E1033">
        <v>4.5</v>
      </c>
      <c r="G1033" s="2">
        <v>38281</v>
      </c>
      <c r="H1033">
        <v>5.4969999999999999</v>
      </c>
      <c r="J1033" s="2">
        <v>38288</v>
      </c>
      <c r="K1033" s="3">
        <f t="shared" si="32"/>
        <v>6</v>
      </c>
      <c r="L1033" s="3">
        <f t="shared" si="33"/>
        <v>5.7030000000000003</v>
      </c>
    </row>
    <row r="1034" spans="1:12" x14ac:dyDescent="0.3">
      <c r="A1034" s="2">
        <v>37551</v>
      </c>
      <c r="B1034" t="s">
        <v>13</v>
      </c>
      <c r="D1034" s="2">
        <v>38282</v>
      </c>
      <c r="E1034">
        <v>4.5</v>
      </c>
      <c r="G1034" s="2">
        <v>38282</v>
      </c>
      <c r="H1034">
        <v>5.4969999999999999</v>
      </c>
      <c r="J1034" s="2">
        <v>38289</v>
      </c>
      <c r="K1034" s="3">
        <f t="shared" si="32"/>
        <v>6</v>
      </c>
      <c r="L1034" s="3">
        <f t="shared" si="33"/>
        <v>5.6959999999999997</v>
      </c>
    </row>
    <row r="1035" spans="1:12" x14ac:dyDescent="0.3">
      <c r="A1035" s="2">
        <v>37552</v>
      </c>
      <c r="B1035" t="s">
        <v>13</v>
      </c>
      <c r="D1035" s="2">
        <v>38283</v>
      </c>
      <c r="E1035">
        <v>4.5</v>
      </c>
      <c r="G1035" s="2">
        <v>38283</v>
      </c>
      <c r="H1035">
        <v>5.4589999999999996</v>
      </c>
      <c r="J1035" s="2">
        <v>38290</v>
      </c>
      <c r="K1035" s="3">
        <f t="shared" si="32"/>
        <v>6</v>
      </c>
      <c r="L1035" s="3">
        <f t="shared" si="33"/>
        <v>5.7119999999999997</v>
      </c>
    </row>
    <row r="1036" spans="1:12" x14ac:dyDescent="0.3">
      <c r="A1036" s="2">
        <v>37553</v>
      </c>
      <c r="B1036" t="s">
        <v>13</v>
      </c>
      <c r="D1036" s="2">
        <v>38284</v>
      </c>
      <c r="E1036">
        <v>4.5</v>
      </c>
      <c r="G1036" s="2">
        <v>38284</v>
      </c>
      <c r="H1036">
        <v>5.4589999999999996</v>
      </c>
      <c r="J1036" s="2">
        <v>38291</v>
      </c>
      <c r="K1036" s="3">
        <f t="shared" si="32"/>
        <v>6</v>
      </c>
      <c r="L1036" s="3">
        <f t="shared" si="33"/>
        <v>5.7119999999999997</v>
      </c>
    </row>
    <row r="1037" spans="1:12" x14ac:dyDescent="0.3">
      <c r="A1037" s="2">
        <v>37554</v>
      </c>
      <c r="B1037" t="s">
        <v>13</v>
      </c>
      <c r="D1037" s="2">
        <v>38285</v>
      </c>
      <c r="E1037">
        <v>4.5</v>
      </c>
      <c r="G1037" s="2">
        <v>38285</v>
      </c>
      <c r="H1037">
        <v>5.51</v>
      </c>
      <c r="J1037" s="2">
        <v>38292</v>
      </c>
      <c r="K1037" s="3">
        <f t="shared" si="32"/>
        <v>6</v>
      </c>
      <c r="L1037" s="3">
        <f t="shared" si="33"/>
        <v>5.72</v>
      </c>
    </row>
    <row r="1038" spans="1:12" x14ac:dyDescent="0.3">
      <c r="A1038" s="2">
        <v>37555</v>
      </c>
      <c r="B1038" t="s">
        <v>13</v>
      </c>
      <c r="D1038" s="2">
        <v>38286</v>
      </c>
      <c r="E1038">
        <v>4.5</v>
      </c>
      <c r="G1038" s="2">
        <v>38286</v>
      </c>
      <c r="H1038">
        <v>5.5609999999999999</v>
      </c>
      <c r="J1038" s="2">
        <v>38293</v>
      </c>
      <c r="K1038" s="3">
        <f t="shared" si="32"/>
        <v>6</v>
      </c>
      <c r="L1038" s="3">
        <f t="shared" si="33"/>
        <v>5.7450000000000001</v>
      </c>
    </row>
    <row r="1039" spans="1:12" x14ac:dyDescent="0.3">
      <c r="A1039" s="2">
        <v>37556</v>
      </c>
      <c r="B1039" t="s">
        <v>13</v>
      </c>
      <c r="D1039" s="2">
        <v>38287</v>
      </c>
      <c r="E1039">
        <v>6</v>
      </c>
      <c r="G1039" s="2">
        <v>38287</v>
      </c>
      <c r="H1039">
        <v>5.6749999999999998</v>
      </c>
      <c r="J1039" s="2">
        <v>38294</v>
      </c>
      <c r="K1039" s="3">
        <f t="shared" si="32"/>
        <v>6</v>
      </c>
      <c r="L1039" s="3">
        <f t="shared" si="33"/>
        <v>5.758</v>
      </c>
    </row>
    <row r="1040" spans="1:12" x14ac:dyDescent="0.3">
      <c r="A1040" s="2">
        <v>37557</v>
      </c>
      <c r="B1040" t="s">
        <v>13</v>
      </c>
      <c r="D1040" s="2">
        <v>38288</v>
      </c>
      <c r="E1040">
        <v>6</v>
      </c>
      <c r="G1040" s="2">
        <v>38288</v>
      </c>
      <c r="H1040">
        <v>5.7030000000000003</v>
      </c>
      <c r="J1040" s="2">
        <v>38295</v>
      </c>
      <c r="K1040" s="3">
        <f t="shared" si="32"/>
        <v>6</v>
      </c>
      <c r="L1040" s="3">
        <f t="shared" si="33"/>
        <v>5.742</v>
      </c>
    </row>
    <row r="1041" spans="1:12" x14ac:dyDescent="0.3">
      <c r="A1041" s="2">
        <v>37558</v>
      </c>
      <c r="B1041" t="s">
        <v>13</v>
      </c>
      <c r="D1041" s="2">
        <v>38289</v>
      </c>
      <c r="E1041">
        <v>6</v>
      </c>
      <c r="G1041" s="2">
        <v>38289</v>
      </c>
      <c r="H1041">
        <v>5.6959999999999997</v>
      </c>
      <c r="J1041" s="2">
        <v>38296</v>
      </c>
      <c r="K1041" s="3">
        <f t="shared" si="32"/>
        <v>6</v>
      </c>
      <c r="L1041" s="3">
        <f t="shared" si="33"/>
        <v>5.9059999999999997</v>
      </c>
    </row>
    <row r="1042" spans="1:12" x14ac:dyDescent="0.3">
      <c r="A1042" s="2">
        <v>37559</v>
      </c>
      <c r="B1042" t="s">
        <v>13</v>
      </c>
      <c r="D1042" s="2">
        <v>38290</v>
      </c>
      <c r="E1042">
        <v>6</v>
      </c>
      <c r="G1042" s="2">
        <v>38290</v>
      </c>
      <c r="H1042">
        <v>5.7119999999999997</v>
      </c>
      <c r="J1042" s="2">
        <v>38297</v>
      </c>
      <c r="K1042" s="3">
        <f t="shared" si="32"/>
        <v>6</v>
      </c>
      <c r="L1042" s="3">
        <f t="shared" si="33"/>
        <v>5.9649999999999999</v>
      </c>
    </row>
    <row r="1043" spans="1:12" x14ac:dyDescent="0.3">
      <c r="A1043" s="2">
        <v>37560</v>
      </c>
      <c r="B1043" t="s">
        <v>13</v>
      </c>
      <c r="D1043" s="2">
        <v>38291</v>
      </c>
      <c r="E1043">
        <v>6</v>
      </c>
      <c r="G1043" s="2">
        <v>38291</v>
      </c>
      <c r="H1043">
        <v>5.7119999999999997</v>
      </c>
      <c r="J1043" s="2">
        <v>38298</v>
      </c>
      <c r="K1043" s="3">
        <f t="shared" si="32"/>
        <v>6</v>
      </c>
      <c r="L1043" s="3">
        <f t="shared" si="33"/>
        <v>5.9649999999999999</v>
      </c>
    </row>
    <row r="1044" spans="1:12" x14ac:dyDescent="0.3">
      <c r="A1044" s="2">
        <v>37561</v>
      </c>
      <c r="B1044" t="s">
        <v>13</v>
      </c>
      <c r="D1044" s="2">
        <v>38292</v>
      </c>
      <c r="E1044">
        <v>6</v>
      </c>
      <c r="G1044" s="2">
        <v>38292</v>
      </c>
      <c r="H1044">
        <v>5.72</v>
      </c>
      <c r="J1044" s="2">
        <v>38299</v>
      </c>
      <c r="K1044" s="3">
        <f t="shared" si="32"/>
        <v>6</v>
      </c>
      <c r="L1044" s="3">
        <f t="shared" si="33"/>
        <v>5.9260000000000002</v>
      </c>
    </row>
    <row r="1045" spans="1:12" x14ac:dyDescent="0.3">
      <c r="A1045" s="2">
        <v>37562</v>
      </c>
      <c r="B1045" t="s">
        <v>13</v>
      </c>
      <c r="D1045" s="2">
        <v>38293</v>
      </c>
      <c r="E1045">
        <v>6</v>
      </c>
      <c r="G1045" s="2">
        <v>38293</v>
      </c>
      <c r="H1045">
        <v>5.7450000000000001</v>
      </c>
      <c r="J1045" s="2">
        <v>38300</v>
      </c>
      <c r="K1045" s="3">
        <f t="shared" si="32"/>
        <v>6</v>
      </c>
      <c r="L1045" s="3">
        <f t="shared" si="33"/>
        <v>5.9020000000000001</v>
      </c>
    </row>
    <row r="1046" spans="1:12" x14ac:dyDescent="0.3">
      <c r="A1046" s="2">
        <v>37563</v>
      </c>
      <c r="B1046" t="s">
        <v>13</v>
      </c>
      <c r="D1046" s="2">
        <v>38294</v>
      </c>
      <c r="E1046">
        <v>6</v>
      </c>
      <c r="G1046" s="2">
        <v>38294</v>
      </c>
      <c r="H1046">
        <v>5.758</v>
      </c>
      <c r="J1046" s="2">
        <v>38301</v>
      </c>
      <c r="K1046" s="3">
        <f t="shared" si="32"/>
        <v>6</v>
      </c>
      <c r="L1046" s="3">
        <f t="shared" si="33"/>
        <v>5.8760000000000003</v>
      </c>
    </row>
    <row r="1047" spans="1:12" x14ac:dyDescent="0.3">
      <c r="A1047" s="2">
        <v>37564</v>
      </c>
      <c r="B1047" t="s">
        <v>13</v>
      </c>
      <c r="D1047" s="2">
        <v>38295</v>
      </c>
      <c r="E1047">
        <v>6</v>
      </c>
      <c r="G1047" s="2">
        <v>38295</v>
      </c>
      <c r="H1047">
        <v>5.742</v>
      </c>
      <c r="J1047" s="2">
        <v>38302</v>
      </c>
      <c r="K1047" s="3">
        <f t="shared" si="32"/>
        <v>6</v>
      </c>
      <c r="L1047" s="3">
        <f t="shared" si="33"/>
        <v>5.9640000000000004</v>
      </c>
    </row>
    <row r="1048" spans="1:12" x14ac:dyDescent="0.3">
      <c r="A1048" s="2">
        <v>37565</v>
      </c>
      <c r="B1048" t="s">
        <v>13</v>
      </c>
      <c r="D1048" s="2">
        <v>38296</v>
      </c>
      <c r="E1048">
        <v>6</v>
      </c>
      <c r="G1048" s="2">
        <v>38296</v>
      </c>
      <c r="H1048">
        <v>5.9059999999999997</v>
      </c>
      <c r="J1048" s="2">
        <v>38303</v>
      </c>
      <c r="K1048" s="3">
        <f t="shared" si="32"/>
        <v>6</v>
      </c>
      <c r="L1048" s="3">
        <f t="shared" si="33"/>
        <v>5.9640000000000004</v>
      </c>
    </row>
    <row r="1049" spans="1:12" x14ac:dyDescent="0.3">
      <c r="A1049" s="2">
        <v>37566</v>
      </c>
      <c r="B1049" t="s">
        <v>13</v>
      </c>
      <c r="D1049" s="2">
        <v>38297</v>
      </c>
      <c r="E1049">
        <v>6</v>
      </c>
      <c r="G1049" s="2">
        <v>38297</v>
      </c>
      <c r="H1049">
        <v>5.9649999999999999</v>
      </c>
      <c r="J1049" s="2">
        <v>38304</v>
      </c>
      <c r="K1049" s="3">
        <f t="shared" si="32"/>
        <v>6</v>
      </c>
      <c r="L1049" s="3">
        <f t="shared" si="33"/>
        <v>5.9210000000000003</v>
      </c>
    </row>
    <row r="1050" spans="1:12" x14ac:dyDescent="0.3">
      <c r="A1050" s="2">
        <v>37567</v>
      </c>
      <c r="B1050" t="s">
        <v>13</v>
      </c>
      <c r="D1050" s="2">
        <v>38298</v>
      </c>
      <c r="E1050">
        <v>6</v>
      </c>
      <c r="G1050" s="2">
        <v>38298</v>
      </c>
      <c r="H1050">
        <v>5.9649999999999999</v>
      </c>
      <c r="J1050" s="2">
        <v>38305</v>
      </c>
      <c r="K1050" s="3">
        <f t="shared" si="32"/>
        <v>6</v>
      </c>
      <c r="L1050" s="3">
        <f t="shared" si="33"/>
        <v>5.9210000000000003</v>
      </c>
    </row>
    <row r="1051" spans="1:12" x14ac:dyDescent="0.3">
      <c r="A1051" s="2">
        <v>37568</v>
      </c>
      <c r="B1051" t="s">
        <v>13</v>
      </c>
      <c r="D1051" s="2">
        <v>38299</v>
      </c>
      <c r="E1051">
        <v>6</v>
      </c>
      <c r="G1051" s="2">
        <v>38299</v>
      </c>
      <c r="H1051">
        <v>5.9260000000000002</v>
      </c>
      <c r="J1051" s="2">
        <v>38306</v>
      </c>
      <c r="K1051" s="3">
        <f t="shared" si="32"/>
        <v>6</v>
      </c>
      <c r="L1051" s="3">
        <f t="shared" si="33"/>
        <v>5.9210000000000003</v>
      </c>
    </row>
    <row r="1052" spans="1:12" x14ac:dyDescent="0.3">
      <c r="A1052" s="2">
        <v>37569</v>
      </c>
      <c r="B1052" t="s">
        <v>13</v>
      </c>
      <c r="D1052" s="2">
        <v>38300</v>
      </c>
      <c r="E1052">
        <v>6</v>
      </c>
      <c r="G1052" s="2">
        <v>38300</v>
      </c>
      <c r="H1052">
        <v>5.9020000000000001</v>
      </c>
      <c r="J1052" s="2">
        <v>38307</v>
      </c>
      <c r="K1052" s="3">
        <f t="shared" si="32"/>
        <v>6</v>
      </c>
      <c r="L1052" s="3">
        <f t="shared" si="33"/>
        <v>5.915</v>
      </c>
    </row>
    <row r="1053" spans="1:12" x14ac:dyDescent="0.3">
      <c r="A1053" s="2">
        <v>37570</v>
      </c>
      <c r="B1053" t="s">
        <v>13</v>
      </c>
      <c r="D1053" s="2">
        <v>38301</v>
      </c>
      <c r="E1053">
        <v>6</v>
      </c>
      <c r="G1053" s="2">
        <v>38301</v>
      </c>
      <c r="H1053">
        <v>5.8760000000000003</v>
      </c>
      <c r="J1053" s="2">
        <v>38308</v>
      </c>
      <c r="K1053" s="3">
        <f t="shared" si="32"/>
        <v>6</v>
      </c>
      <c r="L1053" s="3">
        <f t="shared" si="33"/>
        <v>5.9029999999999996</v>
      </c>
    </row>
    <row r="1054" spans="1:12" x14ac:dyDescent="0.3">
      <c r="A1054" s="2">
        <v>37571</v>
      </c>
      <c r="B1054" t="s">
        <v>13</v>
      </c>
      <c r="D1054" s="2">
        <v>38302</v>
      </c>
      <c r="E1054">
        <v>6</v>
      </c>
      <c r="G1054" s="2">
        <v>38302</v>
      </c>
      <c r="H1054">
        <v>5.9640000000000004</v>
      </c>
      <c r="J1054" s="2">
        <v>38309</v>
      </c>
      <c r="K1054" s="3">
        <f t="shared" si="32"/>
        <v>6</v>
      </c>
      <c r="L1054" s="3">
        <f t="shared" si="33"/>
        <v>5.8460000000000001</v>
      </c>
    </row>
    <row r="1055" spans="1:12" x14ac:dyDescent="0.3">
      <c r="A1055" s="2">
        <v>37572</v>
      </c>
      <c r="B1055" t="s">
        <v>13</v>
      </c>
      <c r="D1055" s="2">
        <v>38303</v>
      </c>
      <c r="E1055">
        <v>6</v>
      </c>
      <c r="G1055" s="2">
        <v>38303</v>
      </c>
      <c r="H1055">
        <v>5.9640000000000004</v>
      </c>
      <c r="J1055" s="2">
        <v>38310</v>
      </c>
      <c r="K1055" s="3">
        <f t="shared" si="32"/>
        <v>6</v>
      </c>
      <c r="L1055" s="3">
        <f t="shared" si="33"/>
        <v>5.8460000000000001</v>
      </c>
    </row>
    <row r="1056" spans="1:12" x14ac:dyDescent="0.3">
      <c r="A1056" s="2">
        <v>37573</v>
      </c>
      <c r="B1056" t="s">
        <v>13</v>
      </c>
      <c r="D1056" s="2">
        <v>38304</v>
      </c>
      <c r="E1056">
        <v>6</v>
      </c>
      <c r="G1056" s="2">
        <v>38304</v>
      </c>
      <c r="H1056">
        <v>5.9210000000000003</v>
      </c>
      <c r="J1056" s="2">
        <v>38311</v>
      </c>
      <c r="K1056" s="3">
        <f t="shared" si="32"/>
        <v>6</v>
      </c>
      <c r="L1056" s="3">
        <f t="shared" si="33"/>
        <v>5.7960000000000003</v>
      </c>
    </row>
    <row r="1057" spans="1:12" x14ac:dyDescent="0.3">
      <c r="A1057" s="2">
        <v>37574</v>
      </c>
      <c r="B1057" t="s">
        <v>13</v>
      </c>
      <c r="D1057" s="2">
        <v>38305</v>
      </c>
      <c r="E1057">
        <v>6</v>
      </c>
      <c r="G1057" s="2">
        <v>38305</v>
      </c>
      <c r="H1057">
        <v>5.9210000000000003</v>
      </c>
      <c r="J1057" s="2">
        <v>38312</v>
      </c>
      <c r="K1057" s="3">
        <f t="shared" si="32"/>
        <v>6</v>
      </c>
      <c r="L1057" s="3">
        <f t="shared" si="33"/>
        <v>5.7960000000000003</v>
      </c>
    </row>
    <row r="1058" spans="1:12" x14ac:dyDescent="0.3">
      <c r="A1058" s="2">
        <v>37575</v>
      </c>
      <c r="B1058" t="s">
        <v>13</v>
      </c>
      <c r="D1058" s="2">
        <v>38306</v>
      </c>
      <c r="E1058">
        <v>6</v>
      </c>
      <c r="G1058" s="2">
        <v>38306</v>
      </c>
      <c r="H1058">
        <v>5.9210000000000003</v>
      </c>
      <c r="J1058" s="2">
        <v>38313</v>
      </c>
      <c r="K1058" s="3">
        <f t="shared" si="32"/>
        <v>6</v>
      </c>
      <c r="L1058" s="3">
        <f t="shared" si="33"/>
        <v>5.7910000000000004</v>
      </c>
    </row>
    <row r="1059" spans="1:12" x14ac:dyDescent="0.3">
      <c r="A1059" s="2">
        <v>37576</v>
      </c>
      <c r="B1059" t="s">
        <v>13</v>
      </c>
      <c r="D1059" s="2">
        <v>38307</v>
      </c>
      <c r="E1059">
        <v>6</v>
      </c>
      <c r="G1059" s="2">
        <v>38307</v>
      </c>
      <c r="H1059">
        <v>5.915</v>
      </c>
      <c r="J1059" s="2">
        <v>38314</v>
      </c>
      <c r="K1059" s="3">
        <f t="shared" si="32"/>
        <v>6</v>
      </c>
      <c r="L1059" s="3">
        <f t="shared" si="33"/>
        <v>5.8109999999999999</v>
      </c>
    </row>
    <row r="1060" spans="1:12" x14ac:dyDescent="0.3">
      <c r="A1060" s="2">
        <v>37577</v>
      </c>
      <c r="B1060" t="s">
        <v>13</v>
      </c>
      <c r="D1060" s="2">
        <v>38308</v>
      </c>
      <c r="E1060">
        <v>6</v>
      </c>
      <c r="G1060" s="2">
        <v>38308</v>
      </c>
      <c r="H1060">
        <v>5.9029999999999996</v>
      </c>
      <c r="J1060" s="2">
        <v>38315</v>
      </c>
      <c r="K1060" s="3">
        <f t="shared" si="32"/>
        <v>6</v>
      </c>
      <c r="L1060" s="3">
        <f t="shared" si="33"/>
        <v>5.7729999999999997</v>
      </c>
    </row>
    <row r="1061" spans="1:12" x14ac:dyDescent="0.3">
      <c r="A1061" s="2">
        <v>37578</v>
      </c>
      <c r="B1061" t="s">
        <v>13</v>
      </c>
      <c r="D1061" s="2">
        <v>38309</v>
      </c>
      <c r="E1061">
        <v>6</v>
      </c>
      <c r="G1061" s="2">
        <v>38309</v>
      </c>
      <c r="H1061">
        <v>5.8460000000000001</v>
      </c>
      <c r="J1061" s="2">
        <v>38316</v>
      </c>
      <c r="K1061" s="3">
        <f t="shared" si="32"/>
        <v>6</v>
      </c>
      <c r="L1061" s="3">
        <f t="shared" si="33"/>
        <v>5.8239999999999998</v>
      </c>
    </row>
    <row r="1062" spans="1:12" x14ac:dyDescent="0.3">
      <c r="A1062" s="2">
        <v>37579</v>
      </c>
      <c r="B1062" t="s">
        <v>13</v>
      </c>
      <c r="D1062" s="2">
        <v>38310</v>
      </c>
      <c r="E1062">
        <v>6</v>
      </c>
      <c r="G1062" s="2">
        <v>38310</v>
      </c>
      <c r="H1062">
        <v>5.8460000000000001</v>
      </c>
      <c r="J1062" s="2">
        <v>38317</v>
      </c>
      <c r="K1062" s="3">
        <f t="shared" si="32"/>
        <v>6</v>
      </c>
      <c r="L1062" s="3">
        <f t="shared" si="33"/>
        <v>5.8239999999999998</v>
      </c>
    </row>
    <row r="1063" spans="1:12" x14ac:dyDescent="0.3">
      <c r="A1063" s="2">
        <v>37580</v>
      </c>
      <c r="B1063" t="s">
        <v>13</v>
      </c>
      <c r="D1063" s="2">
        <v>38311</v>
      </c>
      <c r="E1063">
        <v>6</v>
      </c>
      <c r="G1063" s="2">
        <v>38311</v>
      </c>
      <c r="H1063">
        <v>5.7960000000000003</v>
      </c>
      <c r="J1063" s="2">
        <v>38318</v>
      </c>
      <c r="K1063" s="3">
        <f t="shared" si="32"/>
        <v>6</v>
      </c>
      <c r="L1063" s="3">
        <f t="shared" si="33"/>
        <v>5.7729999999999997</v>
      </c>
    </row>
    <row r="1064" spans="1:12" x14ac:dyDescent="0.3">
      <c r="A1064" s="2">
        <v>37581</v>
      </c>
      <c r="B1064" t="s">
        <v>13</v>
      </c>
      <c r="D1064" s="2">
        <v>38312</v>
      </c>
      <c r="E1064">
        <v>6</v>
      </c>
      <c r="G1064" s="2">
        <v>38312</v>
      </c>
      <c r="H1064">
        <v>5.7960000000000003</v>
      </c>
      <c r="J1064" s="2">
        <v>38319</v>
      </c>
      <c r="K1064" s="3">
        <f t="shared" si="32"/>
        <v>6</v>
      </c>
      <c r="L1064" s="3">
        <f t="shared" si="33"/>
        <v>5.7729999999999997</v>
      </c>
    </row>
    <row r="1065" spans="1:12" x14ac:dyDescent="0.3">
      <c r="A1065" s="2">
        <v>37582</v>
      </c>
      <c r="B1065" t="s">
        <v>13</v>
      </c>
      <c r="D1065" s="2">
        <v>38313</v>
      </c>
      <c r="E1065">
        <v>6</v>
      </c>
      <c r="G1065" s="2">
        <v>38313</v>
      </c>
      <c r="H1065">
        <v>5.7910000000000004</v>
      </c>
      <c r="J1065" s="2">
        <v>38320</v>
      </c>
      <c r="K1065" s="3">
        <f t="shared" si="32"/>
        <v>6</v>
      </c>
      <c r="L1065" s="3">
        <f t="shared" si="33"/>
        <v>5.7450000000000001</v>
      </c>
    </row>
    <row r="1066" spans="1:12" x14ac:dyDescent="0.3">
      <c r="A1066" s="2">
        <v>37583</v>
      </c>
      <c r="B1066" t="s">
        <v>13</v>
      </c>
      <c r="D1066" s="2">
        <v>38314</v>
      </c>
      <c r="E1066">
        <v>6</v>
      </c>
      <c r="G1066" s="2">
        <v>38314</v>
      </c>
      <c r="H1066">
        <v>5.8109999999999999</v>
      </c>
      <c r="J1066" s="2">
        <v>38321</v>
      </c>
      <c r="K1066" s="3">
        <f t="shared" si="32"/>
        <v>6</v>
      </c>
      <c r="L1066" s="3">
        <f t="shared" si="33"/>
        <v>5.726</v>
      </c>
    </row>
    <row r="1067" spans="1:12" x14ac:dyDescent="0.3">
      <c r="A1067" s="2">
        <v>37584</v>
      </c>
      <c r="B1067" t="s">
        <v>13</v>
      </c>
      <c r="D1067" s="2">
        <v>38315</v>
      </c>
      <c r="E1067">
        <v>6</v>
      </c>
      <c r="G1067" s="2">
        <v>38315</v>
      </c>
      <c r="H1067">
        <v>5.7729999999999997</v>
      </c>
      <c r="J1067" s="2">
        <v>38322</v>
      </c>
      <c r="K1067" s="3">
        <f t="shared" si="32"/>
        <v>6</v>
      </c>
      <c r="L1067" s="3">
        <f t="shared" si="33"/>
        <v>5.6589999999999998</v>
      </c>
    </row>
    <row r="1068" spans="1:12" x14ac:dyDescent="0.3">
      <c r="A1068" s="2">
        <v>37585</v>
      </c>
      <c r="B1068" t="s">
        <v>13</v>
      </c>
      <c r="D1068" s="2">
        <v>38316</v>
      </c>
      <c r="E1068">
        <v>6</v>
      </c>
      <c r="G1068" s="2">
        <v>38316</v>
      </c>
      <c r="H1068">
        <v>5.8239999999999998</v>
      </c>
      <c r="J1068" s="2">
        <v>38323</v>
      </c>
      <c r="K1068" s="3">
        <f t="shared" si="32"/>
        <v>6</v>
      </c>
      <c r="L1068" s="3">
        <f t="shared" si="33"/>
        <v>5.4690000000000003</v>
      </c>
    </row>
    <row r="1069" spans="1:12" x14ac:dyDescent="0.3">
      <c r="A1069" s="2">
        <v>37586</v>
      </c>
      <c r="B1069" t="s">
        <v>13</v>
      </c>
      <c r="D1069" s="2">
        <v>38317</v>
      </c>
      <c r="E1069">
        <v>6</v>
      </c>
      <c r="G1069" s="2">
        <v>38317</v>
      </c>
      <c r="H1069">
        <v>5.8239999999999998</v>
      </c>
      <c r="J1069" s="2">
        <v>38324</v>
      </c>
      <c r="K1069" s="3">
        <f t="shared" si="32"/>
        <v>6</v>
      </c>
      <c r="L1069" s="3">
        <f t="shared" si="33"/>
        <v>5.5460000000000003</v>
      </c>
    </row>
    <row r="1070" spans="1:12" x14ac:dyDescent="0.3">
      <c r="A1070" s="2">
        <v>37587</v>
      </c>
      <c r="B1070" t="s">
        <v>13</v>
      </c>
      <c r="D1070" s="2">
        <v>38318</v>
      </c>
      <c r="E1070">
        <v>6</v>
      </c>
      <c r="G1070" s="2">
        <v>38318</v>
      </c>
      <c r="H1070">
        <v>5.7729999999999997</v>
      </c>
      <c r="J1070" s="2">
        <v>38325</v>
      </c>
      <c r="K1070" s="3">
        <f t="shared" si="32"/>
        <v>6</v>
      </c>
      <c r="L1070" s="3">
        <f t="shared" si="33"/>
        <v>5.5010000000000003</v>
      </c>
    </row>
    <row r="1071" spans="1:12" x14ac:dyDescent="0.3">
      <c r="A1071" s="2">
        <v>37588</v>
      </c>
      <c r="B1071" t="s">
        <v>13</v>
      </c>
      <c r="D1071" s="2">
        <v>38319</v>
      </c>
      <c r="E1071">
        <v>6</v>
      </c>
      <c r="G1071" s="2">
        <v>38319</v>
      </c>
      <c r="H1071">
        <v>5.7729999999999997</v>
      </c>
      <c r="J1071" s="2">
        <v>38326</v>
      </c>
      <c r="K1071" s="3">
        <f t="shared" si="32"/>
        <v>6</v>
      </c>
      <c r="L1071" s="3">
        <f t="shared" si="33"/>
        <v>5.5010000000000003</v>
      </c>
    </row>
    <row r="1072" spans="1:12" x14ac:dyDescent="0.3">
      <c r="A1072" s="2">
        <v>37589</v>
      </c>
      <c r="B1072" t="s">
        <v>13</v>
      </c>
      <c r="D1072" s="2">
        <v>38320</v>
      </c>
      <c r="E1072">
        <v>6</v>
      </c>
      <c r="G1072" s="2">
        <v>38320</v>
      </c>
      <c r="H1072">
        <v>5.7450000000000001</v>
      </c>
      <c r="J1072" s="2">
        <v>38327</v>
      </c>
      <c r="K1072" s="3">
        <f t="shared" si="32"/>
        <v>6</v>
      </c>
      <c r="L1072" s="3">
        <f t="shared" si="33"/>
        <v>5.5880000000000001</v>
      </c>
    </row>
    <row r="1073" spans="1:12" x14ac:dyDescent="0.3">
      <c r="A1073" s="2">
        <v>37590</v>
      </c>
      <c r="B1073" t="s">
        <v>13</v>
      </c>
      <c r="D1073" s="2">
        <v>38321</v>
      </c>
      <c r="E1073">
        <v>6</v>
      </c>
      <c r="G1073" s="2">
        <v>38321</v>
      </c>
      <c r="H1073">
        <v>5.726</v>
      </c>
      <c r="J1073" s="2">
        <v>38328</v>
      </c>
      <c r="K1073" s="3">
        <f t="shared" si="32"/>
        <v>6</v>
      </c>
      <c r="L1073" s="3">
        <f t="shared" si="33"/>
        <v>5.641</v>
      </c>
    </row>
    <row r="1074" spans="1:12" x14ac:dyDescent="0.3">
      <c r="A1074" s="2">
        <v>37591</v>
      </c>
      <c r="B1074" t="s">
        <v>13</v>
      </c>
      <c r="D1074" s="2">
        <v>38322</v>
      </c>
      <c r="E1074">
        <v>6</v>
      </c>
      <c r="G1074" s="2">
        <v>38322</v>
      </c>
      <c r="H1074">
        <v>5.6589999999999998</v>
      </c>
      <c r="J1074" s="2">
        <v>38329</v>
      </c>
      <c r="K1074" s="3">
        <f t="shared" si="32"/>
        <v>6</v>
      </c>
      <c r="L1074" s="3">
        <f t="shared" si="33"/>
        <v>5.6109999999999998</v>
      </c>
    </row>
    <row r="1075" spans="1:12" x14ac:dyDescent="0.3">
      <c r="A1075" s="2">
        <v>37592</v>
      </c>
      <c r="B1075" t="s">
        <v>13</v>
      </c>
      <c r="D1075" s="2">
        <v>38323</v>
      </c>
      <c r="E1075">
        <v>6</v>
      </c>
      <c r="G1075" s="2">
        <v>38323</v>
      </c>
      <c r="H1075">
        <v>5.4690000000000003</v>
      </c>
      <c r="J1075" s="2">
        <v>38330</v>
      </c>
      <c r="K1075" s="3">
        <f t="shared" si="32"/>
        <v>6</v>
      </c>
      <c r="L1075" s="3">
        <f t="shared" si="33"/>
        <v>5.65</v>
      </c>
    </row>
    <row r="1076" spans="1:12" x14ac:dyDescent="0.3">
      <c r="A1076" s="2">
        <v>37593</v>
      </c>
      <c r="B1076" t="s">
        <v>13</v>
      </c>
      <c r="D1076" s="2">
        <v>38324</v>
      </c>
      <c r="E1076">
        <v>6</v>
      </c>
      <c r="G1076" s="2">
        <v>38324</v>
      </c>
      <c r="H1076">
        <v>5.5460000000000003</v>
      </c>
      <c r="J1076" s="2">
        <v>38331</v>
      </c>
      <c r="K1076" s="3">
        <f t="shared" si="32"/>
        <v>6</v>
      </c>
      <c r="L1076" s="3">
        <f t="shared" si="33"/>
        <v>5.6580000000000004</v>
      </c>
    </row>
    <row r="1077" spans="1:12" x14ac:dyDescent="0.3">
      <c r="A1077" s="2">
        <v>37594</v>
      </c>
      <c r="B1077" t="s">
        <v>13</v>
      </c>
      <c r="D1077" s="2">
        <v>38325</v>
      </c>
      <c r="E1077">
        <v>6</v>
      </c>
      <c r="G1077" s="2">
        <v>38325</v>
      </c>
      <c r="H1077">
        <v>5.5010000000000003</v>
      </c>
      <c r="J1077" s="2">
        <v>38332</v>
      </c>
      <c r="K1077" s="3">
        <f t="shared" si="32"/>
        <v>6</v>
      </c>
      <c r="L1077" s="3">
        <f t="shared" si="33"/>
        <v>5.6669999999999998</v>
      </c>
    </row>
    <row r="1078" spans="1:12" x14ac:dyDescent="0.3">
      <c r="A1078" s="2">
        <v>37595</v>
      </c>
      <c r="B1078" t="s">
        <v>13</v>
      </c>
      <c r="D1078" s="2">
        <v>38326</v>
      </c>
      <c r="E1078">
        <v>6</v>
      </c>
      <c r="G1078" s="2">
        <v>38326</v>
      </c>
      <c r="H1078">
        <v>5.5010000000000003</v>
      </c>
      <c r="J1078" s="2">
        <v>38333</v>
      </c>
      <c r="K1078" s="3">
        <f t="shared" si="32"/>
        <v>6</v>
      </c>
      <c r="L1078" s="3">
        <f t="shared" si="33"/>
        <v>5.6669999999999998</v>
      </c>
    </row>
    <row r="1079" spans="1:12" x14ac:dyDescent="0.3">
      <c r="A1079" s="2">
        <v>37596</v>
      </c>
      <c r="B1079" t="s">
        <v>13</v>
      </c>
      <c r="D1079" s="2">
        <v>38327</v>
      </c>
      <c r="E1079">
        <v>6</v>
      </c>
      <c r="G1079" s="2">
        <v>38327</v>
      </c>
      <c r="H1079">
        <v>5.5880000000000001</v>
      </c>
      <c r="J1079" s="2">
        <v>38334</v>
      </c>
      <c r="K1079" s="3">
        <f t="shared" si="32"/>
        <v>6</v>
      </c>
      <c r="L1079" s="3">
        <f t="shared" si="33"/>
        <v>5.7149999999999999</v>
      </c>
    </row>
    <row r="1080" spans="1:12" x14ac:dyDescent="0.3">
      <c r="A1080" s="2">
        <v>37597</v>
      </c>
      <c r="B1080" t="s">
        <v>13</v>
      </c>
      <c r="D1080" s="2">
        <v>38328</v>
      </c>
      <c r="E1080">
        <v>6</v>
      </c>
      <c r="G1080" s="2">
        <v>38328</v>
      </c>
      <c r="H1080">
        <v>5.641</v>
      </c>
      <c r="J1080" s="2">
        <v>38335</v>
      </c>
      <c r="K1080" s="3">
        <f t="shared" si="32"/>
        <v>6</v>
      </c>
      <c r="L1080" s="3">
        <f t="shared" si="33"/>
        <v>5.7629999999999999</v>
      </c>
    </row>
    <row r="1081" spans="1:12" x14ac:dyDescent="0.3">
      <c r="A1081" s="2">
        <v>37598</v>
      </c>
      <c r="B1081" t="s">
        <v>13</v>
      </c>
      <c r="D1081" s="2">
        <v>38329</v>
      </c>
      <c r="E1081">
        <v>6</v>
      </c>
      <c r="G1081" s="2">
        <v>38329</v>
      </c>
      <c r="H1081">
        <v>5.6109999999999998</v>
      </c>
      <c r="J1081" s="2">
        <v>38336</v>
      </c>
      <c r="K1081" s="3">
        <f t="shared" si="32"/>
        <v>6</v>
      </c>
      <c r="L1081" s="3">
        <f t="shared" si="33"/>
        <v>5.79</v>
      </c>
    </row>
    <row r="1082" spans="1:12" x14ac:dyDescent="0.3">
      <c r="A1082" s="2">
        <v>37599</v>
      </c>
      <c r="B1082" t="s">
        <v>13</v>
      </c>
      <c r="D1082" s="2">
        <v>38330</v>
      </c>
      <c r="E1082">
        <v>6</v>
      </c>
      <c r="G1082" s="2">
        <v>38330</v>
      </c>
      <c r="H1082">
        <v>5.65</v>
      </c>
      <c r="J1082" s="2">
        <v>38337</v>
      </c>
      <c r="K1082" s="3">
        <f t="shared" si="32"/>
        <v>6</v>
      </c>
      <c r="L1082" s="3">
        <f t="shared" si="33"/>
        <v>5.7729999999999997</v>
      </c>
    </row>
    <row r="1083" spans="1:12" x14ac:dyDescent="0.3">
      <c r="A1083" s="2">
        <v>37600</v>
      </c>
      <c r="B1083" t="s">
        <v>13</v>
      </c>
      <c r="D1083" s="2">
        <v>38331</v>
      </c>
      <c r="E1083">
        <v>6</v>
      </c>
      <c r="G1083" s="2">
        <v>38331</v>
      </c>
      <c r="H1083">
        <v>5.6580000000000004</v>
      </c>
      <c r="J1083" s="2">
        <v>38338</v>
      </c>
      <c r="K1083" s="3">
        <f t="shared" si="32"/>
        <v>6</v>
      </c>
      <c r="L1083" s="3">
        <f t="shared" si="33"/>
        <v>5.7640000000000002</v>
      </c>
    </row>
    <row r="1084" spans="1:12" x14ac:dyDescent="0.3">
      <c r="A1084" s="2">
        <v>37601</v>
      </c>
      <c r="B1084" t="s">
        <v>13</v>
      </c>
      <c r="D1084" s="2">
        <v>38332</v>
      </c>
      <c r="E1084">
        <v>6</v>
      </c>
      <c r="G1084" s="2">
        <v>38332</v>
      </c>
      <c r="H1084">
        <v>5.6669999999999998</v>
      </c>
      <c r="J1084" s="2">
        <v>38339</v>
      </c>
      <c r="K1084" s="3">
        <f t="shared" si="32"/>
        <v>6</v>
      </c>
      <c r="L1084" s="3">
        <f t="shared" si="33"/>
        <v>5.7990000000000004</v>
      </c>
    </row>
    <row r="1085" spans="1:12" x14ac:dyDescent="0.3">
      <c r="A1085" s="2">
        <v>37602</v>
      </c>
      <c r="B1085" t="s">
        <v>13</v>
      </c>
      <c r="D1085" s="2">
        <v>38333</v>
      </c>
      <c r="E1085">
        <v>6</v>
      </c>
      <c r="G1085" s="2">
        <v>38333</v>
      </c>
      <c r="H1085">
        <v>5.6669999999999998</v>
      </c>
      <c r="J1085" s="2">
        <v>38340</v>
      </c>
      <c r="K1085" s="3">
        <f t="shared" si="32"/>
        <v>6</v>
      </c>
      <c r="L1085" s="3">
        <f t="shared" si="33"/>
        <v>5.7990000000000004</v>
      </c>
    </row>
    <row r="1086" spans="1:12" x14ac:dyDescent="0.3">
      <c r="A1086" s="2">
        <v>37603</v>
      </c>
      <c r="B1086" t="s">
        <v>13</v>
      </c>
      <c r="D1086" s="2">
        <v>38334</v>
      </c>
      <c r="E1086">
        <v>6</v>
      </c>
      <c r="G1086" s="2">
        <v>38334</v>
      </c>
      <c r="H1086">
        <v>5.7149999999999999</v>
      </c>
      <c r="J1086" s="2">
        <v>38341</v>
      </c>
      <c r="K1086" s="3">
        <f t="shared" si="32"/>
        <v>6</v>
      </c>
      <c r="L1086" s="3">
        <f t="shared" si="33"/>
        <v>5.7809999999999997</v>
      </c>
    </row>
    <row r="1087" spans="1:12" x14ac:dyDescent="0.3">
      <c r="A1087" s="2">
        <v>37604</v>
      </c>
      <c r="B1087" t="s">
        <v>13</v>
      </c>
      <c r="D1087" s="2">
        <v>38335</v>
      </c>
      <c r="E1087">
        <v>6</v>
      </c>
      <c r="G1087" s="2">
        <v>38335</v>
      </c>
      <c r="H1087">
        <v>5.7629999999999999</v>
      </c>
      <c r="J1087" s="2">
        <v>38342</v>
      </c>
      <c r="K1087" s="3">
        <f t="shared" si="32"/>
        <v>6</v>
      </c>
      <c r="L1087" s="3">
        <f t="shared" si="33"/>
        <v>5.7919999999999998</v>
      </c>
    </row>
    <row r="1088" spans="1:12" x14ac:dyDescent="0.3">
      <c r="A1088" s="2">
        <v>37605</v>
      </c>
      <c r="B1088" t="s">
        <v>13</v>
      </c>
      <c r="D1088" s="2">
        <v>38336</v>
      </c>
      <c r="E1088">
        <v>6</v>
      </c>
      <c r="G1088" s="2">
        <v>38336</v>
      </c>
      <c r="H1088">
        <v>5.79</v>
      </c>
      <c r="J1088" s="2">
        <v>38343</v>
      </c>
      <c r="K1088" s="3">
        <f t="shared" si="32"/>
        <v>6</v>
      </c>
      <c r="L1088" s="3">
        <f t="shared" si="33"/>
        <v>5.7619999999999996</v>
      </c>
    </row>
    <row r="1089" spans="1:12" x14ac:dyDescent="0.3">
      <c r="A1089" s="2">
        <v>37606</v>
      </c>
      <c r="B1089" t="s">
        <v>13</v>
      </c>
      <c r="D1089" s="2">
        <v>38337</v>
      </c>
      <c r="E1089">
        <v>6</v>
      </c>
      <c r="G1089" s="2">
        <v>38337</v>
      </c>
      <c r="H1089">
        <v>5.7729999999999997</v>
      </c>
      <c r="J1089" s="2">
        <v>38344</v>
      </c>
      <c r="K1089" s="3">
        <f t="shared" si="32"/>
        <v>6</v>
      </c>
      <c r="L1089" s="3">
        <f t="shared" si="33"/>
        <v>5.7830000000000004</v>
      </c>
    </row>
    <row r="1090" spans="1:12" x14ac:dyDescent="0.3">
      <c r="A1090" s="2">
        <v>37607</v>
      </c>
      <c r="B1090" t="s">
        <v>13</v>
      </c>
      <c r="D1090" s="2">
        <v>38338</v>
      </c>
      <c r="E1090">
        <v>6</v>
      </c>
      <c r="G1090" s="2">
        <v>38338</v>
      </c>
      <c r="H1090">
        <v>5.7640000000000002</v>
      </c>
      <c r="J1090" s="2">
        <v>38345</v>
      </c>
      <c r="K1090" s="3">
        <f t="shared" si="32"/>
        <v>6</v>
      </c>
      <c r="L1090" s="3">
        <f t="shared" si="33"/>
        <v>5.7290000000000001</v>
      </c>
    </row>
    <row r="1091" spans="1:12" x14ac:dyDescent="0.3">
      <c r="A1091" s="2">
        <v>37608</v>
      </c>
      <c r="B1091" t="s">
        <v>13</v>
      </c>
      <c r="D1091" s="2">
        <v>38339</v>
      </c>
      <c r="E1091">
        <v>6</v>
      </c>
      <c r="G1091" s="2">
        <v>38339</v>
      </c>
      <c r="H1091">
        <v>5.7990000000000004</v>
      </c>
      <c r="J1091" s="2">
        <v>38346</v>
      </c>
      <c r="K1091" s="3">
        <f t="shared" ref="K1091:K1154" si="34">E1098</f>
        <v>6</v>
      </c>
      <c r="L1091" s="3">
        <f t="shared" ref="L1091:L1154" si="35">H1098</f>
        <v>5.7290000000000001</v>
      </c>
    </row>
    <row r="1092" spans="1:12" x14ac:dyDescent="0.3">
      <c r="A1092" s="2">
        <v>37609</v>
      </c>
      <c r="B1092" t="s">
        <v>13</v>
      </c>
      <c r="D1092" s="2">
        <v>38340</v>
      </c>
      <c r="E1092">
        <v>6</v>
      </c>
      <c r="G1092" s="2">
        <v>38340</v>
      </c>
      <c r="H1092">
        <v>5.7990000000000004</v>
      </c>
      <c r="J1092" s="2">
        <v>38347</v>
      </c>
      <c r="K1092" s="3">
        <f t="shared" si="34"/>
        <v>6</v>
      </c>
      <c r="L1092" s="3">
        <f t="shared" si="35"/>
        <v>5.7290000000000001</v>
      </c>
    </row>
    <row r="1093" spans="1:12" x14ac:dyDescent="0.3">
      <c r="A1093" s="2">
        <v>37610</v>
      </c>
      <c r="B1093" t="s">
        <v>13</v>
      </c>
      <c r="D1093" s="2">
        <v>38341</v>
      </c>
      <c r="E1093">
        <v>6</v>
      </c>
      <c r="G1093" s="2">
        <v>38341</v>
      </c>
      <c r="H1093">
        <v>5.7809999999999997</v>
      </c>
      <c r="J1093" s="2">
        <v>38348</v>
      </c>
      <c r="K1093" s="3">
        <f t="shared" si="34"/>
        <v>6</v>
      </c>
      <c r="L1093" s="3">
        <f t="shared" si="35"/>
        <v>5.7809999999999997</v>
      </c>
    </row>
    <row r="1094" spans="1:12" x14ac:dyDescent="0.3">
      <c r="A1094" s="2">
        <v>37611</v>
      </c>
      <c r="B1094" t="s">
        <v>13</v>
      </c>
      <c r="D1094" s="2">
        <v>38342</v>
      </c>
      <c r="E1094">
        <v>6</v>
      </c>
      <c r="G1094" s="2">
        <v>38342</v>
      </c>
      <c r="H1094">
        <v>5.7919999999999998</v>
      </c>
      <c r="J1094" s="2">
        <v>38349</v>
      </c>
      <c r="K1094" s="3">
        <f t="shared" si="34"/>
        <v>6</v>
      </c>
      <c r="L1094" s="3">
        <f t="shared" si="35"/>
        <v>5.73</v>
      </c>
    </row>
    <row r="1095" spans="1:12" x14ac:dyDescent="0.3">
      <c r="A1095" s="2">
        <v>37612</v>
      </c>
      <c r="B1095" t="s">
        <v>13</v>
      </c>
      <c r="D1095" s="2">
        <v>38343</v>
      </c>
      <c r="E1095">
        <v>6</v>
      </c>
      <c r="G1095" s="2">
        <v>38343</v>
      </c>
      <c r="H1095">
        <v>5.7619999999999996</v>
      </c>
      <c r="J1095" s="2">
        <v>38350</v>
      </c>
      <c r="K1095" s="3">
        <f t="shared" si="34"/>
        <v>6</v>
      </c>
      <c r="L1095" s="3">
        <f t="shared" si="35"/>
        <v>5.74</v>
      </c>
    </row>
    <row r="1096" spans="1:12" x14ac:dyDescent="0.3">
      <c r="A1096" s="2">
        <v>37613</v>
      </c>
      <c r="B1096" t="s">
        <v>13</v>
      </c>
      <c r="D1096" s="2">
        <v>38344</v>
      </c>
      <c r="E1096">
        <v>6</v>
      </c>
      <c r="G1096" s="2">
        <v>38344</v>
      </c>
      <c r="H1096">
        <v>5.7830000000000004</v>
      </c>
      <c r="J1096" s="2">
        <v>38351</v>
      </c>
      <c r="K1096" s="3">
        <f t="shared" si="34"/>
        <v>6</v>
      </c>
      <c r="L1096" s="3">
        <f t="shared" si="35"/>
        <v>5.7489999999999997</v>
      </c>
    </row>
    <row r="1097" spans="1:12" x14ac:dyDescent="0.3">
      <c r="A1097" s="2">
        <v>37614</v>
      </c>
      <c r="B1097" t="s">
        <v>13</v>
      </c>
      <c r="D1097" s="2">
        <v>38345</v>
      </c>
      <c r="E1097">
        <v>6</v>
      </c>
      <c r="G1097" s="2">
        <v>38345</v>
      </c>
      <c r="H1097">
        <v>5.7290000000000001</v>
      </c>
      <c r="J1097" s="2">
        <v>38352</v>
      </c>
      <c r="K1097" s="3">
        <f t="shared" si="34"/>
        <v>6</v>
      </c>
      <c r="L1097" s="3">
        <f t="shared" si="35"/>
        <v>5.6769999999999996</v>
      </c>
    </row>
    <row r="1098" spans="1:12" x14ac:dyDescent="0.3">
      <c r="A1098" s="2">
        <v>37615</v>
      </c>
      <c r="B1098" t="s">
        <v>13</v>
      </c>
      <c r="D1098" s="2">
        <v>38346</v>
      </c>
      <c r="E1098">
        <v>6</v>
      </c>
      <c r="G1098" s="2">
        <v>38346</v>
      </c>
      <c r="H1098">
        <v>5.7290000000000001</v>
      </c>
      <c r="J1098" s="2">
        <v>38353</v>
      </c>
      <c r="K1098" s="3">
        <f t="shared" si="34"/>
        <v>6</v>
      </c>
      <c r="L1098" s="3">
        <f t="shared" si="35"/>
        <v>5.7960000000000003</v>
      </c>
    </row>
    <row r="1099" spans="1:12" x14ac:dyDescent="0.3">
      <c r="A1099" s="2">
        <v>37616</v>
      </c>
      <c r="B1099" t="s">
        <v>13</v>
      </c>
      <c r="D1099" s="2">
        <v>38347</v>
      </c>
      <c r="E1099">
        <v>6</v>
      </c>
      <c r="G1099" s="2">
        <v>38347</v>
      </c>
      <c r="H1099">
        <v>5.7290000000000001</v>
      </c>
      <c r="J1099" s="2">
        <v>38354</v>
      </c>
      <c r="K1099" s="3">
        <f t="shared" si="34"/>
        <v>6</v>
      </c>
      <c r="L1099" s="3">
        <f t="shared" si="35"/>
        <v>5.7960000000000003</v>
      </c>
    </row>
    <row r="1100" spans="1:12" x14ac:dyDescent="0.3">
      <c r="A1100" s="2">
        <v>37617</v>
      </c>
      <c r="B1100" t="s">
        <v>13</v>
      </c>
      <c r="D1100" s="2">
        <v>38348</v>
      </c>
      <c r="E1100">
        <v>6</v>
      </c>
      <c r="G1100" s="2">
        <v>38348</v>
      </c>
      <c r="H1100">
        <v>5.7809999999999997</v>
      </c>
      <c r="J1100" s="2">
        <v>38355</v>
      </c>
      <c r="K1100" s="3">
        <f t="shared" si="34"/>
        <v>6</v>
      </c>
      <c r="L1100" s="3">
        <f t="shared" si="35"/>
        <v>5.6639999999999997</v>
      </c>
    </row>
    <row r="1101" spans="1:12" x14ac:dyDescent="0.3">
      <c r="A1101" s="2">
        <v>37618</v>
      </c>
      <c r="B1101" t="s">
        <v>13</v>
      </c>
      <c r="D1101" s="2">
        <v>38349</v>
      </c>
      <c r="E1101">
        <v>6</v>
      </c>
      <c r="G1101" s="2">
        <v>38349</v>
      </c>
      <c r="H1101">
        <v>5.73</v>
      </c>
      <c r="J1101" s="2">
        <v>38356</v>
      </c>
      <c r="K1101" s="3">
        <f t="shared" si="34"/>
        <v>6</v>
      </c>
      <c r="L1101" s="3">
        <f t="shared" si="35"/>
        <v>5.5910000000000002</v>
      </c>
    </row>
    <row r="1102" spans="1:12" x14ac:dyDescent="0.3">
      <c r="A1102" s="2">
        <v>37619</v>
      </c>
      <c r="B1102" t="s">
        <v>13</v>
      </c>
      <c r="D1102" s="2">
        <v>38350</v>
      </c>
      <c r="E1102">
        <v>6</v>
      </c>
      <c r="G1102" s="2">
        <v>38350</v>
      </c>
      <c r="H1102">
        <v>5.74</v>
      </c>
      <c r="J1102" s="2">
        <v>38357</v>
      </c>
      <c r="K1102" s="3">
        <f t="shared" si="34"/>
        <v>6</v>
      </c>
      <c r="L1102" s="3">
        <f t="shared" si="35"/>
        <v>5.6580000000000004</v>
      </c>
    </row>
    <row r="1103" spans="1:12" x14ac:dyDescent="0.3">
      <c r="A1103" s="2">
        <v>37620</v>
      </c>
      <c r="B1103" t="s">
        <v>13</v>
      </c>
      <c r="D1103" s="2">
        <v>38351</v>
      </c>
      <c r="E1103">
        <v>6</v>
      </c>
      <c r="G1103" s="2">
        <v>38351</v>
      </c>
      <c r="H1103">
        <v>5.7489999999999997</v>
      </c>
      <c r="J1103" s="2">
        <v>38358</v>
      </c>
      <c r="K1103" s="3">
        <f t="shared" si="34"/>
        <v>6</v>
      </c>
      <c r="L1103" s="3">
        <f t="shared" si="35"/>
        <v>5.6040000000000001</v>
      </c>
    </row>
    <row r="1104" spans="1:12" x14ac:dyDescent="0.3">
      <c r="A1104" s="2">
        <v>37621</v>
      </c>
      <c r="B1104" t="s">
        <v>13</v>
      </c>
      <c r="D1104" s="2">
        <v>38352</v>
      </c>
      <c r="E1104">
        <v>6</v>
      </c>
      <c r="G1104" s="2">
        <v>38352</v>
      </c>
      <c r="H1104">
        <v>5.6769999999999996</v>
      </c>
      <c r="J1104" s="2">
        <v>38359</v>
      </c>
      <c r="K1104" s="3">
        <f t="shared" si="34"/>
        <v>6</v>
      </c>
      <c r="L1104" s="3">
        <f t="shared" si="35"/>
        <v>5.6120000000000001</v>
      </c>
    </row>
    <row r="1105" spans="1:12" x14ac:dyDescent="0.3">
      <c r="A1105" s="2">
        <v>37622</v>
      </c>
      <c r="B1105" t="s">
        <v>13</v>
      </c>
      <c r="D1105" s="2">
        <v>38353</v>
      </c>
      <c r="E1105">
        <v>6</v>
      </c>
      <c r="G1105" s="2">
        <v>38353</v>
      </c>
      <c r="H1105">
        <v>5.7960000000000003</v>
      </c>
      <c r="J1105" s="2">
        <v>38360</v>
      </c>
      <c r="K1105" s="3">
        <f t="shared" si="34"/>
        <v>6</v>
      </c>
      <c r="L1105" s="3">
        <f t="shared" si="35"/>
        <v>5.6349999999999998</v>
      </c>
    </row>
    <row r="1106" spans="1:12" x14ac:dyDescent="0.3">
      <c r="A1106" s="2">
        <v>37623</v>
      </c>
      <c r="B1106" t="s">
        <v>13</v>
      </c>
      <c r="D1106" s="2">
        <v>38354</v>
      </c>
      <c r="E1106">
        <v>6</v>
      </c>
      <c r="G1106" s="2">
        <v>38354</v>
      </c>
      <c r="H1106">
        <v>5.7960000000000003</v>
      </c>
      <c r="J1106" s="2">
        <v>38361</v>
      </c>
      <c r="K1106" s="3">
        <f t="shared" si="34"/>
        <v>6</v>
      </c>
      <c r="L1106" s="3">
        <f t="shared" si="35"/>
        <v>5.6349999999999998</v>
      </c>
    </row>
    <row r="1107" spans="1:12" x14ac:dyDescent="0.3">
      <c r="A1107" s="2">
        <v>37624</v>
      </c>
      <c r="B1107" t="s">
        <v>13</v>
      </c>
      <c r="D1107" s="2">
        <v>38355</v>
      </c>
      <c r="E1107">
        <v>6</v>
      </c>
      <c r="G1107" s="2">
        <v>38355</v>
      </c>
      <c r="H1107">
        <v>5.6639999999999997</v>
      </c>
      <c r="J1107" s="2">
        <v>38362</v>
      </c>
      <c r="K1107" s="3">
        <f t="shared" si="34"/>
        <v>6</v>
      </c>
      <c r="L1107" s="3">
        <f t="shared" si="35"/>
        <v>5.62</v>
      </c>
    </row>
    <row r="1108" spans="1:12" x14ac:dyDescent="0.3">
      <c r="A1108" s="2">
        <v>37625</v>
      </c>
      <c r="B1108" t="s">
        <v>13</v>
      </c>
      <c r="D1108" s="2">
        <v>38356</v>
      </c>
      <c r="E1108">
        <v>6</v>
      </c>
      <c r="G1108" s="2">
        <v>38356</v>
      </c>
      <c r="H1108">
        <v>5.5910000000000002</v>
      </c>
      <c r="J1108" s="2">
        <v>38363</v>
      </c>
      <c r="K1108" s="3">
        <f t="shared" si="34"/>
        <v>6</v>
      </c>
      <c r="L1108" s="3">
        <f t="shared" si="35"/>
        <v>5.7720000000000002</v>
      </c>
    </row>
    <row r="1109" spans="1:12" x14ac:dyDescent="0.3">
      <c r="A1109" s="2">
        <v>37626</v>
      </c>
      <c r="B1109" t="s">
        <v>13</v>
      </c>
      <c r="D1109" s="2">
        <v>38357</v>
      </c>
      <c r="E1109">
        <v>6</v>
      </c>
      <c r="G1109" s="2">
        <v>38357</v>
      </c>
      <c r="H1109">
        <v>5.6580000000000004</v>
      </c>
      <c r="J1109" s="2">
        <v>38364</v>
      </c>
      <c r="K1109" s="3">
        <f t="shared" si="34"/>
        <v>6</v>
      </c>
      <c r="L1109" s="3">
        <f t="shared" si="35"/>
        <v>5.7720000000000002</v>
      </c>
    </row>
    <row r="1110" spans="1:12" x14ac:dyDescent="0.3">
      <c r="A1110" s="2">
        <v>37627</v>
      </c>
      <c r="B1110" t="s">
        <v>13</v>
      </c>
      <c r="D1110" s="2">
        <v>38358</v>
      </c>
      <c r="E1110">
        <v>6</v>
      </c>
      <c r="G1110" s="2">
        <v>38358</v>
      </c>
      <c r="H1110">
        <v>5.6040000000000001</v>
      </c>
      <c r="J1110" s="2">
        <v>38365</v>
      </c>
      <c r="K1110" s="3">
        <f t="shared" si="34"/>
        <v>6</v>
      </c>
      <c r="L1110" s="3">
        <f t="shared" si="35"/>
        <v>5.7729999999999997</v>
      </c>
    </row>
    <row r="1111" spans="1:12" x14ac:dyDescent="0.3">
      <c r="A1111" s="2">
        <v>37628</v>
      </c>
      <c r="B1111" t="s">
        <v>13</v>
      </c>
      <c r="D1111" s="2">
        <v>38359</v>
      </c>
      <c r="E1111">
        <v>6</v>
      </c>
      <c r="G1111" s="2">
        <v>38359</v>
      </c>
      <c r="H1111">
        <v>5.6120000000000001</v>
      </c>
      <c r="J1111" s="2">
        <v>38366</v>
      </c>
      <c r="K1111" s="3">
        <f t="shared" si="34"/>
        <v>6</v>
      </c>
      <c r="L1111" s="3">
        <f t="shared" si="35"/>
        <v>5.7809999999999997</v>
      </c>
    </row>
    <row r="1112" spans="1:12" x14ac:dyDescent="0.3">
      <c r="A1112" s="2">
        <v>37629</v>
      </c>
      <c r="B1112" t="s">
        <v>13</v>
      </c>
      <c r="D1112" s="2">
        <v>38360</v>
      </c>
      <c r="E1112">
        <v>6</v>
      </c>
      <c r="G1112" s="2">
        <v>38360</v>
      </c>
      <c r="H1112">
        <v>5.6349999999999998</v>
      </c>
      <c r="J1112" s="2">
        <v>38367</v>
      </c>
      <c r="K1112" s="3">
        <f t="shared" si="34"/>
        <v>6</v>
      </c>
      <c r="L1112" s="3">
        <f t="shared" si="35"/>
        <v>5.8460000000000001</v>
      </c>
    </row>
    <row r="1113" spans="1:12" x14ac:dyDescent="0.3">
      <c r="A1113" s="2">
        <v>37630</v>
      </c>
      <c r="B1113" t="s">
        <v>13</v>
      </c>
      <c r="D1113" s="2">
        <v>38361</v>
      </c>
      <c r="E1113">
        <v>6</v>
      </c>
      <c r="G1113" s="2">
        <v>38361</v>
      </c>
      <c r="H1113">
        <v>5.6349999999999998</v>
      </c>
      <c r="J1113" s="2">
        <v>38368</v>
      </c>
      <c r="K1113" s="3">
        <f t="shared" si="34"/>
        <v>6</v>
      </c>
      <c r="L1113" s="3">
        <f t="shared" si="35"/>
        <v>5.8460000000000001</v>
      </c>
    </row>
    <row r="1114" spans="1:12" x14ac:dyDescent="0.3">
      <c r="A1114" s="2">
        <v>37631</v>
      </c>
      <c r="B1114" t="s">
        <v>13</v>
      </c>
      <c r="D1114" s="2">
        <v>38362</v>
      </c>
      <c r="E1114">
        <v>6</v>
      </c>
      <c r="G1114" s="2">
        <v>38362</v>
      </c>
      <c r="H1114">
        <v>5.62</v>
      </c>
      <c r="J1114" s="2">
        <v>38369</v>
      </c>
      <c r="K1114" s="3">
        <f t="shared" si="34"/>
        <v>6</v>
      </c>
      <c r="L1114" s="3">
        <f t="shared" si="35"/>
        <v>5.8040000000000003</v>
      </c>
    </row>
    <row r="1115" spans="1:12" x14ac:dyDescent="0.3">
      <c r="A1115" s="2">
        <v>37632</v>
      </c>
      <c r="B1115" t="s">
        <v>13</v>
      </c>
      <c r="D1115" s="2">
        <v>38363</v>
      </c>
      <c r="E1115">
        <v>6</v>
      </c>
      <c r="G1115" s="2">
        <v>38363</v>
      </c>
      <c r="H1115">
        <v>5.7720000000000002</v>
      </c>
      <c r="J1115" s="2">
        <v>38370</v>
      </c>
      <c r="K1115" s="3">
        <f t="shared" si="34"/>
        <v>6</v>
      </c>
      <c r="L1115" s="3">
        <f t="shared" si="35"/>
        <v>5.84</v>
      </c>
    </row>
    <row r="1116" spans="1:12" x14ac:dyDescent="0.3">
      <c r="A1116" s="2">
        <v>37633</v>
      </c>
      <c r="B1116" t="s">
        <v>13</v>
      </c>
      <c r="D1116" s="2">
        <v>38364</v>
      </c>
      <c r="E1116">
        <v>6</v>
      </c>
      <c r="G1116" s="2">
        <v>38364</v>
      </c>
      <c r="H1116">
        <v>5.7720000000000002</v>
      </c>
      <c r="J1116" s="2">
        <v>38371</v>
      </c>
      <c r="K1116" s="3">
        <f t="shared" si="34"/>
        <v>6</v>
      </c>
      <c r="L1116" s="3">
        <f t="shared" si="35"/>
        <v>5.8710000000000004</v>
      </c>
    </row>
    <row r="1117" spans="1:12" x14ac:dyDescent="0.3">
      <c r="A1117" s="2">
        <v>37634</v>
      </c>
      <c r="B1117" t="s">
        <v>13</v>
      </c>
      <c r="D1117" s="2">
        <v>38365</v>
      </c>
      <c r="E1117">
        <v>6</v>
      </c>
      <c r="G1117" s="2">
        <v>38365</v>
      </c>
      <c r="H1117">
        <v>5.7729999999999997</v>
      </c>
      <c r="J1117" s="2">
        <v>38372</v>
      </c>
      <c r="K1117" s="3">
        <f t="shared" si="34"/>
        <v>6</v>
      </c>
      <c r="L1117" s="3">
        <f t="shared" si="35"/>
        <v>5.85</v>
      </c>
    </row>
    <row r="1118" spans="1:12" x14ac:dyDescent="0.3">
      <c r="A1118" s="2">
        <v>37635</v>
      </c>
      <c r="B1118" t="s">
        <v>13</v>
      </c>
      <c r="D1118" s="2">
        <v>38366</v>
      </c>
      <c r="E1118">
        <v>6</v>
      </c>
      <c r="G1118" s="2">
        <v>38366</v>
      </c>
      <c r="H1118">
        <v>5.7809999999999997</v>
      </c>
      <c r="J1118" s="2">
        <v>38373</v>
      </c>
      <c r="K1118" s="3">
        <f t="shared" si="34"/>
        <v>6</v>
      </c>
      <c r="L1118" s="3">
        <f t="shared" si="35"/>
        <v>5.8380000000000001</v>
      </c>
    </row>
    <row r="1119" spans="1:12" x14ac:dyDescent="0.3">
      <c r="A1119" s="2">
        <v>37636</v>
      </c>
      <c r="B1119" t="s">
        <v>13</v>
      </c>
      <c r="D1119" s="2">
        <v>38367</v>
      </c>
      <c r="E1119">
        <v>6</v>
      </c>
      <c r="G1119" s="2">
        <v>38367</v>
      </c>
      <c r="H1119">
        <v>5.8460000000000001</v>
      </c>
      <c r="J1119" s="2">
        <v>38374</v>
      </c>
      <c r="K1119" s="3">
        <f t="shared" si="34"/>
        <v>6</v>
      </c>
      <c r="L1119" s="3">
        <f t="shared" si="35"/>
        <v>5.8259999999999996</v>
      </c>
    </row>
    <row r="1120" spans="1:12" x14ac:dyDescent="0.3">
      <c r="A1120" s="2">
        <v>37637</v>
      </c>
      <c r="B1120" t="s">
        <v>13</v>
      </c>
      <c r="D1120" s="2">
        <v>38368</v>
      </c>
      <c r="E1120">
        <v>6</v>
      </c>
      <c r="G1120" s="2">
        <v>38368</v>
      </c>
      <c r="H1120">
        <v>5.8460000000000001</v>
      </c>
      <c r="J1120" s="2">
        <v>38375</v>
      </c>
      <c r="K1120" s="3">
        <f t="shared" si="34"/>
        <v>6</v>
      </c>
      <c r="L1120" s="3">
        <f t="shared" si="35"/>
        <v>5.8259999999999996</v>
      </c>
    </row>
    <row r="1121" spans="1:12" x14ac:dyDescent="0.3">
      <c r="A1121" s="2">
        <v>37638</v>
      </c>
      <c r="B1121" t="s">
        <v>13</v>
      </c>
      <c r="D1121" s="2">
        <v>38369</v>
      </c>
      <c r="E1121">
        <v>6</v>
      </c>
      <c r="G1121" s="2">
        <v>38369</v>
      </c>
      <c r="H1121">
        <v>5.8040000000000003</v>
      </c>
      <c r="J1121" s="2">
        <v>38376</v>
      </c>
      <c r="K1121" s="3">
        <f t="shared" si="34"/>
        <v>6</v>
      </c>
      <c r="L1121" s="3">
        <f t="shared" si="35"/>
        <v>5.8609999999999998</v>
      </c>
    </row>
    <row r="1122" spans="1:12" x14ac:dyDescent="0.3">
      <c r="A1122" s="2">
        <v>37639</v>
      </c>
      <c r="B1122" t="s">
        <v>13</v>
      </c>
      <c r="D1122" s="2">
        <v>38370</v>
      </c>
      <c r="E1122">
        <v>6</v>
      </c>
      <c r="G1122" s="2">
        <v>38370</v>
      </c>
      <c r="H1122">
        <v>5.84</v>
      </c>
      <c r="J1122" s="2">
        <v>38377</v>
      </c>
      <c r="K1122" s="3">
        <f t="shared" si="34"/>
        <v>6</v>
      </c>
      <c r="L1122" s="3">
        <f t="shared" si="35"/>
        <v>5.7939999999999996</v>
      </c>
    </row>
    <row r="1123" spans="1:12" x14ac:dyDescent="0.3">
      <c r="A1123" s="2">
        <v>37640</v>
      </c>
      <c r="B1123" t="s">
        <v>13</v>
      </c>
      <c r="D1123" s="2">
        <v>38371</v>
      </c>
      <c r="E1123">
        <v>6</v>
      </c>
      <c r="G1123" s="2">
        <v>38371</v>
      </c>
      <c r="H1123">
        <v>5.8710000000000004</v>
      </c>
      <c r="J1123" s="2">
        <v>38378</v>
      </c>
      <c r="K1123" s="3">
        <f t="shared" si="34"/>
        <v>6</v>
      </c>
      <c r="L1123" s="3">
        <f t="shared" si="35"/>
        <v>5.7939999999999996</v>
      </c>
    </row>
    <row r="1124" spans="1:12" x14ac:dyDescent="0.3">
      <c r="A1124" s="2">
        <v>37641</v>
      </c>
      <c r="B1124" t="s">
        <v>13</v>
      </c>
      <c r="D1124" s="2">
        <v>38372</v>
      </c>
      <c r="E1124">
        <v>6</v>
      </c>
      <c r="G1124" s="2">
        <v>38372</v>
      </c>
      <c r="H1124">
        <v>5.85</v>
      </c>
      <c r="J1124" s="2">
        <v>38379</v>
      </c>
      <c r="K1124" s="3">
        <f t="shared" si="34"/>
        <v>6</v>
      </c>
      <c r="L1124" s="3">
        <f t="shared" si="35"/>
        <v>5.7809999999999997</v>
      </c>
    </row>
    <row r="1125" spans="1:12" x14ac:dyDescent="0.3">
      <c r="A1125" s="2">
        <v>37642</v>
      </c>
      <c r="B1125" t="s">
        <v>13</v>
      </c>
      <c r="D1125" s="2">
        <v>38373</v>
      </c>
      <c r="E1125">
        <v>6</v>
      </c>
      <c r="G1125" s="2">
        <v>38373</v>
      </c>
      <c r="H1125">
        <v>5.8380000000000001</v>
      </c>
      <c r="J1125" s="2">
        <v>38380</v>
      </c>
      <c r="K1125" s="3">
        <f t="shared" si="34"/>
        <v>6</v>
      </c>
      <c r="L1125" s="3">
        <f t="shared" si="35"/>
        <v>5.7939999999999996</v>
      </c>
    </row>
    <row r="1126" spans="1:12" x14ac:dyDescent="0.3">
      <c r="A1126" s="2">
        <v>37643</v>
      </c>
      <c r="B1126" t="s">
        <v>13</v>
      </c>
      <c r="D1126" s="2">
        <v>38374</v>
      </c>
      <c r="E1126">
        <v>6</v>
      </c>
      <c r="G1126" s="2">
        <v>38374</v>
      </c>
      <c r="H1126">
        <v>5.8259999999999996</v>
      </c>
      <c r="J1126" s="2">
        <v>38381</v>
      </c>
      <c r="K1126" s="3">
        <f t="shared" si="34"/>
        <v>6</v>
      </c>
      <c r="L1126" s="3">
        <f t="shared" si="35"/>
        <v>5.73</v>
      </c>
    </row>
    <row r="1127" spans="1:12" x14ac:dyDescent="0.3">
      <c r="A1127" s="2">
        <v>37644</v>
      </c>
      <c r="B1127" t="s">
        <v>13</v>
      </c>
      <c r="D1127" s="2">
        <v>38375</v>
      </c>
      <c r="E1127">
        <v>6</v>
      </c>
      <c r="G1127" s="2">
        <v>38375</v>
      </c>
      <c r="H1127">
        <v>5.8259999999999996</v>
      </c>
      <c r="J1127" s="2">
        <v>38382</v>
      </c>
      <c r="K1127" s="3">
        <f t="shared" si="34"/>
        <v>6</v>
      </c>
      <c r="L1127" s="3">
        <f t="shared" si="35"/>
        <v>5.73</v>
      </c>
    </row>
    <row r="1128" spans="1:12" x14ac:dyDescent="0.3">
      <c r="A1128" s="2">
        <v>37645</v>
      </c>
      <c r="B1128" t="s">
        <v>13</v>
      </c>
      <c r="D1128" s="2">
        <v>38376</v>
      </c>
      <c r="E1128">
        <v>6</v>
      </c>
      <c r="G1128" s="2">
        <v>38376</v>
      </c>
      <c r="H1128">
        <v>5.8609999999999998</v>
      </c>
      <c r="J1128" s="2">
        <v>38383</v>
      </c>
      <c r="K1128" s="3">
        <f t="shared" si="34"/>
        <v>6</v>
      </c>
      <c r="L1128" s="3">
        <f t="shared" si="35"/>
        <v>5.7370000000000001</v>
      </c>
    </row>
    <row r="1129" spans="1:12" x14ac:dyDescent="0.3">
      <c r="A1129" s="2">
        <v>37646</v>
      </c>
      <c r="B1129" t="s">
        <v>13</v>
      </c>
      <c r="D1129" s="2">
        <v>38377</v>
      </c>
      <c r="E1129">
        <v>6</v>
      </c>
      <c r="G1129" s="2">
        <v>38377</v>
      </c>
      <c r="H1129">
        <v>5.7939999999999996</v>
      </c>
      <c r="J1129" s="2">
        <v>38384</v>
      </c>
      <c r="K1129" s="3">
        <f t="shared" si="34"/>
        <v>6</v>
      </c>
      <c r="L1129" s="3">
        <f t="shared" si="35"/>
        <v>5.7380000000000004</v>
      </c>
    </row>
    <row r="1130" spans="1:12" x14ac:dyDescent="0.3">
      <c r="A1130" s="2">
        <v>37647</v>
      </c>
      <c r="B1130" t="s">
        <v>13</v>
      </c>
      <c r="D1130" s="2">
        <v>38378</v>
      </c>
      <c r="E1130">
        <v>6</v>
      </c>
      <c r="G1130" s="2">
        <v>38378</v>
      </c>
      <c r="H1130">
        <v>5.7939999999999996</v>
      </c>
      <c r="J1130" s="2">
        <v>38385</v>
      </c>
      <c r="K1130" s="3">
        <f t="shared" si="34"/>
        <v>6</v>
      </c>
      <c r="L1130" s="3">
        <f t="shared" si="35"/>
        <v>5.7409999999999997</v>
      </c>
    </row>
    <row r="1131" spans="1:12" x14ac:dyDescent="0.3">
      <c r="A1131" s="2">
        <v>37648</v>
      </c>
      <c r="B1131" t="s">
        <v>13</v>
      </c>
      <c r="D1131" s="2">
        <v>38379</v>
      </c>
      <c r="E1131">
        <v>6</v>
      </c>
      <c r="G1131" s="2">
        <v>38379</v>
      </c>
      <c r="H1131">
        <v>5.7809999999999997</v>
      </c>
      <c r="J1131" s="2">
        <v>38386</v>
      </c>
      <c r="K1131" s="3">
        <f t="shared" si="34"/>
        <v>6</v>
      </c>
      <c r="L1131" s="3">
        <f t="shared" si="35"/>
        <v>5.7549999999999999</v>
      </c>
    </row>
    <row r="1132" spans="1:12" x14ac:dyDescent="0.3">
      <c r="A1132" s="2">
        <v>37649</v>
      </c>
      <c r="B1132" t="s">
        <v>13</v>
      </c>
      <c r="D1132" s="2">
        <v>38380</v>
      </c>
      <c r="E1132">
        <v>6</v>
      </c>
      <c r="G1132" s="2">
        <v>38380</v>
      </c>
      <c r="H1132">
        <v>5.7939999999999996</v>
      </c>
      <c r="J1132" s="2">
        <v>38387</v>
      </c>
      <c r="K1132" s="3">
        <f t="shared" si="34"/>
        <v>6</v>
      </c>
      <c r="L1132" s="3">
        <f t="shared" si="35"/>
        <v>5.7960000000000003</v>
      </c>
    </row>
    <row r="1133" spans="1:12" x14ac:dyDescent="0.3">
      <c r="A1133" s="2">
        <v>37650</v>
      </c>
      <c r="B1133" t="s">
        <v>13</v>
      </c>
      <c r="D1133" s="2">
        <v>38381</v>
      </c>
      <c r="E1133">
        <v>6</v>
      </c>
      <c r="G1133" s="2">
        <v>38381</v>
      </c>
      <c r="H1133">
        <v>5.73</v>
      </c>
      <c r="J1133" s="2">
        <v>38388</v>
      </c>
      <c r="K1133" s="3">
        <f t="shared" si="34"/>
        <v>6</v>
      </c>
      <c r="L1133" s="3">
        <f t="shared" si="35"/>
        <v>5.7560000000000002</v>
      </c>
    </row>
    <row r="1134" spans="1:12" x14ac:dyDescent="0.3">
      <c r="A1134" s="2">
        <v>37651</v>
      </c>
      <c r="B1134" t="s">
        <v>13</v>
      </c>
      <c r="D1134" s="2">
        <v>38382</v>
      </c>
      <c r="E1134">
        <v>6</v>
      </c>
      <c r="G1134" s="2">
        <v>38382</v>
      </c>
      <c r="H1134">
        <v>5.73</v>
      </c>
      <c r="J1134" s="2">
        <v>38389</v>
      </c>
      <c r="K1134" s="3">
        <f t="shared" si="34"/>
        <v>6</v>
      </c>
      <c r="L1134" s="3">
        <f t="shared" si="35"/>
        <v>5.7560000000000002</v>
      </c>
    </row>
    <row r="1135" spans="1:12" x14ac:dyDescent="0.3">
      <c r="A1135" s="2">
        <v>37652</v>
      </c>
      <c r="B1135" t="s">
        <v>13</v>
      </c>
      <c r="D1135" s="2">
        <v>38383</v>
      </c>
      <c r="E1135">
        <v>6</v>
      </c>
      <c r="G1135" s="2">
        <v>38383</v>
      </c>
      <c r="H1135">
        <v>5.7370000000000001</v>
      </c>
      <c r="J1135" s="2">
        <v>38390</v>
      </c>
      <c r="K1135" s="3">
        <f t="shared" si="34"/>
        <v>6</v>
      </c>
      <c r="L1135" s="3">
        <f t="shared" si="35"/>
        <v>5.758</v>
      </c>
    </row>
    <row r="1136" spans="1:12" x14ac:dyDescent="0.3">
      <c r="A1136" s="2">
        <v>37653</v>
      </c>
      <c r="B1136" t="s">
        <v>13</v>
      </c>
      <c r="D1136" s="2">
        <v>38384</v>
      </c>
      <c r="E1136">
        <v>6</v>
      </c>
      <c r="G1136" s="2">
        <v>38384</v>
      </c>
      <c r="H1136">
        <v>5.7380000000000004</v>
      </c>
      <c r="J1136" s="2">
        <v>38391</v>
      </c>
      <c r="K1136" s="3">
        <f t="shared" si="34"/>
        <v>6</v>
      </c>
      <c r="L1136" s="3">
        <f t="shared" si="35"/>
        <v>5.7329999999999997</v>
      </c>
    </row>
    <row r="1137" spans="1:12" x14ac:dyDescent="0.3">
      <c r="A1137" s="2">
        <v>37654</v>
      </c>
      <c r="B1137" t="s">
        <v>13</v>
      </c>
      <c r="D1137" s="2">
        <v>38385</v>
      </c>
      <c r="E1137">
        <v>6</v>
      </c>
      <c r="G1137" s="2">
        <v>38385</v>
      </c>
      <c r="H1137">
        <v>5.7409999999999997</v>
      </c>
      <c r="J1137" s="2">
        <v>38392</v>
      </c>
      <c r="K1137" s="3">
        <f t="shared" si="34"/>
        <v>6</v>
      </c>
      <c r="L1137" s="3">
        <f t="shared" si="35"/>
        <v>5.6779999999999999</v>
      </c>
    </row>
    <row r="1138" spans="1:12" x14ac:dyDescent="0.3">
      <c r="A1138" s="2">
        <v>37655</v>
      </c>
      <c r="B1138" t="s">
        <v>13</v>
      </c>
      <c r="D1138" s="2">
        <v>38386</v>
      </c>
      <c r="E1138">
        <v>6</v>
      </c>
      <c r="G1138" s="2">
        <v>38386</v>
      </c>
      <c r="H1138">
        <v>5.7549999999999999</v>
      </c>
      <c r="J1138" s="2">
        <v>38393</v>
      </c>
      <c r="K1138" s="3">
        <f t="shared" si="34"/>
        <v>6</v>
      </c>
      <c r="L1138" s="3">
        <f t="shared" si="35"/>
        <v>5.6820000000000004</v>
      </c>
    </row>
    <row r="1139" spans="1:12" x14ac:dyDescent="0.3">
      <c r="A1139" s="2">
        <v>37656</v>
      </c>
      <c r="B1139" t="s">
        <v>13</v>
      </c>
      <c r="D1139" s="2">
        <v>38387</v>
      </c>
      <c r="E1139">
        <v>6</v>
      </c>
      <c r="G1139" s="2">
        <v>38387</v>
      </c>
      <c r="H1139">
        <v>5.7960000000000003</v>
      </c>
      <c r="J1139" s="2">
        <v>38394</v>
      </c>
      <c r="K1139" s="3">
        <f t="shared" si="34"/>
        <v>6</v>
      </c>
      <c r="L1139" s="3">
        <f t="shared" si="35"/>
        <v>5.6760000000000002</v>
      </c>
    </row>
    <row r="1140" spans="1:12" x14ac:dyDescent="0.3">
      <c r="A1140" s="2">
        <v>37657</v>
      </c>
      <c r="B1140" t="s">
        <v>13</v>
      </c>
      <c r="D1140" s="2">
        <v>38388</v>
      </c>
      <c r="E1140">
        <v>6</v>
      </c>
      <c r="G1140" s="2">
        <v>38388</v>
      </c>
      <c r="H1140">
        <v>5.7560000000000002</v>
      </c>
      <c r="J1140" s="2">
        <v>38395</v>
      </c>
      <c r="K1140" s="3">
        <f t="shared" si="34"/>
        <v>6</v>
      </c>
      <c r="L1140" s="3">
        <f t="shared" si="35"/>
        <v>5.6760000000000002</v>
      </c>
    </row>
    <row r="1141" spans="1:12" x14ac:dyDescent="0.3">
      <c r="A1141" s="2">
        <v>37658</v>
      </c>
      <c r="B1141" t="s">
        <v>13</v>
      </c>
      <c r="D1141" s="2">
        <v>38389</v>
      </c>
      <c r="E1141">
        <v>6</v>
      </c>
      <c r="G1141" s="2">
        <v>38389</v>
      </c>
      <c r="H1141">
        <v>5.7560000000000002</v>
      </c>
      <c r="J1141" s="2">
        <v>38396</v>
      </c>
      <c r="K1141" s="3">
        <f t="shared" si="34"/>
        <v>6</v>
      </c>
      <c r="L1141" s="3">
        <f t="shared" si="35"/>
        <v>5.6760000000000002</v>
      </c>
    </row>
    <row r="1142" spans="1:12" x14ac:dyDescent="0.3">
      <c r="A1142" s="2">
        <v>37659</v>
      </c>
      <c r="B1142" t="s">
        <v>13</v>
      </c>
      <c r="D1142" s="2">
        <v>38390</v>
      </c>
      <c r="E1142">
        <v>6</v>
      </c>
      <c r="G1142" s="2">
        <v>38390</v>
      </c>
      <c r="H1142">
        <v>5.758</v>
      </c>
      <c r="J1142" s="2">
        <v>38397</v>
      </c>
      <c r="K1142" s="3">
        <f t="shared" si="34"/>
        <v>6</v>
      </c>
      <c r="L1142" s="3">
        <f t="shared" si="35"/>
        <v>5.65</v>
      </c>
    </row>
    <row r="1143" spans="1:12" x14ac:dyDescent="0.3">
      <c r="A1143" s="2">
        <v>37660</v>
      </c>
      <c r="B1143" t="s">
        <v>13</v>
      </c>
      <c r="D1143" s="2">
        <v>38391</v>
      </c>
      <c r="E1143">
        <v>6</v>
      </c>
      <c r="G1143" s="2">
        <v>38391</v>
      </c>
      <c r="H1143">
        <v>5.7329999999999997</v>
      </c>
      <c r="J1143" s="2">
        <v>38398</v>
      </c>
      <c r="K1143" s="3">
        <f t="shared" si="34"/>
        <v>6</v>
      </c>
      <c r="L1143" s="3">
        <f t="shared" si="35"/>
        <v>5.6559999999999997</v>
      </c>
    </row>
    <row r="1144" spans="1:12" x14ac:dyDescent="0.3">
      <c r="A1144" s="2">
        <v>37661</v>
      </c>
      <c r="B1144" t="s">
        <v>13</v>
      </c>
      <c r="D1144" s="2">
        <v>38392</v>
      </c>
      <c r="E1144">
        <v>6</v>
      </c>
      <c r="G1144" s="2">
        <v>38392</v>
      </c>
      <c r="H1144">
        <v>5.6779999999999999</v>
      </c>
      <c r="J1144" s="2">
        <v>38399</v>
      </c>
      <c r="K1144" s="3">
        <f t="shared" si="34"/>
        <v>6</v>
      </c>
      <c r="L1144" s="3">
        <f t="shared" si="35"/>
        <v>5.7160000000000002</v>
      </c>
    </row>
    <row r="1145" spans="1:12" x14ac:dyDescent="0.3">
      <c r="A1145" s="2">
        <v>37662</v>
      </c>
      <c r="B1145" t="s">
        <v>13</v>
      </c>
      <c r="D1145" s="2">
        <v>38393</v>
      </c>
      <c r="E1145">
        <v>6</v>
      </c>
      <c r="G1145" s="2">
        <v>38393</v>
      </c>
      <c r="H1145">
        <v>5.6820000000000004</v>
      </c>
      <c r="J1145" s="2">
        <v>38400</v>
      </c>
      <c r="K1145" s="3">
        <f t="shared" si="34"/>
        <v>6</v>
      </c>
      <c r="L1145" s="3">
        <f t="shared" si="35"/>
        <v>5.7460000000000004</v>
      </c>
    </row>
    <row r="1146" spans="1:12" x14ac:dyDescent="0.3">
      <c r="A1146" s="2">
        <v>37663</v>
      </c>
      <c r="B1146" t="s">
        <v>13</v>
      </c>
      <c r="D1146" s="2">
        <v>38394</v>
      </c>
      <c r="E1146">
        <v>6</v>
      </c>
      <c r="G1146" s="2">
        <v>38394</v>
      </c>
      <c r="H1146">
        <v>5.6760000000000002</v>
      </c>
      <c r="J1146" s="2">
        <v>38401</v>
      </c>
      <c r="K1146" s="3">
        <f t="shared" si="34"/>
        <v>6</v>
      </c>
      <c r="L1146" s="3">
        <f t="shared" si="35"/>
        <v>5.7469999999999999</v>
      </c>
    </row>
    <row r="1147" spans="1:12" x14ac:dyDescent="0.3">
      <c r="A1147" s="2">
        <v>37664</v>
      </c>
      <c r="B1147" t="s">
        <v>13</v>
      </c>
      <c r="D1147" s="2">
        <v>38395</v>
      </c>
      <c r="E1147">
        <v>6</v>
      </c>
      <c r="G1147" s="2">
        <v>38395</v>
      </c>
      <c r="H1147">
        <v>5.6760000000000002</v>
      </c>
      <c r="J1147" s="2">
        <v>38402</v>
      </c>
      <c r="K1147" s="3">
        <f t="shared" si="34"/>
        <v>6</v>
      </c>
      <c r="L1147" s="3">
        <f t="shared" si="35"/>
        <v>5.7290000000000001</v>
      </c>
    </row>
    <row r="1148" spans="1:12" x14ac:dyDescent="0.3">
      <c r="A1148" s="2">
        <v>37665</v>
      </c>
      <c r="B1148" t="s">
        <v>13</v>
      </c>
      <c r="D1148" s="2">
        <v>38396</v>
      </c>
      <c r="E1148">
        <v>6</v>
      </c>
      <c r="G1148" s="2">
        <v>38396</v>
      </c>
      <c r="H1148">
        <v>5.6760000000000002</v>
      </c>
      <c r="J1148" s="2">
        <v>38403</v>
      </c>
      <c r="K1148" s="3">
        <f t="shared" si="34"/>
        <v>6</v>
      </c>
      <c r="L1148" s="3">
        <f t="shared" si="35"/>
        <v>5.7290000000000001</v>
      </c>
    </row>
    <row r="1149" spans="1:12" x14ac:dyDescent="0.3">
      <c r="A1149" s="2">
        <v>37666</v>
      </c>
      <c r="B1149" t="s">
        <v>13</v>
      </c>
      <c r="D1149" s="2">
        <v>38397</v>
      </c>
      <c r="E1149">
        <v>6</v>
      </c>
      <c r="G1149" s="2">
        <v>38397</v>
      </c>
      <c r="H1149">
        <v>5.65</v>
      </c>
      <c r="J1149" s="2">
        <v>38404</v>
      </c>
      <c r="K1149" s="3">
        <f t="shared" si="34"/>
        <v>6</v>
      </c>
      <c r="L1149" s="3">
        <f t="shared" si="35"/>
        <v>5.7389999999999999</v>
      </c>
    </row>
    <row r="1150" spans="1:12" x14ac:dyDescent="0.3">
      <c r="A1150" s="2">
        <v>37667</v>
      </c>
      <c r="B1150" t="s">
        <v>13</v>
      </c>
      <c r="D1150" s="2">
        <v>38398</v>
      </c>
      <c r="E1150">
        <v>6</v>
      </c>
      <c r="G1150" s="2">
        <v>38398</v>
      </c>
      <c r="H1150">
        <v>5.6559999999999997</v>
      </c>
      <c r="J1150" s="2">
        <v>38405</v>
      </c>
      <c r="K1150" s="3">
        <f t="shared" si="34"/>
        <v>6</v>
      </c>
      <c r="L1150" s="3">
        <f t="shared" si="35"/>
        <v>5.742</v>
      </c>
    </row>
    <row r="1151" spans="1:12" x14ac:dyDescent="0.3">
      <c r="A1151" s="2">
        <v>37668</v>
      </c>
      <c r="B1151" t="s">
        <v>13</v>
      </c>
      <c r="D1151" s="2">
        <v>38399</v>
      </c>
      <c r="E1151">
        <v>6</v>
      </c>
      <c r="G1151" s="2">
        <v>38399</v>
      </c>
      <c r="H1151">
        <v>5.7160000000000002</v>
      </c>
      <c r="J1151" s="2">
        <v>38406</v>
      </c>
      <c r="K1151" s="3">
        <f t="shared" si="34"/>
        <v>6</v>
      </c>
      <c r="L1151" s="3">
        <f t="shared" si="35"/>
        <v>5.7309999999999999</v>
      </c>
    </row>
    <row r="1152" spans="1:12" x14ac:dyDescent="0.3">
      <c r="A1152" s="2">
        <v>37669</v>
      </c>
      <c r="B1152" t="s">
        <v>13</v>
      </c>
      <c r="D1152" s="2">
        <v>38400</v>
      </c>
      <c r="E1152">
        <v>6</v>
      </c>
      <c r="G1152" s="2">
        <v>38400</v>
      </c>
      <c r="H1152">
        <v>5.7460000000000004</v>
      </c>
      <c r="J1152" s="2">
        <v>38407</v>
      </c>
      <c r="K1152" s="3">
        <f t="shared" si="34"/>
        <v>6</v>
      </c>
      <c r="L1152" s="3">
        <f t="shared" si="35"/>
        <v>5.7240000000000002</v>
      </c>
    </row>
    <row r="1153" spans="1:12" x14ac:dyDescent="0.3">
      <c r="A1153" s="2">
        <v>37670</v>
      </c>
      <c r="B1153" t="s">
        <v>13</v>
      </c>
      <c r="D1153" s="2">
        <v>38401</v>
      </c>
      <c r="E1153">
        <v>6</v>
      </c>
      <c r="G1153" s="2">
        <v>38401</v>
      </c>
      <c r="H1153">
        <v>5.7469999999999999</v>
      </c>
      <c r="J1153" s="2">
        <v>38408</v>
      </c>
      <c r="K1153" s="3">
        <f t="shared" si="34"/>
        <v>6</v>
      </c>
      <c r="L1153" s="3">
        <f t="shared" si="35"/>
        <v>5.7610000000000001</v>
      </c>
    </row>
    <row r="1154" spans="1:12" x14ac:dyDescent="0.3">
      <c r="A1154" s="2">
        <v>37671</v>
      </c>
      <c r="B1154" t="s">
        <v>13</v>
      </c>
      <c r="D1154" s="2">
        <v>38402</v>
      </c>
      <c r="E1154">
        <v>6</v>
      </c>
      <c r="G1154" s="2">
        <v>38402</v>
      </c>
      <c r="H1154">
        <v>5.7290000000000001</v>
      </c>
      <c r="J1154" s="2">
        <v>38409</v>
      </c>
      <c r="K1154" s="3">
        <f t="shared" si="34"/>
        <v>6</v>
      </c>
      <c r="L1154" s="3">
        <f t="shared" si="35"/>
        <v>5.7460000000000004</v>
      </c>
    </row>
    <row r="1155" spans="1:12" x14ac:dyDescent="0.3">
      <c r="A1155" s="2">
        <v>37672</v>
      </c>
      <c r="B1155" t="s">
        <v>13</v>
      </c>
      <c r="D1155" s="2">
        <v>38403</v>
      </c>
      <c r="E1155">
        <v>6</v>
      </c>
      <c r="G1155" s="2">
        <v>38403</v>
      </c>
      <c r="H1155">
        <v>5.7290000000000001</v>
      </c>
      <c r="J1155" s="2">
        <v>38410</v>
      </c>
      <c r="K1155" s="3">
        <f t="shared" ref="K1155:K1218" si="36">E1162</f>
        <v>6</v>
      </c>
      <c r="L1155" s="3">
        <f t="shared" ref="L1155:L1218" si="37">H1162</f>
        <v>5.7460000000000004</v>
      </c>
    </row>
    <row r="1156" spans="1:12" x14ac:dyDescent="0.3">
      <c r="A1156" s="2">
        <v>37673</v>
      </c>
      <c r="B1156" t="s">
        <v>13</v>
      </c>
      <c r="D1156" s="2">
        <v>38404</v>
      </c>
      <c r="E1156">
        <v>6</v>
      </c>
      <c r="G1156" s="2">
        <v>38404</v>
      </c>
      <c r="H1156">
        <v>5.7389999999999999</v>
      </c>
      <c r="J1156" s="2">
        <v>38411</v>
      </c>
      <c r="K1156" s="3">
        <f t="shared" si="36"/>
        <v>6</v>
      </c>
      <c r="L1156" s="3">
        <f t="shared" si="37"/>
        <v>5.7480000000000002</v>
      </c>
    </row>
    <row r="1157" spans="1:12" x14ac:dyDescent="0.3">
      <c r="A1157" s="2">
        <v>37674</v>
      </c>
      <c r="B1157" t="s">
        <v>13</v>
      </c>
      <c r="D1157" s="2">
        <v>38405</v>
      </c>
      <c r="E1157">
        <v>6</v>
      </c>
      <c r="G1157" s="2">
        <v>38405</v>
      </c>
      <c r="H1157">
        <v>5.742</v>
      </c>
      <c r="J1157" s="2">
        <v>38412</v>
      </c>
      <c r="K1157" s="3">
        <f t="shared" si="36"/>
        <v>6</v>
      </c>
      <c r="L1157" s="3">
        <f t="shared" si="37"/>
        <v>5.7859999999999996</v>
      </c>
    </row>
    <row r="1158" spans="1:12" x14ac:dyDescent="0.3">
      <c r="A1158" s="2">
        <v>37675</v>
      </c>
      <c r="B1158" t="s">
        <v>13</v>
      </c>
      <c r="D1158" s="2">
        <v>38406</v>
      </c>
      <c r="E1158">
        <v>6</v>
      </c>
      <c r="G1158" s="2">
        <v>38406</v>
      </c>
      <c r="H1158">
        <v>5.7309999999999999</v>
      </c>
      <c r="J1158" s="2">
        <v>38413</v>
      </c>
      <c r="K1158" s="3">
        <f t="shared" si="36"/>
        <v>6</v>
      </c>
      <c r="L1158" s="3">
        <f t="shared" si="37"/>
        <v>5.7809999999999997</v>
      </c>
    </row>
    <row r="1159" spans="1:12" x14ac:dyDescent="0.3">
      <c r="A1159" s="2">
        <v>37676</v>
      </c>
      <c r="B1159" t="s">
        <v>13</v>
      </c>
      <c r="D1159" s="2">
        <v>38407</v>
      </c>
      <c r="E1159">
        <v>6</v>
      </c>
      <c r="G1159" s="2">
        <v>38407</v>
      </c>
      <c r="H1159">
        <v>5.7240000000000002</v>
      </c>
      <c r="J1159" s="2">
        <v>38414</v>
      </c>
      <c r="K1159" s="3">
        <f t="shared" si="36"/>
        <v>6</v>
      </c>
      <c r="L1159" s="3">
        <f t="shared" si="37"/>
        <v>5.774</v>
      </c>
    </row>
    <row r="1160" spans="1:12" x14ac:dyDescent="0.3">
      <c r="A1160" s="2">
        <v>37677</v>
      </c>
      <c r="B1160" t="s">
        <v>13</v>
      </c>
      <c r="D1160" s="2">
        <v>38408</v>
      </c>
      <c r="E1160">
        <v>6</v>
      </c>
      <c r="G1160" s="2">
        <v>38408</v>
      </c>
      <c r="H1160">
        <v>5.7610000000000001</v>
      </c>
      <c r="J1160" s="2">
        <v>38415</v>
      </c>
      <c r="K1160" s="3">
        <f t="shared" si="36"/>
        <v>6</v>
      </c>
      <c r="L1160" s="3">
        <f t="shared" si="37"/>
        <v>5.7279999999999998</v>
      </c>
    </row>
    <row r="1161" spans="1:12" x14ac:dyDescent="0.3">
      <c r="A1161" s="2">
        <v>37678</v>
      </c>
      <c r="B1161" t="s">
        <v>13</v>
      </c>
      <c r="D1161" s="2">
        <v>38409</v>
      </c>
      <c r="E1161">
        <v>6</v>
      </c>
      <c r="G1161" s="2">
        <v>38409</v>
      </c>
      <c r="H1161">
        <v>5.7460000000000004</v>
      </c>
      <c r="J1161" s="2">
        <v>38416</v>
      </c>
      <c r="K1161" s="3">
        <f t="shared" si="36"/>
        <v>6</v>
      </c>
      <c r="L1161" s="3">
        <f t="shared" si="37"/>
        <v>5.7190000000000003</v>
      </c>
    </row>
    <row r="1162" spans="1:12" x14ac:dyDescent="0.3">
      <c r="A1162" s="2">
        <v>37679</v>
      </c>
      <c r="B1162" t="s">
        <v>13</v>
      </c>
      <c r="D1162" s="2">
        <v>38410</v>
      </c>
      <c r="E1162">
        <v>6</v>
      </c>
      <c r="G1162" s="2">
        <v>38410</v>
      </c>
      <c r="H1162">
        <v>5.7460000000000004</v>
      </c>
      <c r="J1162" s="2">
        <v>38417</v>
      </c>
      <c r="K1162" s="3">
        <f t="shared" si="36"/>
        <v>6</v>
      </c>
      <c r="L1162" s="3">
        <f t="shared" si="37"/>
        <v>5.7190000000000003</v>
      </c>
    </row>
    <row r="1163" spans="1:12" x14ac:dyDescent="0.3">
      <c r="A1163" s="2">
        <v>37680</v>
      </c>
      <c r="B1163" t="s">
        <v>13</v>
      </c>
      <c r="D1163" s="2">
        <v>38411</v>
      </c>
      <c r="E1163">
        <v>6</v>
      </c>
      <c r="G1163" s="2">
        <v>38411</v>
      </c>
      <c r="H1163">
        <v>5.7480000000000002</v>
      </c>
      <c r="J1163" s="2">
        <v>38418</v>
      </c>
      <c r="K1163" s="3">
        <f t="shared" si="36"/>
        <v>6</v>
      </c>
      <c r="L1163" s="3">
        <f t="shared" si="37"/>
        <v>5.6989999999999998</v>
      </c>
    </row>
    <row r="1164" spans="1:12" x14ac:dyDescent="0.3">
      <c r="A1164" s="2">
        <v>37681</v>
      </c>
      <c r="B1164" t="s">
        <v>13</v>
      </c>
      <c r="D1164" s="2">
        <v>38412</v>
      </c>
      <c r="E1164">
        <v>6</v>
      </c>
      <c r="G1164" s="2">
        <v>38412</v>
      </c>
      <c r="H1164">
        <v>5.7859999999999996</v>
      </c>
      <c r="J1164" s="2">
        <v>38419</v>
      </c>
      <c r="K1164" s="3">
        <f t="shared" si="36"/>
        <v>6</v>
      </c>
      <c r="L1164" s="3">
        <f t="shared" si="37"/>
        <v>5.6989999999999998</v>
      </c>
    </row>
    <row r="1165" spans="1:12" x14ac:dyDescent="0.3">
      <c r="A1165" s="2">
        <v>37682</v>
      </c>
      <c r="B1165" t="s">
        <v>13</v>
      </c>
      <c r="D1165" s="2">
        <v>38413</v>
      </c>
      <c r="E1165">
        <v>6</v>
      </c>
      <c r="G1165" s="2">
        <v>38413</v>
      </c>
      <c r="H1165">
        <v>5.7809999999999997</v>
      </c>
      <c r="J1165" s="2">
        <v>38420</v>
      </c>
      <c r="K1165" s="3">
        <f t="shared" si="36"/>
        <v>6</v>
      </c>
      <c r="L1165" s="3">
        <f t="shared" si="37"/>
        <v>5.6710000000000003</v>
      </c>
    </row>
    <row r="1166" spans="1:12" x14ac:dyDescent="0.3">
      <c r="A1166" s="2">
        <v>37683</v>
      </c>
      <c r="B1166" t="s">
        <v>13</v>
      </c>
      <c r="D1166" s="2">
        <v>38414</v>
      </c>
      <c r="E1166">
        <v>6</v>
      </c>
      <c r="G1166" s="2">
        <v>38414</v>
      </c>
      <c r="H1166">
        <v>5.774</v>
      </c>
      <c r="J1166" s="2">
        <v>38421</v>
      </c>
      <c r="K1166" s="3">
        <f t="shared" si="36"/>
        <v>6</v>
      </c>
      <c r="L1166" s="3">
        <f t="shared" si="37"/>
        <v>5.6559999999999997</v>
      </c>
    </row>
    <row r="1167" spans="1:12" x14ac:dyDescent="0.3">
      <c r="A1167" s="2">
        <v>37684</v>
      </c>
      <c r="B1167" t="s">
        <v>13</v>
      </c>
      <c r="D1167" s="2">
        <v>38415</v>
      </c>
      <c r="E1167">
        <v>6</v>
      </c>
      <c r="G1167" s="2">
        <v>38415</v>
      </c>
      <c r="H1167">
        <v>5.7279999999999998</v>
      </c>
      <c r="J1167" s="2">
        <v>38422</v>
      </c>
      <c r="K1167" s="3">
        <f t="shared" si="36"/>
        <v>6</v>
      </c>
      <c r="L1167" s="3">
        <f t="shared" si="37"/>
        <v>5.6379999999999999</v>
      </c>
    </row>
    <row r="1168" spans="1:12" x14ac:dyDescent="0.3">
      <c r="A1168" s="2">
        <v>37685</v>
      </c>
      <c r="B1168" t="s">
        <v>13</v>
      </c>
      <c r="D1168" s="2">
        <v>38416</v>
      </c>
      <c r="E1168">
        <v>6</v>
      </c>
      <c r="G1168" s="2">
        <v>38416</v>
      </c>
      <c r="H1168">
        <v>5.7190000000000003</v>
      </c>
      <c r="J1168" s="2">
        <v>38423</v>
      </c>
      <c r="K1168" s="3">
        <f t="shared" si="36"/>
        <v>6</v>
      </c>
      <c r="L1168" s="3">
        <f t="shared" si="37"/>
        <v>5.64</v>
      </c>
    </row>
    <row r="1169" spans="1:12" x14ac:dyDescent="0.3">
      <c r="A1169" s="2">
        <v>37686</v>
      </c>
      <c r="B1169" t="s">
        <v>13</v>
      </c>
      <c r="D1169" s="2">
        <v>38417</v>
      </c>
      <c r="E1169">
        <v>6</v>
      </c>
      <c r="G1169" s="2">
        <v>38417</v>
      </c>
      <c r="H1169">
        <v>5.7190000000000003</v>
      </c>
      <c r="J1169" s="2">
        <v>38424</v>
      </c>
      <c r="K1169" s="3">
        <f t="shared" si="36"/>
        <v>6</v>
      </c>
      <c r="L1169" s="3">
        <f t="shared" si="37"/>
        <v>5.64</v>
      </c>
    </row>
    <row r="1170" spans="1:12" x14ac:dyDescent="0.3">
      <c r="A1170" s="2">
        <v>37687</v>
      </c>
      <c r="B1170" t="s">
        <v>13</v>
      </c>
      <c r="D1170" s="2">
        <v>38418</v>
      </c>
      <c r="E1170">
        <v>6</v>
      </c>
      <c r="G1170" s="2">
        <v>38418</v>
      </c>
      <c r="H1170">
        <v>5.6989999999999998</v>
      </c>
      <c r="J1170" s="2">
        <v>38425</v>
      </c>
      <c r="K1170" s="3">
        <f t="shared" si="36"/>
        <v>6</v>
      </c>
      <c r="L1170" s="3">
        <f t="shared" si="37"/>
        <v>5.6559999999999997</v>
      </c>
    </row>
    <row r="1171" spans="1:12" x14ac:dyDescent="0.3">
      <c r="A1171" s="2">
        <v>37688</v>
      </c>
      <c r="B1171" t="s">
        <v>13</v>
      </c>
      <c r="D1171" s="2">
        <v>38419</v>
      </c>
      <c r="E1171">
        <v>6</v>
      </c>
      <c r="G1171" s="2">
        <v>38419</v>
      </c>
      <c r="H1171">
        <v>5.6989999999999998</v>
      </c>
      <c r="J1171" s="2">
        <v>38426</v>
      </c>
      <c r="K1171" s="3">
        <f t="shared" si="36"/>
        <v>6</v>
      </c>
      <c r="L1171" s="3">
        <f t="shared" si="37"/>
        <v>5.6669999999999998</v>
      </c>
    </row>
    <row r="1172" spans="1:12" x14ac:dyDescent="0.3">
      <c r="A1172" s="2">
        <v>37689</v>
      </c>
      <c r="B1172" t="s">
        <v>13</v>
      </c>
      <c r="D1172" s="2">
        <v>38420</v>
      </c>
      <c r="E1172">
        <v>6</v>
      </c>
      <c r="G1172" s="2">
        <v>38420</v>
      </c>
      <c r="H1172">
        <v>5.6710000000000003</v>
      </c>
      <c r="J1172" s="2">
        <v>38427</v>
      </c>
      <c r="K1172" s="3">
        <f t="shared" si="36"/>
        <v>6</v>
      </c>
      <c r="L1172" s="3">
        <f t="shared" si="37"/>
        <v>5.6849999999999996</v>
      </c>
    </row>
    <row r="1173" spans="1:12" x14ac:dyDescent="0.3">
      <c r="A1173" s="2">
        <v>37690</v>
      </c>
      <c r="B1173" t="s">
        <v>13</v>
      </c>
      <c r="D1173" s="2">
        <v>38421</v>
      </c>
      <c r="E1173">
        <v>6</v>
      </c>
      <c r="G1173" s="2">
        <v>38421</v>
      </c>
      <c r="H1173">
        <v>5.6559999999999997</v>
      </c>
      <c r="J1173" s="2">
        <v>38428</v>
      </c>
      <c r="K1173" s="3">
        <f t="shared" si="36"/>
        <v>6</v>
      </c>
      <c r="L1173" s="3">
        <f t="shared" si="37"/>
        <v>5.681</v>
      </c>
    </row>
    <row r="1174" spans="1:12" x14ac:dyDescent="0.3">
      <c r="A1174" s="2">
        <v>37691</v>
      </c>
      <c r="B1174" t="s">
        <v>13</v>
      </c>
      <c r="D1174" s="2">
        <v>38422</v>
      </c>
      <c r="E1174">
        <v>6</v>
      </c>
      <c r="G1174" s="2">
        <v>38422</v>
      </c>
      <c r="H1174">
        <v>5.6379999999999999</v>
      </c>
      <c r="J1174" s="2">
        <v>38429</v>
      </c>
      <c r="K1174" s="3">
        <f t="shared" si="36"/>
        <v>6</v>
      </c>
      <c r="L1174" s="3">
        <f t="shared" si="37"/>
        <v>5.69</v>
      </c>
    </row>
    <row r="1175" spans="1:12" x14ac:dyDescent="0.3">
      <c r="A1175" s="2">
        <v>37692</v>
      </c>
      <c r="B1175" t="s">
        <v>13</v>
      </c>
      <c r="D1175" s="2">
        <v>38423</v>
      </c>
      <c r="E1175">
        <v>6</v>
      </c>
      <c r="G1175" s="2">
        <v>38423</v>
      </c>
      <c r="H1175">
        <v>5.64</v>
      </c>
      <c r="J1175" s="2">
        <v>38430</v>
      </c>
      <c r="K1175" s="3">
        <f t="shared" si="36"/>
        <v>6</v>
      </c>
      <c r="L1175" s="3">
        <f t="shared" si="37"/>
        <v>5.6340000000000003</v>
      </c>
    </row>
    <row r="1176" spans="1:12" x14ac:dyDescent="0.3">
      <c r="A1176" s="2">
        <v>37693</v>
      </c>
      <c r="B1176" t="s">
        <v>13</v>
      </c>
      <c r="D1176" s="2">
        <v>38424</v>
      </c>
      <c r="E1176">
        <v>6</v>
      </c>
      <c r="G1176" s="2">
        <v>38424</v>
      </c>
      <c r="H1176">
        <v>5.64</v>
      </c>
      <c r="J1176" s="2">
        <v>38431</v>
      </c>
      <c r="K1176" s="3">
        <f t="shared" si="36"/>
        <v>6</v>
      </c>
      <c r="L1176" s="3">
        <f t="shared" si="37"/>
        <v>5.6340000000000003</v>
      </c>
    </row>
    <row r="1177" spans="1:12" x14ac:dyDescent="0.3">
      <c r="A1177" s="2">
        <v>37694</v>
      </c>
      <c r="B1177" t="s">
        <v>13</v>
      </c>
      <c r="D1177" s="2">
        <v>38425</v>
      </c>
      <c r="E1177">
        <v>6</v>
      </c>
      <c r="G1177" s="2">
        <v>38425</v>
      </c>
      <c r="H1177">
        <v>5.6559999999999997</v>
      </c>
      <c r="J1177" s="2">
        <v>38432</v>
      </c>
      <c r="K1177" s="3">
        <f t="shared" si="36"/>
        <v>6</v>
      </c>
      <c r="L1177" s="3">
        <f t="shared" si="37"/>
        <v>5.6959999999999997</v>
      </c>
    </row>
    <row r="1178" spans="1:12" x14ac:dyDescent="0.3">
      <c r="A1178" s="2">
        <v>37695</v>
      </c>
      <c r="B1178" t="s">
        <v>13</v>
      </c>
      <c r="D1178" s="2">
        <v>38426</v>
      </c>
      <c r="E1178">
        <v>6</v>
      </c>
      <c r="G1178" s="2">
        <v>38426</v>
      </c>
      <c r="H1178">
        <v>5.6669999999999998</v>
      </c>
      <c r="J1178" s="2">
        <v>38433</v>
      </c>
      <c r="K1178" s="3">
        <f t="shared" si="36"/>
        <v>6</v>
      </c>
      <c r="L1178" s="3">
        <f t="shared" si="37"/>
        <v>5.7110000000000003</v>
      </c>
    </row>
    <row r="1179" spans="1:12" x14ac:dyDescent="0.3">
      <c r="A1179" s="2">
        <v>37696</v>
      </c>
      <c r="B1179" t="s">
        <v>13</v>
      </c>
      <c r="D1179" s="2">
        <v>38427</v>
      </c>
      <c r="E1179">
        <v>6</v>
      </c>
      <c r="G1179" s="2">
        <v>38427</v>
      </c>
      <c r="H1179">
        <v>5.6849999999999996</v>
      </c>
      <c r="J1179" s="2">
        <v>38434</v>
      </c>
      <c r="K1179" s="3">
        <f t="shared" si="36"/>
        <v>6</v>
      </c>
      <c r="L1179" s="3">
        <f t="shared" si="37"/>
        <v>5.7290000000000001</v>
      </c>
    </row>
    <row r="1180" spans="1:12" x14ac:dyDescent="0.3">
      <c r="A1180" s="2">
        <v>37697</v>
      </c>
      <c r="B1180" t="s">
        <v>13</v>
      </c>
      <c r="D1180" s="2">
        <v>38428</v>
      </c>
      <c r="E1180">
        <v>6</v>
      </c>
      <c r="G1180" s="2">
        <v>38428</v>
      </c>
      <c r="H1180">
        <v>5.681</v>
      </c>
      <c r="J1180" s="2">
        <v>38435</v>
      </c>
      <c r="K1180" s="3">
        <f t="shared" si="36"/>
        <v>6</v>
      </c>
      <c r="L1180" s="3">
        <f t="shared" si="37"/>
        <v>5.681</v>
      </c>
    </row>
    <row r="1181" spans="1:12" x14ac:dyDescent="0.3">
      <c r="A1181" s="2">
        <v>37698</v>
      </c>
      <c r="B1181" t="s">
        <v>13</v>
      </c>
      <c r="D1181" s="2">
        <v>38429</v>
      </c>
      <c r="E1181">
        <v>6</v>
      </c>
      <c r="G1181" s="2">
        <v>38429</v>
      </c>
      <c r="H1181">
        <v>5.69</v>
      </c>
      <c r="J1181" s="2">
        <v>38436</v>
      </c>
      <c r="K1181" s="3">
        <f t="shared" si="36"/>
        <v>6</v>
      </c>
      <c r="L1181" s="3">
        <f t="shared" si="37"/>
        <v>5.681</v>
      </c>
    </row>
    <row r="1182" spans="1:12" x14ac:dyDescent="0.3">
      <c r="A1182" s="2">
        <v>37699</v>
      </c>
      <c r="B1182" t="s">
        <v>13</v>
      </c>
      <c r="D1182" s="2">
        <v>38430</v>
      </c>
      <c r="E1182">
        <v>6</v>
      </c>
      <c r="G1182" s="2">
        <v>38430</v>
      </c>
      <c r="H1182">
        <v>5.6340000000000003</v>
      </c>
      <c r="J1182" s="2">
        <v>38437</v>
      </c>
      <c r="K1182" s="3">
        <f t="shared" si="36"/>
        <v>6</v>
      </c>
      <c r="L1182" s="3">
        <f t="shared" si="37"/>
        <v>5.681</v>
      </c>
    </row>
    <row r="1183" spans="1:12" x14ac:dyDescent="0.3">
      <c r="A1183" s="2">
        <v>37700</v>
      </c>
      <c r="B1183" t="s">
        <v>13</v>
      </c>
      <c r="D1183" s="2">
        <v>38431</v>
      </c>
      <c r="E1183">
        <v>6</v>
      </c>
      <c r="G1183" s="2">
        <v>38431</v>
      </c>
      <c r="H1183">
        <v>5.6340000000000003</v>
      </c>
      <c r="J1183" s="2">
        <v>38438</v>
      </c>
      <c r="K1183" s="3">
        <f t="shared" si="36"/>
        <v>6</v>
      </c>
      <c r="L1183" s="3">
        <f t="shared" si="37"/>
        <v>5.681</v>
      </c>
    </row>
    <row r="1184" spans="1:12" x14ac:dyDescent="0.3">
      <c r="A1184" s="2">
        <v>37701</v>
      </c>
      <c r="B1184" t="s">
        <v>13</v>
      </c>
      <c r="D1184" s="2">
        <v>38432</v>
      </c>
      <c r="E1184">
        <v>6</v>
      </c>
      <c r="G1184" s="2">
        <v>38432</v>
      </c>
      <c r="H1184">
        <v>5.6959999999999997</v>
      </c>
      <c r="J1184" s="2">
        <v>38439</v>
      </c>
      <c r="K1184" s="3">
        <f t="shared" si="36"/>
        <v>6</v>
      </c>
      <c r="L1184" s="3">
        <f t="shared" si="37"/>
        <v>5.702</v>
      </c>
    </row>
    <row r="1185" spans="1:12" x14ac:dyDescent="0.3">
      <c r="A1185" s="2">
        <v>37702</v>
      </c>
      <c r="B1185" t="s">
        <v>13</v>
      </c>
      <c r="D1185" s="2">
        <v>38433</v>
      </c>
      <c r="E1185">
        <v>6</v>
      </c>
      <c r="G1185" s="2">
        <v>38433</v>
      </c>
      <c r="H1185">
        <v>5.7110000000000003</v>
      </c>
      <c r="J1185" s="2">
        <v>38440</v>
      </c>
      <c r="K1185" s="3">
        <f t="shared" si="36"/>
        <v>6</v>
      </c>
      <c r="L1185" s="3">
        <f t="shared" si="37"/>
        <v>5.6909999999999998</v>
      </c>
    </row>
    <row r="1186" spans="1:12" x14ac:dyDescent="0.3">
      <c r="A1186" s="2">
        <v>37703</v>
      </c>
      <c r="B1186" t="s">
        <v>13</v>
      </c>
      <c r="D1186" s="2">
        <v>38434</v>
      </c>
      <c r="E1186">
        <v>6</v>
      </c>
      <c r="G1186" s="2">
        <v>38434</v>
      </c>
      <c r="H1186">
        <v>5.7290000000000001</v>
      </c>
      <c r="J1186" s="2">
        <v>38441</v>
      </c>
      <c r="K1186" s="3">
        <f t="shared" si="36"/>
        <v>6</v>
      </c>
      <c r="L1186" s="3">
        <f t="shared" si="37"/>
        <v>5.6639999999999997</v>
      </c>
    </row>
    <row r="1187" spans="1:12" x14ac:dyDescent="0.3">
      <c r="A1187" s="2">
        <v>37704</v>
      </c>
      <c r="B1187" t="s">
        <v>13</v>
      </c>
      <c r="D1187" s="2">
        <v>38435</v>
      </c>
      <c r="E1187">
        <v>6</v>
      </c>
      <c r="G1187" s="2">
        <v>38435</v>
      </c>
      <c r="H1187">
        <v>5.681</v>
      </c>
      <c r="J1187" s="2">
        <v>38442</v>
      </c>
      <c r="K1187" s="3">
        <f t="shared" si="36"/>
        <v>6</v>
      </c>
      <c r="L1187" s="3">
        <f t="shared" si="37"/>
        <v>5.6360000000000001</v>
      </c>
    </row>
    <row r="1188" spans="1:12" x14ac:dyDescent="0.3">
      <c r="A1188" s="2">
        <v>37705</v>
      </c>
      <c r="B1188" t="s">
        <v>13</v>
      </c>
      <c r="D1188" s="2">
        <v>38436</v>
      </c>
      <c r="E1188">
        <v>6</v>
      </c>
      <c r="G1188" s="2">
        <v>38436</v>
      </c>
      <c r="H1188">
        <v>5.681</v>
      </c>
      <c r="J1188" s="2">
        <v>38443</v>
      </c>
      <c r="K1188" s="3">
        <f t="shared" si="36"/>
        <v>6</v>
      </c>
      <c r="L1188" s="3">
        <f t="shared" si="37"/>
        <v>5.6920000000000002</v>
      </c>
    </row>
    <row r="1189" spans="1:12" x14ac:dyDescent="0.3">
      <c r="A1189" s="2">
        <v>37706</v>
      </c>
      <c r="B1189" t="s">
        <v>13</v>
      </c>
      <c r="D1189" s="2">
        <v>38437</v>
      </c>
      <c r="E1189">
        <v>6</v>
      </c>
      <c r="G1189" s="2">
        <v>38437</v>
      </c>
      <c r="H1189">
        <v>5.681</v>
      </c>
      <c r="J1189" s="2">
        <v>38444</v>
      </c>
      <c r="K1189" s="3">
        <f t="shared" si="36"/>
        <v>6</v>
      </c>
      <c r="L1189" s="3">
        <f t="shared" si="37"/>
        <v>5.7240000000000002</v>
      </c>
    </row>
    <row r="1190" spans="1:12" x14ac:dyDescent="0.3">
      <c r="A1190" s="2">
        <v>37707</v>
      </c>
      <c r="B1190" t="s">
        <v>13</v>
      </c>
      <c r="D1190" s="2">
        <v>38438</v>
      </c>
      <c r="E1190">
        <v>6</v>
      </c>
      <c r="G1190" s="2">
        <v>38438</v>
      </c>
      <c r="H1190">
        <v>5.681</v>
      </c>
      <c r="J1190" s="2">
        <v>38445</v>
      </c>
      <c r="K1190" s="3">
        <f t="shared" si="36"/>
        <v>6</v>
      </c>
      <c r="L1190" s="3">
        <f t="shared" si="37"/>
        <v>5.7240000000000002</v>
      </c>
    </row>
    <row r="1191" spans="1:12" x14ac:dyDescent="0.3">
      <c r="A1191" s="2">
        <v>37708</v>
      </c>
      <c r="B1191" t="s">
        <v>13</v>
      </c>
      <c r="D1191" s="2">
        <v>38439</v>
      </c>
      <c r="E1191">
        <v>6</v>
      </c>
      <c r="G1191" s="2">
        <v>38439</v>
      </c>
      <c r="H1191">
        <v>5.702</v>
      </c>
      <c r="J1191" s="2">
        <v>38446</v>
      </c>
      <c r="K1191" s="3">
        <f t="shared" si="36"/>
        <v>6</v>
      </c>
      <c r="L1191" s="3">
        <f t="shared" si="37"/>
        <v>5.7279999999999998</v>
      </c>
    </row>
    <row r="1192" spans="1:12" x14ac:dyDescent="0.3">
      <c r="A1192" s="2">
        <v>37709</v>
      </c>
      <c r="B1192" t="s">
        <v>13</v>
      </c>
      <c r="D1192" s="2">
        <v>38440</v>
      </c>
      <c r="E1192">
        <v>6</v>
      </c>
      <c r="G1192" s="2">
        <v>38440</v>
      </c>
      <c r="H1192">
        <v>5.6909999999999998</v>
      </c>
      <c r="J1192" s="2">
        <v>38447</v>
      </c>
      <c r="K1192" s="3">
        <f t="shared" si="36"/>
        <v>6</v>
      </c>
      <c r="L1192" s="3">
        <f t="shared" si="37"/>
        <v>5.7240000000000002</v>
      </c>
    </row>
    <row r="1193" spans="1:12" x14ac:dyDescent="0.3">
      <c r="A1193" s="2">
        <v>37710</v>
      </c>
      <c r="B1193" t="s">
        <v>13</v>
      </c>
      <c r="D1193" s="2">
        <v>38441</v>
      </c>
      <c r="E1193">
        <v>6</v>
      </c>
      <c r="G1193" s="2">
        <v>38441</v>
      </c>
      <c r="H1193">
        <v>5.6639999999999997</v>
      </c>
      <c r="J1193" s="2">
        <v>38448</v>
      </c>
      <c r="K1193" s="3">
        <f t="shared" si="36"/>
        <v>6</v>
      </c>
      <c r="L1193" s="3">
        <f t="shared" si="37"/>
        <v>5.7610000000000001</v>
      </c>
    </row>
    <row r="1194" spans="1:12" x14ac:dyDescent="0.3">
      <c r="A1194" s="2">
        <v>37711</v>
      </c>
      <c r="B1194" t="s">
        <v>13</v>
      </c>
      <c r="D1194" s="2">
        <v>38442</v>
      </c>
      <c r="E1194">
        <v>6</v>
      </c>
      <c r="G1194" s="2">
        <v>38442</v>
      </c>
      <c r="H1194">
        <v>5.6360000000000001</v>
      </c>
      <c r="J1194" s="2">
        <v>38449</v>
      </c>
      <c r="K1194" s="3">
        <f t="shared" si="36"/>
        <v>6</v>
      </c>
      <c r="L1194" s="3">
        <f t="shared" si="37"/>
        <v>5.7640000000000002</v>
      </c>
    </row>
    <row r="1195" spans="1:12" x14ac:dyDescent="0.3">
      <c r="A1195" s="2">
        <v>37712</v>
      </c>
      <c r="B1195" t="s">
        <v>13</v>
      </c>
      <c r="D1195" s="2">
        <v>38443</v>
      </c>
      <c r="E1195">
        <v>6</v>
      </c>
      <c r="G1195" s="2">
        <v>38443</v>
      </c>
      <c r="H1195">
        <v>5.6920000000000002</v>
      </c>
      <c r="J1195" s="2">
        <v>38450</v>
      </c>
      <c r="K1195" s="3">
        <f t="shared" si="36"/>
        <v>6</v>
      </c>
      <c r="L1195" s="3">
        <f t="shared" si="37"/>
        <v>5.8170000000000002</v>
      </c>
    </row>
    <row r="1196" spans="1:12" x14ac:dyDescent="0.3">
      <c r="A1196" s="2">
        <v>37713</v>
      </c>
      <c r="B1196" t="s">
        <v>13</v>
      </c>
      <c r="D1196" s="2">
        <v>38444</v>
      </c>
      <c r="E1196">
        <v>6</v>
      </c>
      <c r="G1196" s="2">
        <v>38444</v>
      </c>
      <c r="H1196">
        <v>5.7240000000000002</v>
      </c>
      <c r="J1196" s="2">
        <v>38451</v>
      </c>
      <c r="K1196" s="3">
        <f t="shared" si="36"/>
        <v>6</v>
      </c>
      <c r="L1196" s="3">
        <f t="shared" si="37"/>
        <v>5.8170000000000002</v>
      </c>
    </row>
    <row r="1197" spans="1:12" x14ac:dyDescent="0.3">
      <c r="A1197" s="2">
        <v>37714</v>
      </c>
      <c r="B1197" t="s">
        <v>13</v>
      </c>
      <c r="D1197" s="2">
        <v>38445</v>
      </c>
      <c r="E1197">
        <v>6</v>
      </c>
      <c r="G1197" s="2">
        <v>38445</v>
      </c>
      <c r="H1197">
        <v>5.7240000000000002</v>
      </c>
      <c r="J1197" s="2">
        <v>38452</v>
      </c>
      <c r="K1197" s="3">
        <f t="shared" si="36"/>
        <v>6</v>
      </c>
      <c r="L1197" s="3">
        <f t="shared" si="37"/>
        <v>5.8170000000000002</v>
      </c>
    </row>
    <row r="1198" spans="1:12" x14ac:dyDescent="0.3">
      <c r="A1198" s="2">
        <v>37715</v>
      </c>
      <c r="B1198" t="s">
        <v>13</v>
      </c>
      <c r="D1198" s="2">
        <v>38446</v>
      </c>
      <c r="E1198">
        <v>6</v>
      </c>
      <c r="G1198" s="2">
        <v>38446</v>
      </c>
      <c r="H1198">
        <v>5.7279999999999998</v>
      </c>
      <c r="J1198" s="2">
        <v>38453</v>
      </c>
      <c r="K1198" s="3">
        <f t="shared" si="36"/>
        <v>6</v>
      </c>
      <c r="L1198" s="3">
        <f t="shared" si="37"/>
        <v>5.7770000000000001</v>
      </c>
    </row>
    <row r="1199" spans="1:12" x14ac:dyDescent="0.3">
      <c r="A1199" s="2">
        <v>37716</v>
      </c>
      <c r="B1199" t="s">
        <v>13</v>
      </c>
      <c r="D1199" s="2">
        <v>38447</v>
      </c>
      <c r="E1199">
        <v>6</v>
      </c>
      <c r="G1199" s="2">
        <v>38447</v>
      </c>
      <c r="H1199">
        <v>5.7240000000000002</v>
      </c>
      <c r="J1199" s="2">
        <v>38454</v>
      </c>
      <c r="K1199" s="3">
        <f t="shared" si="36"/>
        <v>6</v>
      </c>
      <c r="L1199" s="3">
        <f t="shared" si="37"/>
        <v>5.758</v>
      </c>
    </row>
    <row r="1200" spans="1:12" x14ac:dyDescent="0.3">
      <c r="A1200" s="2">
        <v>37717</v>
      </c>
      <c r="B1200" t="s">
        <v>13</v>
      </c>
      <c r="D1200" s="2">
        <v>38448</v>
      </c>
      <c r="E1200">
        <v>6</v>
      </c>
      <c r="G1200" s="2">
        <v>38448</v>
      </c>
      <c r="H1200">
        <v>5.7610000000000001</v>
      </c>
      <c r="J1200" s="2">
        <v>38455</v>
      </c>
      <c r="K1200" s="3">
        <f t="shared" si="36"/>
        <v>6</v>
      </c>
      <c r="L1200" s="3">
        <f t="shared" si="37"/>
        <v>5.7409999999999997</v>
      </c>
    </row>
    <row r="1201" spans="1:12" x14ac:dyDescent="0.3">
      <c r="A1201" s="2">
        <v>37718</v>
      </c>
      <c r="B1201" t="s">
        <v>13</v>
      </c>
      <c r="D1201" s="2">
        <v>38449</v>
      </c>
      <c r="E1201">
        <v>6</v>
      </c>
      <c r="G1201" s="2">
        <v>38449</v>
      </c>
      <c r="H1201">
        <v>5.7640000000000002</v>
      </c>
      <c r="J1201" s="2">
        <v>38456</v>
      </c>
      <c r="K1201" s="3">
        <f t="shared" si="36"/>
        <v>6</v>
      </c>
      <c r="L1201" s="3">
        <f t="shared" si="37"/>
        <v>5.7409999999999997</v>
      </c>
    </row>
    <row r="1202" spans="1:12" x14ac:dyDescent="0.3">
      <c r="A1202" s="2">
        <v>37719</v>
      </c>
      <c r="B1202" t="s">
        <v>13</v>
      </c>
      <c r="D1202" s="2">
        <v>38450</v>
      </c>
      <c r="E1202">
        <v>6</v>
      </c>
      <c r="G1202" s="2">
        <v>38450</v>
      </c>
      <c r="H1202">
        <v>5.8170000000000002</v>
      </c>
      <c r="J1202" s="2">
        <v>38457</v>
      </c>
      <c r="K1202" s="3">
        <f t="shared" si="36"/>
        <v>6</v>
      </c>
      <c r="L1202" s="3">
        <f t="shared" si="37"/>
        <v>5.7469999999999999</v>
      </c>
    </row>
    <row r="1203" spans="1:12" x14ac:dyDescent="0.3">
      <c r="A1203" s="2">
        <v>37720</v>
      </c>
      <c r="B1203" t="s">
        <v>13</v>
      </c>
      <c r="D1203" s="2">
        <v>38451</v>
      </c>
      <c r="E1203">
        <v>6</v>
      </c>
      <c r="G1203" s="2">
        <v>38451</v>
      </c>
      <c r="H1203">
        <v>5.8170000000000002</v>
      </c>
      <c r="J1203" s="2">
        <v>38458</v>
      </c>
      <c r="K1203" s="3">
        <f t="shared" si="36"/>
        <v>6</v>
      </c>
      <c r="L1203" s="3">
        <f t="shared" si="37"/>
        <v>5.7439999999999998</v>
      </c>
    </row>
    <row r="1204" spans="1:12" x14ac:dyDescent="0.3">
      <c r="A1204" s="2">
        <v>37721</v>
      </c>
      <c r="B1204" t="s">
        <v>13</v>
      </c>
      <c r="D1204" s="2">
        <v>38452</v>
      </c>
      <c r="E1204">
        <v>6</v>
      </c>
      <c r="G1204" s="2">
        <v>38452</v>
      </c>
      <c r="H1204">
        <v>5.8170000000000002</v>
      </c>
      <c r="J1204" s="2">
        <v>38459</v>
      </c>
      <c r="K1204" s="3">
        <f t="shared" si="36"/>
        <v>6</v>
      </c>
      <c r="L1204" s="3">
        <f t="shared" si="37"/>
        <v>5.7439999999999998</v>
      </c>
    </row>
    <row r="1205" spans="1:12" x14ac:dyDescent="0.3">
      <c r="A1205" s="2">
        <v>37722</v>
      </c>
      <c r="B1205" t="s">
        <v>13</v>
      </c>
      <c r="D1205" s="2">
        <v>38453</v>
      </c>
      <c r="E1205">
        <v>6</v>
      </c>
      <c r="G1205" s="2">
        <v>38453</v>
      </c>
      <c r="H1205">
        <v>5.7770000000000001</v>
      </c>
      <c r="J1205" s="2">
        <v>38460</v>
      </c>
      <c r="K1205" s="3">
        <f t="shared" si="36"/>
        <v>6</v>
      </c>
      <c r="L1205" s="3">
        <f t="shared" si="37"/>
        <v>5.7439999999999998</v>
      </c>
    </row>
    <row r="1206" spans="1:12" x14ac:dyDescent="0.3">
      <c r="A1206" s="2">
        <v>37723</v>
      </c>
      <c r="B1206" t="s">
        <v>13</v>
      </c>
      <c r="D1206" s="2">
        <v>38454</v>
      </c>
      <c r="E1206">
        <v>6</v>
      </c>
      <c r="G1206" s="2">
        <v>38454</v>
      </c>
      <c r="H1206">
        <v>5.758</v>
      </c>
      <c r="J1206" s="2">
        <v>38461</v>
      </c>
      <c r="K1206" s="3">
        <f t="shared" si="36"/>
        <v>6</v>
      </c>
      <c r="L1206" s="3">
        <f t="shared" si="37"/>
        <v>5.7080000000000002</v>
      </c>
    </row>
    <row r="1207" spans="1:12" x14ac:dyDescent="0.3">
      <c r="A1207" s="2">
        <v>37724</v>
      </c>
      <c r="B1207" t="s">
        <v>13</v>
      </c>
      <c r="D1207" s="2">
        <v>38455</v>
      </c>
      <c r="E1207">
        <v>6</v>
      </c>
      <c r="G1207" s="2">
        <v>38455</v>
      </c>
      <c r="H1207">
        <v>5.7409999999999997</v>
      </c>
      <c r="J1207" s="2">
        <v>38462</v>
      </c>
      <c r="K1207" s="3">
        <f t="shared" si="36"/>
        <v>6</v>
      </c>
      <c r="L1207" s="3">
        <f t="shared" si="37"/>
        <v>5.6859999999999999</v>
      </c>
    </row>
    <row r="1208" spans="1:12" x14ac:dyDescent="0.3">
      <c r="A1208" s="2">
        <v>37725</v>
      </c>
      <c r="B1208" t="s">
        <v>13</v>
      </c>
      <c r="D1208" s="2">
        <v>38456</v>
      </c>
      <c r="E1208">
        <v>6</v>
      </c>
      <c r="G1208" s="2">
        <v>38456</v>
      </c>
      <c r="H1208">
        <v>5.7409999999999997</v>
      </c>
      <c r="J1208" s="2">
        <v>38463</v>
      </c>
      <c r="K1208" s="3">
        <f t="shared" si="36"/>
        <v>6</v>
      </c>
      <c r="L1208" s="3">
        <f t="shared" si="37"/>
        <v>5.6849999999999996</v>
      </c>
    </row>
    <row r="1209" spans="1:12" x14ac:dyDescent="0.3">
      <c r="A1209" s="2">
        <v>37726</v>
      </c>
      <c r="B1209" t="s">
        <v>13</v>
      </c>
      <c r="D1209" s="2">
        <v>38457</v>
      </c>
      <c r="E1209">
        <v>6</v>
      </c>
      <c r="G1209" s="2">
        <v>38457</v>
      </c>
      <c r="H1209">
        <v>5.7469999999999999</v>
      </c>
      <c r="J1209" s="2">
        <v>38464</v>
      </c>
      <c r="K1209" s="3">
        <f t="shared" si="36"/>
        <v>6</v>
      </c>
      <c r="L1209" s="3">
        <f t="shared" si="37"/>
        <v>5.6849999999999996</v>
      </c>
    </row>
    <row r="1210" spans="1:12" x14ac:dyDescent="0.3">
      <c r="A1210" s="2">
        <v>37727</v>
      </c>
      <c r="B1210" t="s">
        <v>13</v>
      </c>
      <c r="D1210" s="2">
        <v>38458</v>
      </c>
      <c r="E1210">
        <v>6</v>
      </c>
      <c r="G1210" s="2">
        <v>38458</v>
      </c>
      <c r="H1210">
        <v>5.7439999999999998</v>
      </c>
      <c r="J1210" s="2">
        <v>38465</v>
      </c>
      <c r="K1210" s="3">
        <f t="shared" si="36"/>
        <v>6</v>
      </c>
      <c r="L1210" s="3">
        <f t="shared" si="37"/>
        <v>5.6509999999999998</v>
      </c>
    </row>
    <row r="1211" spans="1:12" x14ac:dyDescent="0.3">
      <c r="A1211" s="2">
        <v>37728</v>
      </c>
      <c r="B1211" t="s">
        <v>13</v>
      </c>
      <c r="D1211" s="2">
        <v>38459</v>
      </c>
      <c r="E1211">
        <v>6</v>
      </c>
      <c r="G1211" s="2">
        <v>38459</v>
      </c>
      <c r="H1211">
        <v>5.7439999999999998</v>
      </c>
      <c r="J1211" s="2">
        <v>38466</v>
      </c>
      <c r="K1211" s="3">
        <f t="shared" si="36"/>
        <v>6</v>
      </c>
      <c r="L1211" s="3">
        <f t="shared" si="37"/>
        <v>5.6509999999999998</v>
      </c>
    </row>
    <row r="1212" spans="1:12" x14ac:dyDescent="0.3">
      <c r="A1212" s="2">
        <v>37729</v>
      </c>
      <c r="B1212" t="s">
        <v>13</v>
      </c>
      <c r="D1212" s="2">
        <v>38460</v>
      </c>
      <c r="E1212">
        <v>6</v>
      </c>
      <c r="G1212" s="2">
        <v>38460</v>
      </c>
      <c r="H1212">
        <v>5.7439999999999998</v>
      </c>
      <c r="J1212" s="2">
        <v>38467</v>
      </c>
      <c r="K1212" s="3">
        <f t="shared" si="36"/>
        <v>6</v>
      </c>
      <c r="L1212" s="3">
        <f t="shared" si="37"/>
        <v>5.6639999999999997</v>
      </c>
    </row>
    <row r="1213" spans="1:12" x14ac:dyDescent="0.3">
      <c r="A1213" s="2">
        <v>37730</v>
      </c>
      <c r="B1213" t="s">
        <v>13</v>
      </c>
      <c r="D1213" s="2">
        <v>38461</v>
      </c>
      <c r="E1213">
        <v>6</v>
      </c>
      <c r="G1213" s="2">
        <v>38461</v>
      </c>
      <c r="H1213">
        <v>5.7080000000000002</v>
      </c>
      <c r="J1213" s="2">
        <v>38468</v>
      </c>
      <c r="K1213" s="3">
        <f t="shared" si="36"/>
        <v>6</v>
      </c>
      <c r="L1213" s="3">
        <f t="shared" si="37"/>
        <v>5.6669999999999998</v>
      </c>
    </row>
    <row r="1214" spans="1:12" x14ac:dyDescent="0.3">
      <c r="A1214" s="2">
        <v>37731</v>
      </c>
      <c r="B1214" t="s">
        <v>13</v>
      </c>
      <c r="D1214" s="2">
        <v>38462</v>
      </c>
      <c r="E1214">
        <v>6</v>
      </c>
      <c r="G1214" s="2">
        <v>38462</v>
      </c>
      <c r="H1214">
        <v>5.6859999999999999</v>
      </c>
      <c r="J1214" s="2">
        <v>38469</v>
      </c>
      <c r="K1214" s="3">
        <f t="shared" si="36"/>
        <v>6</v>
      </c>
      <c r="L1214" s="3">
        <f t="shared" si="37"/>
        <v>5.6639999999999997</v>
      </c>
    </row>
    <row r="1215" spans="1:12" x14ac:dyDescent="0.3">
      <c r="A1215" s="2">
        <v>37732</v>
      </c>
      <c r="B1215" t="s">
        <v>13</v>
      </c>
      <c r="D1215" s="2">
        <v>38463</v>
      </c>
      <c r="E1215">
        <v>6</v>
      </c>
      <c r="G1215" s="2">
        <v>38463</v>
      </c>
      <c r="H1215">
        <v>5.6849999999999996</v>
      </c>
      <c r="J1215" s="2">
        <v>38470</v>
      </c>
      <c r="K1215" s="3">
        <f t="shared" si="36"/>
        <v>6</v>
      </c>
      <c r="L1215" s="3">
        <f t="shared" si="37"/>
        <v>5.8140000000000001</v>
      </c>
    </row>
    <row r="1216" spans="1:12" x14ac:dyDescent="0.3">
      <c r="A1216" s="2">
        <v>37733</v>
      </c>
      <c r="B1216" t="s">
        <v>13</v>
      </c>
      <c r="D1216" s="2">
        <v>38464</v>
      </c>
      <c r="E1216">
        <v>6</v>
      </c>
      <c r="G1216" s="2">
        <v>38464</v>
      </c>
      <c r="H1216">
        <v>5.6849999999999996</v>
      </c>
      <c r="J1216" s="2">
        <v>38471</v>
      </c>
      <c r="K1216" s="3">
        <f t="shared" si="36"/>
        <v>6</v>
      </c>
      <c r="L1216" s="3">
        <f t="shared" si="37"/>
        <v>5.79</v>
      </c>
    </row>
    <row r="1217" spans="1:12" x14ac:dyDescent="0.3">
      <c r="A1217" s="2">
        <v>37734</v>
      </c>
      <c r="B1217" t="s">
        <v>13</v>
      </c>
      <c r="D1217" s="2">
        <v>38465</v>
      </c>
      <c r="E1217">
        <v>6</v>
      </c>
      <c r="G1217" s="2">
        <v>38465</v>
      </c>
      <c r="H1217">
        <v>5.6509999999999998</v>
      </c>
      <c r="J1217" s="2">
        <v>38472</v>
      </c>
      <c r="K1217" s="3">
        <f t="shared" si="36"/>
        <v>6</v>
      </c>
      <c r="L1217" s="3">
        <f t="shared" si="37"/>
        <v>5.7969999999999997</v>
      </c>
    </row>
    <row r="1218" spans="1:12" x14ac:dyDescent="0.3">
      <c r="A1218" s="2">
        <v>37735</v>
      </c>
      <c r="B1218" t="s">
        <v>13</v>
      </c>
      <c r="D1218" s="2">
        <v>38466</v>
      </c>
      <c r="E1218">
        <v>6</v>
      </c>
      <c r="G1218" s="2">
        <v>38466</v>
      </c>
      <c r="H1218">
        <v>5.6509999999999998</v>
      </c>
      <c r="J1218" s="2">
        <v>38473</v>
      </c>
      <c r="K1218" s="3">
        <f t="shared" si="36"/>
        <v>6</v>
      </c>
      <c r="L1218" s="3">
        <f t="shared" si="37"/>
        <v>5.7969999999999997</v>
      </c>
    </row>
    <row r="1219" spans="1:12" x14ac:dyDescent="0.3">
      <c r="A1219" s="2">
        <v>37736</v>
      </c>
      <c r="B1219" t="s">
        <v>13</v>
      </c>
      <c r="D1219" s="2">
        <v>38467</v>
      </c>
      <c r="E1219">
        <v>6</v>
      </c>
      <c r="G1219" s="2">
        <v>38467</v>
      </c>
      <c r="H1219">
        <v>5.6639999999999997</v>
      </c>
      <c r="J1219" s="2">
        <v>38474</v>
      </c>
      <c r="K1219" s="3">
        <f t="shared" ref="K1219:K1282" si="38">E1226</f>
        <v>6</v>
      </c>
      <c r="L1219" s="3">
        <f t="shared" ref="L1219:L1282" si="39">H1226</f>
        <v>5.758</v>
      </c>
    </row>
    <row r="1220" spans="1:12" x14ac:dyDescent="0.3">
      <c r="A1220" s="2">
        <v>37737</v>
      </c>
      <c r="B1220" t="s">
        <v>13</v>
      </c>
      <c r="D1220" s="2">
        <v>38468</v>
      </c>
      <c r="E1220">
        <v>6</v>
      </c>
      <c r="G1220" s="2">
        <v>38468</v>
      </c>
      <c r="H1220">
        <v>5.6669999999999998</v>
      </c>
      <c r="J1220" s="2">
        <v>38475</v>
      </c>
      <c r="K1220" s="3">
        <f t="shared" si="38"/>
        <v>6</v>
      </c>
      <c r="L1220" s="3">
        <f t="shared" si="39"/>
        <v>5.7430000000000003</v>
      </c>
    </row>
    <row r="1221" spans="1:12" x14ac:dyDescent="0.3">
      <c r="A1221" s="2">
        <v>37738</v>
      </c>
      <c r="B1221" t="s">
        <v>13</v>
      </c>
      <c r="D1221" s="2">
        <v>38469</v>
      </c>
      <c r="E1221">
        <v>6</v>
      </c>
      <c r="G1221" s="2">
        <v>38469</v>
      </c>
      <c r="H1221">
        <v>5.6639999999999997</v>
      </c>
      <c r="J1221" s="2">
        <v>38476</v>
      </c>
      <c r="K1221" s="3">
        <f t="shared" si="38"/>
        <v>6</v>
      </c>
      <c r="L1221" s="3">
        <f t="shared" si="39"/>
        <v>5.7519999999999998</v>
      </c>
    </row>
    <row r="1222" spans="1:12" x14ac:dyDescent="0.3">
      <c r="A1222" s="2">
        <v>37739</v>
      </c>
      <c r="B1222" t="s">
        <v>13</v>
      </c>
      <c r="D1222" s="2">
        <v>38470</v>
      </c>
      <c r="E1222">
        <v>6</v>
      </c>
      <c r="G1222" s="2">
        <v>38470</v>
      </c>
      <c r="H1222">
        <v>5.8140000000000001</v>
      </c>
      <c r="J1222" s="2">
        <v>38477</v>
      </c>
      <c r="K1222" s="3">
        <f t="shared" si="38"/>
        <v>6</v>
      </c>
      <c r="L1222" s="3">
        <f t="shared" si="39"/>
        <v>5.7380000000000004</v>
      </c>
    </row>
    <row r="1223" spans="1:12" x14ac:dyDescent="0.3">
      <c r="A1223" s="2">
        <v>37740</v>
      </c>
      <c r="B1223" t="s">
        <v>13</v>
      </c>
      <c r="D1223" s="2">
        <v>38471</v>
      </c>
      <c r="E1223">
        <v>6</v>
      </c>
      <c r="G1223" s="2">
        <v>38471</v>
      </c>
      <c r="H1223">
        <v>5.79</v>
      </c>
      <c r="J1223" s="2">
        <v>38478</v>
      </c>
      <c r="K1223" s="3">
        <f t="shared" si="38"/>
        <v>6</v>
      </c>
      <c r="L1223" s="3">
        <f t="shared" si="39"/>
        <v>5.7220000000000004</v>
      </c>
    </row>
    <row r="1224" spans="1:12" x14ac:dyDescent="0.3">
      <c r="A1224" s="2">
        <v>37741</v>
      </c>
      <c r="B1224" t="s">
        <v>13</v>
      </c>
      <c r="D1224" s="2">
        <v>38472</v>
      </c>
      <c r="E1224">
        <v>6</v>
      </c>
      <c r="G1224" s="2">
        <v>38472</v>
      </c>
      <c r="H1224">
        <v>5.7969999999999997</v>
      </c>
      <c r="J1224" s="2">
        <v>38479</v>
      </c>
      <c r="K1224" s="3">
        <f t="shared" si="38"/>
        <v>6</v>
      </c>
      <c r="L1224" s="3">
        <f t="shared" si="39"/>
        <v>5.7220000000000004</v>
      </c>
    </row>
    <row r="1225" spans="1:12" x14ac:dyDescent="0.3">
      <c r="A1225" s="2">
        <v>37742</v>
      </c>
      <c r="B1225" t="s">
        <v>13</v>
      </c>
      <c r="D1225" s="2">
        <v>38473</v>
      </c>
      <c r="E1225">
        <v>6</v>
      </c>
      <c r="G1225" s="2">
        <v>38473</v>
      </c>
      <c r="H1225">
        <v>5.7969999999999997</v>
      </c>
      <c r="J1225" s="2">
        <v>38480</v>
      </c>
      <c r="K1225" s="3">
        <f t="shared" si="38"/>
        <v>6</v>
      </c>
      <c r="L1225" s="3">
        <f t="shared" si="39"/>
        <v>5.7220000000000004</v>
      </c>
    </row>
    <row r="1226" spans="1:12" x14ac:dyDescent="0.3">
      <c r="A1226" s="2">
        <v>37743</v>
      </c>
      <c r="B1226" t="s">
        <v>13</v>
      </c>
      <c r="D1226" s="2">
        <v>38474</v>
      </c>
      <c r="E1226">
        <v>6</v>
      </c>
      <c r="G1226" s="2">
        <v>38474</v>
      </c>
      <c r="H1226">
        <v>5.758</v>
      </c>
      <c r="J1226" s="2">
        <v>38481</v>
      </c>
      <c r="K1226" s="3">
        <f t="shared" si="38"/>
        <v>6</v>
      </c>
      <c r="L1226" s="3">
        <f t="shared" si="39"/>
        <v>5.7050000000000001</v>
      </c>
    </row>
    <row r="1227" spans="1:12" x14ac:dyDescent="0.3">
      <c r="A1227" s="2">
        <v>37744</v>
      </c>
      <c r="B1227" t="s">
        <v>13</v>
      </c>
      <c r="D1227" s="2">
        <v>38475</v>
      </c>
      <c r="E1227">
        <v>6</v>
      </c>
      <c r="G1227" s="2">
        <v>38475</v>
      </c>
      <c r="H1227">
        <v>5.7430000000000003</v>
      </c>
      <c r="J1227" s="2">
        <v>38482</v>
      </c>
      <c r="K1227" s="3">
        <f t="shared" si="38"/>
        <v>6</v>
      </c>
      <c r="L1227" s="3">
        <f t="shared" si="39"/>
        <v>5.6920000000000002</v>
      </c>
    </row>
    <row r="1228" spans="1:12" x14ac:dyDescent="0.3">
      <c r="A1228" s="2">
        <v>37745</v>
      </c>
      <c r="B1228" t="s">
        <v>13</v>
      </c>
      <c r="D1228" s="2">
        <v>38476</v>
      </c>
      <c r="E1228">
        <v>6</v>
      </c>
      <c r="G1228" s="2">
        <v>38476</v>
      </c>
      <c r="H1228">
        <v>5.7519999999999998</v>
      </c>
      <c r="J1228" s="2">
        <v>38483</v>
      </c>
      <c r="K1228" s="3">
        <f t="shared" si="38"/>
        <v>6</v>
      </c>
      <c r="L1228" s="3">
        <f t="shared" si="39"/>
        <v>5.6790000000000003</v>
      </c>
    </row>
    <row r="1229" spans="1:12" x14ac:dyDescent="0.3">
      <c r="A1229" s="2">
        <v>37746</v>
      </c>
      <c r="B1229" t="s">
        <v>13</v>
      </c>
      <c r="D1229" s="2">
        <v>38477</v>
      </c>
      <c r="E1229">
        <v>6</v>
      </c>
      <c r="G1229" s="2">
        <v>38477</v>
      </c>
      <c r="H1229">
        <v>5.7380000000000004</v>
      </c>
      <c r="J1229" s="2">
        <v>38484</v>
      </c>
      <c r="K1229" s="3">
        <f t="shared" si="38"/>
        <v>6</v>
      </c>
      <c r="L1229" s="3">
        <f t="shared" si="39"/>
        <v>5.673</v>
      </c>
    </row>
    <row r="1230" spans="1:12" x14ac:dyDescent="0.3">
      <c r="A1230" s="2">
        <v>37747</v>
      </c>
      <c r="B1230" t="s">
        <v>13</v>
      </c>
      <c r="D1230" s="2">
        <v>38478</v>
      </c>
      <c r="E1230">
        <v>6</v>
      </c>
      <c r="G1230" s="2">
        <v>38478</v>
      </c>
      <c r="H1230">
        <v>5.7220000000000004</v>
      </c>
      <c r="J1230" s="2">
        <v>38485</v>
      </c>
      <c r="K1230" s="3">
        <f t="shared" si="38"/>
        <v>6</v>
      </c>
      <c r="L1230" s="3">
        <f t="shared" si="39"/>
        <v>5.665</v>
      </c>
    </row>
    <row r="1231" spans="1:12" x14ac:dyDescent="0.3">
      <c r="A1231" s="2">
        <v>37748</v>
      </c>
      <c r="B1231" t="s">
        <v>13</v>
      </c>
      <c r="D1231" s="2">
        <v>38479</v>
      </c>
      <c r="E1231">
        <v>6</v>
      </c>
      <c r="G1231" s="2">
        <v>38479</v>
      </c>
      <c r="H1231">
        <v>5.7220000000000004</v>
      </c>
      <c r="J1231" s="2">
        <v>38486</v>
      </c>
      <c r="K1231" s="3">
        <f t="shared" si="38"/>
        <v>6</v>
      </c>
      <c r="L1231" s="3">
        <f t="shared" si="39"/>
        <v>5.6239999999999997</v>
      </c>
    </row>
    <row r="1232" spans="1:12" x14ac:dyDescent="0.3">
      <c r="A1232" s="2">
        <v>37749</v>
      </c>
      <c r="B1232" t="s">
        <v>13</v>
      </c>
      <c r="D1232" s="2">
        <v>38480</v>
      </c>
      <c r="E1232">
        <v>6</v>
      </c>
      <c r="G1232" s="2">
        <v>38480</v>
      </c>
      <c r="H1232">
        <v>5.7220000000000004</v>
      </c>
      <c r="J1232" s="2">
        <v>38487</v>
      </c>
      <c r="K1232" s="3">
        <f t="shared" si="38"/>
        <v>6</v>
      </c>
      <c r="L1232" s="3">
        <f t="shared" si="39"/>
        <v>5.6239999999999997</v>
      </c>
    </row>
    <row r="1233" spans="1:12" x14ac:dyDescent="0.3">
      <c r="A1233" s="2">
        <v>37750</v>
      </c>
      <c r="B1233" t="s">
        <v>13</v>
      </c>
      <c r="D1233" s="2">
        <v>38481</v>
      </c>
      <c r="E1233">
        <v>6</v>
      </c>
      <c r="G1233" s="2">
        <v>38481</v>
      </c>
      <c r="H1233">
        <v>5.7050000000000001</v>
      </c>
      <c r="J1233" s="2">
        <v>38488</v>
      </c>
      <c r="K1233" s="3">
        <f t="shared" si="38"/>
        <v>6</v>
      </c>
      <c r="L1233" s="3">
        <f t="shared" si="39"/>
        <v>5.6950000000000003</v>
      </c>
    </row>
    <row r="1234" spans="1:12" x14ac:dyDescent="0.3">
      <c r="A1234" s="2">
        <v>37751</v>
      </c>
      <c r="B1234" t="s">
        <v>13</v>
      </c>
      <c r="D1234" s="2">
        <v>38482</v>
      </c>
      <c r="E1234">
        <v>6</v>
      </c>
      <c r="G1234" s="2">
        <v>38482</v>
      </c>
      <c r="H1234">
        <v>5.6920000000000002</v>
      </c>
      <c r="J1234" s="2">
        <v>38489</v>
      </c>
      <c r="K1234" s="3">
        <f t="shared" si="38"/>
        <v>6</v>
      </c>
      <c r="L1234" s="3">
        <f t="shared" si="39"/>
        <v>5.681</v>
      </c>
    </row>
    <row r="1235" spans="1:12" x14ac:dyDescent="0.3">
      <c r="A1235" s="2">
        <v>37752</v>
      </c>
      <c r="B1235" t="s">
        <v>13</v>
      </c>
      <c r="D1235" s="2">
        <v>38483</v>
      </c>
      <c r="E1235">
        <v>6</v>
      </c>
      <c r="G1235" s="2">
        <v>38483</v>
      </c>
      <c r="H1235">
        <v>5.6790000000000003</v>
      </c>
      <c r="J1235" s="2">
        <v>38490</v>
      </c>
      <c r="K1235" s="3">
        <f t="shared" si="38"/>
        <v>6</v>
      </c>
      <c r="L1235" s="3">
        <f t="shared" si="39"/>
        <v>5.6950000000000003</v>
      </c>
    </row>
    <row r="1236" spans="1:12" x14ac:dyDescent="0.3">
      <c r="A1236" s="2">
        <v>37753</v>
      </c>
      <c r="B1236" t="s">
        <v>13</v>
      </c>
      <c r="D1236" s="2">
        <v>38484</v>
      </c>
      <c r="E1236">
        <v>6</v>
      </c>
      <c r="G1236" s="2">
        <v>38484</v>
      </c>
      <c r="H1236">
        <v>5.673</v>
      </c>
      <c r="J1236" s="2">
        <v>38491</v>
      </c>
      <c r="K1236" s="3">
        <f t="shared" si="38"/>
        <v>6</v>
      </c>
      <c r="L1236" s="3">
        <f t="shared" si="39"/>
        <v>5.6669999999999998</v>
      </c>
    </row>
    <row r="1237" spans="1:12" x14ac:dyDescent="0.3">
      <c r="A1237" s="2">
        <v>37754</v>
      </c>
      <c r="B1237" t="s">
        <v>13</v>
      </c>
      <c r="D1237" s="2">
        <v>38485</v>
      </c>
      <c r="E1237">
        <v>6</v>
      </c>
      <c r="G1237" s="2">
        <v>38485</v>
      </c>
      <c r="H1237">
        <v>5.665</v>
      </c>
      <c r="J1237" s="2">
        <v>38492</v>
      </c>
      <c r="K1237" s="3">
        <f t="shared" si="38"/>
        <v>6</v>
      </c>
      <c r="L1237" s="3">
        <f t="shared" si="39"/>
        <v>5.6639999999999997</v>
      </c>
    </row>
    <row r="1238" spans="1:12" x14ac:dyDescent="0.3">
      <c r="A1238" s="2">
        <v>37755</v>
      </c>
      <c r="B1238" t="s">
        <v>13</v>
      </c>
      <c r="D1238" s="2">
        <v>38486</v>
      </c>
      <c r="E1238">
        <v>6</v>
      </c>
      <c r="G1238" s="2">
        <v>38486</v>
      </c>
      <c r="H1238">
        <v>5.6239999999999997</v>
      </c>
      <c r="J1238" s="2">
        <v>38493</v>
      </c>
      <c r="K1238" s="3">
        <f t="shared" si="38"/>
        <v>6</v>
      </c>
      <c r="L1238" s="3">
        <f t="shared" si="39"/>
        <v>5.6440000000000001</v>
      </c>
    </row>
    <row r="1239" spans="1:12" x14ac:dyDescent="0.3">
      <c r="A1239" s="2">
        <v>37756</v>
      </c>
      <c r="B1239" t="s">
        <v>13</v>
      </c>
      <c r="D1239" s="2">
        <v>38487</v>
      </c>
      <c r="E1239">
        <v>6</v>
      </c>
      <c r="G1239" s="2">
        <v>38487</v>
      </c>
      <c r="H1239">
        <v>5.6239999999999997</v>
      </c>
      <c r="J1239" s="2">
        <v>38494</v>
      </c>
      <c r="K1239" s="3">
        <f t="shared" si="38"/>
        <v>6</v>
      </c>
      <c r="L1239" s="3">
        <f t="shared" si="39"/>
        <v>5.6440000000000001</v>
      </c>
    </row>
    <row r="1240" spans="1:12" x14ac:dyDescent="0.3">
      <c r="A1240" s="2">
        <v>37757</v>
      </c>
      <c r="B1240" t="s">
        <v>13</v>
      </c>
      <c r="D1240" s="2">
        <v>38488</v>
      </c>
      <c r="E1240">
        <v>6</v>
      </c>
      <c r="G1240" s="2">
        <v>38488</v>
      </c>
      <c r="H1240">
        <v>5.6950000000000003</v>
      </c>
      <c r="J1240" s="2">
        <v>38495</v>
      </c>
      <c r="K1240" s="3">
        <f t="shared" si="38"/>
        <v>6</v>
      </c>
      <c r="L1240" s="3">
        <f t="shared" si="39"/>
        <v>5.6440000000000001</v>
      </c>
    </row>
    <row r="1241" spans="1:12" x14ac:dyDescent="0.3">
      <c r="A1241" s="2">
        <v>37758</v>
      </c>
      <c r="B1241" t="s">
        <v>13</v>
      </c>
      <c r="D1241" s="2">
        <v>38489</v>
      </c>
      <c r="E1241">
        <v>6</v>
      </c>
      <c r="G1241" s="2">
        <v>38489</v>
      </c>
      <c r="H1241">
        <v>5.681</v>
      </c>
      <c r="J1241" s="2">
        <v>38496</v>
      </c>
      <c r="K1241" s="3">
        <f t="shared" si="38"/>
        <v>6</v>
      </c>
      <c r="L1241" s="3">
        <f t="shared" si="39"/>
        <v>5.6360000000000001</v>
      </c>
    </row>
    <row r="1242" spans="1:12" x14ac:dyDescent="0.3">
      <c r="A1242" s="2">
        <v>37759</v>
      </c>
      <c r="B1242" t="s">
        <v>13</v>
      </c>
      <c r="D1242" s="2">
        <v>38490</v>
      </c>
      <c r="E1242">
        <v>6</v>
      </c>
      <c r="G1242" s="2">
        <v>38490</v>
      </c>
      <c r="H1242">
        <v>5.6950000000000003</v>
      </c>
      <c r="J1242" s="2">
        <v>38497</v>
      </c>
      <c r="K1242" s="3">
        <f t="shared" si="38"/>
        <v>6</v>
      </c>
      <c r="L1242" s="3">
        <f t="shared" si="39"/>
        <v>5.6459999999999999</v>
      </c>
    </row>
    <row r="1243" spans="1:12" x14ac:dyDescent="0.3">
      <c r="A1243" s="2">
        <v>37760</v>
      </c>
      <c r="B1243" t="s">
        <v>13</v>
      </c>
      <c r="D1243" s="2">
        <v>38491</v>
      </c>
      <c r="E1243">
        <v>6</v>
      </c>
      <c r="G1243" s="2">
        <v>38491</v>
      </c>
      <c r="H1243">
        <v>5.6669999999999998</v>
      </c>
      <c r="J1243" s="2">
        <v>38498</v>
      </c>
      <c r="K1243" s="3">
        <f t="shared" si="38"/>
        <v>6</v>
      </c>
      <c r="L1243" s="3">
        <f t="shared" si="39"/>
        <v>5.6609999999999996</v>
      </c>
    </row>
    <row r="1244" spans="1:12" x14ac:dyDescent="0.3">
      <c r="A1244" s="2">
        <v>37761</v>
      </c>
      <c r="B1244" t="s">
        <v>13</v>
      </c>
      <c r="D1244" s="2">
        <v>38492</v>
      </c>
      <c r="E1244">
        <v>6</v>
      </c>
      <c r="G1244" s="2">
        <v>38492</v>
      </c>
      <c r="H1244">
        <v>5.6639999999999997</v>
      </c>
      <c r="J1244" s="2">
        <v>38499</v>
      </c>
      <c r="K1244" s="3">
        <f t="shared" si="38"/>
        <v>6</v>
      </c>
      <c r="L1244" s="3">
        <f t="shared" si="39"/>
        <v>5.6719999999999997</v>
      </c>
    </row>
    <row r="1245" spans="1:12" x14ac:dyDescent="0.3">
      <c r="A1245" s="2">
        <v>37762</v>
      </c>
      <c r="B1245" t="s">
        <v>13</v>
      </c>
      <c r="D1245" s="2">
        <v>38493</v>
      </c>
      <c r="E1245">
        <v>6</v>
      </c>
      <c r="G1245" s="2">
        <v>38493</v>
      </c>
      <c r="H1245">
        <v>5.6440000000000001</v>
      </c>
      <c r="J1245" s="2">
        <v>38500</v>
      </c>
      <c r="K1245" s="3">
        <f t="shared" si="38"/>
        <v>6</v>
      </c>
      <c r="L1245" s="3">
        <f t="shared" si="39"/>
        <v>5.6779999999999999</v>
      </c>
    </row>
    <row r="1246" spans="1:12" x14ac:dyDescent="0.3">
      <c r="A1246" s="2">
        <v>37763</v>
      </c>
      <c r="B1246" t="s">
        <v>13</v>
      </c>
      <c r="D1246" s="2">
        <v>38494</v>
      </c>
      <c r="E1246">
        <v>6</v>
      </c>
      <c r="G1246" s="2">
        <v>38494</v>
      </c>
      <c r="H1246">
        <v>5.6440000000000001</v>
      </c>
      <c r="J1246" s="2">
        <v>38501</v>
      </c>
      <c r="K1246" s="3">
        <f t="shared" si="38"/>
        <v>6</v>
      </c>
      <c r="L1246" s="3">
        <f t="shared" si="39"/>
        <v>5.6779999999999999</v>
      </c>
    </row>
    <row r="1247" spans="1:12" x14ac:dyDescent="0.3">
      <c r="A1247" s="2">
        <v>37764</v>
      </c>
      <c r="B1247" t="s">
        <v>13</v>
      </c>
      <c r="D1247" s="2">
        <v>38495</v>
      </c>
      <c r="E1247">
        <v>6</v>
      </c>
      <c r="G1247" s="2">
        <v>38495</v>
      </c>
      <c r="H1247">
        <v>5.6440000000000001</v>
      </c>
      <c r="J1247" s="2">
        <v>38502</v>
      </c>
      <c r="K1247" s="3">
        <f t="shared" si="38"/>
        <v>6</v>
      </c>
      <c r="L1247" s="3">
        <f t="shared" si="39"/>
        <v>5.7389999999999999</v>
      </c>
    </row>
    <row r="1248" spans="1:12" x14ac:dyDescent="0.3">
      <c r="A1248" s="2">
        <v>37765</v>
      </c>
      <c r="B1248" t="s">
        <v>13</v>
      </c>
      <c r="D1248" s="2">
        <v>38496</v>
      </c>
      <c r="E1248">
        <v>6</v>
      </c>
      <c r="G1248" s="2">
        <v>38496</v>
      </c>
      <c r="H1248">
        <v>5.6360000000000001</v>
      </c>
      <c r="J1248" s="2">
        <v>38503</v>
      </c>
      <c r="K1248" s="3">
        <f t="shared" si="38"/>
        <v>6</v>
      </c>
      <c r="L1248" s="3">
        <f t="shared" si="39"/>
        <v>5.7220000000000004</v>
      </c>
    </row>
    <row r="1249" spans="1:12" x14ac:dyDescent="0.3">
      <c r="A1249" s="2">
        <v>37766</v>
      </c>
      <c r="B1249" t="s">
        <v>13</v>
      </c>
      <c r="D1249" s="2">
        <v>38497</v>
      </c>
      <c r="E1249">
        <v>6</v>
      </c>
      <c r="G1249" s="2">
        <v>38497</v>
      </c>
      <c r="H1249">
        <v>5.6459999999999999</v>
      </c>
      <c r="J1249" s="2">
        <v>38504</v>
      </c>
      <c r="K1249" s="3">
        <f t="shared" si="38"/>
        <v>6</v>
      </c>
      <c r="L1249" s="3">
        <f t="shared" si="39"/>
        <v>5.694</v>
      </c>
    </row>
    <row r="1250" spans="1:12" x14ac:dyDescent="0.3">
      <c r="A1250" s="2">
        <v>37767</v>
      </c>
      <c r="B1250" t="s">
        <v>13</v>
      </c>
      <c r="D1250" s="2">
        <v>38498</v>
      </c>
      <c r="E1250">
        <v>6</v>
      </c>
      <c r="G1250" s="2">
        <v>38498</v>
      </c>
      <c r="H1250">
        <v>5.6609999999999996</v>
      </c>
      <c r="J1250" s="2">
        <v>38505</v>
      </c>
      <c r="K1250" s="3">
        <f t="shared" si="38"/>
        <v>6</v>
      </c>
      <c r="L1250" s="3">
        <f t="shared" si="39"/>
        <v>5.6870000000000003</v>
      </c>
    </row>
    <row r="1251" spans="1:12" x14ac:dyDescent="0.3">
      <c r="A1251" s="2">
        <v>37768</v>
      </c>
      <c r="B1251" t="s">
        <v>13</v>
      </c>
      <c r="D1251" s="2">
        <v>38499</v>
      </c>
      <c r="E1251">
        <v>6</v>
      </c>
      <c r="G1251" s="2">
        <v>38499</v>
      </c>
      <c r="H1251">
        <v>5.6719999999999997</v>
      </c>
      <c r="J1251" s="2">
        <v>38506</v>
      </c>
      <c r="K1251" s="3">
        <f t="shared" si="38"/>
        <v>6</v>
      </c>
      <c r="L1251" s="3">
        <f t="shared" si="39"/>
        <v>5.6639999999999997</v>
      </c>
    </row>
    <row r="1252" spans="1:12" x14ac:dyDescent="0.3">
      <c r="A1252" s="2">
        <v>37769</v>
      </c>
      <c r="B1252" t="s">
        <v>13</v>
      </c>
      <c r="D1252" s="2">
        <v>38500</v>
      </c>
      <c r="E1252">
        <v>6</v>
      </c>
      <c r="G1252" s="2">
        <v>38500</v>
      </c>
      <c r="H1252">
        <v>5.6779999999999999</v>
      </c>
      <c r="J1252" s="2">
        <v>38507</v>
      </c>
      <c r="K1252" s="3">
        <f t="shared" si="38"/>
        <v>6</v>
      </c>
      <c r="L1252" s="3">
        <f t="shared" si="39"/>
        <v>5.6639999999999997</v>
      </c>
    </row>
    <row r="1253" spans="1:12" x14ac:dyDescent="0.3">
      <c r="A1253" s="2">
        <v>37770</v>
      </c>
      <c r="B1253" t="s">
        <v>13</v>
      </c>
      <c r="D1253" s="2">
        <v>38501</v>
      </c>
      <c r="E1253">
        <v>6</v>
      </c>
      <c r="G1253" s="2">
        <v>38501</v>
      </c>
      <c r="H1253">
        <v>5.6779999999999999</v>
      </c>
      <c r="J1253" s="2">
        <v>38508</v>
      </c>
      <c r="K1253" s="3">
        <f t="shared" si="38"/>
        <v>6</v>
      </c>
      <c r="L1253" s="3">
        <f t="shared" si="39"/>
        <v>5.6639999999999997</v>
      </c>
    </row>
    <row r="1254" spans="1:12" x14ac:dyDescent="0.3">
      <c r="A1254" s="2">
        <v>37771</v>
      </c>
      <c r="B1254" t="s">
        <v>13</v>
      </c>
      <c r="D1254" s="2">
        <v>38502</v>
      </c>
      <c r="E1254">
        <v>6</v>
      </c>
      <c r="G1254" s="2">
        <v>38502</v>
      </c>
      <c r="H1254">
        <v>5.7389999999999999</v>
      </c>
      <c r="J1254" s="2">
        <v>38509</v>
      </c>
      <c r="K1254" s="3">
        <f t="shared" si="38"/>
        <v>6</v>
      </c>
      <c r="L1254" s="3">
        <f t="shared" si="39"/>
        <v>5.6639999999999997</v>
      </c>
    </row>
    <row r="1255" spans="1:12" x14ac:dyDescent="0.3">
      <c r="A1255" s="2">
        <v>37772</v>
      </c>
      <c r="B1255" t="s">
        <v>13</v>
      </c>
      <c r="D1255" s="2">
        <v>38503</v>
      </c>
      <c r="E1255">
        <v>6</v>
      </c>
      <c r="G1255" s="2">
        <v>38503</v>
      </c>
      <c r="H1255">
        <v>5.7220000000000004</v>
      </c>
      <c r="J1255" s="2">
        <v>38510</v>
      </c>
      <c r="K1255" s="3">
        <f t="shared" si="38"/>
        <v>6</v>
      </c>
      <c r="L1255" s="3">
        <f t="shared" si="39"/>
        <v>5.6639999999999997</v>
      </c>
    </row>
    <row r="1256" spans="1:12" x14ac:dyDescent="0.3">
      <c r="A1256" s="2">
        <v>37773</v>
      </c>
      <c r="B1256" t="s">
        <v>13</v>
      </c>
      <c r="D1256" s="2">
        <v>38504</v>
      </c>
      <c r="E1256">
        <v>6</v>
      </c>
      <c r="G1256" s="2">
        <v>38504</v>
      </c>
      <c r="H1256">
        <v>5.694</v>
      </c>
      <c r="J1256" s="2">
        <v>38511</v>
      </c>
      <c r="K1256" s="3">
        <f t="shared" si="38"/>
        <v>6</v>
      </c>
      <c r="L1256" s="3">
        <f t="shared" si="39"/>
        <v>5.6920000000000002</v>
      </c>
    </row>
    <row r="1257" spans="1:12" x14ac:dyDescent="0.3">
      <c r="A1257" s="2">
        <v>37774</v>
      </c>
      <c r="B1257" t="s">
        <v>13</v>
      </c>
      <c r="D1257" s="2">
        <v>38505</v>
      </c>
      <c r="E1257">
        <v>6</v>
      </c>
      <c r="G1257" s="2">
        <v>38505</v>
      </c>
      <c r="H1257">
        <v>5.6870000000000003</v>
      </c>
      <c r="J1257" s="2">
        <v>38512</v>
      </c>
      <c r="K1257" s="3">
        <f t="shared" si="38"/>
        <v>6</v>
      </c>
      <c r="L1257" s="3">
        <f t="shared" si="39"/>
        <v>5.6829999999999998</v>
      </c>
    </row>
    <row r="1258" spans="1:12" x14ac:dyDescent="0.3">
      <c r="A1258" s="2">
        <v>37775</v>
      </c>
      <c r="B1258" t="s">
        <v>13</v>
      </c>
      <c r="D1258" s="2">
        <v>38506</v>
      </c>
      <c r="E1258">
        <v>6</v>
      </c>
      <c r="G1258" s="2">
        <v>38506</v>
      </c>
      <c r="H1258">
        <v>5.6639999999999997</v>
      </c>
      <c r="J1258" s="2">
        <v>38513</v>
      </c>
      <c r="K1258" s="3">
        <f t="shared" si="38"/>
        <v>6</v>
      </c>
      <c r="L1258" s="3">
        <f t="shared" si="39"/>
        <v>5.7169999999999996</v>
      </c>
    </row>
    <row r="1259" spans="1:12" x14ac:dyDescent="0.3">
      <c r="A1259" s="2">
        <v>37776</v>
      </c>
      <c r="B1259" t="s">
        <v>13</v>
      </c>
      <c r="D1259" s="2">
        <v>38507</v>
      </c>
      <c r="E1259">
        <v>6</v>
      </c>
      <c r="G1259" s="2">
        <v>38507</v>
      </c>
      <c r="H1259">
        <v>5.6639999999999997</v>
      </c>
      <c r="J1259" s="2">
        <v>38514</v>
      </c>
      <c r="K1259" s="3">
        <f t="shared" si="38"/>
        <v>6</v>
      </c>
      <c r="L1259" s="3">
        <f t="shared" si="39"/>
        <v>5.7169999999999996</v>
      </c>
    </row>
    <row r="1260" spans="1:12" x14ac:dyDescent="0.3">
      <c r="A1260" s="2">
        <v>37777</v>
      </c>
      <c r="B1260" t="s">
        <v>13</v>
      </c>
      <c r="D1260" s="2">
        <v>38508</v>
      </c>
      <c r="E1260">
        <v>6</v>
      </c>
      <c r="G1260" s="2">
        <v>38508</v>
      </c>
      <c r="H1260">
        <v>5.6639999999999997</v>
      </c>
      <c r="J1260" s="2">
        <v>38515</v>
      </c>
      <c r="K1260" s="3">
        <f t="shared" si="38"/>
        <v>6</v>
      </c>
      <c r="L1260" s="3">
        <f t="shared" si="39"/>
        <v>5.7169999999999996</v>
      </c>
    </row>
    <row r="1261" spans="1:12" x14ac:dyDescent="0.3">
      <c r="A1261" s="2">
        <v>37778</v>
      </c>
      <c r="B1261" t="s">
        <v>13</v>
      </c>
      <c r="D1261" s="2">
        <v>38509</v>
      </c>
      <c r="E1261">
        <v>6</v>
      </c>
      <c r="G1261" s="2">
        <v>38509</v>
      </c>
      <c r="H1261">
        <v>5.6639999999999997</v>
      </c>
      <c r="J1261" s="2">
        <v>38516</v>
      </c>
      <c r="K1261" s="3">
        <f t="shared" si="38"/>
        <v>6</v>
      </c>
      <c r="L1261" s="3">
        <f t="shared" si="39"/>
        <v>5.6609999999999996</v>
      </c>
    </row>
    <row r="1262" spans="1:12" x14ac:dyDescent="0.3">
      <c r="A1262" s="2">
        <v>37779</v>
      </c>
      <c r="B1262" t="s">
        <v>13</v>
      </c>
      <c r="D1262" s="2">
        <v>38510</v>
      </c>
      <c r="E1262">
        <v>6</v>
      </c>
      <c r="G1262" s="2">
        <v>38510</v>
      </c>
      <c r="H1262">
        <v>5.6639999999999997</v>
      </c>
      <c r="J1262" s="2">
        <v>38517</v>
      </c>
      <c r="K1262" s="3">
        <f t="shared" si="38"/>
        <v>6</v>
      </c>
      <c r="L1262" s="3">
        <f t="shared" si="39"/>
        <v>5.6849999999999996</v>
      </c>
    </row>
    <row r="1263" spans="1:12" x14ac:dyDescent="0.3">
      <c r="A1263" s="2">
        <v>37780</v>
      </c>
      <c r="B1263" t="s">
        <v>13</v>
      </c>
      <c r="D1263" s="2">
        <v>38511</v>
      </c>
      <c r="E1263">
        <v>6</v>
      </c>
      <c r="G1263" s="2">
        <v>38511</v>
      </c>
      <c r="H1263">
        <v>5.6920000000000002</v>
      </c>
      <c r="J1263" s="2">
        <v>38518</v>
      </c>
      <c r="K1263" s="3">
        <f t="shared" si="38"/>
        <v>6</v>
      </c>
      <c r="L1263" s="3">
        <f t="shared" si="39"/>
        <v>5.6559999999999997</v>
      </c>
    </row>
    <row r="1264" spans="1:12" x14ac:dyDescent="0.3">
      <c r="A1264" s="2">
        <v>37781</v>
      </c>
      <c r="B1264" t="s">
        <v>13</v>
      </c>
      <c r="D1264" s="2">
        <v>38512</v>
      </c>
      <c r="E1264">
        <v>6</v>
      </c>
      <c r="G1264" s="2">
        <v>38512</v>
      </c>
      <c r="H1264">
        <v>5.6829999999999998</v>
      </c>
      <c r="J1264" s="2">
        <v>38519</v>
      </c>
      <c r="K1264" s="3">
        <f t="shared" si="38"/>
        <v>6</v>
      </c>
      <c r="L1264" s="3">
        <f t="shared" si="39"/>
        <v>5.7469999999999999</v>
      </c>
    </row>
    <row r="1265" spans="1:12" x14ac:dyDescent="0.3">
      <c r="A1265" s="2">
        <v>37782</v>
      </c>
      <c r="B1265" t="s">
        <v>13</v>
      </c>
      <c r="D1265" s="2">
        <v>38513</v>
      </c>
      <c r="E1265">
        <v>6</v>
      </c>
      <c r="G1265" s="2">
        <v>38513</v>
      </c>
      <c r="H1265">
        <v>5.7169999999999996</v>
      </c>
      <c r="J1265" s="2">
        <v>38520</v>
      </c>
      <c r="K1265" s="3">
        <f t="shared" si="38"/>
        <v>6</v>
      </c>
      <c r="L1265" s="3">
        <f t="shared" si="39"/>
        <v>5.6980000000000004</v>
      </c>
    </row>
    <row r="1266" spans="1:12" x14ac:dyDescent="0.3">
      <c r="A1266" s="2">
        <v>37783</v>
      </c>
      <c r="B1266" t="s">
        <v>13</v>
      </c>
      <c r="D1266" s="2">
        <v>38514</v>
      </c>
      <c r="E1266">
        <v>6</v>
      </c>
      <c r="G1266" s="2">
        <v>38514</v>
      </c>
      <c r="H1266">
        <v>5.7169999999999996</v>
      </c>
      <c r="J1266" s="2">
        <v>38521</v>
      </c>
      <c r="K1266" s="3">
        <f t="shared" si="38"/>
        <v>6</v>
      </c>
      <c r="L1266" s="3">
        <f t="shared" si="39"/>
        <v>5.69</v>
      </c>
    </row>
    <row r="1267" spans="1:12" x14ac:dyDescent="0.3">
      <c r="A1267" s="2">
        <v>37784</v>
      </c>
      <c r="B1267" t="s">
        <v>13</v>
      </c>
      <c r="D1267" s="2">
        <v>38515</v>
      </c>
      <c r="E1267">
        <v>6</v>
      </c>
      <c r="G1267" s="2">
        <v>38515</v>
      </c>
      <c r="H1267">
        <v>5.7169999999999996</v>
      </c>
      <c r="J1267" s="2">
        <v>38522</v>
      </c>
      <c r="K1267" s="3">
        <f t="shared" si="38"/>
        <v>6</v>
      </c>
      <c r="L1267" s="3">
        <f t="shared" si="39"/>
        <v>5.69</v>
      </c>
    </row>
    <row r="1268" spans="1:12" x14ac:dyDescent="0.3">
      <c r="A1268" s="2">
        <v>37785</v>
      </c>
      <c r="B1268" t="s">
        <v>13</v>
      </c>
      <c r="D1268" s="2">
        <v>38516</v>
      </c>
      <c r="E1268">
        <v>6</v>
      </c>
      <c r="G1268" s="2">
        <v>38516</v>
      </c>
      <c r="H1268">
        <v>5.6609999999999996</v>
      </c>
      <c r="J1268" s="2">
        <v>38523</v>
      </c>
      <c r="K1268" s="3">
        <f t="shared" si="38"/>
        <v>6</v>
      </c>
      <c r="L1268" s="3">
        <f t="shared" si="39"/>
        <v>5.6859999999999999</v>
      </c>
    </row>
    <row r="1269" spans="1:12" x14ac:dyDescent="0.3">
      <c r="A1269" s="2">
        <v>37786</v>
      </c>
      <c r="B1269" t="s">
        <v>13</v>
      </c>
      <c r="D1269" s="2">
        <v>38517</v>
      </c>
      <c r="E1269">
        <v>6</v>
      </c>
      <c r="G1269" s="2">
        <v>38517</v>
      </c>
      <c r="H1269">
        <v>5.6849999999999996</v>
      </c>
      <c r="J1269" s="2">
        <v>38524</v>
      </c>
      <c r="K1269" s="3">
        <f t="shared" si="38"/>
        <v>6</v>
      </c>
      <c r="L1269" s="3">
        <f t="shared" si="39"/>
        <v>5.7409999999999997</v>
      </c>
    </row>
    <row r="1270" spans="1:12" x14ac:dyDescent="0.3">
      <c r="A1270" s="2">
        <v>37787</v>
      </c>
      <c r="B1270" t="s">
        <v>13</v>
      </c>
      <c r="D1270" s="2">
        <v>38518</v>
      </c>
      <c r="E1270">
        <v>6</v>
      </c>
      <c r="G1270" s="2">
        <v>38518</v>
      </c>
      <c r="H1270">
        <v>5.6559999999999997</v>
      </c>
      <c r="J1270" s="2">
        <v>38525</v>
      </c>
      <c r="K1270" s="3">
        <f t="shared" si="38"/>
        <v>6</v>
      </c>
      <c r="L1270" s="3">
        <f t="shared" si="39"/>
        <v>5.7160000000000002</v>
      </c>
    </row>
    <row r="1271" spans="1:12" x14ac:dyDescent="0.3">
      <c r="A1271" s="2">
        <v>37788</v>
      </c>
      <c r="B1271" t="s">
        <v>13</v>
      </c>
      <c r="D1271" s="2">
        <v>38519</v>
      </c>
      <c r="E1271">
        <v>6</v>
      </c>
      <c r="G1271" s="2">
        <v>38519</v>
      </c>
      <c r="H1271">
        <v>5.7469999999999999</v>
      </c>
      <c r="J1271" s="2">
        <v>38526</v>
      </c>
      <c r="K1271" s="3">
        <f t="shared" si="38"/>
        <v>6</v>
      </c>
      <c r="L1271" s="3">
        <f t="shared" si="39"/>
        <v>5.7160000000000002</v>
      </c>
    </row>
    <row r="1272" spans="1:12" x14ac:dyDescent="0.3">
      <c r="A1272" s="2">
        <v>37789</v>
      </c>
      <c r="B1272" t="s">
        <v>13</v>
      </c>
      <c r="D1272" s="2">
        <v>38520</v>
      </c>
      <c r="E1272">
        <v>6</v>
      </c>
      <c r="G1272" s="2">
        <v>38520</v>
      </c>
      <c r="H1272">
        <v>5.6980000000000004</v>
      </c>
      <c r="J1272" s="2">
        <v>38527</v>
      </c>
      <c r="K1272" s="3">
        <f t="shared" si="38"/>
        <v>6</v>
      </c>
      <c r="L1272" s="3">
        <f t="shared" si="39"/>
        <v>5.7279999999999998</v>
      </c>
    </row>
    <row r="1273" spans="1:12" x14ac:dyDescent="0.3">
      <c r="A1273" s="2">
        <v>37790</v>
      </c>
      <c r="B1273" t="s">
        <v>13</v>
      </c>
      <c r="D1273" s="2">
        <v>38521</v>
      </c>
      <c r="E1273">
        <v>6</v>
      </c>
      <c r="G1273" s="2">
        <v>38521</v>
      </c>
      <c r="H1273">
        <v>5.69</v>
      </c>
      <c r="J1273" s="2">
        <v>38528</v>
      </c>
      <c r="K1273" s="3">
        <f t="shared" si="38"/>
        <v>6</v>
      </c>
      <c r="L1273" s="3">
        <f t="shared" si="39"/>
        <v>5.7279999999999998</v>
      </c>
    </row>
    <row r="1274" spans="1:12" x14ac:dyDescent="0.3">
      <c r="A1274" s="2">
        <v>37791</v>
      </c>
      <c r="B1274" t="s">
        <v>13</v>
      </c>
      <c r="D1274" s="2">
        <v>38522</v>
      </c>
      <c r="E1274">
        <v>6</v>
      </c>
      <c r="G1274" s="2">
        <v>38522</v>
      </c>
      <c r="H1274">
        <v>5.69</v>
      </c>
      <c r="J1274" s="2">
        <v>38529</v>
      </c>
      <c r="K1274" s="3">
        <f t="shared" si="38"/>
        <v>6</v>
      </c>
      <c r="L1274" s="3">
        <f t="shared" si="39"/>
        <v>5.7279999999999998</v>
      </c>
    </row>
    <row r="1275" spans="1:12" x14ac:dyDescent="0.3">
      <c r="A1275" s="2">
        <v>37792</v>
      </c>
      <c r="B1275" t="s">
        <v>13</v>
      </c>
      <c r="D1275" s="2">
        <v>38523</v>
      </c>
      <c r="E1275">
        <v>6</v>
      </c>
      <c r="G1275" s="2">
        <v>38523</v>
      </c>
      <c r="H1275">
        <v>5.6859999999999999</v>
      </c>
      <c r="J1275" s="2">
        <v>38530</v>
      </c>
      <c r="K1275" s="3">
        <f t="shared" si="38"/>
        <v>6</v>
      </c>
      <c r="L1275" s="3">
        <f t="shared" si="39"/>
        <v>5.7439999999999998</v>
      </c>
    </row>
    <row r="1276" spans="1:12" x14ac:dyDescent="0.3">
      <c r="A1276" s="2">
        <v>37793</v>
      </c>
      <c r="B1276" t="s">
        <v>13</v>
      </c>
      <c r="D1276" s="2">
        <v>38524</v>
      </c>
      <c r="E1276">
        <v>6</v>
      </c>
      <c r="G1276" s="2">
        <v>38524</v>
      </c>
      <c r="H1276">
        <v>5.7409999999999997</v>
      </c>
      <c r="J1276" s="2">
        <v>38531</v>
      </c>
      <c r="K1276" s="3">
        <f t="shared" si="38"/>
        <v>6</v>
      </c>
      <c r="L1276" s="3">
        <f t="shared" si="39"/>
        <v>5.7530000000000001</v>
      </c>
    </row>
    <row r="1277" spans="1:12" x14ac:dyDescent="0.3">
      <c r="A1277" s="2">
        <v>37794</v>
      </c>
      <c r="B1277" t="s">
        <v>13</v>
      </c>
      <c r="D1277" s="2">
        <v>38525</v>
      </c>
      <c r="E1277">
        <v>6</v>
      </c>
      <c r="G1277" s="2">
        <v>38525</v>
      </c>
      <c r="H1277">
        <v>5.7160000000000002</v>
      </c>
      <c r="J1277" s="2">
        <v>38532</v>
      </c>
      <c r="K1277" s="3">
        <f t="shared" si="38"/>
        <v>6</v>
      </c>
      <c r="L1277" s="3">
        <f t="shared" si="39"/>
        <v>5.7380000000000004</v>
      </c>
    </row>
    <row r="1278" spans="1:12" x14ac:dyDescent="0.3">
      <c r="A1278" s="2">
        <v>37795</v>
      </c>
      <c r="B1278" t="s">
        <v>13</v>
      </c>
      <c r="D1278" s="2">
        <v>38526</v>
      </c>
      <c r="E1278">
        <v>6</v>
      </c>
      <c r="G1278" s="2">
        <v>38526</v>
      </c>
      <c r="H1278">
        <v>5.7160000000000002</v>
      </c>
      <c r="J1278" s="2">
        <v>38533</v>
      </c>
      <c r="K1278" s="3">
        <f t="shared" si="38"/>
        <v>6</v>
      </c>
      <c r="L1278" s="3">
        <f t="shared" si="39"/>
        <v>5.7549999999999999</v>
      </c>
    </row>
    <row r="1279" spans="1:12" x14ac:dyDescent="0.3">
      <c r="A1279" s="2">
        <v>37796</v>
      </c>
      <c r="B1279" t="s">
        <v>13</v>
      </c>
      <c r="D1279" s="2">
        <v>38527</v>
      </c>
      <c r="E1279">
        <v>6</v>
      </c>
      <c r="G1279" s="2">
        <v>38527</v>
      </c>
      <c r="H1279">
        <v>5.7279999999999998</v>
      </c>
      <c r="J1279" s="2">
        <v>38534</v>
      </c>
      <c r="K1279" s="3">
        <f t="shared" si="38"/>
        <v>6</v>
      </c>
      <c r="L1279" s="3">
        <f t="shared" si="39"/>
        <v>5.7480000000000002</v>
      </c>
    </row>
    <row r="1280" spans="1:12" x14ac:dyDescent="0.3">
      <c r="A1280" s="2">
        <v>37797</v>
      </c>
      <c r="B1280" t="s">
        <v>13</v>
      </c>
      <c r="D1280" s="2">
        <v>38528</v>
      </c>
      <c r="E1280">
        <v>6</v>
      </c>
      <c r="G1280" s="2">
        <v>38528</v>
      </c>
      <c r="H1280">
        <v>5.7279999999999998</v>
      </c>
      <c r="J1280" s="2">
        <v>38535</v>
      </c>
      <c r="K1280" s="3">
        <f t="shared" si="38"/>
        <v>6</v>
      </c>
      <c r="L1280" s="3">
        <f t="shared" si="39"/>
        <v>5.77</v>
      </c>
    </row>
    <row r="1281" spans="1:12" x14ac:dyDescent="0.3">
      <c r="A1281" s="2">
        <v>37798</v>
      </c>
      <c r="B1281" t="s">
        <v>13</v>
      </c>
      <c r="D1281" s="2">
        <v>38529</v>
      </c>
      <c r="E1281">
        <v>6</v>
      </c>
      <c r="G1281" s="2">
        <v>38529</v>
      </c>
      <c r="H1281">
        <v>5.7279999999999998</v>
      </c>
      <c r="J1281" s="2">
        <v>38536</v>
      </c>
      <c r="K1281" s="3">
        <f t="shared" si="38"/>
        <v>6</v>
      </c>
      <c r="L1281" s="3">
        <f t="shared" si="39"/>
        <v>5.77</v>
      </c>
    </row>
    <row r="1282" spans="1:12" x14ac:dyDescent="0.3">
      <c r="A1282" s="2">
        <v>37799</v>
      </c>
      <c r="B1282" t="s">
        <v>13</v>
      </c>
      <c r="D1282" s="2">
        <v>38530</v>
      </c>
      <c r="E1282">
        <v>6</v>
      </c>
      <c r="G1282" s="2">
        <v>38530</v>
      </c>
      <c r="H1282">
        <v>5.7439999999999998</v>
      </c>
      <c r="J1282" s="2">
        <v>38537</v>
      </c>
      <c r="K1282" s="3">
        <f t="shared" si="38"/>
        <v>6</v>
      </c>
      <c r="L1282" s="3">
        <f t="shared" si="39"/>
        <v>5.77</v>
      </c>
    </row>
    <row r="1283" spans="1:12" x14ac:dyDescent="0.3">
      <c r="A1283" s="2">
        <v>37800</v>
      </c>
      <c r="B1283" t="s">
        <v>13</v>
      </c>
      <c r="D1283" s="2">
        <v>38531</v>
      </c>
      <c r="E1283">
        <v>6</v>
      </c>
      <c r="G1283" s="2">
        <v>38531</v>
      </c>
      <c r="H1283">
        <v>5.7530000000000001</v>
      </c>
      <c r="J1283" s="2">
        <v>38538</v>
      </c>
      <c r="K1283" s="3">
        <f t="shared" ref="K1283:K1346" si="40">E1290</f>
        <v>6</v>
      </c>
      <c r="L1283" s="3">
        <f t="shared" ref="L1283:L1346" si="41">H1290</f>
        <v>5.7080000000000002</v>
      </c>
    </row>
    <row r="1284" spans="1:12" x14ac:dyDescent="0.3">
      <c r="A1284" s="2">
        <v>37801</v>
      </c>
      <c r="B1284" t="s">
        <v>13</v>
      </c>
      <c r="D1284" s="2">
        <v>38532</v>
      </c>
      <c r="E1284">
        <v>6</v>
      </c>
      <c r="G1284" s="2">
        <v>38532</v>
      </c>
      <c r="H1284">
        <v>5.7380000000000004</v>
      </c>
      <c r="J1284" s="2">
        <v>38539</v>
      </c>
      <c r="K1284" s="3">
        <f t="shared" si="40"/>
        <v>6</v>
      </c>
      <c r="L1284" s="3">
        <f t="shared" si="41"/>
        <v>5.806</v>
      </c>
    </row>
    <row r="1285" spans="1:12" x14ac:dyDescent="0.3">
      <c r="A1285" s="2">
        <v>37802</v>
      </c>
      <c r="B1285" t="s">
        <v>13</v>
      </c>
      <c r="D1285" s="2">
        <v>38533</v>
      </c>
      <c r="E1285">
        <v>6</v>
      </c>
      <c r="G1285" s="2">
        <v>38533</v>
      </c>
      <c r="H1285">
        <v>5.7549999999999999</v>
      </c>
      <c r="J1285" s="2">
        <v>38540</v>
      </c>
      <c r="K1285" s="3">
        <f t="shared" si="40"/>
        <v>6</v>
      </c>
      <c r="L1285" s="3">
        <f t="shared" si="41"/>
        <v>5.8049999999999997</v>
      </c>
    </row>
    <row r="1286" spans="1:12" x14ac:dyDescent="0.3">
      <c r="A1286" s="2">
        <v>37803</v>
      </c>
      <c r="B1286" t="s">
        <v>13</v>
      </c>
      <c r="D1286" s="2">
        <v>38534</v>
      </c>
      <c r="E1286">
        <v>6</v>
      </c>
      <c r="G1286" s="2">
        <v>38534</v>
      </c>
      <c r="H1286">
        <v>5.7480000000000002</v>
      </c>
      <c r="J1286" s="2">
        <v>38541</v>
      </c>
      <c r="K1286" s="3">
        <f t="shared" si="40"/>
        <v>6</v>
      </c>
      <c r="L1286" s="3">
        <f t="shared" si="41"/>
        <v>5.78</v>
      </c>
    </row>
    <row r="1287" spans="1:12" x14ac:dyDescent="0.3">
      <c r="A1287" s="2">
        <v>37804</v>
      </c>
      <c r="B1287" t="s">
        <v>13</v>
      </c>
      <c r="D1287" s="2">
        <v>38535</v>
      </c>
      <c r="E1287">
        <v>6</v>
      </c>
      <c r="G1287" s="2">
        <v>38535</v>
      </c>
      <c r="H1287">
        <v>5.77</v>
      </c>
      <c r="J1287" s="2">
        <v>38542</v>
      </c>
      <c r="K1287" s="3">
        <f t="shared" si="40"/>
        <v>6</v>
      </c>
      <c r="L1287" s="3">
        <f t="shared" si="41"/>
        <v>5.78</v>
      </c>
    </row>
    <row r="1288" spans="1:12" x14ac:dyDescent="0.3">
      <c r="A1288" s="2">
        <v>37805</v>
      </c>
      <c r="B1288" t="s">
        <v>13</v>
      </c>
      <c r="D1288" s="2">
        <v>38536</v>
      </c>
      <c r="E1288">
        <v>6</v>
      </c>
      <c r="G1288" s="2">
        <v>38536</v>
      </c>
      <c r="H1288">
        <v>5.77</v>
      </c>
      <c r="J1288" s="2">
        <v>38543</v>
      </c>
      <c r="K1288" s="3">
        <f t="shared" si="40"/>
        <v>6</v>
      </c>
      <c r="L1288" s="3">
        <f t="shared" si="41"/>
        <v>5.78</v>
      </c>
    </row>
    <row r="1289" spans="1:12" x14ac:dyDescent="0.3">
      <c r="A1289" s="2">
        <v>37806</v>
      </c>
      <c r="B1289" t="s">
        <v>13</v>
      </c>
      <c r="D1289" s="2">
        <v>38537</v>
      </c>
      <c r="E1289">
        <v>6</v>
      </c>
      <c r="G1289" s="2">
        <v>38537</v>
      </c>
      <c r="H1289">
        <v>5.77</v>
      </c>
      <c r="J1289" s="2">
        <v>38544</v>
      </c>
      <c r="K1289" s="3">
        <f t="shared" si="40"/>
        <v>6</v>
      </c>
      <c r="L1289" s="3">
        <f t="shared" si="41"/>
        <v>5.8010000000000002</v>
      </c>
    </row>
    <row r="1290" spans="1:12" x14ac:dyDescent="0.3">
      <c r="A1290" s="2">
        <v>37807</v>
      </c>
      <c r="B1290" t="s">
        <v>13</v>
      </c>
      <c r="D1290" s="2">
        <v>38538</v>
      </c>
      <c r="E1290">
        <v>6</v>
      </c>
      <c r="G1290" s="2">
        <v>38538</v>
      </c>
      <c r="H1290">
        <v>5.7080000000000002</v>
      </c>
      <c r="J1290" s="2">
        <v>38545</v>
      </c>
      <c r="K1290" s="3">
        <f t="shared" si="40"/>
        <v>6</v>
      </c>
      <c r="L1290" s="3">
        <f t="shared" si="41"/>
        <v>5.7169999999999996</v>
      </c>
    </row>
    <row r="1291" spans="1:12" x14ac:dyDescent="0.3">
      <c r="A1291" s="2">
        <v>37808</v>
      </c>
      <c r="B1291" t="s">
        <v>13</v>
      </c>
      <c r="D1291" s="2">
        <v>38539</v>
      </c>
      <c r="E1291">
        <v>6</v>
      </c>
      <c r="G1291" s="2">
        <v>38539</v>
      </c>
      <c r="H1291">
        <v>5.806</v>
      </c>
      <c r="J1291" s="2">
        <v>38546</v>
      </c>
      <c r="K1291" s="3">
        <f t="shared" si="40"/>
        <v>6</v>
      </c>
      <c r="L1291" s="3">
        <f t="shared" si="41"/>
        <v>5.84</v>
      </c>
    </row>
    <row r="1292" spans="1:12" x14ac:dyDescent="0.3">
      <c r="A1292" s="2">
        <v>37809</v>
      </c>
      <c r="B1292" t="s">
        <v>13</v>
      </c>
      <c r="D1292" s="2">
        <v>38540</v>
      </c>
      <c r="E1292">
        <v>6</v>
      </c>
      <c r="G1292" s="2">
        <v>38540</v>
      </c>
      <c r="H1292">
        <v>5.8049999999999997</v>
      </c>
      <c r="J1292" s="2">
        <v>38547</v>
      </c>
      <c r="K1292" s="3">
        <f t="shared" si="40"/>
        <v>6</v>
      </c>
      <c r="L1292" s="3">
        <f t="shared" si="41"/>
        <v>5.8360000000000003</v>
      </c>
    </row>
    <row r="1293" spans="1:12" x14ac:dyDescent="0.3">
      <c r="A1293" s="2">
        <v>37810</v>
      </c>
      <c r="B1293" t="s">
        <v>13</v>
      </c>
      <c r="D1293" s="2">
        <v>38541</v>
      </c>
      <c r="E1293">
        <v>6</v>
      </c>
      <c r="G1293" s="2">
        <v>38541</v>
      </c>
      <c r="H1293">
        <v>5.78</v>
      </c>
      <c r="J1293" s="2">
        <v>38548</v>
      </c>
      <c r="K1293" s="3">
        <f t="shared" si="40"/>
        <v>6</v>
      </c>
      <c r="L1293" s="3">
        <f t="shared" si="41"/>
        <v>5.8680000000000003</v>
      </c>
    </row>
    <row r="1294" spans="1:12" x14ac:dyDescent="0.3">
      <c r="A1294" s="2">
        <v>37811</v>
      </c>
      <c r="B1294" t="s">
        <v>13</v>
      </c>
      <c r="D1294" s="2">
        <v>38542</v>
      </c>
      <c r="E1294">
        <v>6</v>
      </c>
      <c r="G1294" s="2">
        <v>38542</v>
      </c>
      <c r="H1294">
        <v>5.78</v>
      </c>
      <c r="J1294" s="2">
        <v>38549</v>
      </c>
      <c r="K1294" s="3">
        <f t="shared" si="40"/>
        <v>6</v>
      </c>
      <c r="L1294" s="3">
        <f t="shared" si="41"/>
        <v>5.8319999999999999</v>
      </c>
    </row>
    <row r="1295" spans="1:12" x14ac:dyDescent="0.3">
      <c r="A1295" s="2">
        <v>37812</v>
      </c>
      <c r="B1295" t="s">
        <v>13</v>
      </c>
      <c r="D1295" s="2">
        <v>38543</v>
      </c>
      <c r="E1295">
        <v>6</v>
      </c>
      <c r="G1295" s="2">
        <v>38543</v>
      </c>
      <c r="H1295">
        <v>5.78</v>
      </c>
      <c r="J1295" s="2">
        <v>38550</v>
      </c>
      <c r="K1295" s="3">
        <f t="shared" si="40"/>
        <v>6</v>
      </c>
      <c r="L1295" s="3">
        <f t="shared" si="41"/>
        <v>5.8319999999999999</v>
      </c>
    </row>
    <row r="1296" spans="1:12" x14ac:dyDescent="0.3">
      <c r="A1296" s="2">
        <v>37813</v>
      </c>
      <c r="B1296" t="s">
        <v>13</v>
      </c>
      <c r="D1296" s="2">
        <v>38544</v>
      </c>
      <c r="E1296">
        <v>6</v>
      </c>
      <c r="G1296" s="2">
        <v>38544</v>
      </c>
      <c r="H1296">
        <v>5.8010000000000002</v>
      </c>
      <c r="J1296" s="2">
        <v>38551</v>
      </c>
      <c r="K1296" s="3">
        <f t="shared" si="40"/>
        <v>6</v>
      </c>
      <c r="L1296" s="3">
        <f t="shared" si="41"/>
        <v>5.8550000000000004</v>
      </c>
    </row>
    <row r="1297" spans="1:12" x14ac:dyDescent="0.3">
      <c r="A1297" s="2">
        <v>37814</v>
      </c>
      <c r="B1297" t="s">
        <v>13</v>
      </c>
      <c r="D1297" s="2">
        <v>38545</v>
      </c>
      <c r="E1297">
        <v>6</v>
      </c>
      <c r="G1297" s="2">
        <v>38545</v>
      </c>
      <c r="H1297">
        <v>5.7169999999999996</v>
      </c>
      <c r="J1297" s="2">
        <v>38552</v>
      </c>
      <c r="K1297" s="3">
        <f t="shared" si="40"/>
        <v>6</v>
      </c>
      <c r="L1297" s="3">
        <f t="shared" si="41"/>
        <v>5.8620000000000001</v>
      </c>
    </row>
    <row r="1298" spans="1:12" x14ac:dyDescent="0.3">
      <c r="A1298" s="2">
        <v>37815</v>
      </c>
      <c r="B1298" t="s">
        <v>13</v>
      </c>
      <c r="D1298" s="2">
        <v>38546</v>
      </c>
      <c r="E1298">
        <v>6</v>
      </c>
      <c r="G1298" s="2">
        <v>38546</v>
      </c>
      <c r="H1298">
        <v>5.84</v>
      </c>
      <c r="J1298" s="2">
        <v>38553</v>
      </c>
      <c r="K1298" s="3">
        <f t="shared" si="40"/>
        <v>6</v>
      </c>
      <c r="L1298" s="3">
        <f t="shared" si="41"/>
        <v>5.8490000000000002</v>
      </c>
    </row>
    <row r="1299" spans="1:12" x14ac:dyDescent="0.3">
      <c r="A1299" s="2">
        <v>37816</v>
      </c>
      <c r="B1299" t="s">
        <v>13</v>
      </c>
      <c r="D1299" s="2">
        <v>38547</v>
      </c>
      <c r="E1299">
        <v>6</v>
      </c>
      <c r="G1299" s="2">
        <v>38547</v>
      </c>
      <c r="H1299">
        <v>5.8360000000000003</v>
      </c>
      <c r="J1299" s="2">
        <v>38554</v>
      </c>
      <c r="K1299" s="3">
        <f t="shared" si="40"/>
        <v>6</v>
      </c>
      <c r="L1299" s="3">
        <f t="shared" si="41"/>
        <v>5.8390000000000004</v>
      </c>
    </row>
    <row r="1300" spans="1:12" x14ac:dyDescent="0.3">
      <c r="A1300" s="2">
        <v>37817</v>
      </c>
      <c r="B1300" t="s">
        <v>13</v>
      </c>
      <c r="D1300" s="2">
        <v>38548</v>
      </c>
      <c r="E1300">
        <v>6</v>
      </c>
      <c r="G1300" s="2">
        <v>38548</v>
      </c>
      <c r="H1300">
        <v>5.8680000000000003</v>
      </c>
      <c r="J1300" s="2">
        <v>38555</v>
      </c>
      <c r="K1300" s="3">
        <f t="shared" si="40"/>
        <v>6</v>
      </c>
      <c r="L1300" s="3">
        <f t="shared" si="41"/>
        <v>5.8150000000000004</v>
      </c>
    </row>
    <row r="1301" spans="1:12" x14ac:dyDescent="0.3">
      <c r="A1301" s="2">
        <v>37818</v>
      </c>
      <c r="B1301" t="s">
        <v>13</v>
      </c>
      <c r="D1301" s="2">
        <v>38549</v>
      </c>
      <c r="E1301">
        <v>6</v>
      </c>
      <c r="G1301" s="2">
        <v>38549</v>
      </c>
      <c r="H1301">
        <v>5.8319999999999999</v>
      </c>
      <c r="J1301" s="2">
        <v>38556</v>
      </c>
      <c r="K1301" s="3">
        <f t="shared" si="40"/>
        <v>6</v>
      </c>
      <c r="L1301" s="3">
        <f t="shared" si="41"/>
        <v>5.82</v>
      </c>
    </row>
    <row r="1302" spans="1:12" x14ac:dyDescent="0.3">
      <c r="A1302" s="2">
        <v>37819</v>
      </c>
      <c r="B1302" t="s">
        <v>13</v>
      </c>
      <c r="D1302" s="2">
        <v>38550</v>
      </c>
      <c r="E1302">
        <v>6</v>
      </c>
      <c r="G1302" s="2">
        <v>38550</v>
      </c>
      <c r="H1302">
        <v>5.8319999999999999</v>
      </c>
      <c r="J1302" s="2">
        <v>38557</v>
      </c>
      <c r="K1302" s="3">
        <f t="shared" si="40"/>
        <v>6</v>
      </c>
      <c r="L1302" s="3">
        <f t="shared" si="41"/>
        <v>5.82</v>
      </c>
    </row>
    <row r="1303" spans="1:12" x14ac:dyDescent="0.3">
      <c r="A1303" s="2">
        <v>37820</v>
      </c>
      <c r="B1303" t="s">
        <v>13</v>
      </c>
      <c r="D1303" s="2">
        <v>38551</v>
      </c>
      <c r="E1303">
        <v>6</v>
      </c>
      <c r="G1303" s="2">
        <v>38551</v>
      </c>
      <c r="H1303">
        <v>5.8550000000000004</v>
      </c>
      <c r="J1303" s="2">
        <v>38558</v>
      </c>
      <c r="K1303" s="3">
        <f t="shared" si="40"/>
        <v>6</v>
      </c>
      <c r="L1303" s="3">
        <f t="shared" si="41"/>
        <v>5.8109999999999999</v>
      </c>
    </row>
    <row r="1304" spans="1:12" x14ac:dyDescent="0.3">
      <c r="A1304" s="2">
        <v>37821</v>
      </c>
      <c r="B1304" t="s">
        <v>13</v>
      </c>
      <c r="D1304" s="2">
        <v>38552</v>
      </c>
      <c r="E1304">
        <v>6</v>
      </c>
      <c r="G1304" s="2">
        <v>38552</v>
      </c>
      <c r="H1304">
        <v>5.8620000000000001</v>
      </c>
      <c r="J1304" s="2">
        <v>38559</v>
      </c>
      <c r="K1304" s="3">
        <f t="shared" si="40"/>
        <v>6</v>
      </c>
      <c r="L1304" s="3">
        <f t="shared" si="41"/>
        <v>5.7510000000000003</v>
      </c>
    </row>
    <row r="1305" spans="1:12" x14ac:dyDescent="0.3">
      <c r="A1305" s="2">
        <v>37822</v>
      </c>
      <c r="B1305" t="s">
        <v>13</v>
      </c>
      <c r="D1305" s="2">
        <v>38553</v>
      </c>
      <c r="E1305">
        <v>6</v>
      </c>
      <c r="G1305" s="2">
        <v>38553</v>
      </c>
      <c r="H1305">
        <v>5.8490000000000002</v>
      </c>
      <c r="J1305" s="2">
        <v>38560</v>
      </c>
      <c r="K1305" s="3">
        <f t="shared" si="40"/>
        <v>6</v>
      </c>
      <c r="L1305" s="3">
        <f t="shared" si="41"/>
        <v>5.7510000000000003</v>
      </c>
    </row>
    <row r="1306" spans="1:12" x14ac:dyDescent="0.3">
      <c r="A1306" s="2">
        <v>37823</v>
      </c>
      <c r="B1306" t="s">
        <v>13</v>
      </c>
      <c r="D1306" s="2">
        <v>38554</v>
      </c>
      <c r="E1306">
        <v>6</v>
      </c>
      <c r="G1306" s="2">
        <v>38554</v>
      </c>
      <c r="H1306">
        <v>5.8390000000000004</v>
      </c>
      <c r="J1306" s="2">
        <v>38561</v>
      </c>
      <c r="K1306" s="3">
        <f t="shared" si="40"/>
        <v>6</v>
      </c>
      <c r="L1306" s="3">
        <f t="shared" si="41"/>
        <v>5.7510000000000003</v>
      </c>
    </row>
    <row r="1307" spans="1:12" x14ac:dyDescent="0.3">
      <c r="A1307" s="2">
        <v>37824</v>
      </c>
      <c r="B1307" t="s">
        <v>13</v>
      </c>
      <c r="D1307" s="2">
        <v>38555</v>
      </c>
      <c r="E1307">
        <v>6</v>
      </c>
      <c r="G1307" s="2">
        <v>38555</v>
      </c>
      <c r="H1307">
        <v>5.8150000000000004</v>
      </c>
      <c r="J1307" s="2">
        <v>38562</v>
      </c>
      <c r="K1307" s="3">
        <f t="shared" si="40"/>
        <v>6</v>
      </c>
      <c r="L1307" s="3">
        <f t="shared" si="41"/>
        <v>5.7119999999999997</v>
      </c>
    </row>
    <row r="1308" spans="1:12" x14ac:dyDescent="0.3">
      <c r="A1308" s="2">
        <v>37825</v>
      </c>
      <c r="B1308" t="s">
        <v>13</v>
      </c>
      <c r="D1308" s="2">
        <v>38556</v>
      </c>
      <c r="E1308">
        <v>6</v>
      </c>
      <c r="G1308" s="2">
        <v>38556</v>
      </c>
      <c r="H1308">
        <v>5.82</v>
      </c>
      <c r="J1308" s="2">
        <v>38563</v>
      </c>
      <c r="K1308" s="3">
        <f t="shared" si="40"/>
        <v>6</v>
      </c>
      <c r="L1308" s="3">
        <f t="shared" si="41"/>
        <v>5.7690000000000001</v>
      </c>
    </row>
    <row r="1309" spans="1:12" x14ac:dyDescent="0.3">
      <c r="A1309" s="2">
        <v>37826</v>
      </c>
      <c r="B1309" t="s">
        <v>13</v>
      </c>
      <c r="D1309" s="2">
        <v>38557</v>
      </c>
      <c r="E1309">
        <v>6</v>
      </c>
      <c r="G1309" s="2">
        <v>38557</v>
      </c>
      <c r="H1309">
        <v>5.82</v>
      </c>
      <c r="J1309" s="2">
        <v>38564</v>
      </c>
      <c r="K1309" s="3">
        <f t="shared" si="40"/>
        <v>6</v>
      </c>
      <c r="L1309" s="3">
        <f t="shared" si="41"/>
        <v>5.7690000000000001</v>
      </c>
    </row>
    <row r="1310" spans="1:12" x14ac:dyDescent="0.3">
      <c r="A1310" s="2">
        <v>37827</v>
      </c>
      <c r="B1310" t="s">
        <v>13</v>
      </c>
      <c r="D1310" s="2">
        <v>38558</v>
      </c>
      <c r="E1310">
        <v>6</v>
      </c>
      <c r="G1310" s="2">
        <v>38558</v>
      </c>
      <c r="H1310">
        <v>5.8109999999999999</v>
      </c>
      <c r="J1310" s="2">
        <v>38565</v>
      </c>
      <c r="K1310" s="3">
        <f t="shared" si="40"/>
        <v>6</v>
      </c>
      <c r="L1310" s="3">
        <f t="shared" si="41"/>
        <v>5.7690000000000001</v>
      </c>
    </row>
    <row r="1311" spans="1:12" x14ac:dyDescent="0.3">
      <c r="A1311" s="2">
        <v>37828</v>
      </c>
      <c r="B1311" t="s">
        <v>13</v>
      </c>
      <c r="D1311" s="2">
        <v>38559</v>
      </c>
      <c r="E1311">
        <v>6</v>
      </c>
      <c r="G1311" s="2">
        <v>38559</v>
      </c>
      <c r="H1311">
        <v>5.7510000000000003</v>
      </c>
      <c r="J1311" s="2">
        <v>38566</v>
      </c>
      <c r="K1311" s="3">
        <f t="shared" si="40"/>
        <v>6</v>
      </c>
      <c r="L1311" s="3">
        <f t="shared" si="41"/>
        <v>5.7</v>
      </c>
    </row>
    <row r="1312" spans="1:12" x14ac:dyDescent="0.3">
      <c r="A1312" s="2">
        <v>37829</v>
      </c>
      <c r="B1312" t="s">
        <v>13</v>
      </c>
      <c r="D1312" s="2">
        <v>38560</v>
      </c>
      <c r="E1312">
        <v>6</v>
      </c>
      <c r="G1312" s="2">
        <v>38560</v>
      </c>
      <c r="H1312">
        <v>5.7510000000000003</v>
      </c>
      <c r="J1312" s="2">
        <v>38567</v>
      </c>
      <c r="K1312" s="3">
        <f t="shared" si="40"/>
        <v>6</v>
      </c>
      <c r="L1312" s="3">
        <f t="shared" si="41"/>
        <v>5.6660000000000004</v>
      </c>
    </row>
    <row r="1313" spans="1:12" x14ac:dyDescent="0.3">
      <c r="A1313" s="2">
        <v>37830</v>
      </c>
      <c r="B1313" t="s">
        <v>13</v>
      </c>
      <c r="D1313" s="2">
        <v>38561</v>
      </c>
      <c r="E1313">
        <v>6</v>
      </c>
      <c r="G1313" s="2">
        <v>38561</v>
      </c>
      <c r="H1313">
        <v>5.7510000000000003</v>
      </c>
      <c r="J1313" s="2">
        <v>38568</v>
      </c>
      <c r="K1313" s="3">
        <f t="shared" si="40"/>
        <v>6</v>
      </c>
      <c r="L1313" s="3">
        <f t="shared" si="41"/>
        <v>5.6959999999999997</v>
      </c>
    </row>
    <row r="1314" spans="1:12" x14ac:dyDescent="0.3">
      <c r="A1314" s="2">
        <v>37831</v>
      </c>
      <c r="B1314" t="s">
        <v>13</v>
      </c>
      <c r="D1314" s="2">
        <v>38562</v>
      </c>
      <c r="E1314">
        <v>6</v>
      </c>
      <c r="G1314" s="2">
        <v>38562</v>
      </c>
      <c r="H1314">
        <v>5.7119999999999997</v>
      </c>
      <c r="J1314" s="2">
        <v>38569</v>
      </c>
      <c r="K1314" s="3">
        <f t="shared" si="40"/>
        <v>6</v>
      </c>
      <c r="L1314" s="3">
        <f t="shared" si="41"/>
        <v>5.6829999999999998</v>
      </c>
    </row>
    <row r="1315" spans="1:12" x14ac:dyDescent="0.3">
      <c r="A1315" s="2">
        <v>37832</v>
      </c>
      <c r="B1315" t="s">
        <v>13</v>
      </c>
      <c r="D1315" s="2">
        <v>38563</v>
      </c>
      <c r="E1315">
        <v>6</v>
      </c>
      <c r="G1315" s="2">
        <v>38563</v>
      </c>
      <c r="H1315">
        <v>5.7690000000000001</v>
      </c>
      <c r="J1315" s="2">
        <v>38570</v>
      </c>
      <c r="K1315" s="3">
        <f t="shared" si="40"/>
        <v>6</v>
      </c>
      <c r="L1315" s="3">
        <f t="shared" si="41"/>
        <v>5.681</v>
      </c>
    </row>
    <row r="1316" spans="1:12" x14ac:dyDescent="0.3">
      <c r="A1316" s="2">
        <v>37833</v>
      </c>
      <c r="B1316" t="s">
        <v>13</v>
      </c>
      <c r="D1316" s="2">
        <v>38564</v>
      </c>
      <c r="E1316">
        <v>6</v>
      </c>
      <c r="G1316" s="2">
        <v>38564</v>
      </c>
      <c r="H1316">
        <v>5.7690000000000001</v>
      </c>
      <c r="J1316" s="2">
        <v>38571</v>
      </c>
      <c r="K1316" s="3">
        <f t="shared" si="40"/>
        <v>6</v>
      </c>
      <c r="L1316" s="3">
        <f t="shared" si="41"/>
        <v>5.681</v>
      </c>
    </row>
    <row r="1317" spans="1:12" x14ac:dyDescent="0.3">
      <c r="A1317" s="2">
        <v>37834</v>
      </c>
      <c r="B1317" t="s">
        <v>13</v>
      </c>
      <c r="D1317" s="2">
        <v>38565</v>
      </c>
      <c r="E1317">
        <v>6</v>
      </c>
      <c r="G1317" s="2">
        <v>38565</v>
      </c>
      <c r="H1317">
        <v>5.7690000000000001</v>
      </c>
      <c r="J1317" s="2">
        <v>38572</v>
      </c>
      <c r="K1317" s="3">
        <f t="shared" si="40"/>
        <v>6</v>
      </c>
      <c r="L1317" s="3">
        <f t="shared" si="41"/>
        <v>5.6609999999999996</v>
      </c>
    </row>
    <row r="1318" spans="1:12" x14ac:dyDescent="0.3">
      <c r="A1318" s="2">
        <v>37835</v>
      </c>
      <c r="B1318" t="s">
        <v>13</v>
      </c>
      <c r="D1318" s="2">
        <v>38566</v>
      </c>
      <c r="E1318">
        <v>6</v>
      </c>
      <c r="G1318" s="2">
        <v>38566</v>
      </c>
      <c r="H1318">
        <v>5.7</v>
      </c>
      <c r="J1318" s="2">
        <v>38573</v>
      </c>
      <c r="K1318" s="3">
        <f t="shared" si="40"/>
        <v>6</v>
      </c>
      <c r="L1318" s="3">
        <f t="shared" si="41"/>
        <v>5.69</v>
      </c>
    </row>
    <row r="1319" spans="1:12" x14ac:dyDescent="0.3">
      <c r="A1319" s="2">
        <v>37836</v>
      </c>
      <c r="B1319" t="s">
        <v>13</v>
      </c>
      <c r="D1319" s="2">
        <v>38567</v>
      </c>
      <c r="E1319">
        <v>6</v>
      </c>
      <c r="G1319" s="2">
        <v>38567</v>
      </c>
      <c r="H1319">
        <v>5.6660000000000004</v>
      </c>
      <c r="J1319" s="2">
        <v>38574</v>
      </c>
      <c r="K1319" s="3">
        <f t="shared" si="40"/>
        <v>6</v>
      </c>
      <c r="L1319" s="3">
        <f t="shared" si="41"/>
        <v>5.6859999999999999</v>
      </c>
    </row>
    <row r="1320" spans="1:12" x14ac:dyDescent="0.3">
      <c r="A1320" s="2">
        <v>37837</v>
      </c>
      <c r="B1320" t="s">
        <v>13</v>
      </c>
      <c r="D1320" s="2">
        <v>38568</v>
      </c>
      <c r="E1320">
        <v>6</v>
      </c>
      <c r="G1320" s="2">
        <v>38568</v>
      </c>
      <c r="H1320">
        <v>5.6959999999999997</v>
      </c>
      <c r="J1320" s="2">
        <v>38575</v>
      </c>
      <c r="K1320" s="3">
        <f t="shared" si="40"/>
        <v>6</v>
      </c>
      <c r="L1320" s="3">
        <f t="shared" si="41"/>
        <v>5.6840000000000002</v>
      </c>
    </row>
    <row r="1321" spans="1:12" x14ac:dyDescent="0.3">
      <c r="A1321" s="2">
        <v>37838</v>
      </c>
      <c r="B1321" t="s">
        <v>13</v>
      </c>
      <c r="D1321" s="2">
        <v>38569</v>
      </c>
      <c r="E1321">
        <v>6</v>
      </c>
      <c r="G1321" s="2">
        <v>38569</v>
      </c>
      <c r="H1321">
        <v>5.6829999999999998</v>
      </c>
      <c r="J1321" s="2">
        <v>38576</v>
      </c>
      <c r="K1321" s="3">
        <f t="shared" si="40"/>
        <v>6</v>
      </c>
      <c r="L1321" s="3">
        <f t="shared" si="41"/>
        <v>5.6719999999999997</v>
      </c>
    </row>
    <row r="1322" spans="1:12" x14ac:dyDescent="0.3">
      <c r="A1322" s="2">
        <v>37839</v>
      </c>
      <c r="B1322" t="s">
        <v>13</v>
      </c>
      <c r="D1322" s="2">
        <v>38570</v>
      </c>
      <c r="E1322">
        <v>6</v>
      </c>
      <c r="G1322" s="2">
        <v>38570</v>
      </c>
      <c r="H1322">
        <v>5.681</v>
      </c>
      <c r="J1322" s="2">
        <v>38577</v>
      </c>
      <c r="K1322" s="3">
        <f t="shared" si="40"/>
        <v>6</v>
      </c>
      <c r="L1322" s="3">
        <f t="shared" si="41"/>
        <v>5.7480000000000002</v>
      </c>
    </row>
    <row r="1323" spans="1:12" x14ac:dyDescent="0.3">
      <c r="A1323" s="2">
        <v>37840</v>
      </c>
      <c r="B1323" t="s">
        <v>13</v>
      </c>
      <c r="D1323" s="2">
        <v>38571</v>
      </c>
      <c r="E1323">
        <v>6</v>
      </c>
      <c r="G1323" s="2">
        <v>38571</v>
      </c>
      <c r="H1323">
        <v>5.681</v>
      </c>
      <c r="J1323" s="2">
        <v>38578</v>
      </c>
      <c r="K1323" s="3">
        <f t="shared" si="40"/>
        <v>6</v>
      </c>
      <c r="L1323" s="3">
        <f t="shared" si="41"/>
        <v>5.7480000000000002</v>
      </c>
    </row>
    <row r="1324" spans="1:12" x14ac:dyDescent="0.3">
      <c r="A1324" s="2">
        <v>37841</v>
      </c>
      <c r="B1324" t="s">
        <v>13</v>
      </c>
      <c r="D1324" s="2">
        <v>38572</v>
      </c>
      <c r="E1324">
        <v>6</v>
      </c>
      <c r="G1324" s="2">
        <v>38572</v>
      </c>
      <c r="H1324">
        <v>5.6609999999999996</v>
      </c>
      <c r="J1324" s="2">
        <v>38579</v>
      </c>
      <c r="K1324" s="3">
        <f t="shared" si="40"/>
        <v>6</v>
      </c>
      <c r="L1324" s="3">
        <f t="shared" si="41"/>
        <v>5.7480000000000002</v>
      </c>
    </row>
    <row r="1325" spans="1:12" x14ac:dyDescent="0.3">
      <c r="A1325" s="2">
        <v>37842</v>
      </c>
      <c r="B1325" t="s">
        <v>13</v>
      </c>
      <c r="D1325" s="2">
        <v>38573</v>
      </c>
      <c r="E1325">
        <v>6</v>
      </c>
      <c r="G1325" s="2">
        <v>38573</v>
      </c>
      <c r="H1325">
        <v>5.69</v>
      </c>
      <c r="J1325" s="2">
        <v>38580</v>
      </c>
      <c r="K1325" s="3">
        <f t="shared" si="40"/>
        <v>6</v>
      </c>
      <c r="L1325" s="3">
        <f t="shared" si="41"/>
        <v>5.641</v>
      </c>
    </row>
    <row r="1326" spans="1:12" x14ac:dyDescent="0.3">
      <c r="A1326" s="2">
        <v>37843</v>
      </c>
      <c r="B1326" t="s">
        <v>13</v>
      </c>
      <c r="D1326" s="2">
        <v>38574</v>
      </c>
      <c r="E1326">
        <v>6</v>
      </c>
      <c r="G1326" s="2">
        <v>38574</v>
      </c>
      <c r="H1326">
        <v>5.6859999999999999</v>
      </c>
      <c r="J1326" s="2">
        <v>38581</v>
      </c>
      <c r="K1326" s="3">
        <f t="shared" si="40"/>
        <v>6</v>
      </c>
      <c r="L1326" s="3">
        <f t="shared" si="41"/>
        <v>5.6360000000000001</v>
      </c>
    </row>
    <row r="1327" spans="1:12" x14ac:dyDescent="0.3">
      <c r="A1327" s="2">
        <v>37844</v>
      </c>
      <c r="B1327" t="s">
        <v>13</v>
      </c>
      <c r="D1327" s="2">
        <v>38575</v>
      </c>
      <c r="E1327">
        <v>6</v>
      </c>
      <c r="G1327" s="2">
        <v>38575</v>
      </c>
      <c r="H1327">
        <v>5.6840000000000002</v>
      </c>
      <c r="J1327" s="2">
        <v>38582</v>
      </c>
      <c r="K1327" s="3">
        <f t="shared" si="40"/>
        <v>6</v>
      </c>
      <c r="L1327" s="3">
        <f t="shared" si="41"/>
        <v>5.6470000000000002</v>
      </c>
    </row>
    <row r="1328" spans="1:12" x14ac:dyDescent="0.3">
      <c r="A1328" s="2">
        <v>37845</v>
      </c>
      <c r="B1328" t="s">
        <v>13</v>
      </c>
      <c r="D1328" s="2">
        <v>38576</v>
      </c>
      <c r="E1328">
        <v>6</v>
      </c>
      <c r="G1328" s="2">
        <v>38576</v>
      </c>
      <c r="H1328">
        <v>5.6719999999999997</v>
      </c>
      <c r="J1328" s="2">
        <v>38583</v>
      </c>
      <c r="K1328" s="3">
        <f t="shared" si="40"/>
        <v>6</v>
      </c>
      <c r="L1328" s="3">
        <f t="shared" si="41"/>
        <v>5.6509999999999998</v>
      </c>
    </row>
    <row r="1329" spans="1:12" x14ac:dyDescent="0.3">
      <c r="A1329" s="2">
        <v>37846</v>
      </c>
      <c r="B1329" t="s">
        <v>13</v>
      </c>
      <c r="D1329" s="2">
        <v>38577</v>
      </c>
      <c r="E1329">
        <v>6</v>
      </c>
      <c r="G1329" s="2">
        <v>38577</v>
      </c>
      <c r="H1329">
        <v>5.7480000000000002</v>
      </c>
      <c r="J1329" s="2">
        <v>38584</v>
      </c>
      <c r="K1329" s="3">
        <f t="shared" si="40"/>
        <v>6</v>
      </c>
      <c r="L1329" s="3">
        <f t="shared" si="41"/>
        <v>5.6509999999999998</v>
      </c>
    </row>
    <row r="1330" spans="1:12" x14ac:dyDescent="0.3">
      <c r="A1330" s="2">
        <v>37847</v>
      </c>
      <c r="B1330" t="s">
        <v>13</v>
      </c>
      <c r="D1330" s="2">
        <v>38578</v>
      </c>
      <c r="E1330">
        <v>6</v>
      </c>
      <c r="G1330" s="2">
        <v>38578</v>
      </c>
      <c r="H1330">
        <v>5.7480000000000002</v>
      </c>
      <c r="J1330" s="2">
        <v>38585</v>
      </c>
      <c r="K1330" s="3">
        <f t="shared" si="40"/>
        <v>6</v>
      </c>
      <c r="L1330" s="3">
        <f t="shared" si="41"/>
        <v>5.6509999999999998</v>
      </c>
    </row>
    <row r="1331" spans="1:12" x14ac:dyDescent="0.3">
      <c r="A1331" s="2">
        <v>37848</v>
      </c>
      <c r="B1331" t="s">
        <v>13</v>
      </c>
      <c r="D1331" s="2">
        <v>38579</v>
      </c>
      <c r="E1331">
        <v>6</v>
      </c>
      <c r="G1331" s="2">
        <v>38579</v>
      </c>
      <c r="H1331">
        <v>5.7480000000000002</v>
      </c>
      <c r="J1331" s="2">
        <v>38586</v>
      </c>
      <c r="K1331" s="3">
        <f t="shared" si="40"/>
        <v>6</v>
      </c>
      <c r="L1331" s="3">
        <f t="shared" si="41"/>
        <v>5.6239999999999997</v>
      </c>
    </row>
    <row r="1332" spans="1:12" x14ac:dyDescent="0.3">
      <c r="A1332" s="2">
        <v>37849</v>
      </c>
      <c r="B1332" t="s">
        <v>13</v>
      </c>
      <c r="D1332" s="2">
        <v>38580</v>
      </c>
      <c r="E1332">
        <v>6</v>
      </c>
      <c r="G1332" s="2">
        <v>38580</v>
      </c>
      <c r="H1332">
        <v>5.641</v>
      </c>
      <c r="J1332" s="2">
        <v>38587</v>
      </c>
      <c r="K1332" s="3">
        <f t="shared" si="40"/>
        <v>6</v>
      </c>
      <c r="L1332" s="3">
        <f t="shared" si="41"/>
        <v>5.5940000000000003</v>
      </c>
    </row>
    <row r="1333" spans="1:12" x14ac:dyDescent="0.3">
      <c r="A1333" s="2">
        <v>37850</v>
      </c>
      <c r="B1333" t="s">
        <v>13</v>
      </c>
      <c r="D1333" s="2">
        <v>38581</v>
      </c>
      <c r="E1333">
        <v>6</v>
      </c>
      <c r="G1333" s="2">
        <v>38581</v>
      </c>
      <c r="H1333">
        <v>5.6360000000000001</v>
      </c>
      <c r="J1333" s="2">
        <v>38588</v>
      </c>
      <c r="K1333" s="3">
        <f t="shared" si="40"/>
        <v>6</v>
      </c>
      <c r="L1333" s="3">
        <f t="shared" si="41"/>
        <v>5.609</v>
      </c>
    </row>
    <row r="1334" spans="1:12" x14ac:dyDescent="0.3">
      <c r="A1334" s="2">
        <v>37851</v>
      </c>
      <c r="B1334" t="s">
        <v>13</v>
      </c>
      <c r="D1334" s="2">
        <v>38582</v>
      </c>
      <c r="E1334">
        <v>6</v>
      </c>
      <c r="G1334" s="2">
        <v>38582</v>
      </c>
      <c r="H1334">
        <v>5.6470000000000002</v>
      </c>
      <c r="J1334" s="2">
        <v>38589</v>
      </c>
      <c r="K1334" s="3">
        <f t="shared" si="40"/>
        <v>6</v>
      </c>
      <c r="L1334" s="3">
        <f t="shared" si="41"/>
        <v>5.6310000000000002</v>
      </c>
    </row>
    <row r="1335" spans="1:12" x14ac:dyDescent="0.3">
      <c r="A1335" s="2">
        <v>37852</v>
      </c>
      <c r="B1335" t="s">
        <v>13</v>
      </c>
      <c r="D1335" s="2">
        <v>38583</v>
      </c>
      <c r="E1335">
        <v>6</v>
      </c>
      <c r="G1335" s="2">
        <v>38583</v>
      </c>
      <c r="H1335">
        <v>5.6509999999999998</v>
      </c>
      <c r="J1335" s="2">
        <v>38590</v>
      </c>
      <c r="K1335" s="3">
        <f t="shared" si="40"/>
        <v>6</v>
      </c>
      <c r="L1335" s="3">
        <f t="shared" si="41"/>
        <v>5.6029999999999998</v>
      </c>
    </row>
    <row r="1336" spans="1:12" x14ac:dyDescent="0.3">
      <c r="A1336" s="2">
        <v>37853</v>
      </c>
      <c r="B1336" t="s">
        <v>13</v>
      </c>
      <c r="D1336" s="2">
        <v>38584</v>
      </c>
      <c r="E1336">
        <v>6</v>
      </c>
      <c r="G1336" s="2">
        <v>38584</v>
      </c>
      <c r="H1336">
        <v>5.6509999999999998</v>
      </c>
      <c r="J1336" s="2">
        <v>38591</v>
      </c>
      <c r="K1336" s="3">
        <f t="shared" si="40"/>
        <v>6</v>
      </c>
      <c r="L1336" s="3">
        <f t="shared" si="41"/>
        <v>5.5720000000000001</v>
      </c>
    </row>
    <row r="1337" spans="1:12" x14ac:dyDescent="0.3">
      <c r="A1337" s="2">
        <v>37854</v>
      </c>
      <c r="B1337" t="s">
        <v>13</v>
      </c>
      <c r="D1337" s="2">
        <v>38585</v>
      </c>
      <c r="E1337">
        <v>6</v>
      </c>
      <c r="G1337" s="2">
        <v>38585</v>
      </c>
      <c r="H1337">
        <v>5.6509999999999998</v>
      </c>
      <c r="J1337" s="2">
        <v>38592</v>
      </c>
      <c r="K1337" s="3">
        <f t="shared" si="40"/>
        <v>6</v>
      </c>
      <c r="L1337" s="3">
        <f t="shared" si="41"/>
        <v>5.5720000000000001</v>
      </c>
    </row>
    <row r="1338" spans="1:12" x14ac:dyDescent="0.3">
      <c r="A1338" s="2">
        <v>37855</v>
      </c>
      <c r="B1338" t="s">
        <v>13</v>
      </c>
      <c r="D1338" s="2">
        <v>38586</v>
      </c>
      <c r="E1338">
        <v>6</v>
      </c>
      <c r="G1338" s="2">
        <v>38586</v>
      </c>
      <c r="H1338">
        <v>5.6239999999999997</v>
      </c>
      <c r="J1338" s="2">
        <v>38593</v>
      </c>
      <c r="K1338" s="3">
        <f t="shared" si="40"/>
        <v>6</v>
      </c>
      <c r="L1338" s="3">
        <f t="shared" si="41"/>
        <v>5.6459999999999999</v>
      </c>
    </row>
    <row r="1339" spans="1:12" x14ac:dyDescent="0.3">
      <c r="A1339" s="2">
        <v>37856</v>
      </c>
      <c r="B1339" t="s">
        <v>13</v>
      </c>
      <c r="D1339" s="2">
        <v>38587</v>
      </c>
      <c r="E1339">
        <v>6</v>
      </c>
      <c r="G1339" s="2">
        <v>38587</v>
      </c>
      <c r="H1339">
        <v>5.5940000000000003</v>
      </c>
      <c r="J1339" s="2">
        <v>38594</v>
      </c>
      <c r="K1339" s="3">
        <f t="shared" si="40"/>
        <v>6</v>
      </c>
      <c r="L1339" s="3">
        <f t="shared" si="41"/>
        <v>5.6539999999999999</v>
      </c>
    </row>
    <row r="1340" spans="1:12" x14ac:dyDescent="0.3">
      <c r="A1340" s="2">
        <v>37857</v>
      </c>
      <c r="B1340" t="s">
        <v>13</v>
      </c>
      <c r="D1340" s="2">
        <v>38588</v>
      </c>
      <c r="E1340">
        <v>6</v>
      </c>
      <c r="G1340" s="2">
        <v>38588</v>
      </c>
      <c r="H1340">
        <v>5.609</v>
      </c>
      <c r="J1340" s="2">
        <v>38595</v>
      </c>
      <c r="K1340" s="3">
        <f t="shared" si="40"/>
        <v>6</v>
      </c>
      <c r="L1340" s="3">
        <f t="shared" si="41"/>
        <v>5.6840000000000002</v>
      </c>
    </row>
    <row r="1341" spans="1:12" x14ac:dyDescent="0.3">
      <c r="A1341" s="2">
        <v>37858</v>
      </c>
      <c r="B1341" t="s">
        <v>13</v>
      </c>
      <c r="D1341" s="2">
        <v>38589</v>
      </c>
      <c r="E1341">
        <v>6</v>
      </c>
      <c r="G1341" s="2">
        <v>38589</v>
      </c>
      <c r="H1341">
        <v>5.6310000000000002</v>
      </c>
      <c r="J1341" s="2">
        <v>38596</v>
      </c>
      <c r="K1341" s="3">
        <f t="shared" si="40"/>
        <v>6</v>
      </c>
      <c r="L1341" s="3">
        <f t="shared" si="41"/>
        <v>5.6859999999999999</v>
      </c>
    </row>
    <row r="1342" spans="1:12" x14ac:dyDescent="0.3">
      <c r="A1342" s="2">
        <v>37859</v>
      </c>
      <c r="B1342" t="s">
        <v>13</v>
      </c>
      <c r="D1342" s="2">
        <v>38590</v>
      </c>
      <c r="E1342">
        <v>6</v>
      </c>
      <c r="G1342" s="2">
        <v>38590</v>
      </c>
      <c r="H1342">
        <v>5.6029999999999998</v>
      </c>
      <c r="J1342" s="2">
        <v>38597</v>
      </c>
      <c r="K1342" s="3">
        <f t="shared" si="40"/>
        <v>6</v>
      </c>
      <c r="L1342" s="3">
        <f t="shared" si="41"/>
        <v>5.6349999999999998</v>
      </c>
    </row>
    <row r="1343" spans="1:12" x14ac:dyDescent="0.3">
      <c r="A1343" s="2">
        <v>37860</v>
      </c>
      <c r="B1343" t="s">
        <v>13</v>
      </c>
      <c r="D1343" s="2">
        <v>38591</v>
      </c>
      <c r="E1343">
        <v>6</v>
      </c>
      <c r="G1343" s="2">
        <v>38591</v>
      </c>
      <c r="H1343">
        <v>5.5720000000000001</v>
      </c>
      <c r="J1343" s="2">
        <v>38598</v>
      </c>
      <c r="K1343" s="3">
        <f t="shared" si="40"/>
        <v>6</v>
      </c>
      <c r="L1343" s="3">
        <f t="shared" si="41"/>
        <v>5.61</v>
      </c>
    </row>
    <row r="1344" spans="1:12" x14ac:dyDescent="0.3">
      <c r="A1344" s="2">
        <v>37861</v>
      </c>
      <c r="B1344" t="s">
        <v>13</v>
      </c>
      <c r="D1344" s="2">
        <v>38592</v>
      </c>
      <c r="E1344">
        <v>6</v>
      </c>
      <c r="G1344" s="2">
        <v>38592</v>
      </c>
      <c r="H1344">
        <v>5.5720000000000001</v>
      </c>
      <c r="J1344" s="2">
        <v>38599</v>
      </c>
      <c r="K1344" s="3">
        <f t="shared" si="40"/>
        <v>6</v>
      </c>
      <c r="L1344" s="3">
        <f t="shared" si="41"/>
        <v>5.61</v>
      </c>
    </row>
    <row r="1345" spans="1:12" x14ac:dyDescent="0.3">
      <c r="A1345" s="2">
        <v>37862</v>
      </c>
      <c r="B1345" t="s">
        <v>13</v>
      </c>
      <c r="D1345" s="2">
        <v>38593</v>
      </c>
      <c r="E1345">
        <v>6</v>
      </c>
      <c r="G1345" s="2">
        <v>38593</v>
      </c>
      <c r="H1345">
        <v>5.6459999999999999</v>
      </c>
      <c r="J1345" s="2">
        <v>38600</v>
      </c>
      <c r="K1345" s="3">
        <f t="shared" si="40"/>
        <v>6</v>
      </c>
      <c r="L1345" s="3">
        <f t="shared" si="41"/>
        <v>5.569</v>
      </c>
    </row>
    <row r="1346" spans="1:12" x14ac:dyDescent="0.3">
      <c r="A1346" s="2">
        <v>37863</v>
      </c>
      <c r="B1346" t="s">
        <v>13</v>
      </c>
      <c r="D1346" s="2">
        <v>38594</v>
      </c>
      <c r="E1346">
        <v>6</v>
      </c>
      <c r="G1346" s="2">
        <v>38594</v>
      </c>
      <c r="H1346">
        <v>5.6539999999999999</v>
      </c>
      <c r="J1346" s="2">
        <v>38601</v>
      </c>
      <c r="K1346" s="3">
        <f t="shared" si="40"/>
        <v>6</v>
      </c>
      <c r="L1346" s="3">
        <f t="shared" si="41"/>
        <v>5.5670000000000002</v>
      </c>
    </row>
    <row r="1347" spans="1:12" x14ac:dyDescent="0.3">
      <c r="A1347" s="2">
        <v>37864</v>
      </c>
      <c r="B1347" t="s">
        <v>13</v>
      </c>
      <c r="D1347" s="2">
        <v>38595</v>
      </c>
      <c r="E1347">
        <v>6</v>
      </c>
      <c r="G1347" s="2">
        <v>38595</v>
      </c>
      <c r="H1347">
        <v>5.6840000000000002</v>
      </c>
      <c r="J1347" s="2">
        <v>38602</v>
      </c>
      <c r="K1347" s="3">
        <f t="shared" ref="K1347:K1410" si="42">E1354</f>
        <v>6</v>
      </c>
      <c r="L1347" s="3">
        <f t="shared" ref="L1347:L1410" si="43">H1354</f>
        <v>5.5670000000000002</v>
      </c>
    </row>
    <row r="1348" spans="1:12" x14ac:dyDescent="0.3">
      <c r="A1348" s="2">
        <v>37865</v>
      </c>
      <c r="B1348" t="s">
        <v>13</v>
      </c>
      <c r="D1348" s="2">
        <v>38596</v>
      </c>
      <c r="E1348">
        <v>6</v>
      </c>
      <c r="G1348" s="2">
        <v>38596</v>
      </c>
      <c r="H1348">
        <v>5.6859999999999999</v>
      </c>
      <c r="J1348" s="2">
        <v>38603</v>
      </c>
      <c r="K1348" s="3">
        <f t="shared" si="42"/>
        <v>6</v>
      </c>
      <c r="L1348" s="3">
        <f t="shared" si="43"/>
        <v>5.5460000000000003</v>
      </c>
    </row>
    <row r="1349" spans="1:12" x14ac:dyDescent="0.3">
      <c r="A1349" s="2">
        <v>37866</v>
      </c>
      <c r="B1349" t="s">
        <v>13</v>
      </c>
      <c r="D1349" s="2">
        <v>38597</v>
      </c>
      <c r="E1349">
        <v>6</v>
      </c>
      <c r="G1349" s="2">
        <v>38597</v>
      </c>
      <c r="H1349">
        <v>5.6349999999999998</v>
      </c>
      <c r="J1349" s="2">
        <v>38604</v>
      </c>
      <c r="K1349" s="3">
        <f t="shared" si="42"/>
        <v>6</v>
      </c>
      <c r="L1349" s="3">
        <f t="shared" si="43"/>
        <v>5.58</v>
      </c>
    </row>
    <row r="1350" spans="1:12" x14ac:dyDescent="0.3">
      <c r="A1350" s="2">
        <v>37867</v>
      </c>
      <c r="B1350" t="s">
        <v>13</v>
      </c>
      <c r="D1350" s="2">
        <v>38598</v>
      </c>
      <c r="E1350">
        <v>6</v>
      </c>
      <c r="G1350" s="2">
        <v>38598</v>
      </c>
      <c r="H1350">
        <v>5.61</v>
      </c>
      <c r="J1350" s="2">
        <v>38605</v>
      </c>
      <c r="K1350" s="3">
        <f t="shared" si="42"/>
        <v>6</v>
      </c>
      <c r="L1350" s="3">
        <f t="shared" si="43"/>
        <v>5.5949999999999998</v>
      </c>
    </row>
    <row r="1351" spans="1:12" x14ac:dyDescent="0.3">
      <c r="A1351" s="2">
        <v>37868</v>
      </c>
      <c r="B1351" t="s">
        <v>13</v>
      </c>
      <c r="D1351" s="2">
        <v>38599</v>
      </c>
      <c r="E1351">
        <v>6</v>
      </c>
      <c r="G1351" s="2">
        <v>38599</v>
      </c>
      <c r="H1351">
        <v>5.61</v>
      </c>
      <c r="J1351" s="2">
        <v>38606</v>
      </c>
      <c r="K1351" s="3">
        <f t="shared" si="42"/>
        <v>6</v>
      </c>
      <c r="L1351" s="3">
        <f t="shared" si="43"/>
        <v>5.5949999999999998</v>
      </c>
    </row>
    <row r="1352" spans="1:12" x14ac:dyDescent="0.3">
      <c r="A1352" s="2">
        <v>37869</v>
      </c>
      <c r="B1352" t="s">
        <v>13</v>
      </c>
      <c r="D1352" s="2">
        <v>38600</v>
      </c>
      <c r="E1352">
        <v>6</v>
      </c>
      <c r="G1352" s="2">
        <v>38600</v>
      </c>
      <c r="H1352">
        <v>5.569</v>
      </c>
      <c r="J1352" s="2">
        <v>38607</v>
      </c>
      <c r="K1352" s="3">
        <f t="shared" si="42"/>
        <v>6</v>
      </c>
      <c r="L1352" s="3">
        <f t="shared" si="43"/>
        <v>5.6059999999999999</v>
      </c>
    </row>
    <row r="1353" spans="1:12" x14ac:dyDescent="0.3">
      <c r="A1353" s="2">
        <v>37870</v>
      </c>
      <c r="B1353" t="s">
        <v>13</v>
      </c>
      <c r="D1353" s="2">
        <v>38601</v>
      </c>
      <c r="E1353">
        <v>6</v>
      </c>
      <c r="G1353" s="2">
        <v>38601</v>
      </c>
      <c r="H1353">
        <v>5.5670000000000002</v>
      </c>
      <c r="J1353" s="2">
        <v>38608</v>
      </c>
      <c r="K1353" s="3">
        <f t="shared" si="42"/>
        <v>6</v>
      </c>
      <c r="L1353" s="3">
        <f t="shared" si="43"/>
        <v>5.61</v>
      </c>
    </row>
    <row r="1354" spans="1:12" x14ac:dyDescent="0.3">
      <c r="A1354" s="2">
        <v>37871</v>
      </c>
      <c r="B1354" t="s">
        <v>13</v>
      </c>
      <c r="D1354" s="2">
        <v>38602</v>
      </c>
      <c r="E1354">
        <v>6</v>
      </c>
      <c r="G1354" s="2">
        <v>38602</v>
      </c>
      <c r="H1354">
        <v>5.5670000000000002</v>
      </c>
      <c r="J1354" s="2">
        <v>38609</v>
      </c>
      <c r="K1354" s="3">
        <f t="shared" si="42"/>
        <v>6</v>
      </c>
      <c r="L1354" s="3">
        <f t="shared" si="43"/>
        <v>5.62</v>
      </c>
    </row>
    <row r="1355" spans="1:12" x14ac:dyDescent="0.3">
      <c r="A1355" s="2">
        <v>37872</v>
      </c>
      <c r="B1355" t="s">
        <v>13</v>
      </c>
      <c r="D1355" s="2">
        <v>38603</v>
      </c>
      <c r="E1355">
        <v>6</v>
      </c>
      <c r="G1355" s="2">
        <v>38603</v>
      </c>
      <c r="H1355">
        <v>5.5460000000000003</v>
      </c>
      <c r="J1355" s="2">
        <v>38610</v>
      </c>
      <c r="K1355" s="3">
        <f t="shared" si="42"/>
        <v>6</v>
      </c>
      <c r="L1355" s="3">
        <f t="shared" si="43"/>
        <v>5.5979999999999999</v>
      </c>
    </row>
    <row r="1356" spans="1:12" x14ac:dyDescent="0.3">
      <c r="A1356" s="2">
        <v>37873</v>
      </c>
      <c r="B1356" t="s">
        <v>13</v>
      </c>
      <c r="D1356" s="2">
        <v>38604</v>
      </c>
      <c r="E1356">
        <v>6</v>
      </c>
      <c r="G1356" s="2">
        <v>38604</v>
      </c>
      <c r="H1356">
        <v>5.58</v>
      </c>
      <c r="J1356" s="2">
        <v>38611</v>
      </c>
      <c r="K1356" s="3">
        <f t="shared" si="42"/>
        <v>6</v>
      </c>
      <c r="L1356" s="3">
        <f t="shared" si="43"/>
        <v>5.5750000000000002</v>
      </c>
    </row>
    <row r="1357" spans="1:12" x14ac:dyDescent="0.3">
      <c r="A1357" s="2">
        <v>37874</v>
      </c>
      <c r="B1357" t="s">
        <v>13</v>
      </c>
      <c r="D1357" s="2">
        <v>38605</v>
      </c>
      <c r="E1357">
        <v>6</v>
      </c>
      <c r="G1357" s="2">
        <v>38605</v>
      </c>
      <c r="H1357">
        <v>5.5949999999999998</v>
      </c>
      <c r="J1357" s="2">
        <v>38612</v>
      </c>
      <c r="K1357" s="3">
        <f t="shared" si="42"/>
        <v>6</v>
      </c>
      <c r="L1357" s="3">
        <f t="shared" si="43"/>
        <v>5.6150000000000002</v>
      </c>
    </row>
    <row r="1358" spans="1:12" x14ac:dyDescent="0.3">
      <c r="A1358" s="2">
        <v>37875</v>
      </c>
      <c r="B1358" t="s">
        <v>13</v>
      </c>
      <c r="D1358" s="2">
        <v>38606</v>
      </c>
      <c r="E1358">
        <v>6</v>
      </c>
      <c r="G1358" s="2">
        <v>38606</v>
      </c>
      <c r="H1358">
        <v>5.5949999999999998</v>
      </c>
      <c r="J1358" s="2">
        <v>38613</v>
      </c>
      <c r="K1358" s="3">
        <f t="shared" si="42"/>
        <v>6</v>
      </c>
      <c r="L1358" s="3">
        <f t="shared" si="43"/>
        <v>5.6150000000000002</v>
      </c>
    </row>
    <row r="1359" spans="1:12" x14ac:dyDescent="0.3">
      <c r="A1359" s="2">
        <v>37876</v>
      </c>
      <c r="B1359" t="s">
        <v>13</v>
      </c>
      <c r="D1359" s="2">
        <v>38607</v>
      </c>
      <c r="E1359">
        <v>6</v>
      </c>
      <c r="G1359" s="2">
        <v>38607</v>
      </c>
      <c r="H1359">
        <v>5.6059999999999999</v>
      </c>
      <c r="J1359" s="2">
        <v>38614</v>
      </c>
      <c r="K1359" s="3">
        <f t="shared" si="42"/>
        <v>6</v>
      </c>
      <c r="L1359" s="3">
        <f t="shared" si="43"/>
        <v>5.5529999999999999</v>
      </c>
    </row>
    <row r="1360" spans="1:12" x14ac:dyDescent="0.3">
      <c r="A1360" s="2">
        <v>37877</v>
      </c>
      <c r="B1360" t="s">
        <v>13</v>
      </c>
      <c r="D1360" s="2">
        <v>38608</v>
      </c>
      <c r="E1360">
        <v>6</v>
      </c>
      <c r="G1360" s="2">
        <v>38608</v>
      </c>
      <c r="H1360">
        <v>5.61</v>
      </c>
      <c r="J1360" s="2">
        <v>38615</v>
      </c>
      <c r="K1360" s="3">
        <f t="shared" si="42"/>
        <v>6</v>
      </c>
      <c r="L1360" s="3">
        <f t="shared" si="43"/>
        <v>5.6130000000000004</v>
      </c>
    </row>
    <row r="1361" spans="1:12" x14ac:dyDescent="0.3">
      <c r="A1361" s="2">
        <v>37878</v>
      </c>
      <c r="B1361" t="s">
        <v>13</v>
      </c>
      <c r="D1361" s="2">
        <v>38609</v>
      </c>
      <c r="E1361">
        <v>6</v>
      </c>
      <c r="G1361" s="2">
        <v>38609</v>
      </c>
      <c r="H1361">
        <v>5.62</v>
      </c>
      <c r="J1361" s="2">
        <v>38616</v>
      </c>
      <c r="K1361" s="3">
        <f t="shared" si="42"/>
        <v>6</v>
      </c>
      <c r="L1361" s="3">
        <f t="shared" si="43"/>
        <v>5.633</v>
      </c>
    </row>
    <row r="1362" spans="1:12" x14ac:dyDescent="0.3">
      <c r="A1362" s="2">
        <v>37879</v>
      </c>
      <c r="B1362" t="s">
        <v>13</v>
      </c>
      <c r="D1362" s="2">
        <v>38610</v>
      </c>
      <c r="E1362">
        <v>6</v>
      </c>
      <c r="G1362" s="2">
        <v>38610</v>
      </c>
      <c r="H1362">
        <v>5.5979999999999999</v>
      </c>
      <c r="J1362" s="2">
        <v>38617</v>
      </c>
      <c r="K1362" s="3">
        <f t="shared" si="42"/>
        <v>6</v>
      </c>
      <c r="L1362" s="3">
        <f t="shared" si="43"/>
        <v>5.6849999999999996</v>
      </c>
    </row>
    <row r="1363" spans="1:12" x14ac:dyDescent="0.3">
      <c r="A1363" s="2">
        <v>37880</v>
      </c>
      <c r="B1363" t="s">
        <v>13</v>
      </c>
      <c r="D1363" s="2">
        <v>38611</v>
      </c>
      <c r="E1363">
        <v>6</v>
      </c>
      <c r="G1363" s="2">
        <v>38611</v>
      </c>
      <c r="H1363">
        <v>5.5750000000000002</v>
      </c>
      <c r="J1363" s="2">
        <v>38618</v>
      </c>
      <c r="K1363" s="3">
        <f t="shared" si="42"/>
        <v>6</v>
      </c>
      <c r="L1363" s="3">
        <f t="shared" si="43"/>
        <v>5.6829999999999998</v>
      </c>
    </row>
    <row r="1364" spans="1:12" x14ac:dyDescent="0.3">
      <c r="A1364" s="2">
        <v>37881</v>
      </c>
      <c r="B1364" t="s">
        <v>13</v>
      </c>
      <c r="D1364" s="2">
        <v>38612</v>
      </c>
      <c r="E1364">
        <v>6</v>
      </c>
      <c r="G1364" s="2">
        <v>38612</v>
      </c>
      <c r="H1364">
        <v>5.6150000000000002</v>
      </c>
      <c r="J1364" s="2">
        <v>38619</v>
      </c>
      <c r="K1364" s="3">
        <f t="shared" si="42"/>
        <v>6</v>
      </c>
      <c r="L1364" s="3">
        <f t="shared" si="43"/>
        <v>5.6950000000000003</v>
      </c>
    </row>
    <row r="1365" spans="1:12" x14ac:dyDescent="0.3">
      <c r="A1365" s="2">
        <v>37882</v>
      </c>
      <c r="B1365" t="s">
        <v>13</v>
      </c>
      <c r="D1365" s="2">
        <v>38613</v>
      </c>
      <c r="E1365">
        <v>6</v>
      </c>
      <c r="G1365" s="2">
        <v>38613</v>
      </c>
      <c r="H1365">
        <v>5.6150000000000002</v>
      </c>
      <c r="J1365" s="2">
        <v>38620</v>
      </c>
      <c r="K1365" s="3">
        <f t="shared" si="42"/>
        <v>6</v>
      </c>
      <c r="L1365" s="3">
        <f t="shared" si="43"/>
        <v>5.6950000000000003</v>
      </c>
    </row>
    <row r="1366" spans="1:12" x14ac:dyDescent="0.3">
      <c r="A1366" s="2">
        <v>37883</v>
      </c>
      <c r="B1366" t="s">
        <v>13</v>
      </c>
      <c r="D1366" s="2">
        <v>38614</v>
      </c>
      <c r="E1366">
        <v>6</v>
      </c>
      <c r="G1366" s="2">
        <v>38614</v>
      </c>
      <c r="H1366">
        <v>5.5529999999999999</v>
      </c>
      <c r="J1366" s="2">
        <v>38621</v>
      </c>
      <c r="K1366" s="3">
        <f t="shared" si="42"/>
        <v>6</v>
      </c>
      <c r="L1366" s="3">
        <f t="shared" si="43"/>
        <v>5.7389999999999999</v>
      </c>
    </row>
    <row r="1367" spans="1:12" x14ac:dyDescent="0.3">
      <c r="A1367" s="2">
        <v>37884</v>
      </c>
      <c r="B1367" t="s">
        <v>13</v>
      </c>
      <c r="D1367" s="2">
        <v>38615</v>
      </c>
      <c r="E1367">
        <v>6</v>
      </c>
      <c r="G1367" s="2">
        <v>38615</v>
      </c>
      <c r="H1367">
        <v>5.6130000000000004</v>
      </c>
      <c r="J1367" s="2">
        <v>38622</v>
      </c>
      <c r="K1367" s="3">
        <f t="shared" si="42"/>
        <v>6</v>
      </c>
      <c r="L1367" s="3">
        <f t="shared" si="43"/>
        <v>5.8360000000000003</v>
      </c>
    </row>
    <row r="1368" spans="1:12" x14ac:dyDescent="0.3">
      <c r="A1368" s="2">
        <v>37885</v>
      </c>
      <c r="B1368" t="s">
        <v>13</v>
      </c>
      <c r="D1368" s="2">
        <v>38616</v>
      </c>
      <c r="E1368">
        <v>6</v>
      </c>
      <c r="G1368" s="2">
        <v>38616</v>
      </c>
      <c r="H1368">
        <v>5.633</v>
      </c>
      <c r="J1368" s="2">
        <v>38623</v>
      </c>
      <c r="K1368" s="3">
        <f t="shared" si="42"/>
        <v>6</v>
      </c>
      <c r="L1368" s="3">
        <f t="shared" si="43"/>
        <v>5.8460000000000001</v>
      </c>
    </row>
    <row r="1369" spans="1:12" x14ac:dyDescent="0.3">
      <c r="A1369" s="2">
        <v>37886</v>
      </c>
      <c r="B1369" t="s">
        <v>13</v>
      </c>
      <c r="D1369" s="2">
        <v>38617</v>
      </c>
      <c r="E1369">
        <v>6</v>
      </c>
      <c r="G1369" s="2">
        <v>38617</v>
      </c>
      <c r="H1369">
        <v>5.6849999999999996</v>
      </c>
      <c r="J1369" s="2">
        <v>38624</v>
      </c>
      <c r="K1369" s="3">
        <f t="shared" si="42"/>
        <v>6</v>
      </c>
      <c r="L1369" s="3">
        <f t="shared" si="43"/>
        <v>5.835</v>
      </c>
    </row>
    <row r="1370" spans="1:12" x14ac:dyDescent="0.3">
      <c r="A1370" s="2">
        <v>37887</v>
      </c>
      <c r="B1370" t="s">
        <v>13</v>
      </c>
      <c r="D1370" s="2">
        <v>38618</v>
      </c>
      <c r="E1370">
        <v>6</v>
      </c>
      <c r="G1370" s="2">
        <v>38618</v>
      </c>
      <c r="H1370">
        <v>5.6829999999999998</v>
      </c>
      <c r="J1370" s="2">
        <v>38625</v>
      </c>
      <c r="K1370" s="3">
        <f t="shared" si="42"/>
        <v>6</v>
      </c>
      <c r="L1370" s="3">
        <f t="shared" si="43"/>
        <v>5.7930000000000001</v>
      </c>
    </row>
    <row r="1371" spans="1:12" x14ac:dyDescent="0.3">
      <c r="A1371" s="2">
        <v>37888</v>
      </c>
      <c r="B1371" t="s">
        <v>13</v>
      </c>
      <c r="D1371" s="2">
        <v>38619</v>
      </c>
      <c r="E1371">
        <v>6</v>
      </c>
      <c r="G1371" s="2">
        <v>38619</v>
      </c>
      <c r="H1371">
        <v>5.6950000000000003</v>
      </c>
      <c r="J1371" s="2">
        <v>38626</v>
      </c>
      <c r="K1371" s="3">
        <f t="shared" si="42"/>
        <v>6</v>
      </c>
      <c r="L1371" s="3">
        <f t="shared" si="43"/>
        <v>5.82</v>
      </c>
    </row>
    <row r="1372" spans="1:12" x14ac:dyDescent="0.3">
      <c r="A1372" s="2">
        <v>37889</v>
      </c>
      <c r="B1372" t="s">
        <v>13</v>
      </c>
      <c r="D1372" s="2">
        <v>38620</v>
      </c>
      <c r="E1372">
        <v>6</v>
      </c>
      <c r="G1372" s="2">
        <v>38620</v>
      </c>
      <c r="H1372">
        <v>5.6950000000000003</v>
      </c>
      <c r="J1372" s="2">
        <v>38627</v>
      </c>
      <c r="K1372" s="3">
        <f t="shared" si="42"/>
        <v>6</v>
      </c>
      <c r="L1372" s="3">
        <f t="shared" si="43"/>
        <v>5.82</v>
      </c>
    </row>
    <row r="1373" spans="1:12" x14ac:dyDescent="0.3">
      <c r="A1373" s="2">
        <v>37890</v>
      </c>
      <c r="B1373" t="s">
        <v>13</v>
      </c>
      <c r="D1373" s="2">
        <v>38621</v>
      </c>
      <c r="E1373">
        <v>6</v>
      </c>
      <c r="G1373" s="2">
        <v>38621</v>
      </c>
      <c r="H1373">
        <v>5.7389999999999999</v>
      </c>
      <c r="J1373" s="2">
        <v>38628</v>
      </c>
      <c r="K1373" s="3">
        <f t="shared" si="42"/>
        <v>6</v>
      </c>
      <c r="L1373" s="3">
        <f t="shared" si="43"/>
        <v>5.7910000000000004</v>
      </c>
    </row>
    <row r="1374" spans="1:12" x14ac:dyDescent="0.3">
      <c r="A1374" s="2">
        <v>37891</v>
      </c>
      <c r="B1374" t="s">
        <v>13</v>
      </c>
      <c r="D1374" s="2">
        <v>38622</v>
      </c>
      <c r="E1374">
        <v>6</v>
      </c>
      <c r="G1374" s="2">
        <v>38622</v>
      </c>
      <c r="H1374">
        <v>5.8360000000000003</v>
      </c>
      <c r="J1374" s="2">
        <v>38629</v>
      </c>
      <c r="K1374" s="3">
        <f t="shared" si="42"/>
        <v>6</v>
      </c>
      <c r="L1374" s="3">
        <f t="shared" si="43"/>
        <v>5.7869999999999999</v>
      </c>
    </row>
    <row r="1375" spans="1:12" x14ac:dyDescent="0.3">
      <c r="A1375" s="2">
        <v>37892</v>
      </c>
      <c r="B1375" t="s">
        <v>13</v>
      </c>
      <c r="D1375" s="2">
        <v>38623</v>
      </c>
      <c r="E1375">
        <v>6</v>
      </c>
      <c r="G1375" s="2">
        <v>38623</v>
      </c>
      <c r="H1375">
        <v>5.8460000000000001</v>
      </c>
      <c r="J1375" s="2">
        <v>38630</v>
      </c>
      <c r="K1375" s="3">
        <f t="shared" si="42"/>
        <v>6</v>
      </c>
      <c r="L1375" s="3">
        <f t="shared" si="43"/>
        <v>5.7619999999999996</v>
      </c>
    </row>
    <row r="1376" spans="1:12" x14ac:dyDescent="0.3">
      <c r="A1376" s="2">
        <v>37893</v>
      </c>
      <c r="B1376" t="s">
        <v>13</v>
      </c>
      <c r="D1376" s="2">
        <v>38624</v>
      </c>
      <c r="E1376">
        <v>6</v>
      </c>
      <c r="G1376" s="2">
        <v>38624</v>
      </c>
      <c r="H1376">
        <v>5.835</v>
      </c>
      <c r="J1376" s="2">
        <v>38631</v>
      </c>
      <c r="K1376" s="3">
        <f t="shared" si="42"/>
        <v>6</v>
      </c>
      <c r="L1376" s="3">
        <f t="shared" si="43"/>
        <v>5.7789999999999999</v>
      </c>
    </row>
    <row r="1377" spans="1:12" x14ac:dyDescent="0.3">
      <c r="A1377" s="2">
        <v>37894</v>
      </c>
      <c r="B1377" t="s">
        <v>13</v>
      </c>
      <c r="D1377" s="2">
        <v>38625</v>
      </c>
      <c r="E1377">
        <v>6</v>
      </c>
      <c r="G1377" s="2">
        <v>38625</v>
      </c>
      <c r="H1377">
        <v>5.7930000000000001</v>
      </c>
      <c r="J1377" s="2">
        <v>38632</v>
      </c>
      <c r="K1377" s="3">
        <f t="shared" si="42"/>
        <v>6</v>
      </c>
      <c r="L1377" s="3">
        <f t="shared" si="43"/>
        <v>5.758</v>
      </c>
    </row>
    <row r="1378" spans="1:12" x14ac:dyDescent="0.3">
      <c r="A1378" s="2">
        <v>37895</v>
      </c>
      <c r="B1378" t="s">
        <v>13</v>
      </c>
      <c r="D1378" s="2">
        <v>38626</v>
      </c>
      <c r="E1378">
        <v>6</v>
      </c>
      <c r="G1378" s="2">
        <v>38626</v>
      </c>
      <c r="H1378">
        <v>5.82</v>
      </c>
      <c r="J1378" s="2">
        <v>38633</v>
      </c>
      <c r="K1378" s="3">
        <f t="shared" si="42"/>
        <v>6</v>
      </c>
      <c r="L1378" s="3">
        <f t="shared" si="43"/>
        <v>5.758</v>
      </c>
    </row>
    <row r="1379" spans="1:12" x14ac:dyDescent="0.3">
      <c r="A1379" s="2">
        <v>37896</v>
      </c>
      <c r="B1379" t="s">
        <v>13</v>
      </c>
      <c r="D1379" s="2">
        <v>38627</v>
      </c>
      <c r="E1379">
        <v>6</v>
      </c>
      <c r="G1379" s="2">
        <v>38627</v>
      </c>
      <c r="H1379">
        <v>5.82</v>
      </c>
      <c r="J1379" s="2">
        <v>38634</v>
      </c>
      <c r="K1379" s="3">
        <f t="shared" si="42"/>
        <v>6</v>
      </c>
      <c r="L1379" s="3">
        <f t="shared" si="43"/>
        <v>5.758</v>
      </c>
    </row>
    <row r="1380" spans="1:12" x14ac:dyDescent="0.3">
      <c r="A1380" s="2">
        <v>37897</v>
      </c>
      <c r="B1380" t="s">
        <v>13</v>
      </c>
      <c r="D1380" s="2">
        <v>38628</v>
      </c>
      <c r="E1380">
        <v>6</v>
      </c>
      <c r="G1380" s="2">
        <v>38628</v>
      </c>
      <c r="H1380">
        <v>5.7910000000000004</v>
      </c>
      <c r="J1380" s="2">
        <v>38635</v>
      </c>
      <c r="K1380" s="3">
        <f t="shared" si="42"/>
        <v>6</v>
      </c>
      <c r="L1380" s="3">
        <f t="shared" si="43"/>
        <v>5.7729999999999997</v>
      </c>
    </row>
    <row r="1381" spans="1:12" x14ac:dyDescent="0.3">
      <c r="A1381" s="2">
        <v>37898</v>
      </c>
      <c r="B1381" t="s">
        <v>13</v>
      </c>
      <c r="D1381" s="2">
        <v>38629</v>
      </c>
      <c r="E1381">
        <v>6</v>
      </c>
      <c r="G1381" s="2">
        <v>38629</v>
      </c>
      <c r="H1381">
        <v>5.7869999999999999</v>
      </c>
      <c r="J1381" s="2">
        <v>38636</v>
      </c>
      <c r="K1381" s="3">
        <f t="shared" si="42"/>
        <v>6</v>
      </c>
      <c r="L1381" s="3">
        <f t="shared" si="43"/>
        <v>5.7759999999999998</v>
      </c>
    </row>
    <row r="1382" spans="1:12" x14ac:dyDescent="0.3">
      <c r="A1382" s="2">
        <v>37899</v>
      </c>
      <c r="B1382" t="s">
        <v>13</v>
      </c>
      <c r="D1382" s="2">
        <v>38630</v>
      </c>
      <c r="E1382">
        <v>6</v>
      </c>
      <c r="G1382" s="2">
        <v>38630</v>
      </c>
      <c r="H1382">
        <v>5.7619999999999996</v>
      </c>
      <c r="J1382" s="2">
        <v>38637</v>
      </c>
      <c r="K1382" s="3">
        <f t="shared" si="42"/>
        <v>6</v>
      </c>
      <c r="L1382" s="3">
        <f t="shared" si="43"/>
        <v>5.7759999999999998</v>
      </c>
    </row>
    <row r="1383" spans="1:12" x14ac:dyDescent="0.3">
      <c r="A1383" s="2">
        <v>37900</v>
      </c>
      <c r="B1383" t="s">
        <v>13</v>
      </c>
      <c r="D1383" s="2">
        <v>38631</v>
      </c>
      <c r="E1383">
        <v>6</v>
      </c>
      <c r="G1383" s="2">
        <v>38631</v>
      </c>
      <c r="H1383">
        <v>5.7789999999999999</v>
      </c>
      <c r="J1383" s="2">
        <v>38638</v>
      </c>
      <c r="K1383" s="3">
        <f t="shared" si="42"/>
        <v>6</v>
      </c>
      <c r="L1383" s="3">
        <f t="shared" si="43"/>
        <v>5.7770000000000001</v>
      </c>
    </row>
    <row r="1384" spans="1:12" x14ac:dyDescent="0.3">
      <c r="A1384" s="2">
        <v>37901</v>
      </c>
      <c r="B1384" t="s">
        <v>13</v>
      </c>
      <c r="D1384" s="2">
        <v>38632</v>
      </c>
      <c r="E1384">
        <v>6</v>
      </c>
      <c r="G1384" s="2">
        <v>38632</v>
      </c>
      <c r="H1384">
        <v>5.758</v>
      </c>
      <c r="J1384" s="2">
        <v>38639</v>
      </c>
      <c r="K1384" s="3">
        <f t="shared" si="42"/>
        <v>6</v>
      </c>
      <c r="L1384" s="3">
        <f t="shared" si="43"/>
        <v>5.8010000000000002</v>
      </c>
    </row>
    <row r="1385" spans="1:12" x14ac:dyDescent="0.3">
      <c r="A1385" s="2">
        <v>37902</v>
      </c>
      <c r="B1385" t="s">
        <v>13</v>
      </c>
      <c r="D1385" s="2">
        <v>38633</v>
      </c>
      <c r="E1385">
        <v>6</v>
      </c>
      <c r="G1385" s="2">
        <v>38633</v>
      </c>
      <c r="H1385">
        <v>5.758</v>
      </c>
      <c r="J1385" s="2">
        <v>38640</v>
      </c>
      <c r="K1385" s="3">
        <f t="shared" si="42"/>
        <v>6</v>
      </c>
      <c r="L1385" s="3">
        <f t="shared" si="43"/>
        <v>5.8010000000000002</v>
      </c>
    </row>
    <row r="1386" spans="1:12" x14ac:dyDescent="0.3">
      <c r="A1386" s="2">
        <v>37903</v>
      </c>
      <c r="B1386" t="s">
        <v>13</v>
      </c>
      <c r="D1386" s="2">
        <v>38634</v>
      </c>
      <c r="E1386">
        <v>6</v>
      </c>
      <c r="G1386" s="2">
        <v>38634</v>
      </c>
      <c r="H1386">
        <v>5.758</v>
      </c>
      <c r="J1386" s="2">
        <v>38641</v>
      </c>
      <c r="K1386" s="3">
        <f t="shared" si="42"/>
        <v>6</v>
      </c>
      <c r="L1386" s="3">
        <f t="shared" si="43"/>
        <v>5.8010000000000002</v>
      </c>
    </row>
    <row r="1387" spans="1:12" x14ac:dyDescent="0.3">
      <c r="A1387" s="2">
        <v>37904</v>
      </c>
      <c r="B1387" t="s">
        <v>13</v>
      </c>
      <c r="D1387" s="2">
        <v>38635</v>
      </c>
      <c r="E1387">
        <v>6</v>
      </c>
      <c r="G1387" s="2">
        <v>38635</v>
      </c>
      <c r="H1387">
        <v>5.7729999999999997</v>
      </c>
      <c r="J1387" s="2">
        <v>38642</v>
      </c>
      <c r="K1387" s="3">
        <f t="shared" si="42"/>
        <v>6</v>
      </c>
      <c r="L1387" s="3">
        <f t="shared" si="43"/>
        <v>5.8019999999999996</v>
      </c>
    </row>
    <row r="1388" spans="1:12" x14ac:dyDescent="0.3">
      <c r="A1388" s="2">
        <v>37905</v>
      </c>
      <c r="B1388" t="s">
        <v>13</v>
      </c>
      <c r="D1388" s="2">
        <v>38636</v>
      </c>
      <c r="E1388">
        <v>6</v>
      </c>
      <c r="G1388" s="2">
        <v>38636</v>
      </c>
      <c r="H1388">
        <v>5.7759999999999998</v>
      </c>
      <c r="J1388" s="2">
        <v>38643</v>
      </c>
      <c r="K1388" s="3">
        <f t="shared" si="42"/>
        <v>6</v>
      </c>
      <c r="L1388" s="3">
        <f t="shared" si="43"/>
        <v>5.8289999999999997</v>
      </c>
    </row>
    <row r="1389" spans="1:12" x14ac:dyDescent="0.3">
      <c r="A1389" s="2">
        <v>37906</v>
      </c>
      <c r="B1389" t="s">
        <v>13</v>
      </c>
      <c r="D1389" s="2">
        <v>38637</v>
      </c>
      <c r="E1389">
        <v>6</v>
      </c>
      <c r="G1389" s="2">
        <v>38637</v>
      </c>
      <c r="H1389">
        <v>5.7759999999999998</v>
      </c>
      <c r="J1389" s="2">
        <v>38644</v>
      </c>
      <c r="K1389" s="3">
        <f t="shared" si="42"/>
        <v>6</v>
      </c>
      <c r="L1389" s="3">
        <f t="shared" si="43"/>
        <v>5.8230000000000004</v>
      </c>
    </row>
    <row r="1390" spans="1:12" x14ac:dyDescent="0.3">
      <c r="A1390" s="2">
        <v>37907</v>
      </c>
      <c r="B1390" t="s">
        <v>13</v>
      </c>
      <c r="D1390" s="2">
        <v>38638</v>
      </c>
      <c r="E1390">
        <v>6</v>
      </c>
      <c r="G1390" s="2">
        <v>38638</v>
      </c>
      <c r="H1390">
        <v>5.7770000000000001</v>
      </c>
      <c r="J1390" s="2">
        <v>38645</v>
      </c>
      <c r="K1390" s="3">
        <f t="shared" si="42"/>
        <v>6</v>
      </c>
      <c r="L1390" s="3">
        <f t="shared" si="43"/>
        <v>5.8360000000000003</v>
      </c>
    </row>
    <row r="1391" spans="1:12" x14ac:dyDescent="0.3">
      <c r="A1391" s="2">
        <v>37908</v>
      </c>
      <c r="B1391" t="s">
        <v>13</v>
      </c>
      <c r="D1391" s="2">
        <v>38639</v>
      </c>
      <c r="E1391">
        <v>6</v>
      </c>
      <c r="G1391" s="2">
        <v>38639</v>
      </c>
      <c r="H1391">
        <v>5.8010000000000002</v>
      </c>
      <c r="J1391" s="2">
        <v>38646</v>
      </c>
      <c r="K1391" s="3">
        <f t="shared" si="42"/>
        <v>6</v>
      </c>
      <c r="L1391" s="3">
        <f t="shared" si="43"/>
        <v>5.8440000000000003</v>
      </c>
    </row>
    <row r="1392" spans="1:12" x14ac:dyDescent="0.3">
      <c r="A1392" s="2">
        <v>37909</v>
      </c>
      <c r="B1392" t="s">
        <v>13</v>
      </c>
      <c r="D1392" s="2">
        <v>38640</v>
      </c>
      <c r="E1392">
        <v>6</v>
      </c>
      <c r="G1392" s="2">
        <v>38640</v>
      </c>
      <c r="H1392">
        <v>5.8010000000000002</v>
      </c>
      <c r="J1392" s="2">
        <v>38647</v>
      </c>
      <c r="K1392" s="3">
        <f t="shared" si="42"/>
        <v>6</v>
      </c>
      <c r="L1392" s="3">
        <f t="shared" si="43"/>
        <v>5.8440000000000003</v>
      </c>
    </row>
    <row r="1393" spans="1:12" x14ac:dyDescent="0.3">
      <c r="A1393" s="2">
        <v>37910</v>
      </c>
      <c r="B1393" t="s">
        <v>13</v>
      </c>
      <c r="D1393" s="2">
        <v>38641</v>
      </c>
      <c r="E1393">
        <v>6</v>
      </c>
      <c r="G1393" s="2">
        <v>38641</v>
      </c>
      <c r="H1393">
        <v>5.8010000000000002</v>
      </c>
      <c r="J1393" s="2">
        <v>38648</v>
      </c>
      <c r="K1393" s="3">
        <f t="shared" si="42"/>
        <v>6</v>
      </c>
      <c r="L1393" s="3">
        <f t="shared" si="43"/>
        <v>5.8440000000000003</v>
      </c>
    </row>
    <row r="1394" spans="1:12" x14ac:dyDescent="0.3">
      <c r="A1394" s="2">
        <v>37911</v>
      </c>
      <c r="B1394" t="s">
        <v>13</v>
      </c>
      <c r="D1394" s="2">
        <v>38642</v>
      </c>
      <c r="E1394">
        <v>6</v>
      </c>
      <c r="G1394" s="2">
        <v>38642</v>
      </c>
      <c r="H1394">
        <v>5.8019999999999996</v>
      </c>
      <c r="J1394" s="2">
        <v>38649</v>
      </c>
      <c r="K1394" s="3">
        <f t="shared" si="42"/>
        <v>6</v>
      </c>
      <c r="L1394" s="3">
        <f t="shared" si="43"/>
        <v>5.8390000000000004</v>
      </c>
    </row>
    <row r="1395" spans="1:12" x14ac:dyDescent="0.3">
      <c r="A1395" s="2">
        <v>37912</v>
      </c>
      <c r="B1395" t="s">
        <v>13</v>
      </c>
      <c r="D1395" s="2">
        <v>38643</v>
      </c>
      <c r="E1395">
        <v>6</v>
      </c>
      <c r="G1395" s="2">
        <v>38643</v>
      </c>
      <c r="H1395">
        <v>5.8289999999999997</v>
      </c>
      <c r="J1395" s="2">
        <v>38650</v>
      </c>
      <c r="K1395" s="3">
        <f t="shared" si="42"/>
        <v>6</v>
      </c>
      <c r="L1395" s="3">
        <f t="shared" si="43"/>
        <v>5.8339999999999996</v>
      </c>
    </row>
    <row r="1396" spans="1:12" x14ac:dyDescent="0.3">
      <c r="A1396" s="2">
        <v>37913</v>
      </c>
      <c r="B1396" t="s">
        <v>13</v>
      </c>
      <c r="D1396" s="2">
        <v>38644</v>
      </c>
      <c r="E1396">
        <v>6</v>
      </c>
      <c r="G1396" s="2">
        <v>38644</v>
      </c>
      <c r="H1396">
        <v>5.8230000000000004</v>
      </c>
      <c r="J1396" s="2">
        <v>38651</v>
      </c>
      <c r="K1396" s="3">
        <f t="shared" si="42"/>
        <v>6.25</v>
      </c>
      <c r="L1396" s="3">
        <f t="shared" si="43"/>
        <v>5.8179999999999996</v>
      </c>
    </row>
    <row r="1397" spans="1:12" x14ac:dyDescent="0.3">
      <c r="A1397" s="2">
        <v>37914</v>
      </c>
      <c r="B1397" t="s">
        <v>13</v>
      </c>
      <c r="D1397" s="2">
        <v>38645</v>
      </c>
      <c r="E1397">
        <v>6</v>
      </c>
      <c r="G1397" s="2">
        <v>38645</v>
      </c>
      <c r="H1397">
        <v>5.8360000000000003</v>
      </c>
      <c r="J1397" s="2">
        <v>38652</v>
      </c>
      <c r="K1397" s="3">
        <f t="shared" si="42"/>
        <v>6.25</v>
      </c>
      <c r="L1397" s="3">
        <f t="shared" si="43"/>
        <v>5.8120000000000003</v>
      </c>
    </row>
    <row r="1398" spans="1:12" x14ac:dyDescent="0.3">
      <c r="A1398" s="2">
        <v>37915</v>
      </c>
      <c r="B1398" t="s">
        <v>13</v>
      </c>
      <c r="D1398" s="2">
        <v>38646</v>
      </c>
      <c r="E1398">
        <v>6</v>
      </c>
      <c r="G1398" s="2">
        <v>38646</v>
      </c>
      <c r="H1398">
        <v>5.8440000000000003</v>
      </c>
      <c r="J1398" s="2">
        <v>38653</v>
      </c>
      <c r="K1398" s="3">
        <f t="shared" si="42"/>
        <v>6.25</v>
      </c>
      <c r="L1398" s="3">
        <f t="shared" si="43"/>
        <v>5.819</v>
      </c>
    </row>
    <row r="1399" spans="1:12" x14ac:dyDescent="0.3">
      <c r="A1399" s="2">
        <v>37916</v>
      </c>
      <c r="B1399" t="s">
        <v>13</v>
      </c>
      <c r="D1399" s="2">
        <v>38647</v>
      </c>
      <c r="E1399">
        <v>6</v>
      </c>
      <c r="G1399" s="2">
        <v>38647</v>
      </c>
      <c r="H1399">
        <v>5.8440000000000003</v>
      </c>
      <c r="J1399" s="2">
        <v>38654</v>
      </c>
      <c r="K1399" s="3">
        <f t="shared" si="42"/>
        <v>6.25</v>
      </c>
      <c r="L1399" s="3">
        <f t="shared" si="43"/>
        <v>5.819</v>
      </c>
    </row>
    <row r="1400" spans="1:12" x14ac:dyDescent="0.3">
      <c r="A1400" s="2">
        <v>37917</v>
      </c>
      <c r="B1400" t="s">
        <v>13</v>
      </c>
      <c r="D1400" s="2">
        <v>38648</v>
      </c>
      <c r="E1400">
        <v>6</v>
      </c>
      <c r="G1400" s="2">
        <v>38648</v>
      </c>
      <c r="H1400">
        <v>5.8440000000000003</v>
      </c>
      <c r="J1400" s="2">
        <v>38655</v>
      </c>
      <c r="K1400" s="3">
        <f t="shared" si="42"/>
        <v>6.25</v>
      </c>
      <c r="L1400" s="3">
        <f t="shared" si="43"/>
        <v>5.819</v>
      </c>
    </row>
    <row r="1401" spans="1:12" x14ac:dyDescent="0.3">
      <c r="A1401" s="2">
        <v>37918</v>
      </c>
      <c r="B1401" t="s">
        <v>13</v>
      </c>
      <c r="D1401" s="2">
        <v>38649</v>
      </c>
      <c r="E1401">
        <v>6</v>
      </c>
      <c r="G1401" s="2">
        <v>38649</v>
      </c>
      <c r="H1401">
        <v>5.8390000000000004</v>
      </c>
      <c r="J1401" s="2">
        <v>38656</v>
      </c>
      <c r="K1401" s="3">
        <f t="shared" si="42"/>
        <v>6.25</v>
      </c>
      <c r="L1401" s="3">
        <f t="shared" si="43"/>
        <v>5.8310000000000004</v>
      </c>
    </row>
    <row r="1402" spans="1:12" x14ac:dyDescent="0.3">
      <c r="A1402" s="2">
        <v>37919</v>
      </c>
      <c r="B1402" t="s">
        <v>13</v>
      </c>
      <c r="D1402" s="2">
        <v>38650</v>
      </c>
      <c r="E1402">
        <v>6</v>
      </c>
      <c r="G1402" s="2">
        <v>38650</v>
      </c>
      <c r="H1402">
        <v>5.8339999999999996</v>
      </c>
      <c r="J1402" s="2">
        <v>38657</v>
      </c>
      <c r="K1402" s="3">
        <f t="shared" si="42"/>
        <v>6.25</v>
      </c>
      <c r="L1402" s="3">
        <f t="shared" si="43"/>
        <v>5.8310000000000004</v>
      </c>
    </row>
    <row r="1403" spans="1:12" x14ac:dyDescent="0.3">
      <c r="A1403" s="2">
        <v>37920</v>
      </c>
      <c r="B1403" t="s">
        <v>13</v>
      </c>
      <c r="D1403" s="2">
        <v>38651</v>
      </c>
      <c r="E1403">
        <v>6.25</v>
      </c>
      <c r="G1403" s="2">
        <v>38651</v>
      </c>
      <c r="H1403">
        <v>5.8179999999999996</v>
      </c>
      <c r="J1403" s="2">
        <v>38658</v>
      </c>
      <c r="K1403" s="3">
        <f t="shared" si="42"/>
        <v>6.25</v>
      </c>
      <c r="L1403" s="3">
        <f t="shared" si="43"/>
        <v>5.8570000000000002</v>
      </c>
    </row>
    <row r="1404" spans="1:12" x14ac:dyDescent="0.3">
      <c r="A1404" s="2">
        <v>37921</v>
      </c>
      <c r="B1404" t="s">
        <v>13</v>
      </c>
      <c r="D1404" s="2">
        <v>38652</v>
      </c>
      <c r="E1404">
        <v>6.25</v>
      </c>
      <c r="G1404" s="2">
        <v>38652</v>
      </c>
      <c r="H1404">
        <v>5.8120000000000003</v>
      </c>
      <c r="J1404" s="2">
        <v>38659</v>
      </c>
      <c r="K1404" s="3">
        <f t="shared" si="42"/>
        <v>6.25</v>
      </c>
      <c r="L1404" s="3">
        <f t="shared" si="43"/>
        <v>5.8239999999999998</v>
      </c>
    </row>
    <row r="1405" spans="1:12" x14ac:dyDescent="0.3">
      <c r="A1405" s="2">
        <v>37922</v>
      </c>
      <c r="B1405" t="s">
        <v>13</v>
      </c>
      <c r="D1405" s="2">
        <v>38653</v>
      </c>
      <c r="E1405">
        <v>6.25</v>
      </c>
      <c r="G1405" s="2">
        <v>38653</v>
      </c>
      <c r="H1405">
        <v>5.819</v>
      </c>
      <c r="J1405" s="2">
        <v>38660</v>
      </c>
      <c r="K1405" s="3">
        <f t="shared" si="42"/>
        <v>6.25</v>
      </c>
      <c r="L1405" s="3">
        <f t="shared" si="43"/>
        <v>5.8470000000000004</v>
      </c>
    </row>
    <row r="1406" spans="1:12" x14ac:dyDescent="0.3">
      <c r="A1406" s="2">
        <v>37923</v>
      </c>
      <c r="B1406" t="s">
        <v>13</v>
      </c>
      <c r="D1406" s="2">
        <v>38654</v>
      </c>
      <c r="E1406">
        <v>6.25</v>
      </c>
      <c r="G1406" s="2">
        <v>38654</v>
      </c>
      <c r="H1406">
        <v>5.819</v>
      </c>
      <c r="J1406" s="2">
        <v>38661</v>
      </c>
      <c r="K1406" s="3">
        <f t="shared" si="42"/>
        <v>6.25</v>
      </c>
      <c r="L1406" s="3">
        <f t="shared" si="43"/>
        <v>5.8470000000000004</v>
      </c>
    </row>
    <row r="1407" spans="1:12" x14ac:dyDescent="0.3">
      <c r="A1407" s="2">
        <v>37924</v>
      </c>
      <c r="B1407" t="s">
        <v>13</v>
      </c>
      <c r="D1407" s="2">
        <v>38655</v>
      </c>
      <c r="E1407">
        <v>6.25</v>
      </c>
      <c r="G1407" s="2">
        <v>38655</v>
      </c>
      <c r="H1407">
        <v>5.819</v>
      </c>
      <c r="J1407" s="2">
        <v>38662</v>
      </c>
      <c r="K1407" s="3">
        <f t="shared" si="42"/>
        <v>6.25</v>
      </c>
      <c r="L1407" s="3">
        <f t="shared" si="43"/>
        <v>5.8470000000000004</v>
      </c>
    </row>
    <row r="1408" spans="1:12" x14ac:dyDescent="0.3">
      <c r="A1408" s="2">
        <v>37925</v>
      </c>
      <c r="B1408" t="s">
        <v>13</v>
      </c>
      <c r="D1408" s="2">
        <v>38656</v>
      </c>
      <c r="E1408">
        <v>6.25</v>
      </c>
      <c r="G1408" s="2">
        <v>38656</v>
      </c>
      <c r="H1408">
        <v>5.8310000000000004</v>
      </c>
      <c r="J1408" s="2">
        <v>38663</v>
      </c>
      <c r="K1408" s="3">
        <f t="shared" si="42"/>
        <v>6.25</v>
      </c>
      <c r="L1408" s="3">
        <f t="shared" si="43"/>
        <v>5.8360000000000003</v>
      </c>
    </row>
    <row r="1409" spans="1:12" x14ac:dyDescent="0.3">
      <c r="A1409" s="2">
        <v>37926</v>
      </c>
      <c r="B1409" t="s">
        <v>13</v>
      </c>
      <c r="D1409" s="2">
        <v>38657</v>
      </c>
      <c r="E1409">
        <v>6.25</v>
      </c>
      <c r="G1409" s="2">
        <v>38657</v>
      </c>
      <c r="H1409">
        <v>5.8310000000000004</v>
      </c>
      <c r="J1409" s="2">
        <v>38664</v>
      </c>
      <c r="K1409" s="3">
        <f t="shared" si="42"/>
        <v>6.25</v>
      </c>
      <c r="L1409" s="3">
        <f t="shared" si="43"/>
        <v>5.8360000000000003</v>
      </c>
    </row>
    <row r="1410" spans="1:12" x14ac:dyDescent="0.3">
      <c r="A1410" s="2">
        <v>37927</v>
      </c>
      <c r="B1410" t="s">
        <v>13</v>
      </c>
      <c r="D1410" s="2">
        <v>38658</v>
      </c>
      <c r="E1410">
        <v>6.25</v>
      </c>
      <c r="G1410" s="2">
        <v>38658</v>
      </c>
      <c r="H1410">
        <v>5.8570000000000002</v>
      </c>
      <c r="J1410" s="2">
        <v>38665</v>
      </c>
      <c r="K1410" s="3">
        <f t="shared" si="42"/>
        <v>6.25</v>
      </c>
      <c r="L1410" s="3">
        <f t="shared" si="43"/>
        <v>5.8559999999999999</v>
      </c>
    </row>
    <row r="1411" spans="1:12" x14ac:dyDescent="0.3">
      <c r="A1411" s="2">
        <v>37928</v>
      </c>
      <c r="B1411" t="s">
        <v>13</v>
      </c>
      <c r="D1411" s="2">
        <v>38659</v>
      </c>
      <c r="E1411">
        <v>6.25</v>
      </c>
      <c r="G1411" s="2">
        <v>38659</v>
      </c>
      <c r="H1411">
        <v>5.8239999999999998</v>
      </c>
      <c r="J1411" s="2">
        <v>38666</v>
      </c>
      <c r="K1411" s="3">
        <f t="shared" ref="K1411:K1474" si="44">E1418</f>
        <v>6.25</v>
      </c>
      <c r="L1411" s="3">
        <f t="shared" ref="L1411:L1474" si="45">H1418</f>
        <v>5.8739999999999997</v>
      </c>
    </row>
    <row r="1412" spans="1:12" x14ac:dyDescent="0.3">
      <c r="A1412" s="2">
        <v>37929</v>
      </c>
      <c r="B1412" t="s">
        <v>13</v>
      </c>
      <c r="D1412" s="2">
        <v>38660</v>
      </c>
      <c r="E1412">
        <v>6.25</v>
      </c>
      <c r="G1412" s="2">
        <v>38660</v>
      </c>
      <c r="H1412">
        <v>5.8470000000000004</v>
      </c>
      <c r="J1412" s="2">
        <v>38667</v>
      </c>
      <c r="K1412" s="3">
        <f t="shared" si="44"/>
        <v>6.25</v>
      </c>
      <c r="L1412" s="3">
        <f t="shared" si="45"/>
        <v>5.8810000000000002</v>
      </c>
    </row>
    <row r="1413" spans="1:12" x14ac:dyDescent="0.3">
      <c r="A1413" s="2">
        <v>37930</v>
      </c>
      <c r="B1413" t="s">
        <v>13</v>
      </c>
      <c r="D1413" s="2">
        <v>38661</v>
      </c>
      <c r="E1413">
        <v>6.25</v>
      </c>
      <c r="G1413" s="2">
        <v>38661</v>
      </c>
      <c r="H1413">
        <v>5.8470000000000004</v>
      </c>
      <c r="J1413" s="2">
        <v>38668</v>
      </c>
      <c r="K1413" s="3">
        <f t="shared" si="44"/>
        <v>6.25</v>
      </c>
      <c r="L1413" s="3">
        <f t="shared" si="45"/>
        <v>5.8810000000000002</v>
      </c>
    </row>
    <row r="1414" spans="1:12" x14ac:dyDescent="0.3">
      <c r="A1414" s="2">
        <v>37931</v>
      </c>
      <c r="B1414" t="s">
        <v>13</v>
      </c>
      <c r="D1414" s="2">
        <v>38662</v>
      </c>
      <c r="E1414">
        <v>6.25</v>
      </c>
      <c r="G1414" s="2">
        <v>38662</v>
      </c>
      <c r="H1414">
        <v>5.8470000000000004</v>
      </c>
      <c r="J1414" s="2">
        <v>38669</v>
      </c>
      <c r="K1414" s="3">
        <f t="shared" si="44"/>
        <v>6.25</v>
      </c>
      <c r="L1414" s="3">
        <f t="shared" si="45"/>
        <v>5.8810000000000002</v>
      </c>
    </row>
    <row r="1415" spans="1:12" x14ac:dyDescent="0.3">
      <c r="A1415" s="2">
        <v>37932</v>
      </c>
      <c r="B1415" t="s">
        <v>13</v>
      </c>
      <c r="D1415" s="2">
        <v>38663</v>
      </c>
      <c r="E1415">
        <v>6.25</v>
      </c>
      <c r="G1415" s="2">
        <v>38663</v>
      </c>
      <c r="H1415">
        <v>5.8360000000000003</v>
      </c>
      <c r="J1415" s="2">
        <v>38670</v>
      </c>
      <c r="K1415" s="3">
        <f t="shared" si="44"/>
        <v>6.25</v>
      </c>
      <c r="L1415" s="3">
        <f t="shared" si="45"/>
        <v>5.9</v>
      </c>
    </row>
    <row r="1416" spans="1:12" x14ac:dyDescent="0.3">
      <c r="A1416" s="2">
        <v>37933</v>
      </c>
      <c r="B1416" t="s">
        <v>13</v>
      </c>
      <c r="D1416" s="2">
        <v>38664</v>
      </c>
      <c r="E1416">
        <v>6.25</v>
      </c>
      <c r="G1416" s="2">
        <v>38664</v>
      </c>
      <c r="H1416">
        <v>5.8360000000000003</v>
      </c>
      <c r="J1416" s="2">
        <v>38671</v>
      </c>
      <c r="K1416" s="3">
        <f t="shared" si="44"/>
        <v>6.25</v>
      </c>
      <c r="L1416" s="3">
        <f t="shared" si="45"/>
        <v>5.9</v>
      </c>
    </row>
    <row r="1417" spans="1:12" x14ac:dyDescent="0.3">
      <c r="A1417" s="2">
        <v>37934</v>
      </c>
      <c r="B1417" t="s">
        <v>13</v>
      </c>
      <c r="D1417" s="2">
        <v>38665</v>
      </c>
      <c r="E1417">
        <v>6.25</v>
      </c>
      <c r="G1417" s="2">
        <v>38665</v>
      </c>
      <c r="H1417">
        <v>5.8559999999999999</v>
      </c>
      <c r="J1417" s="2">
        <v>38672</v>
      </c>
      <c r="K1417" s="3">
        <f t="shared" si="44"/>
        <v>6.25</v>
      </c>
      <c r="L1417" s="3">
        <f t="shared" si="45"/>
        <v>5.9189999999999996</v>
      </c>
    </row>
    <row r="1418" spans="1:12" x14ac:dyDescent="0.3">
      <c r="A1418" s="2">
        <v>37935</v>
      </c>
      <c r="B1418" t="s">
        <v>13</v>
      </c>
      <c r="D1418" s="2">
        <v>38666</v>
      </c>
      <c r="E1418">
        <v>6.25</v>
      </c>
      <c r="G1418" s="2">
        <v>38666</v>
      </c>
      <c r="H1418">
        <v>5.8739999999999997</v>
      </c>
      <c r="J1418" s="2">
        <v>38673</v>
      </c>
      <c r="K1418" s="3">
        <f t="shared" si="44"/>
        <v>6.25</v>
      </c>
      <c r="L1418" s="3">
        <f t="shared" si="45"/>
        <v>5.9169999999999998</v>
      </c>
    </row>
    <row r="1419" spans="1:12" x14ac:dyDescent="0.3">
      <c r="A1419" s="2">
        <v>37936</v>
      </c>
      <c r="B1419" t="s">
        <v>13</v>
      </c>
      <c r="D1419" s="2">
        <v>38667</v>
      </c>
      <c r="E1419">
        <v>6.25</v>
      </c>
      <c r="G1419" s="2">
        <v>38667</v>
      </c>
      <c r="H1419">
        <v>5.8810000000000002</v>
      </c>
      <c r="J1419" s="2">
        <v>38674</v>
      </c>
      <c r="K1419" s="3">
        <f t="shared" si="44"/>
        <v>6.25</v>
      </c>
      <c r="L1419" s="3">
        <f t="shared" si="45"/>
        <v>5.9020000000000001</v>
      </c>
    </row>
    <row r="1420" spans="1:12" x14ac:dyDescent="0.3">
      <c r="A1420" s="2">
        <v>37937</v>
      </c>
      <c r="B1420" t="s">
        <v>13</v>
      </c>
      <c r="D1420" s="2">
        <v>38668</v>
      </c>
      <c r="E1420">
        <v>6.25</v>
      </c>
      <c r="G1420" s="2">
        <v>38668</v>
      </c>
      <c r="H1420">
        <v>5.8810000000000002</v>
      </c>
      <c r="J1420" s="2">
        <v>38675</v>
      </c>
      <c r="K1420" s="3">
        <f t="shared" si="44"/>
        <v>6.25</v>
      </c>
      <c r="L1420" s="3">
        <f t="shared" si="45"/>
        <v>5.9020000000000001</v>
      </c>
    </row>
    <row r="1421" spans="1:12" x14ac:dyDescent="0.3">
      <c r="A1421" s="2">
        <v>37938</v>
      </c>
      <c r="B1421" t="s">
        <v>13</v>
      </c>
      <c r="D1421" s="2">
        <v>38669</v>
      </c>
      <c r="E1421">
        <v>6.25</v>
      </c>
      <c r="G1421" s="2">
        <v>38669</v>
      </c>
      <c r="H1421">
        <v>5.8810000000000002</v>
      </c>
      <c r="J1421" s="2">
        <v>38676</v>
      </c>
      <c r="K1421" s="3">
        <f t="shared" si="44"/>
        <v>6.25</v>
      </c>
      <c r="L1421" s="3">
        <f t="shared" si="45"/>
        <v>5.9020000000000001</v>
      </c>
    </row>
    <row r="1422" spans="1:12" x14ac:dyDescent="0.3">
      <c r="A1422" s="2">
        <v>37939</v>
      </c>
      <c r="B1422" t="s">
        <v>13</v>
      </c>
      <c r="D1422" s="2">
        <v>38670</v>
      </c>
      <c r="E1422">
        <v>6.25</v>
      </c>
      <c r="G1422" s="2">
        <v>38670</v>
      </c>
      <c r="H1422">
        <v>5.9</v>
      </c>
      <c r="J1422" s="2">
        <v>38677</v>
      </c>
      <c r="K1422" s="3">
        <f t="shared" si="44"/>
        <v>6.25</v>
      </c>
      <c r="L1422" s="3">
        <f t="shared" si="45"/>
        <v>5.9189999999999996</v>
      </c>
    </row>
    <row r="1423" spans="1:12" x14ac:dyDescent="0.3">
      <c r="A1423" s="2">
        <v>37940</v>
      </c>
      <c r="B1423" t="s">
        <v>13</v>
      </c>
      <c r="D1423" s="2">
        <v>38671</v>
      </c>
      <c r="E1423">
        <v>6.25</v>
      </c>
      <c r="G1423" s="2">
        <v>38671</v>
      </c>
      <c r="H1423">
        <v>5.9</v>
      </c>
      <c r="J1423" s="2">
        <v>38678</v>
      </c>
      <c r="K1423" s="3">
        <f t="shared" si="44"/>
        <v>6.25</v>
      </c>
      <c r="L1423" s="3">
        <f t="shared" si="45"/>
        <v>5.91</v>
      </c>
    </row>
    <row r="1424" spans="1:12" x14ac:dyDescent="0.3">
      <c r="A1424" s="2">
        <v>37941</v>
      </c>
      <c r="B1424" t="s">
        <v>13</v>
      </c>
      <c r="D1424" s="2">
        <v>38672</v>
      </c>
      <c r="E1424">
        <v>6.25</v>
      </c>
      <c r="G1424" s="2">
        <v>38672</v>
      </c>
      <c r="H1424">
        <v>5.9189999999999996</v>
      </c>
      <c r="J1424" s="2">
        <v>38679</v>
      </c>
      <c r="K1424" s="3">
        <f t="shared" si="44"/>
        <v>6.25</v>
      </c>
      <c r="L1424" s="3">
        <f t="shared" si="45"/>
        <v>5.9050000000000002</v>
      </c>
    </row>
    <row r="1425" spans="1:12" x14ac:dyDescent="0.3">
      <c r="A1425" s="2">
        <v>37942</v>
      </c>
      <c r="B1425" t="s">
        <v>13</v>
      </c>
      <c r="D1425" s="2">
        <v>38673</v>
      </c>
      <c r="E1425">
        <v>6.25</v>
      </c>
      <c r="G1425" s="2">
        <v>38673</v>
      </c>
      <c r="H1425">
        <v>5.9169999999999998</v>
      </c>
      <c r="J1425" s="2">
        <v>38680</v>
      </c>
      <c r="K1425" s="3">
        <f t="shared" si="44"/>
        <v>6.25</v>
      </c>
      <c r="L1425" s="3">
        <f t="shared" si="45"/>
        <v>5.8819999999999997</v>
      </c>
    </row>
    <row r="1426" spans="1:12" x14ac:dyDescent="0.3">
      <c r="A1426" s="2">
        <v>37943</v>
      </c>
      <c r="B1426" t="s">
        <v>13</v>
      </c>
      <c r="D1426" s="2">
        <v>38674</v>
      </c>
      <c r="E1426">
        <v>6.25</v>
      </c>
      <c r="G1426" s="2">
        <v>38674</v>
      </c>
      <c r="H1426">
        <v>5.9020000000000001</v>
      </c>
      <c r="J1426" s="2">
        <v>38681</v>
      </c>
      <c r="K1426" s="3">
        <f t="shared" si="44"/>
        <v>6.25</v>
      </c>
      <c r="L1426" s="3">
        <f t="shared" si="45"/>
        <v>5.8959999999999999</v>
      </c>
    </row>
    <row r="1427" spans="1:12" x14ac:dyDescent="0.3">
      <c r="A1427" s="2">
        <v>37944</v>
      </c>
      <c r="B1427" t="s">
        <v>13</v>
      </c>
      <c r="D1427" s="2">
        <v>38675</v>
      </c>
      <c r="E1427">
        <v>6.25</v>
      </c>
      <c r="G1427" s="2">
        <v>38675</v>
      </c>
      <c r="H1427">
        <v>5.9020000000000001</v>
      </c>
      <c r="J1427" s="2">
        <v>38682</v>
      </c>
      <c r="K1427" s="3">
        <f t="shared" si="44"/>
        <v>6.25</v>
      </c>
      <c r="L1427" s="3">
        <f t="shared" si="45"/>
        <v>5.8959999999999999</v>
      </c>
    </row>
    <row r="1428" spans="1:12" x14ac:dyDescent="0.3">
      <c r="A1428" s="2">
        <v>37945</v>
      </c>
      <c r="B1428" t="s">
        <v>13</v>
      </c>
      <c r="D1428" s="2">
        <v>38676</v>
      </c>
      <c r="E1428">
        <v>6.25</v>
      </c>
      <c r="G1428" s="2">
        <v>38676</v>
      </c>
      <c r="H1428">
        <v>5.9020000000000001</v>
      </c>
      <c r="J1428" s="2">
        <v>38683</v>
      </c>
      <c r="K1428" s="3">
        <f t="shared" si="44"/>
        <v>6.25</v>
      </c>
      <c r="L1428" s="3">
        <f t="shared" si="45"/>
        <v>5.8959999999999999</v>
      </c>
    </row>
    <row r="1429" spans="1:12" x14ac:dyDescent="0.3">
      <c r="A1429" s="2">
        <v>37946</v>
      </c>
      <c r="B1429" t="s">
        <v>13</v>
      </c>
      <c r="D1429" s="2">
        <v>38677</v>
      </c>
      <c r="E1429">
        <v>6.25</v>
      </c>
      <c r="G1429" s="2">
        <v>38677</v>
      </c>
      <c r="H1429">
        <v>5.9189999999999996</v>
      </c>
      <c r="J1429" s="2">
        <v>38684</v>
      </c>
      <c r="K1429" s="3">
        <f t="shared" si="44"/>
        <v>6.25</v>
      </c>
      <c r="L1429" s="3">
        <f t="shared" si="45"/>
        <v>5.8979999999999997</v>
      </c>
    </row>
    <row r="1430" spans="1:12" x14ac:dyDescent="0.3">
      <c r="A1430" s="2">
        <v>37947</v>
      </c>
      <c r="B1430" t="s">
        <v>13</v>
      </c>
      <c r="D1430" s="2">
        <v>38678</v>
      </c>
      <c r="E1430">
        <v>6.25</v>
      </c>
      <c r="G1430" s="2">
        <v>38678</v>
      </c>
      <c r="H1430">
        <v>5.91</v>
      </c>
      <c r="J1430" s="2">
        <v>38685</v>
      </c>
      <c r="K1430" s="3">
        <f t="shared" si="44"/>
        <v>6.25</v>
      </c>
      <c r="L1430" s="3">
        <f t="shared" si="45"/>
        <v>5.9020000000000001</v>
      </c>
    </row>
    <row r="1431" spans="1:12" x14ac:dyDescent="0.3">
      <c r="A1431" s="2">
        <v>37948</v>
      </c>
      <c r="B1431" t="s">
        <v>13</v>
      </c>
      <c r="D1431" s="2">
        <v>38679</v>
      </c>
      <c r="E1431">
        <v>6.25</v>
      </c>
      <c r="G1431" s="2">
        <v>38679</v>
      </c>
      <c r="H1431">
        <v>5.9050000000000002</v>
      </c>
      <c r="J1431" s="2">
        <v>38686</v>
      </c>
      <c r="K1431" s="3">
        <f t="shared" si="44"/>
        <v>6.25</v>
      </c>
      <c r="L1431" s="3">
        <f t="shared" si="45"/>
        <v>5.931</v>
      </c>
    </row>
    <row r="1432" spans="1:12" x14ac:dyDescent="0.3">
      <c r="A1432" s="2">
        <v>37949</v>
      </c>
      <c r="B1432" t="s">
        <v>13</v>
      </c>
      <c r="D1432" s="2">
        <v>38680</v>
      </c>
      <c r="E1432">
        <v>6.25</v>
      </c>
      <c r="G1432" s="2">
        <v>38680</v>
      </c>
      <c r="H1432">
        <v>5.8819999999999997</v>
      </c>
      <c r="J1432" s="2">
        <v>38687</v>
      </c>
      <c r="K1432" s="3">
        <f t="shared" si="44"/>
        <v>6.25</v>
      </c>
      <c r="L1432" s="3">
        <f t="shared" si="45"/>
        <v>5.9349999999999996</v>
      </c>
    </row>
    <row r="1433" spans="1:12" x14ac:dyDescent="0.3">
      <c r="A1433" s="2">
        <v>37950</v>
      </c>
      <c r="B1433" t="s">
        <v>13</v>
      </c>
      <c r="D1433" s="2">
        <v>38681</v>
      </c>
      <c r="E1433">
        <v>6.25</v>
      </c>
      <c r="G1433" s="2">
        <v>38681</v>
      </c>
      <c r="H1433">
        <v>5.8959999999999999</v>
      </c>
      <c r="J1433" s="2">
        <v>38688</v>
      </c>
      <c r="K1433" s="3">
        <f t="shared" si="44"/>
        <v>6.25</v>
      </c>
      <c r="L1433" s="3">
        <f t="shared" si="45"/>
        <v>5.944</v>
      </c>
    </row>
    <row r="1434" spans="1:12" x14ac:dyDescent="0.3">
      <c r="A1434" s="2">
        <v>37951</v>
      </c>
      <c r="B1434" t="s">
        <v>13</v>
      </c>
      <c r="D1434" s="2">
        <v>38682</v>
      </c>
      <c r="E1434">
        <v>6.25</v>
      </c>
      <c r="G1434" s="2">
        <v>38682</v>
      </c>
      <c r="H1434">
        <v>5.8959999999999999</v>
      </c>
      <c r="J1434" s="2">
        <v>38689</v>
      </c>
      <c r="K1434" s="3">
        <f t="shared" si="44"/>
        <v>6.25</v>
      </c>
      <c r="L1434" s="3">
        <f t="shared" si="45"/>
        <v>5.944</v>
      </c>
    </row>
    <row r="1435" spans="1:12" x14ac:dyDescent="0.3">
      <c r="A1435" s="2">
        <v>37952</v>
      </c>
      <c r="B1435" t="s">
        <v>13</v>
      </c>
      <c r="D1435" s="2">
        <v>38683</v>
      </c>
      <c r="E1435">
        <v>6.25</v>
      </c>
      <c r="G1435" s="2">
        <v>38683</v>
      </c>
      <c r="H1435">
        <v>5.8959999999999999</v>
      </c>
      <c r="J1435" s="2">
        <v>38690</v>
      </c>
      <c r="K1435" s="3">
        <f t="shared" si="44"/>
        <v>6.25</v>
      </c>
      <c r="L1435" s="3">
        <f t="shared" si="45"/>
        <v>5.944</v>
      </c>
    </row>
    <row r="1436" spans="1:12" x14ac:dyDescent="0.3">
      <c r="A1436" s="2">
        <v>37953</v>
      </c>
      <c r="B1436" t="s">
        <v>13</v>
      </c>
      <c r="D1436" s="2">
        <v>38684</v>
      </c>
      <c r="E1436">
        <v>6.25</v>
      </c>
      <c r="G1436" s="2">
        <v>38684</v>
      </c>
      <c r="H1436">
        <v>5.8979999999999997</v>
      </c>
      <c r="J1436" s="2">
        <v>38691</v>
      </c>
      <c r="K1436" s="3">
        <f t="shared" si="44"/>
        <v>6.25</v>
      </c>
      <c r="L1436" s="3">
        <f t="shared" si="45"/>
        <v>5.93</v>
      </c>
    </row>
    <row r="1437" spans="1:12" x14ac:dyDescent="0.3">
      <c r="A1437" s="2">
        <v>37954</v>
      </c>
      <c r="B1437" t="s">
        <v>13</v>
      </c>
      <c r="D1437" s="2">
        <v>38685</v>
      </c>
      <c r="E1437">
        <v>6.25</v>
      </c>
      <c r="G1437" s="2">
        <v>38685</v>
      </c>
      <c r="H1437">
        <v>5.9020000000000001</v>
      </c>
      <c r="J1437" s="2">
        <v>38692</v>
      </c>
      <c r="K1437" s="3">
        <f t="shared" si="44"/>
        <v>6.25</v>
      </c>
      <c r="L1437" s="3">
        <f t="shared" si="45"/>
        <v>5.9489999999999998</v>
      </c>
    </row>
    <row r="1438" spans="1:12" x14ac:dyDescent="0.3">
      <c r="A1438" s="2">
        <v>37955</v>
      </c>
      <c r="B1438" t="s">
        <v>13</v>
      </c>
      <c r="D1438" s="2">
        <v>38686</v>
      </c>
      <c r="E1438">
        <v>6.25</v>
      </c>
      <c r="G1438" s="2">
        <v>38686</v>
      </c>
      <c r="H1438">
        <v>5.931</v>
      </c>
      <c r="J1438" s="2">
        <v>38693</v>
      </c>
      <c r="K1438" s="3">
        <f t="shared" si="44"/>
        <v>6.25</v>
      </c>
      <c r="L1438" s="3">
        <f t="shared" si="45"/>
        <v>5.9660000000000002</v>
      </c>
    </row>
    <row r="1439" spans="1:12" x14ac:dyDescent="0.3">
      <c r="A1439" s="2">
        <v>37956</v>
      </c>
      <c r="B1439" t="s">
        <v>13</v>
      </c>
      <c r="D1439" s="2">
        <v>38687</v>
      </c>
      <c r="E1439">
        <v>6.25</v>
      </c>
      <c r="G1439" s="2">
        <v>38687</v>
      </c>
      <c r="H1439">
        <v>5.9349999999999996</v>
      </c>
      <c r="J1439" s="2">
        <v>38694</v>
      </c>
      <c r="K1439" s="3">
        <f t="shared" si="44"/>
        <v>6.25</v>
      </c>
      <c r="L1439" s="3">
        <f t="shared" si="45"/>
        <v>5.9640000000000004</v>
      </c>
    </row>
    <row r="1440" spans="1:12" x14ac:dyDescent="0.3">
      <c r="A1440" s="2">
        <v>37957</v>
      </c>
      <c r="B1440" t="s">
        <v>13</v>
      </c>
      <c r="D1440" s="2">
        <v>38688</v>
      </c>
      <c r="E1440">
        <v>6.25</v>
      </c>
      <c r="G1440" s="2">
        <v>38688</v>
      </c>
      <c r="H1440">
        <v>5.944</v>
      </c>
      <c r="J1440" s="2">
        <v>38695</v>
      </c>
      <c r="K1440" s="3">
        <f t="shared" si="44"/>
        <v>6.25</v>
      </c>
      <c r="L1440" s="3">
        <f t="shared" si="45"/>
        <v>5.98</v>
      </c>
    </row>
    <row r="1441" spans="1:12" x14ac:dyDescent="0.3">
      <c r="A1441" s="2">
        <v>37958</v>
      </c>
      <c r="B1441" t="s">
        <v>13</v>
      </c>
      <c r="D1441" s="2">
        <v>38689</v>
      </c>
      <c r="E1441">
        <v>6.25</v>
      </c>
      <c r="G1441" s="2">
        <v>38689</v>
      </c>
      <c r="H1441">
        <v>5.944</v>
      </c>
      <c r="J1441" s="2">
        <v>38696</v>
      </c>
      <c r="K1441" s="3">
        <f t="shared" si="44"/>
        <v>6.25</v>
      </c>
      <c r="L1441" s="3">
        <f t="shared" si="45"/>
        <v>5.98</v>
      </c>
    </row>
    <row r="1442" spans="1:12" x14ac:dyDescent="0.3">
      <c r="A1442" s="2">
        <v>37959</v>
      </c>
      <c r="B1442" t="s">
        <v>13</v>
      </c>
      <c r="D1442" s="2">
        <v>38690</v>
      </c>
      <c r="E1442">
        <v>6.25</v>
      </c>
      <c r="G1442" s="2">
        <v>38690</v>
      </c>
      <c r="H1442">
        <v>5.944</v>
      </c>
      <c r="J1442" s="2">
        <v>38697</v>
      </c>
      <c r="K1442" s="3">
        <f t="shared" si="44"/>
        <v>6.25</v>
      </c>
      <c r="L1442" s="3">
        <f t="shared" si="45"/>
        <v>5.98</v>
      </c>
    </row>
    <row r="1443" spans="1:12" x14ac:dyDescent="0.3">
      <c r="A1443" s="2">
        <v>37960</v>
      </c>
      <c r="B1443" t="s">
        <v>13</v>
      </c>
      <c r="D1443" s="2">
        <v>38691</v>
      </c>
      <c r="E1443">
        <v>6.25</v>
      </c>
      <c r="G1443" s="2">
        <v>38691</v>
      </c>
      <c r="H1443">
        <v>5.93</v>
      </c>
      <c r="J1443" s="2">
        <v>38698</v>
      </c>
      <c r="K1443" s="3">
        <f t="shared" si="44"/>
        <v>6.25</v>
      </c>
      <c r="L1443" s="3">
        <f t="shared" si="45"/>
        <v>5.99</v>
      </c>
    </row>
    <row r="1444" spans="1:12" x14ac:dyDescent="0.3">
      <c r="A1444" s="2">
        <v>37961</v>
      </c>
      <c r="B1444" t="s">
        <v>13</v>
      </c>
      <c r="D1444" s="2">
        <v>38692</v>
      </c>
      <c r="E1444">
        <v>6.25</v>
      </c>
      <c r="G1444" s="2">
        <v>38692</v>
      </c>
      <c r="H1444">
        <v>5.9489999999999998</v>
      </c>
      <c r="J1444" s="2">
        <v>38699</v>
      </c>
      <c r="K1444" s="3">
        <f t="shared" si="44"/>
        <v>6.25</v>
      </c>
      <c r="L1444" s="3">
        <f t="shared" si="45"/>
        <v>6.0270000000000001</v>
      </c>
    </row>
    <row r="1445" spans="1:12" x14ac:dyDescent="0.3">
      <c r="A1445" s="2">
        <v>37962</v>
      </c>
      <c r="B1445" t="s">
        <v>13</v>
      </c>
      <c r="D1445" s="2">
        <v>38693</v>
      </c>
      <c r="E1445">
        <v>6.25</v>
      </c>
      <c r="G1445" s="2">
        <v>38693</v>
      </c>
      <c r="H1445">
        <v>5.9660000000000002</v>
      </c>
      <c r="J1445" s="2">
        <v>38700</v>
      </c>
      <c r="K1445" s="3">
        <f t="shared" si="44"/>
        <v>6.25</v>
      </c>
      <c r="L1445" s="3">
        <f t="shared" si="45"/>
        <v>6.0270000000000001</v>
      </c>
    </row>
    <row r="1446" spans="1:12" x14ac:dyDescent="0.3">
      <c r="A1446" s="2">
        <v>37963</v>
      </c>
      <c r="B1446" t="s">
        <v>13</v>
      </c>
      <c r="D1446" s="2">
        <v>38694</v>
      </c>
      <c r="E1446">
        <v>6.25</v>
      </c>
      <c r="G1446" s="2">
        <v>38694</v>
      </c>
      <c r="H1446">
        <v>5.9640000000000004</v>
      </c>
      <c r="J1446" s="2">
        <v>38701</v>
      </c>
      <c r="K1446" s="3">
        <f t="shared" si="44"/>
        <v>6.25</v>
      </c>
      <c r="L1446" s="3">
        <f t="shared" si="45"/>
        <v>5.9960000000000004</v>
      </c>
    </row>
    <row r="1447" spans="1:12" x14ac:dyDescent="0.3">
      <c r="A1447" s="2">
        <v>37964</v>
      </c>
      <c r="B1447" t="s">
        <v>13</v>
      </c>
      <c r="D1447" s="2">
        <v>38695</v>
      </c>
      <c r="E1447">
        <v>6.25</v>
      </c>
      <c r="G1447" s="2">
        <v>38695</v>
      </c>
      <c r="H1447">
        <v>5.98</v>
      </c>
      <c r="J1447" s="2">
        <v>38702</v>
      </c>
      <c r="K1447" s="3">
        <f t="shared" si="44"/>
        <v>6.25</v>
      </c>
      <c r="L1447" s="3">
        <f t="shared" si="45"/>
        <v>5.9960000000000004</v>
      </c>
    </row>
    <row r="1448" spans="1:12" x14ac:dyDescent="0.3">
      <c r="A1448" s="2">
        <v>37965</v>
      </c>
      <c r="B1448" t="s">
        <v>13</v>
      </c>
      <c r="D1448" s="2">
        <v>38696</v>
      </c>
      <c r="E1448">
        <v>6.25</v>
      </c>
      <c r="G1448" s="2">
        <v>38696</v>
      </c>
      <c r="H1448">
        <v>5.98</v>
      </c>
      <c r="J1448" s="2">
        <v>38703</v>
      </c>
      <c r="K1448" s="3">
        <f t="shared" si="44"/>
        <v>6.25</v>
      </c>
      <c r="L1448" s="3">
        <f t="shared" si="45"/>
        <v>5.9960000000000004</v>
      </c>
    </row>
    <row r="1449" spans="1:12" x14ac:dyDescent="0.3">
      <c r="A1449" s="2">
        <v>37966</v>
      </c>
      <c r="B1449" t="s">
        <v>13</v>
      </c>
      <c r="D1449" s="2">
        <v>38697</v>
      </c>
      <c r="E1449">
        <v>6.25</v>
      </c>
      <c r="G1449" s="2">
        <v>38697</v>
      </c>
      <c r="H1449">
        <v>5.98</v>
      </c>
      <c r="J1449" s="2">
        <v>38704</v>
      </c>
      <c r="K1449" s="3">
        <f t="shared" si="44"/>
        <v>6.25</v>
      </c>
      <c r="L1449" s="3">
        <f t="shared" si="45"/>
        <v>5.9960000000000004</v>
      </c>
    </row>
    <row r="1450" spans="1:12" x14ac:dyDescent="0.3">
      <c r="A1450" s="2">
        <v>37967</v>
      </c>
      <c r="B1450" t="s">
        <v>13</v>
      </c>
      <c r="D1450" s="2">
        <v>38698</v>
      </c>
      <c r="E1450">
        <v>6.25</v>
      </c>
      <c r="G1450" s="2">
        <v>38698</v>
      </c>
      <c r="H1450">
        <v>5.99</v>
      </c>
      <c r="J1450" s="2">
        <v>38705</v>
      </c>
      <c r="K1450" s="3">
        <f t="shared" si="44"/>
        <v>6.25</v>
      </c>
      <c r="L1450" s="3">
        <f t="shared" si="45"/>
        <v>5.9960000000000004</v>
      </c>
    </row>
    <row r="1451" spans="1:12" x14ac:dyDescent="0.3">
      <c r="A1451" s="2">
        <v>37968</v>
      </c>
      <c r="B1451" t="s">
        <v>13</v>
      </c>
      <c r="D1451" s="2">
        <v>38699</v>
      </c>
      <c r="E1451">
        <v>6.25</v>
      </c>
      <c r="G1451" s="2">
        <v>38699</v>
      </c>
      <c r="H1451">
        <v>6.0270000000000001</v>
      </c>
      <c r="J1451" s="2">
        <v>38706</v>
      </c>
      <c r="K1451" s="3">
        <f t="shared" si="44"/>
        <v>6.25</v>
      </c>
      <c r="L1451" s="3">
        <f t="shared" si="45"/>
        <v>5.9960000000000004</v>
      </c>
    </row>
    <row r="1452" spans="1:12" x14ac:dyDescent="0.3">
      <c r="A1452" s="2">
        <v>37969</v>
      </c>
      <c r="B1452" t="s">
        <v>13</v>
      </c>
      <c r="D1452" s="2">
        <v>38700</v>
      </c>
      <c r="E1452">
        <v>6.25</v>
      </c>
      <c r="G1452" s="2">
        <v>38700</v>
      </c>
      <c r="H1452">
        <v>6.0270000000000001</v>
      </c>
      <c r="J1452" s="2">
        <v>38707</v>
      </c>
      <c r="K1452" s="3">
        <f t="shared" si="44"/>
        <v>6.25</v>
      </c>
      <c r="L1452" s="3">
        <f t="shared" si="45"/>
        <v>6.165</v>
      </c>
    </row>
    <row r="1453" spans="1:12" x14ac:dyDescent="0.3">
      <c r="A1453" s="2">
        <v>37970</v>
      </c>
      <c r="B1453" t="s">
        <v>13</v>
      </c>
      <c r="D1453" s="2">
        <v>38701</v>
      </c>
      <c r="E1453">
        <v>6.25</v>
      </c>
      <c r="G1453" s="2">
        <v>38701</v>
      </c>
      <c r="H1453">
        <v>5.9960000000000004</v>
      </c>
      <c r="J1453" s="2">
        <v>38708</v>
      </c>
      <c r="K1453" s="3">
        <f t="shared" si="44"/>
        <v>6.25</v>
      </c>
      <c r="L1453" s="3">
        <f t="shared" si="45"/>
        <v>6.18</v>
      </c>
    </row>
    <row r="1454" spans="1:12" x14ac:dyDescent="0.3">
      <c r="A1454" s="2">
        <v>37971</v>
      </c>
      <c r="B1454" t="s">
        <v>13</v>
      </c>
      <c r="D1454" s="2">
        <v>38702</v>
      </c>
      <c r="E1454">
        <v>6.25</v>
      </c>
      <c r="G1454" s="2">
        <v>38702</v>
      </c>
      <c r="H1454">
        <v>5.9960000000000004</v>
      </c>
      <c r="J1454" s="2">
        <v>38709</v>
      </c>
      <c r="K1454" s="3">
        <f t="shared" si="44"/>
        <v>6.25</v>
      </c>
      <c r="L1454" s="3">
        <f t="shared" si="45"/>
        <v>6.21</v>
      </c>
    </row>
    <row r="1455" spans="1:12" x14ac:dyDescent="0.3">
      <c r="A1455" s="2">
        <v>37972</v>
      </c>
      <c r="B1455" t="s">
        <v>13</v>
      </c>
      <c r="D1455" s="2">
        <v>38703</v>
      </c>
      <c r="E1455">
        <v>6.25</v>
      </c>
      <c r="G1455" s="2">
        <v>38703</v>
      </c>
      <c r="H1455">
        <v>5.9960000000000004</v>
      </c>
      <c r="J1455" s="2">
        <v>38710</v>
      </c>
      <c r="K1455" s="3">
        <f t="shared" si="44"/>
        <v>6.25</v>
      </c>
      <c r="L1455" s="3">
        <f t="shared" si="45"/>
        <v>6.21</v>
      </c>
    </row>
    <row r="1456" spans="1:12" x14ac:dyDescent="0.3">
      <c r="A1456" s="2">
        <v>37973</v>
      </c>
      <c r="B1456" t="s">
        <v>13</v>
      </c>
      <c r="D1456" s="2">
        <v>38704</v>
      </c>
      <c r="E1456">
        <v>6.25</v>
      </c>
      <c r="G1456" s="2">
        <v>38704</v>
      </c>
      <c r="H1456">
        <v>5.9960000000000004</v>
      </c>
      <c r="J1456" s="2">
        <v>38711</v>
      </c>
      <c r="K1456" s="3">
        <f t="shared" si="44"/>
        <v>6.25</v>
      </c>
      <c r="L1456" s="3">
        <f t="shared" si="45"/>
        <v>6.21</v>
      </c>
    </row>
    <row r="1457" spans="1:12" x14ac:dyDescent="0.3">
      <c r="A1457" s="2">
        <v>37974</v>
      </c>
      <c r="B1457" t="s">
        <v>13</v>
      </c>
      <c r="D1457" s="2">
        <v>38705</v>
      </c>
      <c r="E1457">
        <v>6.25</v>
      </c>
      <c r="G1457" s="2">
        <v>38705</v>
      </c>
      <c r="H1457">
        <v>5.9960000000000004</v>
      </c>
      <c r="J1457" s="2">
        <v>38712</v>
      </c>
      <c r="K1457" s="3">
        <f t="shared" si="44"/>
        <v>6.25</v>
      </c>
      <c r="L1457" s="3">
        <f t="shared" si="45"/>
        <v>6.242</v>
      </c>
    </row>
    <row r="1458" spans="1:12" x14ac:dyDescent="0.3">
      <c r="A1458" s="2">
        <v>37975</v>
      </c>
      <c r="B1458" t="s">
        <v>13</v>
      </c>
      <c r="D1458" s="2">
        <v>38706</v>
      </c>
      <c r="E1458">
        <v>6.25</v>
      </c>
      <c r="G1458" s="2">
        <v>38706</v>
      </c>
      <c r="H1458">
        <v>5.9960000000000004</v>
      </c>
      <c r="J1458" s="2">
        <v>38713</v>
      </c>
      <c r="K1458" s="3">
        <f t="shared" si="44"/>
        <v>6.25</v>
      </c>
      <c r="L1458" s="3">
        <f t="shared" si="45"/>
        <v>6.274</v>
      </c>
    </row>
    <row r="1459" spans="1:12" x14ac:dyDescent="0.3">
      <c r="A1459" s="2">
        <v>37976</v>
      </c>
      <c r="B1459" t="s">
        <v>13</v>
      </c>
      <c r="D1459" s="2">
        <v>38707</v>
      </c>
      <c r="E1459">
        <v>6.25</v>
      </c>
      <c r="G1459" s="2">
        <v>38707</v>
      </c>
      <c r="H1459">
        <v>6.165</v>
      </c>
      <c r="J1459" s="2">
        <v>38714</v>
      </c>
      <c r="K1459" s="3">
        <f t="shared" si="44"/>
        <v>6.25</v>
      </c>
      <c r="L1459" s="3">
        <f t="shared" si="45"/>
        <v>6.26</v>
      </c>
    </row>
    <row r="1460" spans="1:12" x14ac:dyDescent="0.3">
      <c r="A1460" s="2">
        <v>37977</v>
      </c>
      <c r="B1460" t="s">
        <v>13</v>
      </c>
      <c r="D1460" s="2">
        <v>38708</v>
      </c>
      <c r="E1460">
        <v>6.25</v>
      </c>
      <c r="G1460" s="2">
        <v>38708</v>
      </c>
      <c r="H1460">
        <v>6.18</v>
      </c>
      <c r="J1460" s="2">
        <v>38715</v>
      </c>
      <c r="K1460" s="3">
        <f t="shared" si="44"/>
        <v>6.25</v>
      </c>
      <c r="L1460" s="3">
        <f t="shared" si="45"/>
        <v>6.2240000000000002</v>
      </c>
    </row>
    <row r="1461" spans="1:12" x14ac:dyDescent="0.3">
      <c r="A1461" s="2">
        <v>37978</v>
      </c>
      <c r="B1461" t="s">
        <v>13</v>
      </c>
      <c r="D1461" s="2">
        <v>38709</v>
      </c>
      <c r="E1461">
        <v>6.25</v>
      </c>
      <c r="G1461" s="2">
        <v>38709</v>
      </c>
      <c r="H1461">
        <v>6.21</v>
      </c>
      <c r="J1461" s="2">
        <v>38716</v>
      </c>
      <c r="K1461" s="3">
        <f t="shared" si="44"/>
        <v>6.25</v>
      </c>
      <c r="L1461" s="3">
        <f t="shared" si="45"/>
        <v>6.2480000000000002</v>
      </c>
    </row>
    <row r="1462" spans="1:12" x14ac:dyDescent="0.3">
      <c r="A1462" s="2">
        <v>37979</v>
      </c>
      <c r="B1462" t="s">
        <v>13</v>
      </c>
      <c r="D1462" s="2">
        <v>38710</v>
      </c>
      <c r="E1462">
        <v>6.25</v>
      </c>
      <c r="G1462" s="2">
        <v>38710</v>
      </c>
      <c r="H1462">
        <v>6.21</v>
      </c>
      <c r="J1462" s="2">
        <v>38717</v>
      </c>
      <c r="K1462" s="3">
        <f t="shared" si="44"/>
        <v>6.25</v>
      </c>
      <c r="L1462" s="3">
        <f t="shared" si="45"/>
        <v>6.2480000000000002</v>
      </c>
    </row>
    <row r="1463" spans="1:12" x14ac:dyDescent="0.3">
      <c r="A1463" s="2">
        <v>37980</v>
      </c>
      <c r="B1463" t="s">
        <v>13</v>
      </c>
      <c r="D1463" s="2">
        <v>38711</v>
      </c>
      <c r="E1463">
        <v>6.25</v>
      </c>
      <c r="G1463" s="2">
        <v>38711</v>
      </c>
      <c r="H1463">
        <v>6.21</v>
      </c>
      <c r="J1463" s="2">
        <v>38718</v>
      </c>
      <c r="K1463" s="3">
        <f t="shared" si="44"/>
        <v>6.25</v>
      </c>
      <c r="L1463" s="3">
        <f t="shared" si="45"/>
        <v>6.2480000000000002</v>
      </c>
    </row>
    <row r="1464" spans="1:12" x14ac:dyDescent="0.3">
      <c r="A1464" s="2">
        <v>37981</v>
      </c>
      <c r="B1464" t="s">
        <v>13</v>
      </c>
      <c r="D1464" s="2">
        <v>38712</v>
      </c>
      <c r="E1464">
        <v>6.25</v>
      </c>
      <c r="G1464" s="2">
        <v>38712</v>
      </c>
      <c r="H1464">
        <v>6.242</v>
      </c>
      <c r="J1464" s="2">
        <v>38719</v>
      </c>
      <c r="K1464" s="3">
        <f t="shared" si="44"/>
        <v>6.25</v>
      </c>
      <c r="L1464" s="3">
        <f t="shared" si="45"/>
        <v>6.2480000000000002</v>
      </c>
    </row>
    <row r="1465" spans="1:12" x14ac:dyDescent="0.3">
      <c r="A1465" s="2">
        <v>37982</v>
      </c>
      <c r="B1465" t="s">
        <v>13</v>
      </c>
      <c r="D1465" s="2">
        <v>38713</v>
      </c>
      <c r="E1465">
        <v>6.25</v>
      </c>
      <c r="G1465" s="2">
        <v>38713</v>
      </c>
      <c r="H1465">
        <v>6.274</v>
      </c>
      <c r="J1465" s="2">
        <v>38720</v>
      </c>
      <c r="K1465" s="3">
        <f t="shared" si="44"/>
        <v>6.25</v>
      </c>
      <c r="L1465" s="3">
        <f t="shared" si="45"/>
        <v>6.1929999999999996</v>
      </c>
    </row>
    <row r="1466" spans="1:12" x14ac:dyDescent="0.3">
      <c r="A1466" s="2">
        <v>37983</v>
      </c>
      <c r="B1466" t="s">
        <v>13</v>
      </c>
      <c r="D1466" s="2">
        <v>38714</v>
      </c>
      <c r="E1466">
        <v>6.25</v>
      </c>
      <c r="G1466" s="2">
        <v>38714</v>
      </c>
      <c r="H1466">
        <v>6.26</v>
      </c>
      <c r="J1466" s="2">
        <v>38721</v>
      </c>
      <c r="K1466" s="3">
        <f t="shared" si="44"/>
        <v>6.25</v>
      </c>
      <c r="L1466" s="3">
        <f t="shared" si="45"/>
        <v>6.173</v>
      </c>
    </row>
    <row r="1467" spans="1:12" x14ac:dyDescent="0.3">
      <c r="A1467" s="2">
        <v>37984</v>
      </c>
      <c r="B1467" t="s">
        <v>13</v>
      </c>
      <c r="D1467" s="2">
        <v>38715</v>
      </c>
      <c r="E1467">
        <v>6.25</v>
      </c>
      <c r="G1467" s="2">
        <v>38715</v>
      </c>
      <c r="H1467">
        <v>6.2240000000000002</v>
      </c>
      <c r="J1467" s="2">
        <v>38722</v>
      </c>
      <c r="K1467" s="3">
        <f t="shared" si="44"/>
        <v>6.25</v>
      </c>
      <c r="L1467" s="3">
        <f t="shared" si="45"/>
        <v>6.173</v>
      </c>
    </row>
    <row r="1468" spans="1:12" x14ac:dyDescent="0.3">
      <c r="A1468" s="2">
        <v>37985</v>
      </c>
      <c r="B1468" t="s">
        <v>13</v>
      </c>
      <c r="D1468" s="2">
        <v>38716</v>
      </c>
      <c r="E1468">
        <v>6.25</v>
      </c>
      <c r="G1468" s="2">
        <v>38716</v>
      </c>
      <c r="H1468">
        <v>6.2480000000000002</v>
      </c>
      <c r="J1468" s="2">
        <v>38723</v>
      </c>
      <c r="K1468" s="3">
        <f t="shared" si="44"/>
        <v>6.25</v>
      </c>
      <c r="L1468" s="3">
        <f t="shared" si="45"/>
        <v>6.173</v>
      </c>
    </row>
    <row r="1469" spans="1:12" x14ac:dyDescent="0.3">
      <c r="A1469" s="2">
        <v>37986</v>
      </c>
      <c r="B1469" t="s">
        <v>13</v>
      </c>
      <c r="D1469" s="2">
        <v>38717</v>
      </c>
      <c r="E1469">
        <v>6.25</v>
      </c>
      <c r="G1469" s="2">
        <v>38717</v>
      </c>
      <c r="H1469">
        <v>6.2480000000000002</v>
      </c>
      <c r="J1469" s="2">
        <v>38724</v>
      </c>
      <c r="K1469" s="3">
        <f t="shared" si="44"/>
        <v>6.25</v>
      </c>
      <c r="L1469" s="3">
        <f t="shared" si="45"/>
        <v>6.173</v>
      </c>
    </row>
    <row r="1470" spans="1:12" x14ac:dyDescent="0.3">
      <c r="A1470" s="2">
        <v>37987</v>
      </c>
      <c r="B1470" t="s">
        <v>13</v>
      </c>
      <c r="D1470" s="2">
        <v>38718</v>
      </c>
      <c r="E1470">
        <v>6.25</v>
      </c>
      <c r="G1470" s="2">
        <v>38718</v>
      </c>
      <c r="H1470">
        <v>6.2480000000000002</v>
      </c>
      <c r="J1470" s="2">
        <v>38725</v>
      </c>
      <c r="K1470" s="3">
        <f t="shared" si="44"/>
        <v>6.25</v>
      </c>
      <c r="L1470" s="3">
        <f t="shared" si="45"/>
        <v>6.173</v>
      </c>
    </row>
    <row r="1471" spans="1:12" x14ac:dyDescent="0.3">
      <c r="A1471" s="2">
        <v>37988</v>
      </c>
      <c r="B1471" t="s">
        <v>13</v>
      </c>
      <c r="D1471" s="2">
        <v>38719</v>
      </c>
      <c r="E1471">
        <v>6.25</v>
      </c>
      <c r="G1471" s="2">
        <v>38719</v>
      </c>
      <c r="H1471">
        <v>6.2480000000000002</v>
      </c>
      <c r="J1471" s="2">
        <v>38726</v>
      </c>
      <c r="K1471" s="3">
        <f t="shared" si="44"/>
        <v>6.25</v>
      </c>
      <c r="L1471" s="3">
        <f t="shared" si="45"/>
        <v>6.173</v>
      </c>
    </row>
    <row r="1472" spans="1:12" x14ac:dyDescent="0.3">
      <c r="A1472" s="2">
        <v>37989</v>
      </c>
      <c r="B1472" t="s">
        <v>13</v>
      </c>
      <c r="D1472" s="2">
        <v>38720</v>
      </c>
      <c r="E1472">
        <v>6.25</v>
      </c>
      <c r="G1472" s="2">
        <v>38720</v>
      </c>
      <c r="H1472">
        <v>6.1929999999999996</v>
      </c>
      <c r="J1472" s="2">
        <v>38727</v>
      </c>
      <c r="K1472" s="3">
        <f t="shared" si="44"/>
        <v>6.25</v>
      </c>
      <c r="L1472" s="3">
        <f t="shared" si="45"/>
        <v>6.27</v>
      </c>
    </row>
    <row r="1473" spans="1:12" x14ac:dyDescent="0.3">
      <c r="A1473" s="2">
        <v>37990</v>
      </c>
      <c r="B1473" t="s">
        <v>13</v>
      </c>
      <c r="D1473" s="2">
        <v>38721</v>
      </c>
      <c r="E1473">
        <v>6.25</v>
      </c>
      <c r="G1473" s="2">
        <v>38721</v>
      </c>
      <c r="H1473">
        <v>6.173</v>
      </c>
      <c r="J1473" s="2">
        <v>38728</v>
      </c>
      <c r="K1473" s="3">
        <f t="shared" si="44"/>
        <v>6.25</v>
      </c>
      <c r="L1473" s="3">
        <f t="shared" si="45"/>
        <v>6.27</v>
      </c>
    </row>
    <row r="1474" spans="1:12" x14ac:dyDescent="0.3">
      <c r="A1474" s="2">
        <v>37991</v>
      </c>
      <c r="B1474" t="s">
        <v>13</v>
      </c>
      <c r="D1474" s="2">
        <v>38722</v>
      </c>
      <c r="E1474">
        <v>6.25</v>
      </c>
      <c r="G1474" s="2">
        <v>38722</v>
      </c>
      <c r="H1474">
        <v>6.173</v>
      </c>
      <c r="J1474" s="2">
        <v>38729</v>
      </c>
      <c r="K1474" s="3">
        <f t="shared" si="44"/>
        <v>6.25</v>
      </c>
      <c r="L1474" s="3">
        <f t="shared" si="45"/>
        <v>6.3040000000000003</v>
      </c>
    </row>
    <row r="1475" spans="1:12" x14ac:dyDescent="0.3">
      <c r="A1475" s="2">
        <v>37992</v>
      </c>
      <c r="B1475" t="s">
        <v>13</v>
      </c>
      <c r="D1475" s="2">
        <v>38723</v>
      </c>
      <c r="E1475">
        <v>6.25</v>
      </c>
      <c r="G1475" s="2">
        <v>38723</v>
      </c>
      <c r="H1475">
        <v>6.173</v>
      </c>
      <c r="J1475" s="2">
        <v>38730</v>
      </c>
      <c r="K1475" s="3">
        <f t="shared" ref="K1475:K1538" si="46">E1482</f>
        <v>6.25</v>
      </c>
      <c r="L1475" s="3">
        <f t="shared" ref="L1475:L1538" si="47">H1482</f>
        <v>6.3090000000000002</v>
      </c>
    </row>
    <row r="1476" spans="1:12" x14ac:dyDescent="0.3">
      <c r="A1476" s="2">
        <v>37993</v>
      </c>
      <c r="B1476" t="s">
        <v>13</v>
      </c>
      <c r="D1476" s="2">
        <v>38724</v>
      </c>
      <c r="E1476">
        <v>6.25</v>
      </c>
      <c r="G1476" s="2">
        <v>38724</v>
      </c>
      <c r="H1476">
        <v>6.173</v>
      </c>
      <c r="J1476" s="2">
        <v>38731</v>
      </c>
      <c r="K1476" s="3">
        <f t="shared" si="46"/>
        <v>6.25</v>
      </c>
      <c r="L1476" s="3">
        <f t="shared" si="47"/>
        <v>6.3090000000000002</v>
      </c>
    </row>
    <row r="1477" spans="1:12" x14ac:dyDescent="0.3">
      <c r="A1477" s="2">
        <v>37994</v>
      </c>
      <c r="B1477" t="s">
        <v>13</v>
      </c>
      <c r="D1477" s="2">
        <v>38725</v>
      </c>
      <c r="E1477">
        <v>6.25</v>
      </c>
      <c r="G1477" s="2">
        <v>38725</v>
      </c>
      <c r="H1477">
        <v>6.173</v>
      </c>
      <c r="J1477" s="2">
        <v>38732</v>
      </c>
      <c r="K1477" s="3">
        <f t="shared" si="46"/>
        <v>6.25</v>
      </c>
      <c r="L1477" s="3">
        <f t="shared" si="47"/>
        <v>6.3090000000000002</v>
      </c>
    </row>
    <row r="1478" spans="1:12" x14ac:dyDescent="0.3">
      <c r="A1478" s="2">
        <v>37995</v>
      </c>
      <c r="B1478" t="s">
        <v>13</v>
      </c>
      <c r="D1478" s="2">
        <v>38726</v>
      </c>
      <c r="E1478">
        <v>6.25</v>
      </c>
      <c r="G1478" s="2">
        <v>38726</v>
      </c>
      <c r="H1478">
        <v>6.173</v>
      </c>
      <c r="J1478" s="2">
        <v>38733</v>
      </c>
      <c r="K1478" s="3">
        <f t="shared" si="46"/>
        <v>6.25</v>
      </c>
      <c r="L1478" s="3">
        <f t="shared" si="47"/>
        <v>6.2859999999999996</v>
      </c>
    </row>
    <row r="1479" spans="1:12" x14ac:dyDescent="0.3">
      <c r="A1479" s="2">
        <v>37996</v>
      </c>
      <c r="B1479" t="s">
        <v>13</v>
      </c>
      <c r="D1479" s="2">
        <v>38727</v>
      </c>
      <c r="E1479">
        <v>6.25</v>
      </c>
      <c r="G1479" s="2">
        <v>38727</v>
      </c>
      <c r="H1479">
        <v>6.27</v>
      </c>
      <c r="J1479" s="2">
        <v>38734</v>
      </c>
      <c r="K1479" s="3">
        <f t="shared" si="46"/>
        <v>6.25</v>
      </c>
      <c r="L1479" s="3">
        <f t="shared" si="47"/>
        <v>6.282</v>
      </c>
    </row>
    <row r="1480" spans="1:12" x14ac:dyDescent="0.3">
      <c r="A1480" s="2">
        <v>37997</v>
      </c>
      <c r="B1480" t="s">
        <v>13</v>
      </c>
      <c r="D1480" s="2">
        <v>38728</v>
      </c>
      <c r="E1480">
        <v>6.25</v>
      </c>
      <c r="G1480" s="2">
        <v>38728</v>
      </c>
      <c r="H1480">
        <v>6.27</v>
      </c>
      <c r="J1480" s="2">
        <v>38735</v>
      </c>
      <c r="K1480" s="3">
        <f t="shared" si="46"/>
        <v>6.25</v>
      </c>
      <c r="L1480" s="3">
        <f t="shared" si="47"/>
        <v>6.298</v>
      </c>
    </row>
    <row r="1481" spans="1:12" x14ac:dyDescent="0.3">
      <c r="A1481" s="2">
        <v>37998</v>
      </c>
      <c r="B1481" t="s">
        <v>13</v>
      </c>
      <c r="D1481" s="2">
        <v>38729</v>
      </c>
      <c r="E1481">
        <v>6.25</v>
      </c>
      <c r="G1481" s="2">
        <v>38729</v>
      </c>
      <c r="H1481">
        <v>6.3040000000000003</v>
      </c>
      <c r="J1481" s="2">
        <v>38736</v>
      </c>
      <c r="K1481" s="3">
        <f t="shared" si="46"/>
        <v>6.25</v>
      </c>
      <c r="L1481" s="3">
        <f t="shared" si="47"/>
        <v>6.3280000000000003</v>
      </c>
    </row>
    <row r="1482" spans="1:12" x14ac:dyDescent="0.3">
      <c r="A1482" s="2">
        <v>37999</v>
      </c>
      <c r="B1482" t="s">
        <v>13</v>
      </c>
      <c r="D1482" s="2">
        <v>38730</v>
      </c>
      <c r="E1482">
        <v>6.25</v>
      </c>
      <c r="G1482" s="2">
        <v>38730</v>
      </c>
      <c r="H1482">
        <v>6.3090000000000002</v>
      </c>
      <c r="J1482" s="2">
        <v>38737</v>
      </c>
      <c r="K1482" s="3">
        <f t="shared" si="46"/>
        <v>6.25</v>
      </c>
      <c r="L1482" s="3">
        <f t="shared" si="47"/>
        <v>6.375</v>
      </c>
    </row>
    <row r="1483" spans="1:12" x14ac:dyDescent="0.3">
      <c r="A1483" s="2">
        <v>38000</v>
      </c>
      <c r="B1483" t="s">
        <v>13</v>
      </c>
      <c r="D1483" s="2">
        <v>38731</v>
      </c>
      <c r="E1483">
        <v>6.25</v>
      </c>
      <c r="G1483" s="2">
        <v>38731</v>
      </c>
      <c r="H1483">
        <v>6.3090000000000002</v>
      </c>
      <c r="J1483" s="2">
        <v>38738</v>
      </c>
      <c r="K1483" s="3">
        <f t="shared" si="46"/>
        <v>6.25</v>
      </c>
      <c r="L1483" s="3">
        <f t="shared" si="47"/>
        <v>6.375</v>
      </c>
    </row>
    <row r="1484" spans="1:12" x14ac:dyDescent="0.3">
      <c r="A1484" s="2">
        <v>38001</v>
      </c>
      <c r="B1484" t="s">
        <v>13</v>
      </c>
      <c r="D1484" s="2">
        <v>38732</v>
      </c>
      <c r="E1484">
        <v>6.25</v>
      </c>
      <c r="G1484" s="2">
        <v>38732</v>
      </c>
      <c r="H1484">
        <v>6.3090000000000002</v>
      </c>
      <c r="J1484" s="2">
        <v>38739</v>
      </c>
      <c r="K1484" s="3">
        <f t="shared" si="46"/>
        <v>6.25</v>
      </c>
      <c r="L1484" s="3">
        <f t="shared" si="47"/>
        <v>6.375</v>
      </c>
    </row>
    <row r="1485" spans="1:12" x14ac:dyDescent="0.3">
      <c r="A1485" s="2">
        <v>38002</v>
      </c>
      <c r="B1485" t="s">
        <v>13</v>
      </c>
      <c r="D1485" s="2">
        <v>38733</v>
      </c>
      <c r="E1485">
        <v>6.25</v>
      </c>
      <c r="G1485" s="2">
        <v>38733</v>
      </c>
      <c r="H1485">
        <v>6.2859999999999996</v>
      </c>
      <c r="J1485" s="2">
        <v>38740</v>
      </c>
      <c r="K1485" s="3">
        <f t="shared" si="46"/>
        <v>6.25</v>
      </c>
      <c r="L1485" s="3">
        <f t="shared" si="47"/>
        <v>6.3929999999999998</v>
      </c>
    </row>
    <row r="1486" spans="1:12" x14ac:dyDescent="0.3">
      <c r="A1486" s="2">
        <v>38003</v>
      </c>
      <c r="B1486" t="s">
        <v>13</v>
      </c>
      <c r="D1486" s="2">
        <v>38734</v>
      </c>
      <c r="E1486">
        <v>6.25</v>
      </c>
      <c r="G1486" s="2">
        <v>38734</v>
      </c>
      <c r="H1486">
        <v>6.282</v>
      </c>
      <c r="J1486" s="2">
        <v>38741</v>
      </c>
      <c r="K1486" s="3">
        <f t="shared" si="46"/>
        <v>6.5</v>
      </c>
      <c r="L1486" s="3">
        <f t="shared" si="47"/>
        <v>6.5339999999999998</v>
      </c>
    </row>
    <row r="1487" spans="1:12" x14ac:dyDescent="0.3">
      <c r="A1487" s="2">
        <v>38004</v>
      </c>
      <c r="B1487" t="s">
        <v>13</v>
      </c>
      <c r="D1487" s="2">
        <v>38735</v>
      </c>
      <c r="E1487">
        <v>6.25</v>
      </c>
      <c r="G1487" s="2">
        <v>38735</v>
      </c>
      <c r="H1487">
        <v>6.298</v>
      </c>
      <c r="J1487" s="2">
        <v>38742</v>
      </c>
      <c r="K1487" s="3">
        <f t="shared" si="46"/>
        <v>6.5</v>
      </c>
      <c r="L1487" s="3">
        <f t="shared" si="47"/>
        <v>6.601</v>
      </c>
    </row>
    <row r="1488" spans="1:12" x14ac:dyDescent="0.3">
      <c r="A1488" s="2">
        <v>38005</v>
      </c>
      <c r="B1488" t="s">
        <v>13</v>
      </c>
      <c r="D1488" s="2">
        <v>38736</v>
      </c>
      <c r="E1488">
        <v>6.25</v>
      </c>
      <c r="G1488" s="2">
        <v>38736</v>
      </c>
      <c r="H1488">
        <v>6.3280000000000003</v>
      </c>
      <c r="J1488" s="2">
        <v>38743</v>
      </c>
      <c r="K1488" s="3">
        <f t="shared" si="46"/>
        <v>6.5</v>
      </c>
      <c r="L1488" s="3">
        <f t="shared" si="47"/>
        <v>6.601</v>
      </c>
    </row>
    <row r="1489" spans="1:12" x14ac:dyDescent="0.3">
      <c r="A1489" s="2">
        <v>38006</v>
      </c>
      <c r="B1489" t="s">
        <v>13</v>
      </c>
      <c r="D1489" s="2">
        <v>38737</v>
      </c>
      <c r="E1489">
        <v>6.25</v>
      </c>
      <c r="G1489" s="2">
        <v>38737</v>
      </c>
      <c r="H1489">
        <v>6.375</v>
      </c>
      <c r="J1489" s="2">
        <v>38744</v>
      </c>
      <c r="K1489" s="3">
        <f t="shared" si="46"/>
        <v>6.5</v>
      </c>
      <c r="L1489" s="3">
        <f t="shared" si="47"/>
        <v>6.585</v>
      </c>
    </row>
    <row r="1490" spans="1:12" x14ac:dyDescent="0.3">
      <c r="A1490" s="2">
        <v>38007</v>
      </c>
      <c r="B1490" t="s">
        <v>13</v>
      </c>
      <c r="D1490" s="2">
        <v>38738</v>
      </c>
      <c r="E1490">
        <v>6.25</v>
      </c>
      <c r="G1490" s="2">
        <v>38738</v>
      </c>
      <c r="H1490">
        <v>6.375</v>
      </c>
      <c r="J1490" s="2">
        <v>38745</v>
      </c>
      <c r="K1490" s="3">
        <f t="shared" si="46"/>
        <v>6.5</v>
      </c>
      <c r="L1490" s="3">
        <f t="shared" si="47"/>
        <v>6.585</v>
      </c>
    </row>
    <row r="1491" spans="1:12" x14ac:dyDescent="0.3">
      <c r="A1491" s="2">
        <v>38008</v>
      </c>
      <c r="B1491" t="s">
        <v>13</v>
      </c>
      <c r="D1491" s="2">
        <v>38739</v>
      </c>
      <c r="E1491">
        <v>6.25</v>
      </c>
      <c r="G1491" s="2">
        <v>38739</v>
      </c>
      <c r="H1491">
        <v>6.375</v>
      </c>
      <c r="J1491" s="2">
        <v>38746</v>
      </c>
      <c r="K1491" s="3">
        <f t="shared" si="46"/>
        <v>6.5</v>
      </c>
      <c r="L1491" s="3">
        <f t="shared" si="47"/>
        <v>6.585</v>
      </c>
    </row>
    <row r="1492" spans="1:12" x14ac:dyDescent="0.3">
      <c r="A1492" s="2">
        <v>38009</v>
      </c>
      <c r="B1492" t="s">
        <v>13</v>
      </c>
      <c r="D1492" s="2">
        <v>38740</v>
      </c>
      <c r="E1492">
        <v>6.25</v>
      </c>
      <c r="G1492" s="2">
        <v>38740</v>
      </c>
      <c r="H1492">
        <v>6.3929999999999998</v>
      </c>
      <c r="J1492" s="2">
        <v>38747</v>
      </c>
      <c r="K1492" s="3">
        <f t="shared" si="46"/>
        <v>6.5</v>
      </c>
      <c r="L1492" s="3">
        <f t="shared" si="47"/>
        <v>6.7960000000000003</v>
      </c>
    </row>
    <row r="1493" spans="1:12" x14ac:dyDescent="0.3">
      <c r="A1493" s="2">
        <v>38010</v>
      </c>
      <c r="B1493" t="s">
        <v>13</v>
      </c>
      <c r="D1493" s="2">
        <v>38741</v>
      </c>
      <c r="E1493">
        <v>6.5</v>
      </c>
      <c r="G1493" s="2">
        <v>38741</v>
      </c>
      <c r="H1493">
        <v>6.5339999999999998</v>
      </c>
      <c r="J1493" s="2">
        <v>38748</v>
      </c>
      <c r="K1493" s="3">
        <f t="shared" si="46"/>
        <v>6.5</v>
      </c>
      <c r="L1493" s="3">
        <f t="shared" si="47"/>
        <v>6.8129999999999997</v>
      </c>
    </row>
    <row r="1494" spans="1:12" x14ac:dyDescent="0.3">
      <c r="A1494" s="2">
        <v>38011</v>
      </c>
      <c r="B1494" t="s">
        <v>13</v>
      </c>
      <c r="D1494" s="2">
        <v>38742</v>
      </c>
      <c r="E1494">
        <v>6.5</v>
      </c>
      <c r="G1494" s="2">
        <v>38742</v>
      </c>
      <c r="H1494">
        <v>6.601</v>
      </c>
      <c r="J1494" s="2">
        <v>38749</v>
      </c>
      <c r="K1494" s="3">
        <f t="shared" si="46"/>
        <v>6.5</v>
      </c>
      <c r="L1494" s="3">
        <f t="shared" si="47"/>
        <v>6.8120000000000003</v>
      </c>
    </row>
    <row r="1495" spans="1:12" x14ac:dyDescent="0.3">
      <c r="A1495" s="2">
        <v>38012</v>
      </c>
      <c r="B1495" t="s">
        <v>13</v>
      </c>
      <c r="D1495" s="2">
        <v>38743</v>
      </c>
      <c r="E1495">
        <v>6.5</v>
      </c>
      <c r="G1495" s="2">
        <v>38743</v>
      </c>
      <c r="H1495">
        <v>6.601</v>
      </c>
      <c r="J1495" s="2">
        <v>38750</v>
      </c>
      <c r="K1495" s="3">
        <f t="shared" si="46"/>
        <v>6.5</v>
      </c>
      <c r="L1495" s="3">
        <f t="shared" si="47"/>
        <v>6.8120000000000003</v>
      </c>
    </row>
    <row r="1496" spans="1:12" x14ac:dyDescent="0.3">
      <c r="A1496" s="2">
        <v>38013</v>
      </c>
      <c r="B1496" t="s">
        <v>13</v>
      </c>
      <c r="D1496" s="2">
        <v>38744</v>
      </c>
      <c r="E1496">
        <v>6.5</v>
      </c>
      <c r="G1496" s="2">
        <v>38744</v>
      </c>
      <c r="H1496">
        <v>6.585</v>
      </c>
      <c r="J1496" s="2">
        <v>38751</v>
      </c>
      <c r="K1496" s="3">
        <f t="shared" si="46"/>
        <v>6.5</v>
      </c>
      <c r="L1496" s="3">
        <f t="shared" si="47"/>
        <v>6.8650000000000002</v>
      </c>
    </row>
    <row r="1497" spans="1:12" x14ac:dyDescent="0.3">
      <c r="A1497" s="2">
        <v>38014</v>
      </c>
      <c r="B1497" t="s">
        <v>13</v>
      </c>
      <c r="D1497" s="2">
        <v>38745</v>
      </c>
      <c r="E1497">
        <v>6.5</v>
      </c>
      <c r="G1497" s="2">
        <v>38745</v>
      </c>
      <c r="H1497">
        <v>6.585</v>
      </c>
      <c r="J1497" s="2">
        <v>38752</v>
      </c>
      <c r="K1497" s="3">
        <f t="shared" si="46"/>
        <v>6.5</v>
      </c>
      <c r="L1497" s="3">
        <f t="shared" si="47"/>
        <v>6.8650000000000002</v>
      </c>
    </row>
    <row r="1498" spans="1:12" x14ac:dyDescent="0.3">
      <c r="A1498" s="2">
        <v>38015</v>
      </c>
      <c r="B1498" t="s">
        <v>13</v>
      </c>
      <c r="D1498" s="2">
        <v>38746</v>
      </c>
      <c r="E1498">
        <v>6.5</v>
      </c>
      <c r="G1498" s="2">
        <v>38746</v>
      </c>
      <c r="H1498">
        <v>6.585</v>
      </c>
      <c r="J1498" s="2">
        <v>38753</v>
      </c>
      <c r="K1498" s="3">
        <f t="shared" si="46"/>
        <v>6.5</v>
      </c>
      <c r="L1498" s="3">
        <f t="shared" si="47"/>
        <v>6.8650000000000002</v>
      </c>
    </row>
    <row r="1499" spans="1:12" x14ac:dyDescent="0.3">
      <c r="A1499" s="2">
        <v>38016</v>
      </c>
      <c r="B1499" t="s">
        <v>13</v>
      </c>
      <c r="D1499" s="2">
        <v>38747</v>
      </c>
      <c r="E1499">
        <v>6.5</v>
      </c>
      <c r="G1499" s="2">
        <v>38747</v>
      </c>
      <c r="H1499">
        <v>6.7960000000000003</v>
      </c>
      <c r="J1499" s="2">
        <v>38754</v>
      </c>
      <c r="K1499" s="3">
        <f t="shared" si="46"/>
        <v>6.5</v>
      </c>
      <c r="L1499" s="3">
        <f t="shared" si="47"/>
        <v>6.8650000000000002</v>
      </c>
    </row>
    <row r="1500" spans="1:12" x14ac:dyDescent="0.3">
      <c r="A1500" s="2">
        <v>38017</v>
      </c>
      <c r="B1500" t="s">
        <v>13</v>
      </c>
      <c r="D1500" s="2">
        <v>38748</v>
      </c>
      <c r="E1500">
        <v>6.5</v>
      </c>
      <c r="G1500" s="2">
        <v>38748</v>
      </c>
      <c r="H1500">
        <v>6.8129999999999997</v>
      </c>
      <c r="J1500" s="2">
        <v>38755</v>
      </c>
      <c r="K1500" s="3">
        <f t="shared" si="46"/>
        <v>6.5</v>
      </c>
      <c r="L1500" s="3">
        <f t="shared" si="47"/>
        <v>6.8609999999999998</v>
      </c>
    </row>
    <row r="1501" spans="1:12" x14ac:dyDescent="0.3">
      <c r="A1501" s="2">
        <v>38018</v>
      </c>
      <c r="B1501" t="s">
        <v>13</v>
      </c>
      <c r="D1501" s="2">
        <v>38749</v>
      </c>
      <c r="E1501">
        <v>6.5</v>
      </c>
      <c r="G1501" s="2">
        <v>38749</v>
      </c>
      <c r="H1501">
        <v>6.8120000000000003</v>
      </c>
      <c r="J1501" s="2">
        <v>38756</v>
      </c>
      <c r="K1501" s="3">
        <f t="shared" si="46"/>
        <v>6.5</v>
      </c>
      <c r="L1501" s="3">
        <f t="shared" si="47"/>
        <v>6.9080000000000004</v>
      </c>
    </row>
    <row r="1502" spans="1:12" x14ac:dyDescent="0.3">
      <c r="A1502" s="2">
        <v>38019</v>
      </c>
      <c r="B1502" t="s">
        <v>13</v>
      </c>
      <c r="D1502" s="2">
        <v>38750</v>
      </c>
      <c r="E1502">
        <v>6.5</v>
      </c>
      <c r="G1502" s="2">
        <v>38750</v>
      </c>
      <c r="H1502">
        <v>6.8120000000000003</v>
      </c>
      <c r="J1502" s="2">
        <v>38757</v>
      </c>
      <c r="K1502" s="3">
        <f t="shared" si="46"/>
        <v>6.5</v>
      </c>
      <c r="L1502" s="3">
        <f t="shared" si="47"/>
        <v>6.9080000000000004</v>
      </c>
    </row>
    <row r="1503" spans="1:12" x14ac:dyDescent="0.3">
      <c r="A1503" s="2">
        <v>38020</v>
      </c>
      <c r="B1503" t="s">
        <v>13</v>
      </c>
      <c r="D1503" s="2">
        <v>38751</v>
      </c>
      <c r="E1503">
        <v>6.5</v>
      </c>
      <c r="G1503" s="2">
        <v>38751</v>
      </c>
      <c r="H1503">
        <v>6.8650000000000002</v>
      </c>
      <c r="J1503" s="2">
        <v>38758</v>
      </c>
      <c r="K1503" s="3">
        <f t="shared" si="46"/>
        <v>6.5</v>
      </c>
      <c r="L1503" s="3">
        <f t="shared" si="47"/>
        <v>6.9379999999999997</v>
      </c>
    </row>
    <row r="1504" spans="1:12" x14ac:dyDescent="0.3">
      <c r="A1504" s="2">
        <v>38021</v>
      </c>
      <c r="B1504" t="s">
        <v>13</v>
      </c>
      <c r="D1504" s="2">
        <v>38752</v>
      </c>
      <c r="E1504">
        <v>6.5</v>
      </c>
      <c r="G1504" s="2">
        <v>38752</v>
      </c>
      <c r="H1504">
        <v>6.8650000000000002</v>
      </c>
      <c r="J1504" s="2">
        <v>38759</v>
      </c>
      <c r="K1504" s="3">
        <f t="shared" si="46"/>
        <v>6.5</v>
      </c>
      <c r="L1504" s="3">
        <f t="shared" si="47"/>
        <v>6.9379999999999997</v>
      </c>
    </row>
    <row r="1505" spans="1:12" x14ac:dyDescent="0.3">
      <c r="A1505" s="2">
        <v>38022</v>
      </c>
      <c r="B1505" t="s">
        <v>13</v>
      </c>
      <c r="D1505" s="2">
        <v>38753</v>
      </c>
      <c r="E1505">
        <v>6.5</v>
      </c>
      <c r="G1505" s="2">
        <v>38753</v>
      </c>
      <c r="H1505">
        <v>6.8650000000000002</v>
      </c>
      <c r="J1505" s="2">
        <v>38760</v>
      </c>
      <c r="K1505" s="3">
        <f t="shared" si="46"/>
        <v>6.5</v>
      </c>
      <c r="L1505" s="3">
        <f t="shared" si="47"/>
        <v>6.9379999999999997</v>
      </c>
    </row>
    <row r="1506" spans="1:12" x14ac:dyDescent="0.3">
      <c r="A1506" s="2">
        <v>38023</v>
      </c>
      <c r="B1506" t="s">
        <v>13</v>
      </c>
      <c r="D1506" s="2">
        <v>38754</v>
      </c>
      <c r="E1506">
        <v>6.5</v>
      </c>
      <c r="G1506" s="2">
        <v>38754</v>
      </c>
      <c r="H1506">
        <v>6.8650000000000002</v>
      </c>
      <c r="J1506" s="2">
        <v>38761</v>
      </c>
      <c r="K1506" s="3">
        <f t="shared" si="46"/>
        <v>6.5</v>
      </c>
      <c r="L1506" s="3">
        <f t="shared" si="47"/>
        <v>6.944</v>
      </c>
    </row>
    <row r="1507" spans="1:12" x14ac:dyDescent="0.3">
      <c r="A1507" s="2">
        <v>38024</v>
      </c>
      <c r="B1507" t="s">
        <v>13</v>
      </c>
      <c r="D1507" s="2">
        <v>38755</v>
      </c>
      <c r="E1507">
        <v>6.5</v>
      </c>
      <c r="G1507" s="2">
        <v>38755</v>
      </c>
      <c r="H1507">
        <v>6.8609999999999998</v>
      </c>
      <c r="J1507" s="2">
        <v>38762</v>
      </c>
      <c r="K1507" s="3">
        <f t="shared" si="46"/>
        <v>6.5</v>
      </c>
      <c r="L1507" s="3">
        <f t="shared" si="47"/>
        <v>6.9</v>
      </c>
    </row>
    <row r="1508" spans="1:12" x14ac:dyDescent="0.3">
      <c r="A1508" s="2">
        <v>38025</v>
      </c>
      <c r="B1508" t="s">
        <v>13</v>
      </c>
      <c r="D1508" s="2">
        <v>38756</v>
      </c>
      <c r="E1508">
        <v>6.5</v>
      </c>
      <c r="G1508" s="2">
        <v>38756</v>
      </c>
      <c r="H1508">
        <v>6.9080000000000004</v>
      </c>
      <c r="J1508" s="2">
        <v>38763</v>
      </c>
      <c r="K1508" s="3">
        <f t="shared" si="46"/>
        <v>6.5</v>
      </c>
      <c r="L1508" s="3">
        <f t="shared" si="47"/>
        <v>6.968</v>
      </c>
    </row>
    <row r="1509" spans="1:12" x14ac:dyDescent="0.3">
      <c r="A1509" s="2">
        <v>38026</v>
      </c>
      <c r="B1509" t="s">
        <v>13</v>
      </c>
      <c r="D1509" s="2">
        <v>38757</v>
      </c>
      <c r="E1509">
        <v>6.5</v>
      </c>
      <c r="G1509" s="2">
        <v>38757</v>
      </c>
      <c r="H1509">
        <v>6.9080000000000004</v>
      </c>
      <c r="J1509" s="2">
        <v>38764</v>
      </c>
      <c r="K1509" s="3">
        <f t="shared" si="46"/>
        <v>6.5</v>
      </c>
      <c r="L1509" s="3">
        <f t="shared" si="47"/>
        <v>6.9630000000000001</v>
      </c>
    </row>
    <row r="1510" spans="1:12" x14ac:dyDescent="0.3">
      <c r="A1510" s="2">
        <v>38027</v>
      </c>
      <c r="B1510" t="s">
        <v>13</v>
      </c>
      <c r="D1510" s="2">
        <v>38758</v>
      </c>
      <c r="E1510">
        <v>6.5</v>
      </c>
      <c r="G1510" s="2">
        <v>38758</v>
      </c>
      <c r="H1510">
        <v>6.9379999999999997</v>
      </c>
      <c r="J1510" s="2">
        <v>38765</v>
      </c>
      <c r="K1510" s="3">
        <f t="shared" si="46"/>
        <v>6.5</v>
      </c>
      <c r="L1510" s="3">
        <f t="shared" si="47"/>
        <v>6.9119999999999999</v>
      </c>
    </row>
    <row r="1511" spans="1:12" x14ac:dyDescent="0.3">
      <c r="A1511" s="2">
        <v>38028</v>
      </c>
      <c r="B1511" t="s">
        <v>13</v>
      </c>
      <c r="D1511" s="2">
        <v>38759</v>
      </c>
      <c r="E1511">
        <v>6.5</v>
      </c>
      <c r="G1511" s="2">
        <v>38759</v>
      </c>
      <c r="H1511">
        <v>6.9379999999999997</v>
      </c>
      <c r="J1511" s="2">
        <v>38766</v>
      </c>
      <c r="K1511" s="3">
        <f t="shared" si="46"/>
        <v>6.5</v>
      </c>
      <c r="L1511" s="3">
        <f t="shared" si="47"/>
        <v>6.9119999999999999</v>
      </c>
    </row>
    <row r="1512" spans="1:12" x14ac:dyDescent="0.3">
      <c r="A1512" s="2">
        <v>38029</v>
      </c>
      <c r="B1512" t="s">
        <v>13</v>
      </c>
      <c r="D1512" s="2">
        <v>38760</v>
      </c>
      <c r="E1512">
        <v>6.5</v>
      </c>
      <c r="G1512" s="2">
        <v>38760</v>
      </c>
      <c r="H1512">
        <v>6.9379999999999997</v>
      </c>
      <c r="J1512" s="2">
        <v>38767</v>
      </c>
      <c r="K1512" s="3">
        <f t="shared" si="46"/>
        <v>6.5</v>
      </c>
      <c r="L1512" s="3">
        <f t="shared" si="47"/>
        <v>6.9119999999999999</v>
      </c>
    </row>
    <row r="1513" spans="1:12" x14ac:dyDescent="0.3">
      <c r="A1513" s="2">
        <v>38030</v>
      </c>
      <c r="B1513" t="s">
        <v>13</v>
      </c>
      <c r="D1513" s="2">
        <v>38761</v>
      </c>
      <c r="E1513">
        <v>6.5</v>
      </c>
      <c r="G1513" s="2">
        <v>38761</v>
      </c>
      <c r="H1513">
        <v>6.944</v>
      </c>
      <c r="J1513" s="2">
        <v>38768</v>
      </c>
      <c r="K1513" s="3">
        <f t="shared" si="46"/>
        <v>6.5</v>
      </c>
      <c r="L1513" s="3">
        <f t="shared" si="47"/>
        <v>6.94</v>
      </c>
    </row>
    <row r="1514" spans="1:12" x14ac:dyDescent="0.3">
      <c r="A1514" s="2">
        <v>38031</v>
      </c>
      <c r="B1514" t="s">
        <v>13</v>
      </c>
      <c r="D1514" s="2">
        <v>38762</v>
      </c>
      <c r="E1514">
        <v>6.5</v>
      </c>
      <c r="G1514" s="2">
        <v>38762</v>
      </c>
      <c r="H1514">
        <v>6.9</v>
      </c>
      <c r="J1514" s="2">
        <v>38769</v>
      </c>
      <c r="K1514" s="3">
        <f t="shared" si="46"/>
        <v>6.5</v>
      </c>
      <c r="L1514" s="3">
        <f t="shared" si="47"/>
        <v>7.0140000000000002</v>
      </c>
    </row>
    <row r="1515" spans="1:12" x14ac:dyDescent="0.3">
      <c r="A1515" s="2">
        <v>38032</v>
      </c>
      <c r="B1515" t="s">
        <v>13</v>
      </c>
      <c r="D1515" s="2">
        <v>38763</v>
      </c>
      <c r="E1515">
        <v>6.5</v>
      </c>
      <c r="G1515" s="2">
        <v>38763</v>
      </c>
      <c r="H1515">
        <v>6.968</v>
      </c>
      <c r="J1515" s="2">
        <v>38770</v>
      </c>
      <c r="K1515" s="3">
        <f t="shared" si="46"/>
        <v>6.5</v>
      </c>
      <c r="L1515" s="3">
        <f t="shared" si="47"/>
        <v>6.9889999999999999</v>
      </c>
    </row>
    <row r="1516" spans="1:12" x14ac:dyDescent="0.3">
      <c r="A1516" s="2">
        <v>38033</v>
      </c>
      <c r="B1516" t="s">
        <v>13</v>
      </c>
      <c r="D1516" s="2">
        <v>38764</v>
      </c>
      <c r="E1516">
        <v>6.5</v>
      </c>
      <c r="G1516" s="2">
        <v>38764</v>
      </c>
      <c r="H1516">
        <v>6.9630000000000001</v>
      </c>
      <c r="J1516" s="2">
        <v>38771</v>
      </c>
      <c r="K1516" s="3">
        <f t="shared" si="46"/>
        <v>6.5</v>
      </c>
      <c r="L1516" s="3">
        <f t="shared" si="47"/>
        <v>6.9889999999999999</v>
      </c>
    </row>
    <row r="1517" spans="1:12" x14ac:dyDescent="0.3">
      <c r="A1517" s="2">
        <v>38034</v>
      </c>
      <c r="B1517" t="s">
        <v>13</v>
      </c>
      <c r="D1517" s="2">
        <v>38765</v>
      </c>
      <c r="E1517">
        <v>6.5</v>
      </c>
      <c r="G1517" s="2">
        <v>38765</v>
      </c>
      <c r="H1517">
        <v>6.9119999999999999</v>
      </c>
      <c r="J1517" s="2">
        <v>38772</v>
      </c>
      <c r="K1517" s="3">
        <f t="shared" si="46"/>
        <v>6.5</v>
      </c>
      <c r="L1517" s="3">
        <f t="shared" si="47"/>
        <v>6.9820000000000002</v>
      </c>
    </row>
    <row r="1518" spans="1:12" x14ac:dyDescent="0.3">
      <c r="A1518" s="2">
        <v>38035</v>
      </c>
      <c r="B1518" t="s">
        <v>13</v>
      </c>
      <c r="D1518" s="2">
        <v>38766</v>
      </c>
      <c r="E1518">
        <v>6.5</v>
      </c>
      <c r="G1518" s="2">
        <v>38766</v>
      </c>
      <c r="H1518">
        <v>6.9119999999999999</v>
      </c>
      <c r="J1518" s="2">
        <v>38773</v>
      </c>
      <c r="K1518" s="3">
        <f t="shared" si="46"/>
        <v>6.5</v>
      </c>
      <c r="L1518" s="3">
        <f t="shared" si="47"/>
        <v>6.9820000000000002</v>
      </c>
    </row>
    <row r="1519" spans="1:12" x14ac:dyDescent="0.3">
      <c r="A1519" s="2">
        <v>38036</v>
      </c>
      <c r="B1519" t="s">
        <v>13</v>
      </c>
      <c r="D1519" s="2">
        <v>38767</v>
      </c>
      <c r="E1519">
        <v>6.5</v>
      </c>
      <c r="G1519" s="2">
        <v>38767</v>
      </c>
      <c r="H1519">
        <v>6.9119999999999999</v>
      </c>
      <c r="J1519" s="2">
        <v>38774</v>
      </c>
      <c r="K1519" s="3">
        <f t="shared" si="46"/>
        <v>6.5</v>
      </c>
      <c r="L1519" s="3">
        <f t="shared" si="47"/>
        <v>6.9820000000000002</v>
      </c>
    </row>
    <row r="1520" spans="1:12" x14ac:dyDescent="0.3">
      <c r="A1520" s="2">
        <v>38037</v>
      </c>
      <c r="B1520" t="s">
        <v>13</v>
      </c>
      <c r="D1520" s="2">
        <v>38768</v>
      </c>
      <c r="E1520">
        <v>6.5</v>
      </c>
      <c r="G1520" s="2">
        <v>38768</v>
      </c>
      <c r="H1520">
        <v>6.94</v>
      </c>
      <c r="J1520" s="2">
        <v>38775</v>
      </c>
      <c r="K1520" s="3">
        <f t="shared" si="46"/>
        <v>6.5</v>
      </c>
      <c r="L1520" s="3">
        <f t="shared" si="47"/>
        <v>6.8259999999999996</v>
      </c>
    </row>
    <row r="1521" spans="1:12" x14ac:dyDescent="0.3">
      <c r="A1521" s="2">
        <v>38038</v>
      </c>
      <c r="B1521" t="s">
        <v>13</v>
      </c>
      <c r="D1521" s="2">
        <v>38769</v>
      </c>
      <c r="E1521">
        <v>6.5</v>
      </c>
      <c r="G1521" s="2">
        <v>38769</v>
      </c>
      <c r="H1521">
        <v>7.0140000000000002</v>
      </c>
      <c r="J1521" s="2">
        <v>38776</v>
      </c>
      <c r="K1521" s="3">
        <f t="shared" si="46"/>
        <v>6.5</v>
      </c>
      <c r="L1521" s="3">
        <f t="shared" si="47"/>
        <v>6.7770000000000001</v>
      </c>
    </row>
    <row r="1522" spans="1:12" x14ac:dyDescent="0.3">
      <c r="A1522" s="2">
        <v>38039</v>
      </c>
      <c r="B1522" t="s">
        <v>13</v>
      </c>
      <c r="D1522" s="2">
        <v>38770</v>
      </c>
      <c r="E1522">
        <v>6.5</v>
      </c>
      <c r="G1522" s="2">
        <v>38770</v>
      </c>
      <c r="H1522">
        <v>6.9889999999999999</v>
      </c>
      <c r="J1522" s="2">
        <v>38777</v>
      </c>
      <c r="K1522" s="3">
        <f t="shared" si="46"/>
        <v>6.5</v>
      </c>
      <c r="L1522" s="3">
        <f t="shared" si="47"/>
        <v>6.8440000000000003</v>
      </c>
    </row>
    <row r="1523" spans="1:12" x14ac:dyDescent="0.3">
      <c r="A1523" s="2">
        <v>38040</v>
      </c>
      <c r="B1523" t="s">
        <v>13</v>
      </c>
      <c r="D1523" s="2">
        <v>38771</v>
      </c>
      <c r="E1523">
        <v>6.5</v>
      </c>
      <c r="G1523" s="2">
        <v>38771</v>
      </c>
      <c r="H1523">
        <v>6.9889999999999999</v>
      </c>
      <c r="J1523" s="2">
        <v>38778</v>
      </c>
      <c r="K1523" s="3">
        <f t="shared" si="46"/>
        <v>6.5</v>
      </c>
      <c r="L1523" s="3">
        <f t="shared" si="47"/>
        <v>6.8490000000000002</v>
      </c>
    </row>
    <row r="1524" spans="1:12" x14ac:dyDescent="0.3">
      <c r="A1524" s="2">
        <v>38041</v>
      </c>
      <c r="B1524" t="s">
        <v>13</v>
      </c>
      <c r="D1524" s="2">
        <v>38772</v>
      </c>
      <c r="E1524">
        <v>6.5</v>
      </c>
      <c r="G1524" s="2">
        <v>38772</v>
      </c>
      <c r="H1524">
        <v>6.9820000000000002</v>
      </c>
      <c r="J1524" s="2">
        <v>38779</v>
      </c>
      <c r="K1524" s="3">
        <f t="shared" si="46"/>
        <v>6.5</v>
      </c>
      <c r="L1524" s="3">
        <f t="shared" si="47"/>
        <v>6.8680000000000003</v>
      </c>
    </row>
    <row r="1525" spans="1:12" x14ac:dyDescent="0.3">
      <c r="A1525" s="2">
        <v>38042</v>
      </c>
      <c r="B1525" t="s">
        <v>13</v>
      </c>
      <c r="D1525" s="2">
        <v>38773</v>
      </c>
      <c r="E1525">
        <v>6.5</v>
      </c>
      <c r="G1525" s="2">
        <v>38773</v>
      </c>
      <c r="H1525">
        <v>6.9820000000000002</v>
      </c>
      <c r="J1525" s="2">
        <v>38780</v>
      </c>
      <c r="K1525" s="3">
        <f t="shared" si="46"/>
        <v>6.5</v>
      </c>
      <c r="L1525" s="3">
        <f t="shared" si="47"/>
        <v>6.8680000000000003</v>
      </c>
    </row>
    <row r="1526" spans="1:12" x14ac:dyDescent="0.3">
      <c r="A1526" s="2">
        <v>38043</v>
      </c>
      <c r="B1526" t="s">
        <v>13</v>
      </c>
      <c r="D1526" s="2">
        <v>38774</v>
      </c>
      <c r="E1526">
        <v>6.5</v>
      </c>
      <c r="G1526" s="2">
        <v>38774</v>
      </c>
      <c r="H1526">
        <v>6.9820000000000002</v>
      </c>
      <c r="J1526" s="2">
        <v>38781</v>
      </c>
      <c r="K1526" s="3">
        <f t="shared" si="46"/>
        <v>6.5</v>
      </c>
      <c r="L1526" s="3">
        <f t="shared" si="47"/>
        <v>6.8680000000000003</v>
      </c>
    </row>
    <row r="1527" spans="1:12" x14ac:dyDescent="0.3">
      <c r="A1527" s="2">
        <v>38044</v>
      </c>
      <c r="B1527" t="s">
        <v>13</v>
      </c>
      <c r="D1527" s="2">
        <v>38775</v>
      </c>
      <c r="E1527">
        <v>6.5</v>
      </c>
      <c r="G1527" s="2">
        <v>38775</v>
      </c>
      <c r="H1527">
        <v>6.8259999999999996</v>
      </c>
      <c r="J1527" s="2">
        <v>38782</v>
      </c>
      <c r="K1527" s="3">
        <f t="shared" si="46"/>
        <v>6.5</v>
      </c>
      <c r="L1527" s="3">
        <f t="shared" si="47"/>
        <v>6.9039999999999999</v>
      </c>
    </row>
    <row r="1528" spans="1:12" x14ac:dyDescent="0.3">
      <c r="A1528" s="2">
        <v>38045</v>
      </c>
      <c r="B1528" t="s">
        <v>13</v>
      </c>
      <c r="D1528" s="2">
        <v>38776</v>
      </c>
      <c r="E1528">
        <v>6.5</v>
      </c>
      <c r="G1528" s="2">
        <v>38776</v>
      </c>
      <c r="H1528">
        <v>6.7770000000000001</v>
      </c>
      <c r="J1528" s="2">
        <v>38783</v>
      </c>
      <c r="K1528" s="3">
        <f t="shared" si="46"/>
        <v>6.5</v>
      </c>
      <c r="L1528" s="3">
        <f t="shared" si="47"/>
        <v>6.8780000000000001</v>
      </c>
    </row>
    <row r="1529" spans="1:12" x14ac:dyDescent="0.3">
      <c r="A1529" s="2">
        <v>38046</v>
      </c>
      <c r="B1529" t="s">
        <v>13</v>
      </c>
      <c r="D1529" s="2">
        <v>38777</v>
      </c>
      <c r="E1529">
        <v>6.5</v>
      </c>
      <c r="G1529" s="2">
        <v>38777</v>
      </c>
      <c r="H1529">
        <v>6.8440000000000003</v>
      </c>
      <c r="J1529" s="2">
        <v>38784</v>
      </c>
      <c r="K1529" s="3">
        <f t="shared" si="46"/>
        <v>6.5</v>
      </c>
      <c r="L1529" s="3">
        <f t="shared" si="47"/>
        <v>6.85</v>
      </c>
    </row>
    <row r="1530" spans="1:12" x14ac:dyDescent="0.3">
      <c r="A1530" s="2">
        <v>38047</v>
      </c>
      <c r="B1530" t="s">
        <v>13</v>
      </c>
      <c r="D1530" s="2">
        <v>38778</v>
      </c>
      <c r="E1530">
        <v>6.5</v>
      </c>
      <c r="G1530" s="2">
        <v>38778</v>
      </c>
      <c r="H1530">
        <v>6.8490000000000002</v>
      </c>
      <c r="J1530" s="2">
        <v>38785</v>
      </c>
      <c r="K1530" s="3">
        <f t="shared" si="46"/>
        <v>6.5</v>
      </c>
      <c r="L1530" s="3">
        <f t="shared" si="47"/>
        <v>6.83</v>
      </c>
    </row>
    <row r="1531" spans="1:12" x14ac:dyDescent="0.3">
      <c r="A1531" s="2">
        <v>38048</v>
      </c>
      <c r="B1531" t="s">
        <v>13</v>
      </c>
      <c r="D1531" s="2">
        <v>38779</v>
      </c>
      <c r="E1531">
        <v>6.5</v>
      </c>
      <c r="G1531" s="2">
        <v>38779</v>
      </c>
      <c r="H1531">
        <v>6.8680000000000003</v>
      </c>
      <c r="J1531" s="2">
        <v>38786</v>
      </c>
      <c r="K1531" s="3">
        <f t="shared" si="46"/>
        <v>6.5</v>
      </c>
      <c r="L1531" s="3">
        <f t="shared" si="47"/>
        <v>6.8419999999999996</v>
      </c>
    </row>
    <row r="1532" spans="1:12" x14ac:dyDescent="0.3">
      <c r="A1532" s="2">
        <v>38049</v>
      </c>
      <c r="B1532" t="s">
        <v>13</v>
      </c>
      <c r="D1532" s="2">
        <v>38780</v>
      </c>
      <c r="E1532">
        <v>6.5</v>
      </c>
      <c r="G1532" s="2">
        <v>38780</v>
      </c>
      <c r="H1532">
        <v>6.8680000000000003</v>
      </c>
      <c r="J1532" s="2">
        <v>38787</v>
      </c>
      <c r="K1532" s="3">
        <f t="shared" si="46"/>
        <v>6.5</v>
      </c>
      <c r="L1532" s="3">
        <f t="shared" si="47"/>
        <v>6.8419999999999996</v>
      </c>
    </row>
    <row r="1533" spans="1:12" x14ac:dyDescent="0.3">
      <c r="A1533" s="2">
        <v>38050</v>
      </c>
      <c r="B1533" t="s">
        <v>13</v>
      </c>
      <c r="D1533" s="2">
        <v>38781</v>
      </c>
      <c r="E1533">
        <v>6.5</v>
      </c>
      <c r="G1533" s="2">
        <v>38781</v>
      </c>
      <c r="H1533">
        <v>6.8680000000000003</v>
      </c>
      <c r="J1533" s="2">
        <v>38788</v>
      </c>
      <c r="K1533" s="3">
        <f t="shared" si="46"/>
        <v>6.5</v>
      </c>
      <c r="L1533" s="3">
        <f t="shared" si="47"/>
        <v>6.8419999999999996</v>
      </c>
    </row>
    <row r="1534" spans="1:12" x14ac:dyDescent="0.3">
      <c r="A1534" s="2">
        <v>38051</v>
      </c>
      <c r="B1534" t="s">
        <v>13</v>
      </c>
      <c r="D1534" s="2">
        <v>38782</v>
      </c>
      <c r="E1534">
        <v>6.5</v>
      </c>
      <c r="G1534" s="2">
        <v>38782</v>
      </c>
      <c r="H1534">
        <v>6.9039999999999999</v>
      </c>
      <c r="J1534" s="2">
        <v>38789</v>
      </c>
      <c r="K1534" s="3">
        <f t="shared" si="46"/>
        <v>6.5</v>
      </c>
      <c r="L1534" s="3">
        <f t="shared" si="47"/>
        <v>6.8209999999999997</v>
      </c>
    </row>
    <row r="1535" spans="1:12" x14ac:dyDescent="0.3">
      <c r="A1535" s="2">
        <v>38052</v>
      </c>
      <c r="B1535" t="s">
        <v>13</v>
      </c>
      <c r="D1535" s="2">
        <v>38783</v>
      </c>
      <c r="E1535">
        <v>6.5</v>
      </c>
      <c r="G1535" s="2">
        <v>38783</v>
      </c>
      <c r="H1535">
        <v>6.8780000000000001</v>
      </c>
      <c r="J1535" s="2">
        <v>38790</v>
      </c>
      <c r="K1535" s="3">
        <f t="shared" si="46"/>
        <v>6.5</v>
      </c>
      <c r="L1535" s="3">
        <f t="shared" si="47"/>
        <v>6.798</v>
      </c>
    </row>
    <row r="1536" spans="1:12" x14ac:dyDescent="0.3">
      <c r="A1536" s="2">
        <v>38053</v>
      </c>
      <c r="B1536" t="s">
        <v>13</v>
      </c>
      <c r="D1536" s="2">
        <v>38784</v>
      </c>
      <c r="E1536">
        <v>6.5</v>
      </c>
      <c r="G1536" s="2">
        <v>38784</v>
      </c>
      <c r="H1536">
        <v>6.85</v>
      </c>
      <c r="J1536" s="2">
        <v>38791</v>
      </c>
      <c r="K1536" s="3">
        <f t="shared" si="46"/>
        <v>6.5</v>
      </c>
      <c r="L1536" s="3">
        <f t="shared" si="47"/>
        <v>6.798</v>
      </c>
    </row>
    <row r="1537" spans="1:12" x14ac:dyDescent="0.3">
      <c r="A1537" s="2">
        <v>38054</v>
      </c>
      <c r="B1537" t="s">
        <v>13</v>
      </c>
      <c r="D1537" s="2">
        <v>38785</v>
      </c>
      <c r="E1537">
        <v>6.5</v>
      </c>
      <c r="G1537" s="2">
        <v>38785</v>
      </c>
      <c r="H1537">
        <v>6.83</v>
      </c>
      <c r="J1537" s="2">
        <v>38792</v>
      </c>
      <c r="K1537" s="3">
        <f t="shared" si="46"/>
        <v>6.5</v>
      </c>
      <c r="L1537" s="3">
        <f t="shared" si="47"/>
        <v>6.7910000000000004</v>
      </c>
    </row>
    <row r="1538" spans="1:12" x14ac:dyDescent="0.3">
      <c r="A1538" s="2">
        <v>38055</v>
      </c>
      <c r="B1538" t="s">
        <v>13</v>
      </c>
      <c r="D1538" s="2">
        <v>38786</v>
      </c>
      <c r="E1538">
        <v>6.5</v>
      </c>
      <c r="G1538" s="2">
        <v>38786</v>
      </c>
      <c r="H1538">
        <v>6.8419999999999996</v>
      </c>
      <c r="J1538" s="2">
        <v>38793</v>
      </c>
      <c r="K1538" s="3">
        <f t="shared" si="46"/>
        <v>6.5</v>
      </c>
      <c r="L1538" s="3">
        <f t="shared" si="47"/>
        <v>6.74</v>
      </c>
    </row>
    <row r="1539" spans="1:12" x14ac:dyDescent="0.3">
      <c r="A1539" s="2">
        <v>38056</v>
      </c>
      <c r="B1539" t="s">
        <v>13</v>
      </c>
      <c r="D1539" s="2">
        <v>38787</v>
      </c>
      <c r="E1539">
        <v>6.5</v>
      </c>
      <c r="G1539" s="2">
        <v>38787</v>
      </c>
      <c r="H1539">
        <v>6.8419999999999996</v>
      </c>
      <c r="J1539" s="2">
        <v>38794</v>
      </c>
      <c r="K1539" s="3">
        <f t="shared" ref="K1539:K1602" si="48">E1546</f>
        <v>6.5</v>
      </c>
      <c r="L1539" s="3">
        <f t="shared" ref="L1539:L1602" si="49">H1546</f>
        <v>6.74</v>
      </c>
    </row>
    <row r="1540" spans="1:12" x14ac:dyDescent="0.3">
      <c r="A1540" s="2">
        <v>38057</v>
      </c>
      <c r="B1540" t="s">
        <v>13</v>
      </c>
      <c r="D1540" s="2">
        <v>38788</v>
      </c>
      <c r="E1540">
        <v>6.5</v>
      </c>
      <c r="G1540" s="2">
        <v>38788</v>
      </c>
      <c r="H1540">
        <v>6.8419999999999996</v>
      </c>
      <c r="J1540" s="2">
        <v>38795</v>
      </c>
      <c r="K1540" s="3">
        <f t="shared" si="48"/>
        <v>6.5</v>
      </c>
      <c r="L1540" s="3">
        <f t="shared" si="49"/>
        <v>6.74</v>
      </c>
    </row>
    <row r="1541" spans="1:12" x14ac:dyDescent="0.3">
      <c r="A1541" s="2">
        <v>38058</v>
      </c>
      <c r="B1541" t="s">
        <v>13</v>
      </c>
      <c r="D1541" s="2">
        <v>38789</v>
      </c>
      <c r="E1541">
        <v>6.5</v>
      </c>
      <c r="G1541" s="2">
        <v>38789</v>
      </c>
      <c r="H1541">
        <v>6.8209999999999997</v>
      </c>
      <c r="J1541" s="2">
        <v>38796</v>
      </c>
      <c r="K1541" s="3">
        <f t="shared" si="48"/>
        <v>6.5</v>
      </c>
      <c r="L1541" s="3">
        <f t="shared" si="49"/>
        <v>6.7690000000000001</v>
      </c>
    </row>
    <row r="1542" spans="1:12" x14ac:dyDescent="0.3">
      <c r="A1542" s="2">
        <v>38059</v>
      </c>
      <c r="B1542" t="s">
        <v>13</v>
      </c>
      <c r="D1542" s="2">
        <v>38790</v>
      </c>
      <c r="E1542">
        <v>6.5</v>
      </c>
      <c r="G1542" s="2">
        <v>38790</v>
      </c>
      <c r="H1542">
        <v>6.798</v>
      </c>
      <c r="J1542" s="2">
        <v>38797</v>
      </c>
      <c r="K1542" s="3">
        <f t="shared" si="48"/>
        <v>6.5</v>
      </c>
      <c r="L1542" s="3">
        <f t="shared" si="49"/>
        <v>6.665</v>
      </c>
    </row>
    <row r="1543" spans="1:12" x14ac:dyDescent="0.3">
      <c r="A1543" s="2">
        <v>38060</v>
      </c>
      <c r="B1543" t="s">
        <v>13</v>
      </c>
      <c r="D1543" s="2">
        <v>38791</v>
      </c>
      <c r="E1543">
        <v>6.5</v>
      </c>
      <c r="G1543" s="2">
        <v>38791</v>
      </c>
      <c r="H1543">
        <v>6.798</v>
      </c>
      <c r="J1543" s="2">
        <v>38798</v>
      </c>
      <c r="K1543" s="3">
        <f t="shared" si="48"/>
        <v>6.5</v>
      </c>
      <c r="L1543" s="3">
        <f t="shared" si="49"/>
        <v>6.7270000000000003</v>
      </c>
    </row>
    <row r="1544" spans="1:12" x14ac:dyDescent="0.3">
      <c r="A1544" s="2">
        <v>38061</v>
      </c>
      <c r="B1544" t="s">
        <v>13</v>
      </c>
      <c r="D1544" s="2">
        <v>38792</v>
      </c>
      <c r="E1544">
        <v>6.5</v>
      </c>
      <c r="G1544" s="2">
        <v>38792</v>
      </c>
      <c r="H1544">
        <v>6.7910000000000004</v>
      </c>
      <c r="J1544" s="2">
        <v>38799</v>
      </c>
      <c r="K1544" s="3">
        <f t="shared" si="48"/>
        <v>6.5</v>
      </c>
      <c r="L1544" s="3">
        <f t="shared" si="49"/>
        <v>6.6669999999999998</v>
      </c>
    </row>
    <row r="1545" spans="1:12" x14ac:dyDescent="0.3">
      <c r="A1545" s="2">
        <v>38062</v>
      </c>
      <c r="B1545" t="s">
        <v>13</v>
      </c>
      <c r="D1545" s="2">
        <v>38793</v>
      </c>
      <c r="E1545">
        <v>6.5</v>
      </c>
      <c r="G1545" s="2">
        <v>38793</v>
      </c>
      <c r="H1545">
        <v>6.74</v>
      </c>
      <c r="J1545" s="2">
        <v>38800</v>
      </c>
      <c r="K1545" s="3">
        <f t="shared" si="48"/>
        <v>6.5</v>
      </c>
      <c r="L1545" s="3">
        <f t="shared" si="49"/>
        <v>6.5890000000000004</v>
      </c>
    </row>
    <row r="1546" spans="1:12" x14ac:dyDescent="0.3">
      <c r="A1546" s="2">
        <v>38063</v>
      </c>
      <c r="B1546" t="s">
        <v>13</v>
      </c>
      <c r="D1546" s="2">
        <v>38794</v>
      </c>
      <c r="E1546">
        <v>6.5</v>
      </c>
      <c r="G1546" s="2">
        <v>38794</v>
      </c>
      <c r="H1546">
        <v>6.74</v>
      </c>
      <c r="J1546" s="2">
        <v>38801</v>
      </c>
      <c r="K1546" s="3">
        <f t="shared" si="48"/>
        <v>6.5</v>
      </c>
      <c r="L1546" s="3">
        <f t="shared" si="49"/>
        <v>6.5890000000000004</v>
      </c>
    </row>
    <row r="1547" spans="1:12" x14ac:dyDescent="0.3">
      <c r="A1547" s="2">
        <v>38064</v>
      </c>
      <c r="B1547" t="s">
        <v>13</v>
      </c>
      <c r="D1547" s="2">
        <v>38795</v>
      </c>
      <c r="E1547">
        <v>6.5</v>
      </c>
      <c r="G1547" s="2">
        <v>38795</v>
      </c>
      <c r="H1547">
        <v>6.74</v>
      </c>
      <c r="J1547" s="2">
        <v>38802</v>
      </c>
      <c r="K1547" s="3">
        <f t="shared" si="48"/>
        <v>6.5</v>
      </c>
      <c r="L1547" s="3">
        <f t="shared" si="49"/>
        <v>6.5890000000000004</v>
      </c>
    </row>
    <row r="1548" spans="1:12" x14ac:dyDescent="0.3">
      <c r="A1548" s="2">
        <v>38065</v>
      </c>
      <c r="B1548" t="s">
        <v>13</v>
      </c>
      <c r="D1548" s="2">
        <v>38796</v>
      </c>
      <c r="E1548">
        <v>6.5</v>
      </c>
      <c r="G1548" s="2">
        <v>38796</v>
      </c>
      <c r="H1548">
        <v>6.7690000000000001</v>
      </c>
      <c r="J1548" s="2">
        <v>38803</v>
      </c>
      <c r="K1548" s="3">
        <f t="shared" si="48"/>
        <v>6.5</v>
      </c>
      <c r="L1548" s="3">
        <f t="shared" si="49"/>
        <v>6.6050000000000004</v>
      </c>
    </row>
    <row r="1549" spans="1:12" x14ac:dyDescent="0.3">
      <c r="A1549" s="2">
        <v>38066</v>
      </c>
      <c r="B1549" t="s">
        <v>13</v>
      </c>
      <c r="D1549" s="2">
        <v>38797</v>
      </c>
      <c r="E1549">
        <v>6.5</v>
      </c>
      <c r="G1549" s="2">
        <v>38797</v>
      </c>
      <c r="H1549">
        <v>6.665</v>
      </c>
      <c r="J1549" s="2">
        <v>38804</v>
      </c>
      <c r="K1549" s="3">
        <f t="shared" si="48"/>
        <v>6.5</v>
      </c>
      <c r="L1549" s="3">
        <f t="shared" si="49"/>
        <v>6.5339999999999998</v>
      </c>
    </row>
    <row r="1550" spans="1:12" x14ac:dyDescent="0.3">
      <c r="A1550" s="2">
        <v>38067</v>
      </c>
      <c r="B1550" t="s">
        <v>13</v>
      </c>
      <c r="D1550" s="2">
        <v>38798</v>
      </c>
      <c r="E1550">
        <v>6.5</v>
      </c>
      <c r="G1550" s="2">
        <v>38798</v>
      </c>
      <c r="H1550">
        <v>6.7270000000000003</v>
      </c>
      <c r="J1550" s="2">
        <v>38805</v>
      </c>
      <c r="K1550" s="3">
        <f t="shared" si="48"/>
        <v>6.5</v>
      </c>
      <c r="L1550" s="3">
        <f t="shared" si="49"/>
        <v>6.5789999999999997</v>
      </c>
    </row>
    <row r="1551" spans="1:12" x14ac:dyDescent="0.3">
      <c r="A1551" s="2">
        <v>38068</v>
      </c>
      <c r="B1551" t="s">
        <v>13</v>
      </c>
      <c r="D1551" s="2">
        <v>38799</v>
      </c>
      <c r="E1551">
        <v>6.5</v>
      </c>
      <c r="G1551" s="2">
        <v>38799</v>
      </c>
      <c r="H1551">
        <v>6.6669999999999998</v>
      </c>
      <c r="J1551" s="2">
        <v>38806</v>
      </c>
      <c r="K1551" s="3">
        <f t="shared" si="48"/>
        <v>6.5</v>
      </c>
      <c r="L1551" s="3">
        <f t="shared" si="49"/>
        <v>6.5789999999999997</v>
      </c>
    </row>
    <row r="1552" spans="1:12" x14ac:dyDescent="0.3">
      <c r="A1552" s="2">
        <v>38069</v>
      </c>
      <c r="B1552" t="s">
        <v>13</v>
      </c>
      <c r="D1552" s="2">
        <v>38800</v>
      </c>
      <c r="E1552">
        <v>6.5</v>
      </c>
      <c r="G1552" s="2">
        <v>38800</v>
      </c>
      <c r="H1552">
        <v>6.5890000000000004</v>
      </c>
      <c r="J1552" s="2">
        <v>38807</v>
      </c>
      <c r="K1552" s="3">
        <f t="shared" si="48"/>
        <v>6.5</v>
      </c>
      <c r="L1552" s="3">
        <f t="shared" si="49"/>
        <v>6.6020000000000003</v>
      </c>
    </row>
    <row r="1553" spans="1:12" x14ac:dyDescent="0.3">
      <c r="A1553" s="2">
        <v>38070</v>
      </c>
      <c r="B1553" t="s">
        <v>13</v>
      </c>
      <c r="D1553" s="2">
        <v>38801</v>
      </c>
      <c r="E1553">
        <v>6.5</v>
      </c>
      <c r="G1553" s="2">
        <v>38801</v>
      </c>
      <c r="H1553">
        <v>6.5890000000000004</v>
      </c>
      <c r="J1553" s="2">
        <v>38808</v>
      </c>
      <c r="K1553" s="3">
        <f t="shared" si="48"/>
        <v>6.5</v>
      </c>
      <c r="L1553" s="3">
        <f t="shared" si="49"/>
        <v>6.6020000000000003</v>
      </c>
    </row>
    <row r="1554" spans="1:12" x14ac:dyDescent="0.3">
      <c r="A1554" s="2">
        <v>38071</v>
      </c>
      <c r="B1554" t="s">
        <v>13</v>
      </c>
      <c r="D1554" s="2">
        <v>38802</v>
      </c>
      <c r="E1554">
        <v>6.5</v>
      </c>
      <c r="G1554" s="2">
        <v>38802</v>
      </c>
      <c r="H1554">
        <v>6.5890000000000004</v>
      </c>
      <c r="J1554" s="2">
        <v>38809</v>
      </c>
      <c r="K1554" s="3">
        <f t="shared" si="48"/>
        <v>6.5</v>
      </c>
      <c r="L1554" s="3">
        <f t="shared" si="49"/>
        <v>6.6020000000000003</v>
      </c>
    </row>
    <row r="1555" spans="1:12" x14ac:dyDescent="0.3">
      <c r="A1555" s="2">
        <v>38072</v>
      </c>
      <c r="B1555" t="s">
        <v>13</v>
      </c>
      <c r="D1555" s="2">
        <v>38803</v>
      </c>
      <c r="E1555">
        <v>6.5</v>
      </c>
      <c r="G1555" s="2">
        <v>38803</v>
      </c>
      <c r="H1555">
        <v>6.6050000000000004</v>
      </c>
      <c r="J1555" s="2">
        <v>38810</v>
      </c>
      <c r="K1555" s="3">
        <f t="shared" si="48"/>
        <v>6.5</v>
      </c>
      <c r="L1555" s="3">
        <f t="shared" si="49"/>
        <v>6.59</v>
      </c>
    </row>
    <row r="1556" spans="1:12" x14ac:dyDescent="0.3">
      <c r="A1556" s="2">
        <v>38073</v>
      </c>
      <c r="B1556" t="s">
        <v>13</v>
      </c>
      <c r="D1556" s="2">
        <v>38804</v>
      </c>
      <c r="E1556">
        <v>6.5</v>
      </c>
      <c r="G1556" s="2">
        <v>38804</v>
      </c>
      <c r="H1556">
        <v>6.5339999999999998</v>
      </c>
      <c r="J1556" s="2">
        <v>38811</v>
      </c>
      <c r="K1556" s="3">
        <f t="shared" si="48"/>
        <v>6.5</v>
      </c>
      <c r="L1556" s="3">
        <f t="shared" si="49"/>
        <v>6.5010000000000003</v>
      </c>
    </row>
    <row r="1557" spans="1:12" x14ac:dyDescent="0.3">
      <c r="A1557" s="2">
        <v>38074</v>
      </c>
      <c r="B1557" t="s">
        <v>13</v>
      </c>
      <c r="D1557" s="2">
        <v>38805</v>
      </c>
      <c r="E1557">
        <v>6.5</v>
      </c>
      <c r="G1557" s="2">
        <v>38805</v>
      </c>
      <c r="H1557">
        <v>6.5789999999999997</v>
      </c>
      <c r="J1557" s="2">
        <v>38812</v>
      </c>
      <c r="K1557" s="3">
        <f t="shared" si="48"/>
        <v>6.5</v>
      </c>
      <c r="L1557" s="3">
        <f t="shared" si="49"/>
        <v>6.4189999999999996</v>
      </c>
    </row>
    <row r="1558" spans="1:12" x14ac:dyDescent="0.3">
      <c r="A1558" s="2">
        <v>38075</v>
      </c>
      <c r="B1558" t="s">
        <v>13</v>
      </c>
      <c r="D1558" s="2">
        <v>38806</v>
      </c>
      <c r="E1558">
        <v>6.5</v>
      </c>
      <c r="G1558" s="2">
        <v>38806</v>
      </c>
      <c r="H1558">
        <v>6.5789999999999997</v>
      </c>
      <c r="J1558" s="2">
        <v>38813</v>
      </c>
      <c r="K1558" s="3">
        <f t="shared" si="48"/>
        <v>6.5</v>
      </c>
      <c r="L1558" s="3">
        <f t="shared" si="49"/>
        <v>6.4189999999999996</v>
      </c>
    </row>
    <row r="1559" spans="1:12" x14ac:dyDescent="0.3">
      <c r="A1559" s="2">
        <v>38076</v>
      </c>
      <c r="B1559" t="s">
        <v>13</v>
      </c>
      <c r="D1559" s="2">
        <v>38807</v>
      </c>
      <c r="E1559">
        <v>6.5</v>
      </c>
      <c r="G1559" s="2">
        <v>38807</v>
      </c>
      <c r="H1559">
        <v>6.6020000000000003</v>
      </c>
      <c r="J1559" s="2">
        <v>38814</v>
      </c>
      <c r="K1559" s="3">
        <f t="shared" si="48"/>
        <v>6.5</v>
      </c>
      <c r="L1559" s="3">
        <f t="shared" si="49"/>
        <v>6.3360000000000003</v>
      </c>
    </row>
    <row r="1560" spans="1:12" x14ac:dyDescent="0.3">
      <c r="A1560" s="2">
        <v>38077</v>
      </c>
      <c r="B1560" t="s">
        <v>13</v>
      </c>
      <c r="D1560" s="2">
        <v>38808</v>
      </c>
      <c r="E1560">
        <v>6.5</v>
      </c>
      <c r="G1560" s="2">
        <v>38808</v>
      </c>
      <c r="H1560">
        <v>6.6020000000000003</v>
      </c>
      <c r="J1560" s="2">
        <v>38815</v>
      </c>
      <c r="K1560" s="3">
        <f t="shared" si="48"/>
        <v>6.5</v>
      </c>
      <c r="L1560" s="3">
        <f t="shared" si="49"/>
        <v>6.3360000000000003</v>
      </c>
    </row>
    <row r="1561" spans="1:12" x14ac:dyDescent="0.3">
      <c r="A1561" s="2">
        <v>38078</v>
      </c>
      <c r="B1561" t="s">
        <v>13</v>
      </c>
      <c r="D1561" s="2">
        <v>38809</v>
      </c>
      <c r="E1561">
        <v>6.5</v>
      </c>
      <c r="G1561" s="2">
        <v>38809</v>
      </c>
      <c r="H1561">
        <v>6.6020000000000003</v>
      </c>
      <c r="J1561" s="2">
        <v>38816</v>
      </c>
      <c r="K1561" s="3">
        <f t="shared" si="48"/>
        <v>6.5</v>
      </c>
      <c r="L1561" s="3">
        <f t="shared" si="49"/>
        <v>6.3360000000000003</v>
      </c>
    </row>
    <row r="1562" spans="1:12" x14ac:dyDescent="0.3">
      <c r="A1562" s="2">
        <v>38079</v>
      </c>
      <c r="B1562" t="s">
        <v>13</v>
      </c>
      <c r="D1562" s="2">
        <v>38810</v>
      </c>
      <c r="E1562">
        <v>6.5</v>
      </c>
      <c r="G1562" s="2">
        <v>38810</v>
      </c>
      <c r="H1562">
        <v>6.59</v>
      </c>
      <c r="J1562" s="2">
        <v>38817</v>
      </c>
      <c r="K1562" s="3">
        <f t="shared" si="48"/>
        <v>6.5</v>
      </c>
      <c r="L1562" s="3">
        <f t="shared" si="49"/>
        <v>6.3810000000000002</v>
      </c>
    </row>
    <row r="1563" spans="1:12" x14ac:dyDescent="0.3">
      <c r="A1563" s="2">
        <v>38080</v>
      </c>
      <c r="B1563" t="s">
        <v>13</v>
      </c>
      <c r="D1563" s="2">
        <v>38811</v>
      </c>
      <c r="E1563">
        <v>6.5</v>
      </c>
      <c r="G1563" s="2">
        <v>38811</v>
      </c>
      <c r="H1563">
        <v>6.5010000000000003</v>
      </c>
      <c r="J1563" s="2">
        <v>38818</v>
      </c>
      <c r="K1563" s="3">
        <f t="shared" si="48"/>
        <v>6.5</v>
      </c>
      <c r="L1563" s="3">
        <f t="shared" si="49"/>
        <v>6.3810000000000002</v>
      </c>
    </row>
    <row r="1564" spans="1:12" x14ac:dyDescent="0.3">
      <c r="A1564" s="2">
        <v>38081</v>
      </c>
      <c r="B1564" t="s">
        <v>13</v>
      </c>
      <c r="D1564" s="2">
        <v>38812</v>
      </c>
      <c r="E1564">
        <v>6.5</v>
      </c>
      <c r="G1564" s="2">
        <v>38812</v>
      </c>
      <c r="H1564">
        <v>6.4189999999999996</v>
      </c>
      <c r="J1564" s="2">
        <v>38819</v>
      </c>
      <c r="K1564" s="3">
        <f t="shared" si="48"/>
        <v>6.5</v>
      </c>
      <c r="L1564" s="3">
        <f t="shared" si="49"/>
        <v>6.3579999999999997</v>
      </c>
    </row>
    <row r="1565" spans="1:12" x14ac:dyDescent="0.3">
      <c r="A1565" s="2">
        <v>38082</v>
      </c>
      <c r="B1565" t="s">
        <v>13</v>
      </c>
      <c r="D1565" s="2">
        <v>38813</v>
      </c>
      <c r="E1565">
        <v>6.5</v>
      </c>
      <c r="G1565" s="2">
        <v>38813</v>
      </c>
      <c r="H1565">
        <v>6.4189999999999996</v>
      </c>
      <c r="J1565" s="2">
        <v>38820</v>
      </c>
      <c r="K1565" s="3">
        <f t="shared" si="48"/>
        <v>6.5</v>
      </c>
      <c r="L1565" s="3">
        <f t="shared" si="49"/>
        <v>6.3970000000000002</v>
      </c>
    </row>
    <row r="1566" spans="1:12" x14ac:dyDescent="0.3">
      <c r="A1566" s="2">
        <v>38083</v>
      </c>
      <c r="B1566" t="s">
        <v>13</v>
      </c>
      <c r="D1566" s="2">
        <v>38814</v>
      </c>
      <c r="E1566">
        <v>6.5</v>
      </c>
      <c r="G1566" s="2">
        <v>38814</v>
      </c>
      <c r="H1566">
        <v>6.3360000000000003</v>
      </c>
      <c r="J1566" s="2">
        <v>38821</v>
      </c>
      <c r="K1566" s="3">
        <f t="shared" si="48"/>
        <v>6.5</v>
      </c>
      <c r="L1566" s="3">
        <f t="shared" si="49"/>
        <v>6.3970000000000002</v>
      </c>
    </row>
    <row r="1567" spans="1:12" x14ac:dyDescent="0.3">
      <c r="A1567" s="2">
        <v>38084</v>
      </c>
      <c r="B1567" t="s">
        <v>13</v>
      </c>
      <c r="D1567" s="2">
        <v>38815</v>
      </c>
      <c r="E1567">
        <v>6.5</v>
      </c>
      <c r="G1567" s="2">
        <v>38815</v>
      </c>
      <c r="H1567">
        <v>6.3360000000000003</v>
      </c>
      <c r="J1567" s="2">
        <v>38822</v>
      </c>
      <c r="K1567" s="3">
        <f t="shared" si="48"/>
        <v>6.5</v>
      </c>
      <c r="L1567" s="3">
        <f t="shared" si="49"/>
        <v>6.3970000000000002</v>
      </c>
    </row>
    <row r="1568" spans="1:12" x14ac:dyDescent="0.3">
      <c r="A1568" s="2">
        <v>38085</v>
      </c>
      <c r="B1568" t="s">
        <v>13</v>
      </c>
      <c r="D1568" s="2">
        <v>38816</v>
      </c>
      <c r="E1568">
        <v>6.5</v>
      </c>
      <c r="G1568" s="2">
        <v>38816</v>
      </c>
      <c r="H1568">
        <v>6.3360000000000003</v>
      </c>
      <c r="J1568" s="2">
        <v>38823</v>
      </c>
      <c r="K1568" s="3">
        <f t="shared" si="48"/>
        <v>6.5</v>
      </c>
      <c r="L1568" s="3">
        <f t="shared" si="49"/>
        <v>6.3970000000000002</v>
      </c>
    </row>
    <row r="1569" spans="1:12" x14ac:dyDescent="0.3">
      <c r="A1569" s="2">
        <v>38086</v>
      </c>
      <c r="B1569" t="s">
        <v>13</v>
      </c>
      <c r="D1569" s="2">
        <v>38817</v>
      </c>
      <c r="E1569">
        <v>6.5</v>
      </c>
      <c r="G1569" s="2">
        <v>38817</v>
      </c>
      <c r="H1569">
        <v>6.3810000000000002</v>
      </c>
      <c r="J1569" s="2">
        <v>38824</v>
      </c>
      <c r="K1569" s="3">
        <f t="shared" si="48"/>
        <v>6.5</v>
      </c>
      <c r="L1569" s="3">
        <f t="shared" si="49"/>
        <v>6.3959999999999999</v>
      </c>
    </row>
    <row r="1570" spans="1:12" x14ac:dyDescent="0.3">
      <c r="A1570" s="2">
        <v>38087</v>
      </c>
      <c r="B1570" t="s">
        <v>13</v>
      </c>
      <c r="D1570" s="2">
        <v>38818</v>
      </c>
      <c r="E1570">
        <v>6.5</v>
      </c>
      <c r="G1570" s="2">
        <v>38818</v>
      </c>
      <c r="H1570">
        <v>6.3810000000000002</v>
      </c>
      <c r="J1570" s="2">
        <v>38825</v>
      </c>
      <c r="K1570" s="3">
        <f t="shared" si="48"/>
        <v>6.5</v>
      </c>
      <c r="L1570" s="3">
        <f t="shared" si="49"/>
        <v>6.2930000000000001</v>
      </c>
    </row>
    <row r="1571" spans="1:12" x14ac:dyDescent="0.3">
      <c r="A1571" s="2">
        <v>38088</v>
      </c>
      <c r="B1571" t="s">
        <v>13</v>
      </c>
      <c r="D1571" s="2">
        <v>38819</v>
      </c>
      <c r="E1571">
        <v>6.5</v>
      </c>
      <c r="G1571" s="2">
        <v>38819</v>
      </c>
      <c r="H1571">
        <v>6.3579999999999997</v>
      </c>
      <c r="J1571" s="2">
        <v>38826</v>
      </c>
      <c r="K1571" s="3">
        <f t="shared" si="48"/>
        <v>6.5</v>
      </c>
      <c r="L1571" s="3">
        <f t="shared" si="49"/>
        <v>6.2320000000000002</v>
      </c>
    </row>
    <row r="1572" spans="1:12" x14ac:dyDescent="0.3">
      <c r="A1572" s="2">
        <v>38089</v>
      </c>
      <c r="B1572" t="s">
        <v>13</v>
      </c>
      <c r="D1572" s="2">
        <v>38820</v>
      </c>
      <c r="E1572">
        <v>6.5</v>
      </c>
      <c r="G1572" s="2">
        <v>38820</v>
      </c>
      <c r="H1572">
        <v>6.3970000000000002</v>
      </c>
      <c r="J1572" s="2">
        <v>38827</v>
      </c>
      <c r="K1572" s="3">
        <f t="shared" si="48"/>
        <v>6.5</v>
      </c>
      <c r="L1572" s="3">
        <f t="shared" si="49"/>
        <v>6.2060000000000004</v>
      </c>
    </row>
    <row r="1573" spans="1:12" x14ac:dyDescent="0.3">
      <c r="A1573" s="2">
        <v>38090</v>
      </c>
      <c r="B1573" t="s">
        <v>13</v>
      </c>
      <c r="D1573" s="2">
        <v>38821</v>
      </c>
      <c r="E1573">
        <v>6.5</v>
      </c>
      <c r="G1573" s="2">
        <v>38821</v>
      </c>
      <c r="H1573">
        <v>6.3970000000000002</v>
      </c>
      <c r="J1573" s="2">
        <v>38828</v>
      </c>
      <c r="K1573" s="3">
        <f t="shared" si="48"/>
        <v>6.5</v>
      </c>
      <c r="L1573" s="3">
        <f t="shared" si="49"/>
        <v>6.1520000000000001</v>
      </c>
    </row>
    <row r="1574" spans="1:12" x14ac:dyDescent="0.3">
      <c r="A1574" s="2">
        <v>38091</v>
      </c>
      <c r="B1574" t="s">
        <v>13</v>
      </c>
      <c r="D1574" s="2">
        <v>38822</v>
      </c>
      <c r="E1574">
        <v>6.5</v>
      </c>
      <c r="G1574" s="2">
        <v>38822</v>
      </c>
      <c r="H1574">
        <v>6.3970000000000002</v>
      </c>
      <c r="J1574" s="2">
        <v>38829</v>
      </c>
      <c r="K1574" s="3">
        <f t="shared" si="48"/>
        <v>6.5</v>
      </c>
      <c r="L1574" s="3">
        <f t="shared" si="49"/>
        <v>6.1520000000000001</v>
      </c>
    </row>
    <row r="1575" spans="1:12" x14ac:dyDescent="0.3">
      <c r="A1575" s="2">
        <v>38092</v>
      </c>
      <c r="B1575" t="s">
        <v>13</v>
      </c>
      <c r="D1575" s="2">
        <v>38823</v>
      </c>
      <c r="E1575">
        <v>6.5</v>
      </c>
      <c r="G1575" s="2">
        <v>38823</v>
      </c>
      <c r="H1575">
        <v>6.3970000000000002</v>
      </c>
      <c r="J1575" s="2">
        <v>38830</v>
      </c>
      <c r="K1575" s="3">
        <f t="shared" si="48"/>
        <v>6.5</v>
      </c>
      <c r="L1575" s="3">
        <f t="shared" si="49"/>
        <v>6.1520000000000001</v>
      </c>
    </row>
    <row r="1576" spans="1:12" x14ac:dyDescent="0.3">
      <c r="A1576" s="2">
        <v>38093</v>
      </c>
      <c r="B1576" t="s">
        <v>13</v>
      </c>
      <c r="D1576" s="2">
        <v>38824</v>
      </c>
      <c r="E1576">
        <v>6.5</v>
      </c>
      <c r="G1576" s="2">
        <v>38824</v>
      </c>
      <c r="H1576">
        <v>6.3959999999999999</v>
      </c>
      <c r="J1576" s="2">
        <v>38831</v>
      </c>
      <c r="K1576" s="3">
        <f t="shared" si="48"/>
        <v>6.5</v>
      </c>
      <c r="L1576" s="3">
        <f t="shared" si="49"/>
        <v>6.2480000000000002</v>
      </c>
    </row>
    <row r="1577" spans="1:12" x14ac:dyDescent="0.3">
      <c r="A1577" s="2">
        <v>38094</v>
      </c>
      <c r="B1577" t="s">
        <v>13</v>
      </c>
      <c r="D1577" s="2">
        <v>38825</v>
      </c>
      <c r="E1577">
        <v>6.5</v>
      </c>
      <c r="G1577" s="2">
        <v>38825</v>
      </c>
      <c r="H1577">
        <v>6.2930000000000001</v>
      </c>
      <c r="J1577" s="2">
        <v>38832</v>
      </c>
      <c r="K1577" s="3">
        <f t="shared" si="48"/>
        <v>6.5</v>
      </c>
      <c r="L1577" s="3">
        <f t="shared" si="49"/>
        <v>6.2649999999999997</v>
      </c>
    </row>
    <row r="1578" spans="1:12" x14ac:dyDescent="0.3">
      <c r="A1578" s="2">
        <v>38095</v>
      </c>
      <c r="B1578" t="s">
        <v>13</v>
      </c>
      <c r="D1578" s="2">
        <v>38826</v>
      </c>
      <c r="E1578">
        <v>6.5</v>
      </c>
      <c r="G1578" s="2">
        <v>38826</v>
      </c>
      <c r="H1578">
        <v>6.2320000000000002</v>
      </c>
      <c r="J1578" s="2">
        <v>38833</v>
      </c>
      <c r="K1578" s="3">
        <f t="shared" si="48"/>
        <v>6.5</v>
      </c>
      <c r="L1578" s="3">
        <f t="shared" si="49"/>
        <v>6.2859999999999996</v>
      </c>
    </row>
    <row r="1579" spans="1:12" x14ac:dyDescent="0.3">
      <c r="A1579" s="2">
        <v>38096</v>
      </c>
      <c r="B1579" t="s">
        <v>13</v>
      </c>
      <c r="D1579" s="2">
        <v>38827</v>
      </c>
      <c r="E1579">
        <v>6.5</v>
      </c>
      <c r="G1579" s="2">
        <v>38827</v>
      </c>
      <c r="H1579">
        <v>6.2060000000000004</v>
      </c>
      <c r="J1579" s="2">
        <v>38834</v>
      </c>
      <c r="K1579" s="3">
        <f t="shared" si="48"/>
        <v>6.5</v>
      </c>
      <c r="L1579" s="3">
        <f t="shared" si="49"/>
        <v>6.3029999999999999</v>
      </c>
    </row>
    <row r="1580" spans="1:12" x14ac:dyDescent="0.3">
      <c r="A1580" s="2">
        <v>38097</v>
      </c>
      <c r="B1580" t="s">
        <v>13</v>
      </c>
      <c r="D1580" s="2">
        <v>38828</v>
      </c>
      <c r="E1580">
        <v>6.5</v>
      </c>
      <c r="G1580" s="2">
        <v>38828</v>
      </c>
      <c r="H1580">
        <v>6.1520000000000001</v>
      </c>
      <c r="J1580" s="2">
        <v>38835</v>
      </c>
      <c r="K1580" s="3">
        <f t="shared" si="48"/>
        <v>6.5</v>
      </c>
      <c r="L1580" s="3">
        <f t="shared" si="49"/>
        <v>6.2720000000000002</v>
      </c>
    </row>
    <row r="1581" spans="1:12" x14ac:dyDescent="0.3">
      <c r="A1581" s="2">
        <v>38098</v>
      </c>
      <c r="B1581" t="s">
        <v>13</v>
      </c>
      <c r="D1581" s="2">
        <v>38829</v>
      </c>
      <c r="E1581">
        <v>6.5</v>
      </c>
      <c r="G1581" s="2">
        <v>38829</v>
      </c>
      <c r="H1581">
        <v>6.1520000000000001</v>
      </c>
      <c r="J1581" s="2">
        <v>38836</v>
      </c>
      <c r="K1581" s="3">
        <f t="shared" si="48"/>
        <v>6.5</v>
      </c>
      <c r="L1581" s="3">
        <f t="shared" si="49"/>
        <v>6.2720000000000002</v>
      </c>
    </row>
    <row r="1582" spans="1:12" x14ac:dyDescent="0.3">
      <c r="A1582" s="2">
        <v>38099</v>
      </c>
      <c r="B1582" t="s">
        <v>13</v>
      </c>
      <c r="D1582" s="2">
        <v>38830</v>
      </c>
      <c r="E1582">
        <v>6.5</v>
      </c>
      <c r="G1582" s="2">
        <v>38830</v>
      </c>
      <c r="H1582">
        <v>6.1520000000000001</v>
      </c>
      <c r="J1582" s="2">
        <v>38837</v>
      </c>
      <c r="K1582" s="3">
        <f t="shared" si="48"/>
        <v>6.5</v>
      </c>
      <c r="L1582" s="3">
        <f t="shared" si="49"/>
        <v>6.2720000000000002</v>
      </c>
    </row>
    <row r="1583" spans="1:12" x14ac:dyDescent="0.3">
      <c r="A1583" s="2">
        <v>38100</v>
      </c>
      <c r="B1583" t="s">
        <v>13</v>
      </c>
      <c r="D1583" s="2">
        <v>38831</v>
      </c>
      <c r="E1583">
        <v>6.5</v>
      </c>
      <c r="G1583" s="2">
        <v>38831</v>
      </c>
      <c r="H1583">
        <v>6.2480000000000002</v>
      </c>
      <c r="J1583" s="2">
        <v>38838</v>
      </c>
      <c r="K1583" s="3">
        <f t="shared" si="48"/>
        <v>6.5</v>
      </c>
      <c r="L1583" s="3">
        <f t="shared" si="49"/>
        <v>6.2720000000000002</v>
      </c>
    </row>
    <row r="1584" spans="1:12" x14ac:dyDescent="0.3">
      <c r="A1584" s="2">
        <v>38101</v>
      </c>
      <c r="B1584" t="s">
        <v>13</v>
      </c>
      <c r="D1584" s="2">
        <v>38832</v>
      </c>
      <c r="E1584">
        <v>6.5</v>
      </c>
      <c r="G1584" s="2">
        <v>38832</v>
      </c>
      <c r="H1584">
        <v>6.2649999999999997</v>
      </c>
      <c r="J1584" s="2">
        <v>38839</v>
      </c>
      <c r="K1584" s="3">
        <f t="shared" si="48"/>
        <v>6.5</v>
      </c>
      <c r="L1584" s="3">
        <f t="shared" si="49"/>
        <v>6.351</v>
      </c>
    </row>
    <row r="1585" spans="1:12" x14ac:dyDescent="0.3">
      <c r="A1585" s="2">
        <v>38102</v>
      </c>
      <c r="B1585" t="s">
        <v>13</v>
      </c>
      <c r="D1585" s="2">
        <v>38833</v>
      </c>
      <c r="E1585">
        <v>6.5</v>
      </c>
      <c r="G1585" s="2">
        <v>38833</v>
      </c>
      <c r="H1585">
        <v>6.2859999999999996</v>
      </c>
      <c r="J1585" s="2">
        <v>38840</v>
      </c>
      <c r="K1585" s="3">
        <f t="shared" si="48"/>
        <v>6.5</v>
      </c>
      <c r="L1585" s="3">
        <f t="shared" si="49"/>
        <v>6.3650000000000002</v>
      </c>
    </row>
    <row r="1586" spans="1:12" x14ac:dyDescent="0.3">
      <c r="A1586" s="2">
        <v>38103</v>
      </c>
      <c r="B1586" t="s">
        <v>13</v>
      </c>
      <c r="D1586" s="2">
        <v>38834</v>
      </c>
      <c r="E1586">
        <v>6.5</v>
      </c>
      <c r="G1586" s="2">
        <v>38834</v>
      </c>
      <c r="H1586">
        <v>6.3029999999999999</v>
      </c>
      <c r="J1586" s="2">
        <v>38841</v>
      </c>
      <c r="K1586" s="3">
        <f t="shared" si="48"/>
        <v>6.5</v>
      </c>
      <c r="L1586" s="3">
        <f t="shared" si="49"/>
        <v>6.36</v>
      </c>
    </row>
    <row r="1587" spans="1:12" x14ac:dyDescent="0.3">
      <c r="A1587" s="2">
        <v>38104</v>
      </c>
      <c r="B1587" t="s">
        <v>13</v>
      </c>
      <c r="D1587" s="2">
        <v>38835</v>
      </c>
      <c r="E1587">
        <v>6.5</v>
      </c>
      <c r="G1587" s="2">
        <v>38835</v>
      </c>
      <c r="H1587">
        <v>6.2720000000000002</v>
      </c>
      <c r="J1587" s="2">
        <v>38842</v>
      </c>
      <c r="K1587" s="3">
        <f t="shared" si="48"/>
        <v>6.5</v>
      </c>
      <c r="L1587" s="3">
        <f t="shared" si="49"/>
        <v>6.3410000000000002</v>
      </c>
    </row>
    <row r="1588" spans="1:12" x14ac:dyDescent="0.3">
      <c r="A1588" s="2">
        <v>38105</v>
      </c>
      <c r="B1588" t="s">
        <v>13</v>
      </c>
      <c r="D1588" s="2">
        <v>38836</v>
      </c>
      <c r="E1588">
        <v>6.5</v>
      </c>
      <c r="G1588" s="2">
        <v>38836</v>
      </c>
      <c r="H1588">
        <v>6.2720000000000002</v>
      </c>
      <c r="J1588" s="2">
        <v>38843</v>
      </c>
      <c r="K1588" s="3">
        <f t="shared" si="48"/>
        <v>6.5</v>
      </c>
      <c r="L1588" s="3">
        <f t="shared" si="49"/>
        <v>6.3410000000000002</v>
      </c>
    </row>
    <row r="1589" spans="1:12" x14ac:dyDescent="0.3">
      <c r="A1589" s="2">
        <v>38106</v>
      </c>
      <c r="B1589" t="s">
        <v>13</v>
      </c>
      <c r="D1589" s="2">
        <v>38837</v>
      </c>
      <c r="E1589">
        <v>6.5</v>
      </c>
      <c r="G1589" s="2">
        <v>38837</v>
      </c>
      <c r="H1589">
        <v>6.2720000000000002</v>
      </c>
      <c r="J1589" s="2">
        <v>38844</v>
      </c>
      <c r="K1589" s="3">
        <f t="shared" si="48"/>
        <v>6.5</v>
      </c>
      <c r="L1589" s="3">
        <f t="shared" si="49"/>
        <v>6.3410000000000002</v>
      </c>
    </row>
    <row r="1590" spans="1:12" x14ac:dyDescent="0.3">
      <c r="A1590" s="2">
        <v>38107</v>
      </c>
      <c r="B1590" t="s">
        <v>13</v>
      </c>
      <c r="D1590" s="2">
        <v>38838</v>
      </c>
      <c r="E1590">
        <v>6.5</v>
      </c>
      <c r="G1590" s="2">
        <v>38838</v>
      </c>
      <c r="H1590">
        <v>6.2720000000000002</v>
      </c>
      <c r="J1590" s="2">
        <v>38845</v>
      </c>
      <c r="K1590" s="3">
        <f t="shared" si="48"/>
        <v>6.5</v>
      </c>
      <c r="L1590" s="3">
        <f t="shared" si="49"/>
        <v>6.3710000000000004</v>
      </c>
    </row>
    <row r="1591" spans="1:12" x14ac:dyDescent="0.3">
      <c r="A1591" s="2">
        <v>38108</v>
      </c>
      <c r="B1591" t="s">
        <v>13</v>
      </c>
      <c r="D1591" s="2">
        <v>38839</v>
      </c>
      <c r="E1591">
        <v>6.5</v>
      </c>
      <c r="G1591" s="2">
        <v>38839</v>
      </c>
      <c r="H1591">
        <v>6.351</v>
      </c>
      <c r="J1591" s="2">
        <v>38846</v>
      </c>
      <c r="K1591" s="3">
        <f t="shared" si="48"/>
        <v>6.5</v>
      </c>
      <c r="L1591" s="3">
        <f t="shared" si="49"/>
        <v>6.3739999999999997</v>
      </c>
    </row>
    <row r="1592" spans="1:12" x14ac:dyDescent="0.3">
      <c r="A1592" s="2">
        <v>38109</v>
      </c>
      <c r="B1592" t="s">
        <v>13</v>
      </c>
      <c r="D1592" s="2">
        <v>38840</v>
      </c>
      <c r="E1592">
        <v>6.5</v>
      </c>
      <c r="G1592" s="2">
        <v>38840</v>
      </c>
      <c r="H1592">
        <v>6.3650000000000002</v>
      </c>
      <c r="J1592" s="2">
        <v>38847</v>
      </c>
      <c r="K1592" s="3">
        <f t="shared" si="48"/>
        <v>6.5</v>
      </c>
      <c r="L1592" s="3">
        <f t="shared" si="49"/>
        <v>6.3680000000000003</v>
      </c>
    </row>
    <row r="1593" spans="1:12" x14ac:dyDescent="0.3">
      <c r="A1593" s="2">
        <v>38110</v>
      </c>
      <c r="B1593" t="s">
        <v>13</v>
      </c>
      <c r="D1593" s="2">
        <v>38841</v>
      </c>
      <c r="E1593">
        <v>6.5</v>
      </c>
      <c r="G1593" s="2">
        <v>38841</v>
      </c>
      <c r="H1593">
        <v>6.36</v>
      </c>
      <c r="J1593" s="2">
        <v>38848</v>
      </c>
      <c r="K1593" s="3">
        <f t="shared" si="48"/>
        <v>6.5</v>
      </c>
      <c r="L1593" s="3">
        <f t="shared" si="49"/>
        <v>6.343</v>
      </c>
    </row>
    <row r="1594" spans="1:12" x14ac:dyDescent="0.3">
      <c r="A1594" s="2">
        <v>38111</v>
      </c>
      <c r="B1594" t="s">
        <v>13</v>
      </c>
      <c r="D1594" s="2">
        <v>38842</v>
      </c>
      <c r="E1594">
        <v>6.5</v>
      </c>
      <c r="G1594" s="2">
        <v>38842</v>
      </c>
      <c r="H1594">
        <v>6.3410000000000002</v>
      </c>
      <c r="J1594" s="2">
        <v>38849</v>
      </c>
      <c r="K1594" s="3">
        <f t="shared" si="48"/>
        <v>6.5</v>
      </c>
      <c r="L1594" s="3">
        <f t="shared" si="49"/>
        <v>6.4130000000000003</v>
      </c>
    </row>
    <row r="1595" spans="1:12" x14ac:dyDescent="0.3">
      <c r="A1595" s="2">
        <v>38112</v>
      </c>
      <c r="B1595" t="s">
        <v>13</v>
      </c>
      <c r="D1595" s="2">
        <v>38843</v>
      </c>
      <c r="E1595">
        <v>6.5</v>
      </c>
      <c r="G1595" s="2">
        <v>38843</v>
      </c>
      <c r="H1595">
        <v>6.3410000000000002</v>
      </c>
      <c r="J1595" s="2">
        <v>38850</v>
      </c>
      <c r="K1595" s="3">
        <f t="shared" si="48"/>
        <v>6.5</v>
      </c>
      <c r="L1595" s="3">
        <f t="shared" si="49"/>
        <v>6.4130000000000003</v>
      </c>
    </row>
    <row r="1596" spans="1:12" x14ac:dyDescent="0.3">
      <c r="A1596" s="2">
        <v>38113</v>
      </c>
      <c r="B1596" t="s">
        <v>13</v>
      </c>
      <c r="D1596" s="2">
        <v>38844</v>
      </c>
      <c r="E1596">
        <v>6.5</v>
      </c>
      <c r="G1596" s="2">
        <v>38844</v>
      </c>
      <c r="H1596">
        <v>6.3410000000000002</v>
      </c>
      <c r="J1596" s="2">
        <v>38851</v>
      </c>
      <c r="K1596" s="3">
        <f t="shared" si="48"/>
        <v>6.5</v>
      </c>
      <c r="L1596" s="3">
        <f t="shared" si="49"/>
        <v>6.4130000000000003</v>
      </c>
    </row>
    <row r="1597" spans="1:12" x14ac:dyDescent="0.3">
      <c r="A1597" s="2">
        <v>38114</v>
      </c>
      <c r="B1597" t="s">
        <v>13</v>
      </c>
      <c r="D1597" s="2">
        <v>38845</v>
      </c>
      <c r="E1597">
        <v>6.5</v>
      </c>
      <c r="G1597" s="2">
        <v>38845</v>
      </c>
      <c r="H1597">
        <v>6.3710000000000004</v>
      </c>
      <c r="J1597" s="2">
        <v>38852</v>
      </c>
      <c r="K1597" s="3">
        <f t="shared" si="48"/>
        <v>6.5</v>
      </c>
      <c r="L1597" s="3">
        <f t="shared" si="49"/>
        <v>6.5049999999999999</v>
      </c>
    </row>
    <row r="1598" spans="1:12" x14ac:dyDescent="0.3">
      <c r="A1598" s="2">
        <v>38115</v>
      </c>
      <c r="B1598" t="s">
        <v>13</v>
      </c>
      <c r="D1598" s="2">
        <v>38846</v>
      </c>
      <c r="E1598">
        <v>6.5</v>
      </c>
      <c r="G1598" s="2">
        <v>38846</v>
      </c>
      <c r="H1598">
        <v>6.3739999999999997</v>
      </c>
      <c r="J1598" s="2">
        <v>38853</v>
      </c>
      <c r="K1598" s="3">
        <f t="shared" si="48"/>
        <v>6.5</v>
      </c>
      <c r="L1598" s="3">
        <f t="shared" si="49"/>
        <v>6.4749999999999996</v>
      </c>
    </row>
    <row r="1599" spans="1:12" x14ac:dyDescent="0.3">
      <c r="A1599" s="2">
        <v>38116</v>
      </c>
      <c r="B1599" t="s">
        <v>13</v>
      </c>
      <c r="D1599" s="2">
        <v>38847</v>
      </c>
      <c r="E1599">
        <v>6.5</v>
      </c>
      <c r="G1599" s="2">
        <v>38847</v>
      </c>
      <c r="H1599">
        <v>6.3680000000000003</v>
      </c>
      <c r="J1599" s="2">
        <v>38854</v>
      </c>
      <c r="K1599" s="3">
        <f t="shared" si="48"/>
        <v>6.5</v>
      </c>
      <c r="L1599" s="3">
        <f t="shared" si="49"/>
        <v>6.4690000000000003</v>
      </c>
    </row>
    <row r="1600" spans="1:12" x14ac:dyDescent="0.3">
      <c r="A1600" s="2">
        <v>38117</v>
      </c>
      <c r="B1600" t="s">
        <v>13</v>
      </c>
      <c r="D1600" s="2">
        <v>38848</v>
      </c>
      <c r="E1600">
        <v>6.5</v>
      </c>
      <c r="G1600" s="2">
        <v>38848</v>
      </c>
      <c r="H1600">
        <v>6.343</v>
      </c>
      <c r="J1600" s="2">
        <v>38855</v>
      </c>
      <c r="K1600" s="3">
        <f t="shared" si="48"/>
        <v>6.5</v>
      </c>
      <c r="L1600" s="3">
        <f t="shared" si="49"/>
        <v>6.5</v>
      </c>
    </row>
    <row r="1601" spans="1:12" x14ac:dyDescent="0.3">
      <c r="A1601" s="2">
        <v>38118</v>
      </c>
      <c r="B1601" t="s">
        <v>13</v>
      </c>
      <c r="D1601" s="2">
        <v>38849</v>
      </c>
      <c r="E1601">
        <v>6.5</v>
      </c>
      <c r="G1601" s="2">
        <v>38849</v>
      </c>
      <c r="H1601">
        <v>6.4130000000000003</v>
      </c>
      <c r="J1601" s="2">
        <v>38856</v>
      </c>
      <c r="K1601" s="3">
        <f t="shared" si="48"/>
        <v>6.5</v>
      </c>
      <c r="L1601" s="3">
        <f t="shared" si="49"/>
        <v>6.5049999999999999</v>
      </c>
    </row>
    <row r="1602" spans="1:12" x14ac:dyDescent="0.3">
      <c r="A1602" s="2">
        <v>38119</v>
      </c>
      <c r="B1602" t="s">
        <v>13</v>
      </c>
      <c r="D1602" s="2">
        <v>38850</v>
      </c>
      <c r="E1602">
        <v>6.5</v>
      </c>
      <c r="G1602" s="2">
        <v>38850</v>
      </c>
      <c r="H1602">
        <v>6.4130000000000003</v>
      </c>
      <c r="J1602" s="2">
        <v>38857</v>
      </c>
      <c r="K1602" s="3">
        <f t="shared" si="48"/>
        <v>6.5</v>
      </c>
      <c r="L1602" s="3">
        <f t="shared" si="49"/>
        <v>6.5049999999999999</v>
      </c>
    </row>
    <row r="1603" spans="1:12" x14ac:dyDescent="0.3">
      <c r="A1603" s="2">
        <v>38120</v>
      </c>
      <c r="B1603" t="s">
        <v>13</v>
      </c>
      <c r="D1603" s="2">
        <v>38851</v>
      </c>
      <c r="E1603">
        <v>6.5</v>
      </c>
      <c r="G1603" s="2">
        <v>38851</v>
      </c>
      <c r="H1603">
        <v>6.4130000000000003</v>
      </c>
      <c r="J1603" s="2">
        <v>38858</v>
      </c>
      <c r="K1603" s="3">
        <f t="shared" ref="K1603:K1666" si="50">E1610</f>
        <v>6.5</v>
      </c>
      <c r="L1603" s="3">
        <f t="shared" ref="L1603:L1666" si="51">H1610</f>
        <v>6.5049999999999999</v>
      </c>
    </row>
    <row r="1604" spans="1:12" x14ac:dyDescent="0.3">
      <c r="A1604" s="2">
        <v>38121</v>
      </c>
      <c r="B1604" t="s">
        <v>13</v>
      </c>
      <c r="D1604" s="2">
        <v>38852</v>
      </c>
      <c r="E1604">
        <v>6.5</v>
      </c>
      <c r="G1604" s="2">
        <v>38852</v>
      </c>
      <c r="H1604">
        <v>6.5049999999999999</v>
      </c>
      <c r="J1604" s="2">
        <v>38859</v>
      </c>
      <c r="K1604" s="3">
        <f t="shared" si="50"/>
        <v>6.5</v>
      </c>
      <c r="L1604" s="3">
        <f t="shared" si="51"/>
        <v>6.4909999999999997</v>
      </c>
    </row>
    <row r="1605" spans="1:12" x14ac:dyDescent="0.3">
      <c r="A1605" s="2">
        <v>38122</v>
      </c>
      <c r="B1605" t="s">
        <v>13</v>
      </c>
      <c r="D1605" s="2">
        <v>38853</v>
      </c>
      <c r="E1605">
        <v>6.5</v>
      </c>
      <c r="G1605" s="2">
        <v>38853</v>
      </c>
      <c r="H1605">
        <v>6.4749999999999996</v>
      </c>
      <c r="J1605" s="2">
        <v>38860</v>
      </c>
      <c r="K1605" s="3">
        <f t="shared" si="50"/>
        <v>6.5</v>
      </c>
      <c r="L1605" s="3">
        <f t="shared" si="51"/>
        <v>6.5010000000000003</v>
      </c>
    </row>
    <row r="1606" spans="1:12" x14ac:dyDescent="0.3">
      <c r="A1606" s="2">
        <v>38123</v>
      </c>
      <c r="B1606" t="s">
        <v>13</v>
      </c>
      <c r="D1606" s="2">
        <v>38854</v>
      </c>
      <c r="E1606">
        <v>6.5</v>
      </c>
      <c r="G1606" s="2">
        <v>38854</v>
      </c>
      <c r="H1606">
        <v>6.4690000000000003</v>
      </c>
      <c r="J1606" s="2">
        <v>38861</v>
      </c>
      <c r="K1606" s="3">
        <f t="shared" si="50"/>
        <v>6.5</v>
      </c>
      <c r="L1606" s="3">
        <f t="shared" si="51"/>
        <v>6.4589999999999996</v>
      </c>
    </row>
    <row r="1607" spans="1:12" x14ac:dyDescent="0.3">
      <c r="A1607" s="2">
        <v>38124</v>
      </c>
      <c r="B1607" t="s">
        <v>13</v>
      </c>
      <c r="D1607" s="2">
        <v>38855</v>
      </c>
      <c r="E1607">
        <v>6.5</v>
      </c>
      <c r="G1607" s="2">
        <v>38855</v>
      </c>
      <c r="H1607">
        <v>6.5</v>
      </c>
      <c r="J1607" s="2">
        <v>38862</v>
      </c>
      <c r="K1607" s="3">
        <f t="shared" si="50"/>
        <v>6.5</v>
      </c>
      <c r="L1607" s="3">
        <f t="shared" si="51"/>
        <v>6.4450000000000003</v>
      </c>
    </row>
    <row r="1608" spans="1:12" x14ac:dyDescent="0.3">
      <c r="A1608" s="2">
        <v>38125</v>
      </c>
      <c r="B1608" t="s">
        <v>13</v>
      </c>
      <c r="D1608" s="2">
        <v>38856</v>
      </c>
      <c r="E1608">
        <v>6.5</v>
      </c>
      <c r="G1608" s="2">
        <v>38856</v>
      </c>
      <c r="H1608">
        <v>6.5049999999999999</v>
      </c>
      <c r="J1608" s="2">
        <v>38863</v>
      </c>
      <c r="K1608" s="3">
        <f t="shared" si="50"/>
        <v>6.5</v>
      </c>
      <c r="L1608" s="3">
        <f t="shared" si="51"/>
        <v>6.4390000000000001</v>
      </c>
    </row>
    <row r="1609" spans="1:12" x14ac:dyDescent="0.3">
      <c r="A1609" s="2">
        <v>38126</v>
      </c>
      <c r="B1609" t="s">
        <v>13</v>
      </c>
      <c r="D1609" s="2">
        <v>38857</v>
      </c>
      <c r="E1609">
        <v>6.5</v>
      </c>
      <c r="G1609" s="2">
        <v>38857</v>
      </c>
      <c r="H1609">
        <v>6.5049999999999999</v>
      </c>
      <c r="J1609" s="2">
        <v>38864</v>
      </c>
      <c r="K1609" s="3">
        <f t="shared" si="50"/>
        <v>6.5</v>
      </c>
      <c r="L1609" s="3">
        <f t="shared" si="51"/>
        <v>6.4390000000000001</v>
      </c>
    </row>
    <row r="1610" spans="1:12" x14ac:dyDescent="0.3">
      <c r="A1610" s="2">
        <v>38127</v>
      </c>
      <c r="B1610" t="s">
        <v>13</v>
      </c>
      <c r="D1610" s="2">
        <v>38858</v>
      </c>
      <c r="E1610">
        <v>6.5</v>
      </c>
      <c r="G1610" s="2">
        <v>38858</v>
      </c>
      <c r="H1610">
        <v>6.5049999999999999</v>
      </c>
      <c r="J1610" s="2">
        <v>38865</v>
      </c>
      <c r="K1610" s="3">
        <f t="shared" si="50"/>
        <v>6.5</v>
      </c>
      <c r="L1610" s="3">
        <f t="shared" si="51"/>
        <v>6.4390000000000001</v>
      </c>
    </row>
    <row r="1611" spans="1:12" x14ac:dyDescent="0.3">
      <c r="A1611" s="2">
        <v>38128</v>
      </c>
      <c r="B1611" t="s">
        <v>13</v>
      </c>
      <c r="D1611" s="2">
        <v>38859</v>
      </c>
      <c r="E1611">
        <v>6.5</v>
      </c>
      <c r="G1611" s="2">
        <v>38859</v>
      </c>
      <c r="H1611">
        <v>6.4909999999999997</v>
      </c>
      <c r="J1611" s="2">
        <v>38866</v>
      </c>
      <c r="K1611" s="3">
        <f t="shared" si="50"/>
        <v>6.5</v>
      </c>
      <c r="L1611" s="3">
        <f t="shared" si="51"/>
        <v>6.4669999999999996</v>
      </c>
    </row>
    <row r="1612" spans="1:12" x14ac:dyDescent="0.3">
      <c r="A1612" s="2">
        <v>38129</v>
      </c>
      <c r="B1612" t="s">
        <v>13</v>
      </c>
      <c r="D1612" s="2">
        <v>38860</v>
      </c>
      <c r="E1612">
        <v>6.5</v>
      </c>
      <c r="G1612" s="2">
        <v>38860</v>
      </c>
      <c r="H1612">
        <v>6.5010000000000003</v>
      </c>
      <c r="J1612" s="2">
        <v>38867</v>
      </c>
      <c r="K1612" s="3">
        <f t="shared" si="50"/>
        <v>6.5</v>
      </c>
      <c r="L1612" s="3">
        <f t="shared" si="51"/>
        <v>6.48</v>
      </c>
    </row>
    <row r="1613" spans="1:12" x14ac:dyDescent="0.3">
      <c r="A1613" s="2">
        <v>38130</v>
      </c>
      <c r="B1613" t="s">
        <v>13</v>
      </c>
      <c r="D1613" s="2">
        <v>38861</v>
      </c>
      <c r="E1613">
        <v>6.5</v>
      </c>
      <c r="G1613" s="2">
        <v>38861</v>
      </c>
      <c r="H1613">
        <v>6.4589999999999996</v>
      </c>
      <c r="J1613" s="2">
        <v>38868</v>
      </c>
      <c r="K1613" s="3">
        <f t="shared" si="50"/>
        <v>6.5</v>
      </c>
      <c r="L1613" s="3">
        <f t="shared" si="51"/>
        <v>6.4950000000000001</v>
      </c>
    </row>
    <row r="1614" spans="1:12" x14ac:dyDescent="0.3">
      <c r="A1614" s="2">
        <v>38131</v>
      </c>
      <c r="B1614" t="s">
        <v>13</v>
      </c>
      <c r="D1614" s="2">
        <v>38862</v>
      </c>
      <c r="E1614">
        <v>6.5</v>
      </c>
      <c r="G1614" s="2">
        <v>38862</v>
      </c>
      <c r="H1614">
        <v>6.4450000000000003</v>
      </c>
      <c r="J1614" s="2">
        <v>38869</v>
      </c>
      <c r="K1614" s="3">
        <f t="shared" si="50"/>
        <v>6.5</v>
      </c>
      <c r="L1614" s="3">
        <f t="shared" si="51"/>
        <v>6.4889999999999999</v>
      </c>
    </row>
    <row r="1615" spans="1:12" x14ac:dyDescent="0.3">
      <c r="A1615" s="2">
        <v>38132</v>
      </c>
      <c r="B1615" t="s">
        <v>13</v>
      </c>
      <c r="D1615" s="2">
        <v>38863</v>
      </c>
      <c r="E1615">
        <v>6.5</v>
      </c>
      <c r="G1615" s="2">
        <v>38863</v>
      </c>
      <c r="H1615">
        <v>6.4390000000000001</v>
      </c>
      <c r="J1615" s="2">
        <v>38870</v>
      </c>
      <c r="K1615" s="3">
        <f t="shared" si="50"/>
        <v>6.5</v>
      </c>
      <c r="L1615" s="3">
        <f t="shared" si="51"/>
        <v>6.4649999999999999</v>
      </c>
    </row>
    <row r="1616" spans="1:12" x14ac:dyDescent="0.3">
      <c r="A1616" s="2">
        <v>38133</v>
      </c>
      <c r="B1616" t="s">
        <v>13</v>
      </c>
      <c r="D1616" s="2">
        <v>38864</v>
      </c>
      <c r="E1616">
        <v>6.5</v>
      </c>
      <c r="G1616" s="2">
        <v>38864</v>
      </c>
      <c r="H1616">
        <v>6.4390000000000001</v>
      </c>
      <c r="J1616" s="2">
        <v>38871</v>
      </c>
      <c r="K1616" s="3">
        <f t="shared" si="50"/>
        <v>6.5</v>
      </c>
      <c r="L1616" s="3">
        <f t="shared" si="51"/>
        <v>6.4649999999999999</v>
      </c>
    </row>
    <row r="1617" spans="1:12" x14ac:dyDescent="0.3">
      <c r="A1617" s="2">
        <v>38134</v>
      </c>
      <c r="B1617" t="s">
        <v>13</v>
      </c>
      <c r="D1617" s="2">
        <v>38865</v>
      </c>
      <c r="E1617">
        <v>6.5</v>
      </c>
      <c r="G1617" s="2">
        <v>38865</v>
      </c>
      <c r="H1617">
        <v>6.4390000000000001</v>
      </c>
      <c r="J1617" s="2">
        <v>38872</v>
      </c>
      <c r="K1617" s="3">
        <f t="shared" si="50"/>
        <v>6.5</v>
      </c>
      <c r="L1617" s="3">
        <f t="shared" si="51"/>
        <v>6.4649999999999999</v>
      </c>
    </row>
    <row r="1618" spans="1:12" x14ac:dyDescent="0.3">
      <c r="A1618" s="2">
        <v>38135</v>
      </c>
      <c r="B1618" t="s">
        <v>13</v>
      </c>
      <c r="D1618" s="2">
        <v>38866</v>
      </c>
      <c r="E1618">
        <v>6.5</v>
      </c>
      <c r="G1618" s="2">
        <v>38866</v>
      </c>
      <c r="H1618">
        <v>6.4669999999999996</v>
      </c>
      <c r="J1618" s="2">
        <v>38873</v>
      </c>
      <c r="K1618" s="3">
        <f t="shared" si="50"/>
        <v>6.5</v>
      </c>
      <c r="L1618" s="3">
        <f t="shared" si="51"/>
        <v>6.5090000000000003</v>
      </c>
    </row>
    <row r="1619" spans="1:12" x14ac:dyDescent="0.3">
      <c r="A1619" s="2">
        <v>38136</v>
      </c>
      <c r="B1619" t="s">
        <v>13</v>
      </c>
      <c r="D1619" s="2">
        <v>38867</v>
      </c>
      <c r="E1619">
        <v>6.5</v>
      </c>
      <c r="G1619" s="2">
        <v>38867</v>
      </c>
      <c r="H1619">
        <v>6.48</v>
      </c>
      <c r="J1619" s="2">
        <v>38874</v>
      </c>
      <c r="K1619" s="3">
        <f t="shared" si="50"/>
        <v>6.5</v>
      </c>
      <c r="L1619" s="3">
        <f t="shared" si="51"/>
        <v>6.5389999999999997</v>
      </c>
    </row>
    <row r="1620" spans="1:12" x14ac:dyDescent="0.3">
      <c r="A1620" s="2">
        <v>38137</v>
      </c>
      <c r="B1620" t="s">
        <v>13</v>
      </c>
      <c r="D1620" s="2">
        <v>38868</v>
      </c>
      <c r="E1620">
        <v>6.5</v>
      </c>
      <c r="G1620" s="2">
        <v>38868</v>
      </c>
      <c r="H1620">
        <v>6.4950000000000001</v>
      </c>
      <c r="J1620" s="2">
        <v>38875</v>
      </c>
      <c r="K1620" s="3">
        <f t="shared" si="50"/>
        <v>6.5</v>
      </c>
      <c r="L1620" s="3">
        <f t="shared" si="51"/>
        <v>6.5289999999999999</v>
      </c>
    </row>
    <row r="1621" spans="1:12" x14ac:dyDescent="0.3">
      <c r="A1621" s="2">
        <v>38138</v>
      </c>
      <c r="B1621" t="s">
        <v>13</v>
      </c>
      <c r="D1621" s="2">
        <v>38869</v>
      </c>
      <c r="E1621">
        <v>6.5</v>
      </c>
      <c r="G1621" s="2">
        <v>38869</v>
      </c>
      <c r="H1621">
        <v>6.4889999999999999</v>
      </c>
      <c r="J1621" s="2">
        <v>38876</v>
      </c>
      <c r="K1621" s="3">
        <f t="shared" si="50"/>
        <v>6.5</v>
      </c>
      <c r="L1621" s="3">
        <f t="shared" si="51"/>
        <v>6.5410000000000004</v>
      </c>
    </row>
    <row r="1622" spans="1:12" x14ac:dyDescent="0.3">
      <c r="A1622" s="2">
        <v>38139</v>
      </c>
      <c r="B1622" t="s">
        <v>13</v>
      </c>
      <c r="D1622" s="2">
        <v>38870</v>
      </c>
      <c r="E1622">
        <v>6.5</v>
      </c>
      <c r="G1622" s="2">
        <v>38870</v>
      </c>
      <c r="H1622">
        <v>6.4649999999999999</v>
      </c>
      <c r="J1622" s="2">
        <v>38877</v>
      </c>
      <c r="K1622" s="3">
        <f t="shared" si="50"/>
        <v>6.5</v>
      </c>
      <c r="L1622" s="3">
        <f t="shared" si="51"/>
        <v>6.7039999999999997</v>
      </c>
    </row>
    <row r="1623" spans="1:12" x14ac:dyDescent="0.3">
      <c r="A1623" s="2">
        <v>38140</v>
      </c>
      <c r="B1623" t="s">
        <v>13</v>
      </c>
      <c r="D1623" s="2">
        <v>38871</v>
      </c>
      <c r="E1623">
        <v>6.5</v>
      </c>
      <c r="G1623" s="2">
        <v>38871</v>
      </c>
      <c r="H1623">
        <v>6.4649999999999999</v>
      </c>
      <c r="J1623" s="2">
        <v>38878</v>
      </c>
      <c r="K1623" s="3">
        <f t="shared" si="50"/>
        <v>6.5</v>
      </c>
      <c r="L1623" s="3">
        <f t="shared" si="51"/>
        <v>6.7039999999999997</v>
      </c>
    </row>
    <row r="1624" spans="1:12" x14ac:dyDescent="0.3">
      <c r="A1624" s="2">
        <v>38141</v>
      </c>
      <c r="B1624" t="s">
        <v>13</v>
      </c>
      <c r="D1624" s="2">
        <v>38872</v>
      </c>
      <c r="E1624">
        <v>6.5</v>
      </c>
      <c r="G1624" s="2">
        <v>38872</v>
      </c>
      <c r="H1624">
        <v>6.4649999999999999</v>
      </c>
      <c r="J1624" s="2">
        <v>38879</v>
      </c>
      <c r="K1624" s="3">
        <f t="shared" si="50"/>
        <v>6.5</v>
      </c>
      <c r="L1624" s="3">
        <f t="shared" si="51"/>
        <v>6.7039999999999997</v>
      </c>
    </row>
    <row r="1625" spans="1:12" x14ac:dyDescent="0.3">
      <c r="A1625" s="2">
        <v>38142</v>
      </c>
      <c r="B1625" t="s">
        <v>13</v>
      </c>
      <c r="D1625" s="2">
        <v>38873</v>
      </c>
      <c r="E1625">
        <v>6.5</v>
      </c>
      <c r="G1625" s="2">
        <v>38873</v>
      </c>
      <c r="H1625">
        <v>6.5090000000000003</v>
      </c>
      <c r="J1625" s="2">
        <v>38880</v>
      </c>
      <c r="K1625" s="3">
        <f t="shared" si="50"/>
        <v>6.5</v>
      </c>
      <c r="L1625" s="3">
        <f t="shared" si="51"/>
        <v>6.6749999999999998</v>
      </c>
    </row>
    <row r="1626" spans="1:12" x14ac:dyDescent="0.3">
      <c r="A1626" s="2">
        <v>38143</v>
      </c>
      <c r="B1626" t="s">
        <v>13</v>
      </c>
      <c r="D1626" s="2">
        <v>38874</v>
      </c>
      <c r="E1626">
        <v>6.5</v>
      </c>
      <c r="G1626" s="2">
        <v>38874</v>
      </c>
      <c r="H1626">
        <v>6.5389999999999997</v>
      </c>
      <c r="J1626" s="2">
        <v>38881</v>
      </c>
      <c r="K1626" s="3">
        <f t="shared" si="50"/>
        <v>6.5</v>
      </c>
      <c r="L1626" s="3">
        <f t="shared" si="51"/>
        <v>6.8239999999999998</v>
      </c>
    </row>
    <row r="1627" spans="1:12" x14ac:dyDescent="0.3">
      <c r="A1627" s="2">
        <v>38144</v>
      </c>
      <c r="B1627" t="s">
        <v>13</v>
      </c>
      <c r="D1627" s="2">
        <v>38875</v>
      </c>
      <c r="E1627">
        <v>6.5</v>
      </c>
      <c r="G1627" s="2">
        <v>38875</v>
      </c>
      <c r="H1627">
        <v>6.5289999999999999</v>
      </c>
      <c r="J1627" s="2">
        <v>38882</v>
      </c>
      <c r="K1627" s="3">
        <f t="shared" si="50"/>
        <v>6.5</v>
      </c>
      <c r="L1627" s="3">
        <f t="shared" si="51"/>
        <v>6.8609999999999998</v>
      </c>
    </row>
    <row r="1628" spans="1:12" x14ac:dyDescent="0.3">
      <c r="A1628" s="2">
        <v>38145</v>
      </c>
      <c r="B1628" t="s">
        <v>13</v>
      </c>
      <c r="D1628" s="2">
        <v>38876</v>
      </c>
      <c r="E1628">
        <v>6.5</v>
      </c>
      <c r="G1628" s="2">
        <v>38876</v>
      </c>
      <c r="H1628">
        <v>6.5410000000000004</v>
      </c>
      <c r="J1628" s="2">
        <v>38883</v>
      </c>
      <c r="K1628" s="3">
        <f t="shared" si="50"/>
        <v>6.5</v>
      </c>
      <c r="L1628" s="3">
        <f t="shared" si="51"/>
        <v>6.8689999999999998</v>
      </c>
    </row>
    <row r="1629" spans="1:12" x14ac:dyDescent="0.3">
      <c r="A1629" s="2">
        <v>38146</v>
      </c>
      <c r="B1629" t="s">
        <v>13</v>
      </c>
      <c r="D1629" s="2">
        <v>38877</v>
      </c>
      <c r="E1629">
        <v>6.5</v>
      </c>
      <c r="G1629" s="2">
        <v>38877</v>
      </c>
      <c r="H1629">
        <v>6.7039999999999997</v>
      </c>
      <c r="J1629" s="2">
        <v>38884</v>
      </c>
      <c r="K1629" s="3">
        <f t="shared" si="50"/>
        <v>6.5</v>
      </c>
      <c r="L1629" s="3">
        <f t="shared" si="51"/>
        <v>6.88</v>
      </c>
    </row>
    <row r="1630" spans="1:12" x14ac:dyDescent="0.3">
      <c r="A1630" s="2">
        <v>38147</v>
      </c>
      <c r="B1630" t="s">
        <v>13</v>
      </c>
      <c r="D1630" s="2">
        <v>38878</v>
      </c>
      <c r="E1630">
        <v>6.5</v>
      </c>
      <c r="G1630" s="2">
        <v>38878</v>
      </c>
      <c r="H1630">
        <v>6.7039999999999997</v>
      </c>
      <c r="J1630" s="2">
        <v>38885</v>
      </c>
      <c r="K1630" s="3">
        <f t="shared" si="50"/>
        <v>6.5</v>
      </c>
      <c r="L1630" s="3">
        <f t="shared" si="51"/>
        <v>6.88</v>
      </c>
    </row>
    <row r="1631" spans="1:12" x14ac:dyDescent="0.3">
      <c r="A1631" s="2">
        <v>38148</v>
      </c>
      <c r="B1631" t="s">
        <v>13</v>
      </c>
      <c r="D1631" s="2">
        <v>38879</v>
      </c>
      <c r="E1631">
        <v>6.5</v>
      </c>
      <c r="G1631" s="2">
        <v>38879</v>
      </c>
      <c r="H1631">
        <v>6.7039999999999997</v>
      </c>
      <c r="J1631" s="2">
        <v>38886</v>
      </c>
      <c r="K1631" s="3">
        <f t="shared" si="50"/>
        <v>6.5</v>
      </c>
      <c r="L1631" s="3">
        <f t="shared" si="51"/>
        <v>6.88</v>
      </c>
    </row>
    <row r="1632" spans="1:12" x14ac:dyDescent="0.3">
      <c r="A1632" s="2">
        <v>38149</v>
      </c>
      <c r="B1632" t="s">
        <v>13</v>
      </c>
      <c r="D1632" s="2">
        <v>38880</v>
      </c>
      <c r="E1632">
        <v>6.5</v>
      </c>
      <c r="G1632" s="2">
        <v>38880</v>
      </c>
      <c r="H1632">
        <v>6.6749999999999998</v>
      </c>
      <c r="J1632" s="2">
        <v>38887</v>
      </c>
      <c r="K1632" s="3">
        <f t="shared" si="50"/>
        <v>6.5</v>
      </c>
      <c r="L1632" s="3">
        <f t="shared" si="51"/>
        <v>6.98</v>
      </c>
    </row>
    <row r="1633" spans="1:12" x14ac:dyDescent="0.3">
      <c r="A1633" s="2">
        <v>38150</v>
      </c>
      <c r="B1633" t="s">
        <v>13</v>
      </c>
      <c r="D1633" s="2">
        <v>38881</v>
      </c>
      <c r="E1633">
        <v>6.5</v>
      </c>
      <c r="G1633" s="2">
        <v>38881</v>
      </c>
      <c r="H1633">
        <v>6.8239999999999998</v>
      </c>
      <c r="J1633" s="2">
        <v>38888</v>
      </c>
      <c r="K1633" s="3">
        <f t="shared" si="50"/>
        <v>6.5</v>
      </c>
      <c r="L1633" s="3">
        <f t="shared" si="51"/>
        <v>7.0110000000000001</v>
      </c>
    </row>
    <row r="1634" spans="1:12" x14ac:dyDescent="0.3">
      <c r="A1634" s="2">
        <v>38151</v>
      </c>
      <c r="B1634" t="s">
        <v>13</v>
      </c>
      <c r="D1634" s="2">
        <v>38882</v>
      </c>
      <c r="E1634">
        <v>6.5</v>
      </c>
      <c r="G1634" s="2">
        <v>38882</v>
      </c>
      <c r="H1634">
        <v>6.8609999999999998</v>
      </c>
      <c r="J1634" s="2">
        <v>38889</v>
      </c>
      <c r="K1634" s="3">
        <f t="shared" si="50"/>
        <v>6.5</v>
      </c>
      <c r="L1634" s="3">
        <f t="shared" si="51"/>
        <v>7.01</v>
      </c>
    </row>
    <row r="1635" spans="1:12" x14ac:dyDescent="0.3">
      <c r="A1635" s="2">
        <v>38152</v>
      </c>
      <c r="B1635" t="s">
        <v>13</v>
      </c>
      <c r="D1635" s="2">
        <v>38883</v>
      </c>
      <c r="E1635">
        <v>6.5</v>
      </c>
      <c r="G1635" s="2">
        <v>38883</v>
      </c>
      <c r="H1635">
        <v>6.8689999999999998</v>
      </c>
      <c r="J1635" s="2">
        <v>38890</v>
      </c>
      <c r="K1635" s="3">
        <f t="shared" si="50"/>
        <v>6.5</v>
      </c>
      <c r="L1635" s="3">
        <f t="shared" si="51"/>
        <v>7.02</v>
      </c>
    </row>
    <row r="1636" spans="1:12" x14ac:dyDescent="0.3">
      <c r="A1636" s="2">
        <v>38153</v>
      </c>
      <c r="B1636" t="s">
        <v>13</v>
      </c>
      <c r="D1636" s="2">
        <v>38884</v>
      </c>
      <c r="E1636">
        <v>6.5</v>
      </c>
      <c r="G1636" s="2">
        <v>38884</v>
      </c>
      <c r="H1636">
        <v>6.88</v>
      </c>
      <c r="J1636" s="2">
        <v>38891</v>
      </c>
      <c r="K1636" s="3">
        <f t="shared" si="50"/>
        <v>6.5</v>
      </c>
      <c r="L1636" s="3">
        <f t="shared" si="51"/>
        <v>7.1310000000000002</v>
      </c>
    </row>
    <row r="1637" spans="1:12" x14ac:dyDescent="0.3">
      <c r="A1637" s="2">
        <v>38154</v>
      </c>
      <c r="B1637" t="s">
        <v>13</v>
      </c>
      <c r="D1637" s="2">
        <v>38885</v>
      </c>
      <c r="E1637">
        <v>6.5</v>
      </c>
      <c r="G1637" s="2">
        <v>38885</v>
      </c>
      <c r="H1637">
        <v>6.88</v>
      </c>
      <c r="J1637" s="2">
        <v>38892</v>
      </c>
      <c r="K1637" s="3">
        <f t="shared" si="50"/>
        <v>6.5</v>
      </c>
      <c r="L1637" s="3">
        <f t="shared" si="51"/>
        <v>7.1310000000000002</v>
      </c>
    </row>
    <row r="1638" spans="1:12" x14ac:dyDescent="0.3">
      <c r="A1638" s="2">
        <v>38155</v>
      </c>
      <c r="B1638" t="s">
        <v>13</v>
      </c>
      <c r="D1638" s="2">
        <v>38886</v>
      </c>
      <c r="E1638">
        <v>6.5</v>
      </c>
      <c r="G1638" s="2">
        <v>38886</v>
      </c>
      <c r="H1638">
        <v>6.88</v>
      </c>
      <c r="J1638" s="2">
        <v>38893</v>
      </c>
      <c r="K1638" s="3">
        <f t="shared" si="50"/>
        <v>6.5</v>
      </c>
      <c r="L1638" s="3">
        <f t="shared" si="51"/>
        <v>7.1310000000000002</v>
      </c>
    </row>
    <row r="1639" spans="1:12" x14ac:dyDescent="0.3">
      <c r="A1639" s="2">
        <v>38156</v>
      </c>
      <c r="B1639" t="s">
        <v>13</v>
      </c>
      <c r="D1639" s="2">
        <v>38887</v>
      </c>
      <c r="E1639">
        <v>6.5</v>
      </c>
      <c r="G1639" s="2">
        <v>38887</v>
      </c>
      <c r="H1639">
        <v>6.98</v>
      </c>
      <c r="J1639" s="2">
        <v>38894</v>
      </c>
      <c r="K1639" s="3">
        <f t="shared" si="50"/>
        <v>6.5</v>
      </c>
      <c r="L1639" s="3">
        <f t="shared" si="51"/>
        <v>7.1109999999999998</v>
      </c>
    </row>
    <row r="1640" spans="1:12" x14ac:dyDescent="0.3">
      <c r="A1640" s="2">
        <v>38157</v>
      </c>
      <c r="B1640" t="s">
        <v>13</v>
      </c>
      <c r="D1640" s="2">
        <v>38888</v>
      </c>
      <c r="E1640">
        <v>6.5</v>
      </c>
      <c r="G1640" s="2">
        <v>38888</v>
      </c>
      <c r="H1640">
        <v>7.0110000000000001</v>
      </c>
      <c r="J1640" s="2">
        <v>38895</v>
      </c>
      <c r="K1640" s="3">
        <f t="shared" si="50"/>
        <v>6.5</v>
      </c>
      <c r="L1640" s="3">
        <f t="shared" si="51"/>
        <v>7.0650000000000004</v>
      </c>
    </row>
    <row r="1641" spans="1:12" x14ac:dyDescent="0.3">
      <c r="A1641" s="2">
        <v>38158</v>
      </c>
      <c r="B1641" t="s">
        <v>13</v>
      </c>
      <c r="D1641" s="2">
        <v>38889</v>
      </c>
      <c r="E1641">
        <v>6.5</v>
      </c>
      <c r="G1641" s="2">
        <v>38889</v>
      </c>
      <c r="H1641">
        <v>7.01</v>
      </c>
      <c r="J1641" s="2">
        <v>38896</v>
      </c>
      <c r="K1641" s="3">
        <f t="shared" si="50"/>
        <v>6.5</v>
      </c>
      <c r="L1641" s="3">
        <f t="shared" si="51"/>
        <v>7.0590000000000002</v>
      </c>
    </row>
    <row r="1642" spans="1:12" x14ac:dyDescent="0.3">
      <c r="A1642" s="2">
        <v>38159</v>
      </c>
      <c r="B1642" t="s">
        <v>13</v>
      </c>
      <c r="D1642" s="2">
        <v>38890</v>
      </c>
      <c r="E1642">
        <v>6.5</v>
      </c>
      <c r="G1642" s="2">
        <v>38890</v>
      </c>
      <c r="H1642">
        <v>7.02</v>
      </c>
      <c r="J1642" s="2">
        <v>38897</v>
      </c>
      <c r="K1642" s="3">
        <f t="shared" si="50"/>
        <v>6.5</v>
      </c>
      <c r="L1642" s="3">
        <f t="shared" si="51"/>
        <v>7.024</v>
      </c>
    </row>
    <row r="1643" spans="1:12" x14ac:dyDescent="0.3">
      <c r="A1643" s="2">
        <v>38160</v>
      </c>
      <c r="B1643" t="s">
        <v>13</v>
      </c>
      <c r="D1643" s="2">
        <v>38891</v>
      </c>
      <c r="E1643">
        <v>6.5</v>
      </c>
      <c r="G1643" s="2">
        <v>38891</v>
      </c>
      <c r="H1643">
        <v>7.1310000000000002</v>
      </c>
      <c r="J1643" s="2">
        <v>38898</v>
      </c>
      <c r="K1643" s="3">
        <f t="shared" si="50"/>
        <v>6.5</v>
      </c>
      <c r="L1643" s="3">
        <f t="shared" si="51"/>
        <v>7.0010000000000003</v>
      </c>
    </row>
    <row r="1644" spans="1:12" x14ac:dyDescent="0.3">
      <c r="A1644" s="2">
        <v>38161</v>
      </c>
      <c r="B1644" t="s">
        <v>13</v>
      </c>
      <c r="D1644" s="2">
        <v>38892</v>
      </c>
      <c r="E1644">
        <v>6.5</v>
      </c>
      <c r="G1644" s="2">
        <v>38892</v>
      </c>
      <c r="H1644">
        <v>7.1310000000000002</v>
      </c>
      <c r="J1644" s="2">
        <v>38899</v>
      </c>
      <c r="K1644" s="3">
        <f t="shared" si="50"/>
        <v>6.5</v>
      </c>
      <c r="L1644" s="3">
        <f t="shared" si="51"/>
        <v>7.0010000000000003</v>
      </c>
    </row>
    <row r="1645" spans="1:12" x14ac:dyDescent="0.3">
      <c r="A1645" s="2">
        <v>38162</v>
      </c>
      <c r="B1645" t="s">
        <v>13</v>
      </c>
      <c r="D1645" s="2">
        <v>38893</v>
      </c>
      <c r="E1645">
        <v>6.5</v>
      </c>
      <c r="G1645" s="2">
        <v>38893</v>
      </c>
      <c r="H1645">
        <v>7.1310000000000002</v>
      </c>
      <c r="J1645" s="2">
        <v>38900</v>
      </c>
      <c r="K1645" s="3">
        <f t="shared" si="50"/>
        <v>6.5</v>
      </c>
      <c r="L1645" s="3">
        <f t="shared" si="51"/>
        <v>7.0010000000000003</v>
      </c>
    </row>
    <row r="1646" spans="1:12" x14ac:dyDescent="0.3">
      <c r="A1646" s="2">
        <v>38163</v>
      </c>
      <c r="B1646" t="s">
        <v>13</v>
      </c>
      <c r="D1646" s="2">
        <v>38894</v>
      </c>
      <c r="E1646">
        <v>6.5</v>
      </c>
      <c r="G1646" s="2">
        <v>38894</v>
      </c>
      <c r="H1646">
        <v>7.1109999999999998</v>
      </c>
      <c r="J1646" s="2">
        <v>38901</v>
      </c>
      <c r="K1646" s="3">
        <f t="shared" si="50"/>
        <v>6.5</v>
      </c>
      <c r="L1646" s="3">
        <f t="shared" si="51"/>
        <v>6.9660000000000002</v>
      </c>
    </row>
    <row r="1647" spans="1:12" x14ac:dyDescent="0.3">
      <c r="A1647" s="2">
        <v>38164</v>
      </c>
      <c r="B1647" t="s">
        <v>13</v>
      </c>
      <c r="D1647" s="2">
        <v>38895</v>
      </c>
      <c r="E1647">
        <v>6.5</v>
      </c>
      <c r="G1647" s="2">
        <v>38895</v>
      </c>
      <c r="H1647">
        <v>7.0650000000000004</v>
      </c>
      <c r="J1647" s="2">
        <v>38902</v>
      </c>
      <c r="K1647" s="3">
        <f t="shared" si="50"/>
        <v>6.5</v>
      </c>
      <c r="L1647" s="3">
        <f t="shared" si="51"/>
        <v>7.0060000000000002</v>
      </c>
    </row>
    <row r="1648" spans="1:12" x14ac:dyDescent="0.3">
      <c r="A1648" s="2">
        <v>38165</v>
      </c>
      <c r="B1648" t="s">
        <v>13</v>
      </c>
      <c r="D1648" s="2">
        <v>38896</v>
      </c>
      <c r="E1648">
        <v>6.5</v>
      </c>
      <c r="G1648" s="2">
        <v>38896</v>
      </c>
      <c r="H1648">
        <v>7.0590000000000002</v>
      </c>
      <c r="J1648" s="2">
        <v>38903</v>
      </c>
      <c r="K1648" s="3">
        <f t="shared" si="50"/>
        <v>6.5</v>
      </c>
      <c r="L1648" s="3">
        <f t="shared" si="51"/>
        <v>7.0579999999999998</v>
      </c>
    </row>
    <row r="1649" spans="1:12" x14ac:dyDescent="0.3">
      <c r="A1649" s="2">
        <v>38166</v>
      </c>
      <c r="B1649" t="s">
        <v>13</v>
      </c>
      <c r="D1649" s="2">
        <v>38897</v>
      </c>
      <c r="E1649">
        <v>6.5</v>
      </c>
      <c r="G1649" s="2">
        <v>38897</v>
      </c>
      <c r="H1649">
        <v>7.024</v>
      </c>
      <c r="J1649" s="2">
        <v>38904</v>
      </c>
      <c r="K1649" s="3">
        <f t="shared" si="50"/>
        <v>6.5</v>
      </c>
      <c r="L1649" s="3">
        <f t="shared" si="51"/>
        <v>7.0579999999999998</v>
      </c>
    </row>
    <row r="1650" spans="1:12" x14ac:dyDescent="0.3">
      <c r="A1650" s="2">
        <v>38167</v>
      </c>
      <c r="B1650" t="s">
        <v>13</v>
      </c>
      <c r="D1650" s="2">
        <v>38898</v>
      </c>
      <c r="E1650">
        <v>6.5</v>
      </c>
      <c r="G1650" s="2">
        <v>38898</v>
      </c>
      <c r="H1650">
        <v>7.0010000000000003</v>
      </c>
      <c r="J1650" s="2">
        <v>38905</v>
      </c>
      <c r="K1650" s="3">
        <f t="shared" si="50"/>
        <v>6.5</v>
      </c>
      <c r="L1650" s="3">
        <f t="shared" si="51"/>
        <v>6.9960000000000004</v>
      </c>
    </row>
    <row r="1651" spans="1:12" x14ac:dyDescent="0.3">
      <c r="A1651" s="2">
        <v>38168</v>
      </c>
      <c r="B1651" t="s">
        <v>13</v>
      </c>
      <c r="D1651" s="2">
        <v>38899</v>
      </c>
      <c r="E1651">
        <v>6.5</v>
      </c>
      <c r="G1651" s="2">
        <v>38899</v>
      </c>
      <c r="H1651">
        <v>7.0010000000000003</v>
      </c>
      <c r="J1651" s="2">
        <v>38906</v>
      </c>
      <c r="K1651" s="3">
        <f t="shared" si="50"/>
        <v>6.5</v>
      </c>
      <c r="L1651" s="3">
        <f t="shared" si="51"/>
        <v>6.9960000000000004</v>
      </c>
    </row>
    <row r="1652" spans="1:12" x14ac:dyDescent="0.3">
      <c r="A1652" s="2">
        <v>38169</v>
      </c>
      <c r="B1652" t="s">
        <v>13</v>
      </c>
      <c r="D1652" s="2">
        <v>38900</v>
      </c>
      <c r="E1652">
        <v>6.5</v>
      </c>
      <c r="G1652" s="2">
        <v>38900</v>
      </c>
      <c r="H1652">
        <v>7.0010000000000003</v>
      </c>
      <c r="J1652" s="2">
        <v>38907</v>
      </c>
      <c r="K1652" s="3">
        <f t="shared" si="50"/>
        <v>6.5</v>
      </c>
      <c r="L1652" s="3">
        <f t="shared" si="51"/>
        <v>6.9960000000000004</v>
      </c>
    </row>
    <row r="1653" spans="1:12" x14ac:dyDescent="0.3">
      <c r="A1653" s="2">
        <v>38170</v>
      </c>
      <c r="B1653" t="s">
        <v>13</v>
      </c>
      <c r="D1653" s="2">
        <v>38901</v>
      </c>
      <c r="E1653">
        <v>6.5</v>
      </c>
      <c r="G1653" s="2">
        <v>38901</v>
      </c>
      <c r="H1653">
        <v>6.9660000000000002</v>
      </c>
      <c r="J1653" s="2">
        <v>38908</v>
      </c>
      <c r="K1653" s="3">
        <f t="shared" si="50"/>
        <v>6.5</v>
      </c>
      <c r="L1653" s="3">
        <f t="shared" si="51"/>
        <v>6.99</v>
      </c>
    </row>
    <row r="1654" spans="1:12" x14ac:dyDescent="0.3">
      <c r="A1654" s="2">
        <v>38171</v>
      </c>
      <c r="B1654" t="s">
        <v>13</v>
      </c>
      <c r="D1654" s="2">
        <v>38902</v>
      </c>
      <c r="E1654">
        <v>6.5</v>
      </c>
      <c r="G1654" s="2">
        <v>38902</v>
      </c>
      <c r="H1654">
        <v>7.0060000000000002</v>
      </c>
      <c r="J1654" s="2">
        <v>38909</v>
      </c>
      <c r="K1654" s="3">
        <f t="shared" si="50"/>
        <v>6.5</v>
      </c>
      <c r="L1654" s="3">
        <f t="shared" si="51"/>
        <v>7.0069999999999997</v>
      </c>
    </row>
    <row r="1655" spans="1:12" x14ac:dyDescent="0.3">
      <c r="A1655" s="2">
        <v>38172</v>
      </c>
      <c r="B1655" t="s">
        <v>13</v>
      </c>
      <c r="D1655" s="2">
        <v>38903</v>
      </c>
      <c r="E1655">
        <v>6.5</v>
      </c>
      <c r="G1655" s="2">
        <v>38903</v>
      </c>
      <c r="H1655">
        <v>7.0579999999999998</v>
      </c>
      <c r="J1655" s="2">
        <v>38910</v>
      </c>
      <c r="K1655" s="3">
        <f t="shared" si="50"/>
        <v>6.5</v>
      </c>
      <c r="L1655" s="3">
        <f t="shared" si="51"/>
        <v>7.032</v>
      </c>
    </row>
    <row r="1656" spans="1:12" x14ac:dyDescent="0.3">
      <c r="A1656" s="2">
        <v>38173</v>
      </c>
      <c r="B1656" t="s">
        <v>13</v>
      </c>
      <c r="D1656" s="2">
        <v>38904</v>
      </c>
      <c r="E1656">
        <v>6.5</v>
      </c>
      <c r="G1656" s="2">
        <v>38904</v>
      </c>
      <c r="H1656">
        <v>7.0579999999999998</v>
      </c>
      <c r="J1656" s="2">
        <v>38911</v>
      </c>
      <c r="K1656" s="3">
        <f t="shared" si="50"/>
        <v>6.5</v>
      </c>
      <c r="L1656" s="3">
        <f t="shared" si="51"/>
        <v>7.0220000000000002</v>
      </c>
    </row>
    <row r="1657" spans="1:12" x14ac:dyDescent="0.3">
      <c r="A1657" s="2">
        <v>38174</v>
      </c>
      <c r="B1657" t="s">
        <v>13</v>
      </c>
      <c r="D1657" s="2">
        <v>38905</v>
      </c>
      <c r="E1657">
        <v>6.5</v>
      </c>
      <c r="G1657" s="2">
        <v>38905</v>
      </c>
      <c r="H1657">
        <v>6.9960000000000004</v>
      </c>
      <c r="J1657" s="2">
        <v>38912</v>
      </c>
      <c r="K1657" s="3">
        <f t="shared" si="50"/>
        <v>6.5</v>
      </c>
      <c r="L1657" s="3">
        <f t="shared" si="51"/>
        <v>6.9589999999999996</v>
      </c>
    </row>
    <row r="1658" spans="1:12" x14ac:dyDescent="0.3">
      <c r="A1658" s="2">
        <v>38175</v>
      </c>
      <c r="B1658" t="s">
        <v>13</v>
      </c>
      <c r="D1658" s="2">
        <v>38906</v>
      </c>
      <c r="E1658">
        <v>6.5</v>
      </c>
      <c r="G1658" s="2">
        <v>38906</v>
      </c>
      <c r="H1658">
        <v>6.9960000000000004</v>
      </c>
      <c r="J1658" s="2">
        <v>38913</v>
      </c>
      <c r="K1658" s="3">
        <f t="shared" si="50"/>
        <v>6.5</v>
      </c>
      <c r="L1658" s="3">
        <f t="shared" si="51"/>
        <v>6.9589999999999996</v>
      </c>
    </row>
    <row r="1659" spans="1:12" x14ac:dyDescent="0.3">
      <c r="A1659" s="2">
        <v>38176</v>
      </c>
      <c r="B1659" t="s">
        <v>13</v>
      </c>
      <c r="D1659" s="2">
        <v>38907</v>
      </c>
      <c r="E1659">
        <v>6.5</v>
      </c>
      <c r="G1659" s="2">
        <v>38907</v>
      </c>
      <c r="H1659">
        <v>6.9960000000000004</v>
      </c>
      <c r="J1659" s="2">
        <v>38914</v>
      </c>
      <c r="K1659" s="3">
        <f t="shared" si="50"/>
        <v>6.5</v>
      </c>
      <c r="L1659" s="3">
        <f t="shared" si="51"/>
        <v>6.9589999999999996</v>
      </c>
    </row>
    <row r="1660" spans="1:12" x14ac:dyDescent="0.3">
      <c r="A1660" s="2">
        <v>38177</v>
      </c>
      <c r="B1660" t="s">
        <v>13</v>
      </c>
      <c r="D1660" s="2">
        <v>38908</v>
      </c>
      <c r="E1660">
        <v>6.5</v>
      </c>
      <c r="G1660" s="2">
        <v>38908</v>
      </c>
      <c r="H1660">
        <v>6.99</v>
      </c>
      <c r="J1660" s="2">
        <v>38915</v>
      </c>
      <c r="K1660" s="3">
        <f t="shared" si="50"/>
        <v>6.5</v>
      </c>
      <c r="L1660" s="3">
        <f t="shared" si="51"/>
        <v>6.9660000000000002</v>
      </c>
    </row>
    <row r="1661" spans="1:12" x14ac:dyDescent="0.3">
      <c r="A1661" s="2">
        <v>38178</v>
      </c>
      <c r="B1661" t="s">
        <v>13</v>
      </c>
      <c r="D1661" s="2">
        <v>38909</v>
      </c>
      <c r="E1661">
        <v>6.5</v>
      </c>
      <c r="G1661" s="2">
        <v>38909</v>
      </c>
      <c r="H1661">
        <v>7.0069999999999997</v>
      </c>
      <c r="J1661" s="2">
        <v>38916</v>
      </c>
      <c r="K1661" s="3">
        <f t="shared" si="50"/>
        <v>6.5</v>
      </c>
      <c r="L1661" s="3">
        <f t="shared" si="51"/>
        <v>6.9710000000000001</v>
      </c>
    </row>
    <row r="1662" spans="1:12" x14ac:dyDescent="0.3">
      <c r="A1662" s="2">
        <v>38179</v>
      </c>
      <c r="B1662" t="s">
        <v>13</v>
      </c>
      <c r="D1662" s="2">
        <v>38910</v>
      </c>
      <c r="E1662">
        <v>6.5</v>
      </c>
      <c r="G1662" s="2">
        <v>38910</v>
      </c>
      <c r="H1662">
        <v>7.032</v>
      </c>
      <c r="J1662" s="2">
        <v>38917</v>
      </c>
      <c r="K1662" s="3">
        <f t="shared" si="50"/>
        <v>6.5</v>
      </c>
      <c r="L1662" s="3">
        <f t="shared" si="51"/>
        <v>7.024</v>
      </c>
    </row>
    <row r="1663" spans="1:12" x14ac:dyDescent="0.3">
      <c r="A1663" s="2">
        <v>38180</v>
      </c>
      <c r="B1663" t="s">
        <v>13</v>
      </c>
      <c r="D1663" s="2">
        <v>38911</v>
      </c>
      <c r="E1663">
        <v>6.5</v>
      </c>
      <c r="G1663" s="2">
        <v>38911</v>
      </c>
      <c r="H1663">
        <v>7.0220000000000002</v>
      </c>
      <c r="J1663" s="2">
        <v>38918</v>
      </c>
      <c r="K1663" s="3">
        <f t="shared" si="50"/>
        <v>6.5</v>
      </c>
      <c r="L1663" s="3">
        <f t="shared" si="51"/>
        <v>6.9939999999999998</v>
      </c>
    </row>
    <row r="1664" spans="1:12" x14ac:dyDescent="0.3">
      <c r="A1664" s="2">
        <v>38181</v>
      </c>
      <c r="B1664" t="s">
        <v>13</v>
      </c>
      <c r="D1664" s="2">
        <v>38912</v>
      </c>
      <c r="E1664">
        <v>6.5</v>
      </c>
      <c r="G1664" s="2">
        <v>38912</v>
      </c>
      <c r="H1664">
        <v>6.9589999999999996</v>
      </c>
      <c r="J1664" s="2">
        <v>38919</v>
      </c>
      <c r="K1664" s="3">
        <f t="shared" si="50"/>
        <v>6.5</v>
      </c>
      <c r="L1664" s="3">
        <f t="shared" si="51"/>
        <v>6.9340000000000002</v>
      </c>
    </row>
    <row r="1665" spans="1:12" x14ac:dyDescent="0.3">
      <c r="A1665" s="2">
        <v>38182</v>
      </c>
      <c r="B1665" t="s">
        <v>13</v>
      </c>
      <c r="D1665" s="2">
        <v>38913</v>
      </c>
      <c r="E1665">
        <v>6.5</v>
      </c>
      <c r="G1665" s="2">
        <v>38913</v>
      </c>
      <c r="H1665">
        <v>6.9589999999999996</v>
      </c>
      <c r="J1665" s="2">
        <v>38920</v>
      </c>
      <c r="K1665" s="3">
        <f t="shared" si="50"/>
        <v>6.5</v>
      </c>
      <c r="L1665" s="3">
        <f t="shared" si="51"/>
        <v>6.9340000000000002</v>
      </c>
    </row>
    <row r="1666" spans="1:12" x14ac:dyDescent="0.3">
      <c r="A1666" s="2">
        <v>38183</v>
      </c>
      <c r="B1666" t="s">
        <v>13</v>
      </c>
      <c r="D1666" s="2">
        <v>38914</v>
      </c>
      <c r="E1666">
        <v>6.5</v>
      </c>
      <c r="G1666" s="2">
        <v>38914</v>
      </c>
      <c r="H1666">
        <v>6.9589999999999996</v>
      </c>
      <c r="J1666" s="2">
        <v>38921</v>
      </c>
      <c r="K1666" s="3">
        <f t="shared" si="50"/>
        <v>6.5</v>
      </c>
      <c r="L1666" s="3">
        <f t="shared" si="51"/>
        <v>6.9340000000000002</v>
      </c>
    </row>
    <row r="1667" spans="1:12" x14ac:dyDescent="0.3">
      <c r="A1667" s="2">
        <v>38184</v>
      </c>
      <c r="B1667" t="s">
        <v>13</v>
      </c>
      <c r="D1667" s="2">
        <v>38915</v>
      </c>
      <c r="E1667">
        <v>6.5</v>
      </c>
      <c r="G1667" s="2">
        <v>38915</v>
      </c>
      <c r="H1667">
        <v>6.9660000000000002</v>
      </c>
      <c r="J1667" s="2">
        <v>38922</v>
      </c>
      <c r="K1667" s="3">
        <f t="shared" ref="K1667:K1730" si="52">E1674</f>
        <v>6.5</v>
      </c>
      <c r="L1667" s="3">
        <f t="shared" ref="L1667:L1730" si="53">H1674</f>
        <v>6.883</v>
      </c>
    </row>
    <row r="1668" spans="1:12" x14ac:dyDescent="0.3">
      <c r="A1668" s="2">
        <v>38185</v>
      </c>
      <c r="B1668" t="s">
        <v>13</v>
      </c>
      <c r="D1668" s="2">
        <v>38916</v>
      </c>
      <c r="E1668">
        <v>6.5</v>
      </c>
      <c r="G1668" s="2">
        <v>38916</v>
      </c>
      <c r="H1668">
        <v>6.9710000000000001</v>
      </c>
      <c r="J1668" s="2">
        <v>38923</v>
      </c>
      <c r="K1668" s="3">
        <f t="shared" si="52"/>
        <v>7</v>
      </c>
      <c r="L1668" s="3">
        <f t="shared" si="53"/>
        <v>6.9109999999999996</v>
      </c>
    </row>
    <row r="1669" spans="1:12" x14ac:dyDescent="0.3">
      <c r="A1669" s="2">
        <v>38186</v>
      </c>
      <c r="B1669" t="s">
        <v>13</v>
      </c>
      <c r="D1669" s="2">
        <v>38917</v>
      </c>
      <c r="E1669">
        <v>6.5</v>
      </c>
      <c r="G1669" s="2">
        <v>38917</v>
      </c>
      <c r="H1669">
        <v>7.024</v>
      </c>
      <c r="J1669" s="2">
        <v>38924</v>
      </c>
      <c r="K1669" s="3">
        <f t="shared" si="52"/>
        <v>7</v>
      </c>
      <c r="L1669" s="3">
        <f t="shared" si="53"/>
        <v>6.9109999999999996</v>
      </c>
    </row>
    <row r="1670" spans="1:12" x14ac:dyDescent="0.3">
      <c r="A1670" s="2">
        <v>38187</v>
      </c>
      <c r="B1670" t="s">
        <v>13</v>
      </c>
      <c r="D1670" s="2">
        <v>38918</v>
      </c>
      <c r="E1670">
        <v>6.5</v>
      </c>
      <c r="G1670" s="2">
        <v>38918</v>
      </c>
      <c r="H1670">
        <v>6.9939999999999998</v>
      </c>
      <c r="J1670" s="2">
        <v>38925</v>
      </c>
      <c r="K1670" s="3">
        <f t="shared" si="52"/>
        <v>7</v>
      </c>
      <c r="L1670" s="3">
        <f t="shared" si="53"/>
        <v>6.8739999999999997</v>
      </c>
    </row>
    <row r="1671" spans="1:12" x14ac:dyDescent="0.3">
      <c r="A1671" s="2">
        <v>38188</v>
      </c>
      <c r="B1671" t="s">
        <v>13</v>
      </c>
      <c r="D1671" s="2">
        <v>38919</v>
      </c>
      <c r="E1671">
        <v>6.5</v>
      </c>
      <c r="G1671" s="2">
        <v>38919</v>
      </c>
      <c r="H1671">
        <v>6.9340000000000002</v>
      </c>
      <c r="J1671" s="2">
        <v>38926</v>
      </c>
      <c r="K1671" s="3">
        <f t="shared" si="52"/>
        <v>7</v>
      </c>
      <c r="L1671" s="3">
        <f t="shared" si="53"/>
        <v>6.9139999999999997</v>
      </c>
    </row>
    <row r="1672" spans="1:12" x14ac:dyDescent="0.3">
      <c r="A1672" s="2">
        <v>38189</v>
      </c>
      <c r="B1672" t="s">
        <v>13</v>
      </c>
      <c r="D1672" s="2">
        <v>38920</v>
      </c>
      <c r="E1672">
        <v>6.5</v>
      </c>
      <c r="G1672" s="2">
        <v>38920</v>
      </c>
      <c r="H1672">
        <v>6.9340000000000002</v>
      </c>
      <c r="J1672" s="2">
        <v>38927</v>
      </c>
      <c r="K1672" s="3">
        <f t="shared" si="52"/>
        <v>7</v>
      </c>
      <c r="L1672" s="3">
        <f t="shared" si="53"/>
        <v>6.9139999999999997</v>
      </c>
    </row>
    <row r="1673" spans="1:12" x14ac:dyDescent="0.3">
      <c r="A1673" s="2">
        <v>38190</v>
      </c>
      <c r="B1673" t="s">
        <v>13</v>
      </c>
      <c r="D1673" s="2">
        <v>38921</v>
      </c>
      <c r="E1673">
        <v>6.5</v>
      </c>
      <c r="G1673" s="2">
        <v>38921</v>
      </c>
      <c r="H1673">
        <v>6.9340000000000002</v>
      </c>
      <c r="J1673" s="2">
        <v>38928</v>
      </c>
      <c r="K1673" s="3">
        <f t="shared" si="52"/>
        <v>7</v>
      </c>
      <c r="L1673" s="3">
        <f t="shared" si="53"/>
        <v>6.9139999999999997</v>
      </c>
    </row>
    <row r="1674" spans="1:12" x14ac:dyDescent="0.3">
      <c r="A1674" s="2">
        <v>38191</v>
      </c>
      <c r="B1674" t="s">
        <v>13</v>
      </c>
      <c r="D1674" s="2">
        <v>38922</v>
      </c>
      <c r="E1674">
        <v>6.5</v>
      </c>
      <c r="G1674" s="2">
        <v>38922</v>
      </c>
      <c r="H1674">
        <v>6.883</v>
      </c>
      <c r="J1674" s="2">
        <v>38929</v>
      </c>
      <c r="K1674" s="3">
        <f t="shared" si="52"/>
        <v>7</v>
      </c>
      <c r="L1674" s="3">
        <f t="shared" si="53"/>
        <v>6.9059999999999997</v>
      </c>
    </row>
    <row r="1675" spans="1:12" x14ac:dyDescent="0.3">
      <c r="A1675" s="2">
        <v>38192</v>
      </c>
      <c r="B1675" t="s">
        <v>13</v>
      </c>
      <c r="D1675" s="2">
        <v>38923</v>
      </c>
      <c r="E1675">
        <v>7</v>
      </c>
      <c r="G1675" s="2">
        <v>38923</v>
      </c>
      <c r="H1675">
        <v>6.9109999999999996</v>
      </c>
      <c r="J1675" s="2">
        <v>38930</v>
      </c>
      <c r="K1675" s="3">
        <f t="shared" si="52"/>
        <v>7</v>
      </c>
      <c r="L1675" s="3">
        <f t="shared" si="53"/>
        <v>6.9420000000000002</v>
      </c>
    </row>
    <row r="1676" spans="1:12" x14ac:dyDescent="0.3">
      <c r="A1676" s="2">
        <v>38193</v>
      </c>
      <c r="B1676" t="s">
        <v>13</v>
      </c>
      <c r="D1676" s="2">
        <v>38924</v>
      </c>
      <c r="E1676">
        <v>7</v>
      </c>
      <c r="G1676" s="2">
        <v>38924</v>
      </c>
      <c r="H1676">
        <v>6.9109999999999996</v>
      </c>
      <c r="J1676" s="2">
        <v>38931</v>
      </c>
      <c r="K1676" s="3">
        <f t="shared" si="52"/>
        <v>7</v>
      </c>
      <c r="L1676" s="3">
        <f t="shared" si="53"/>
        <v>6.93</v>
      </c>
    </row>
    <row r="1677" spans="1:12" x14ac:dyDescent="0.3">
      <c r="A1677" s="2">
        <v>38194</v>
      </c>
      <c r="B1677" t="s">
        <v>13</v>
      </c>
      <c r="D1677" s="2">
        <v>38925</v>
      </c>
      <c r="E1677">
        <v>7</v>
      </c>
      <c r="G1677" s="2">
        <v>38925</v>
      </c>
      <c r="H1677">
        <v>6.8739999999999997</v>
      </c>
      <c r="J1677" s="2">
        <v>38932</v>
      </c>
      <c r="K1677" s="3">
        <f t="shared" si="52"/>
        <v>7</v>
      </c>
      <c r="L1677" s="3">
        <f t="shared" si="53"/>
        <v>6.9240000000000004</v>
      </c>
    </row>
    <row r="1678" spans="1:12" x14ac:dyDescent="0.3">
      <c r="A1678" s="2">
        <v>38195</v>
      </c>
      <c r="B1678" t="s">
        <v>13</v>
      </c>
      <c r="D1678" s="2">
        <v>38926</v>
      </c>
      <c r="E1678">
        <v>7</v>
      </c>
      <c r="G1678" s="2">
        <v>38926</v>
      </c>
      <c r="H1678">
        <v>6.9139999999999997</v>
      </c>
      <c r="J1678" s="2">
        <v>38933</v>
      </c>
      <c r="K1678" s="3">
        <f t="shared" si="52"/>
        <v>7</v>
      </c>
      <c r="L1678" s="3">
        <f t="shared" si="53"/>
        <v>6.9029999999999996</v>
      </c>
    </row>
    <row r="1679" spans="1:12" x14ac:dyDescent="0.3">
      <c r="A1679" s="2">
        <v>38196</v>
      </c>
      <c r="B1679" t="s">
        <v>13</v>
      </c>
      <c r="D1679" s="2">
        <v>38927</v>
      </c>
      <c r="E1679">
        <v>7</v>
      </c>
      <c r="G1679" s="2">
        <v>38927</v>
      </c>
      <c r="H1679">
        <v>6.9139999999999997</v>
      </c>
      <c r="J1679" s="2">
        <v>38934</v>
      </c>
      <c r="K1679" s="3">
        <f t="shared" si="52"/>
        <v>7</v>
      </c>
      <c r="L1679" s="3">
        <f t="shared" si="53"/>
        <v>6.9029999999999996</v>
      </c>
    </row>
    <row r="1680" spans="1:12" x14ac:dyDescent="0.3">
      <c r="A1680" s="2">
        <v>38197</v>
      </c>
      <c r="B1680" t="s">
        <v>13</v>
      </c>
      <c r="D1680" s="2">
        <v>38928</v>
      </c>
      <c r="E1680">
        <v>7</v>
      </c>
      <c r="G1680" s="2">
        <v>38928</v>
      </c>
      <c r="H1680">
        <v>6.9139999999999997</v>
      </c>
      <c r="J1680" s="2">
        <v>38935</v>
      </c>
      <c r="K1680" s="3">
        <f t="shared" si="52"/>
        <v>7</v>
      </c>
      <c r="L1680" s="3">
        <f t="shared" si="53"/>
        <v>6.9029999999999996</v>
      </c>
    </row>
    <row r="1681" spans="1:12" x14ac:dyDescent="0.3">
      <c r="A1681" s="2">
        <v>38198</v>
      </c>
      <c r="B1681" t="s">
        <v>13</v>
      </c>
      <c r="D1681" s="2">
        <v>38929</v>
      </c>
      <c r="E1681">
        <v>7</v>
      </c>
      <c r="G1681" s="2">
        <v>38929</v>
      </c>
      <c r="H1681">
        <v>6.9059999999999997</v>
      </c>
      <c r="J1681" s="2">
        <v>38936</v>
      </c>
      <c r="K1681" s="3">
        <f t="shared" si="52"/>
        <v>7</v>
      </c>
      <c r="L1681" s="3">
        <f t="shared" si="53"/>
        <v>6.8920000000000003</v>
      </c>
    </row>
    <row r="1682" spans="1:12" x14ac:dyDescent="0.3">
      <c r="A1682" s="2">
        <v>38199</v>
      </c>
      <c r="B1682" t="s">
        <v>13</v>
      </c>
      <c r="D1682" s="2">
        <v>38930</v>
      </c>
      <c r="E1682">
        <v>7</v>
      </c>
      <c r="G1682" s="2">
        <v>38930</v>
      </c>
      <c r="H1682">
        <v>6.9420000000000002</v>
      </c>
      <c r="J1682" s="2">
        <v>38937</v>
      </c>
      <c r="K1682" s="3">
        <f t="shared" si="52"/>
        <v>7</v>
      </c>
      <c r="L1682" s="3">
        <f t="shared" si="53"/>
        <v>6.9160000000000004</v>
      </c>
    </row>
    <row r="1683" spans="1:12" x14ac:dyDescent="0.3">
      <c r="A1683" s="2">
        <v>38200</v>
      </c>
      <c r="B1683" t="s">
        <v>13</v>
      </c>
      <c r="D1683" s="2">
        <v>38931</v>
      </c>
      <c r="E1683">
        <v>7</v>
      </c>
      <c r="G1683" s="2">
        <v>38931</v>
      </c>
      <c r="H1683">
        <v>6.93</v>
      </c>
      <c r="J1683" s="2">
        <v>38938</v>
      </c>
      <c r="K1683" s="3">
        <f t="shared" si="52"/>
        <v>7</v>
      </c>
      <c r="L1683" s="3">
        <f t="shared" si="53"/>
        <v>6.8929999999999998</v>
      </c>
    </row>
    <row r="1684" spans="1:12" x14ac:dyDescent="0.3">
      <c r="A1684" s="2">
        <v>38201</v>
      </c>
      <c r="B1684" t="s">
        <v>13</v>
      </c>
      <c r="D1684" s="2">
        <v>38932</v>
      </c>
      <c r="E1684">
        <v>7</v>
      </c>
      <c r="G1684" s="2">
        <v>38932</v>
      </c>
      <c r="H1684">
        <v>6.9240000000000004</v>
      </c>
      <c r="J1684" s="2">
        <v>38939</v>
      </c>
      <c r="K1684" s="3">
        <f t="shared" si="52"/>
        <v>7</v>
      </c>
      <c r="L1684" s="3">
        <f t="shared" si="53"/>
        <v>6.8929999999999998</v>
      </c>
    </row>
    <row r="1685" spans="1:12" x14ac:dyDescent="0.3">
      <c r="A1685" s="2">
        <v>38202</v>
      </c>
      <c r="B1685" t="s">
        <v>13</v>
      </c>
      <c r="D1685" s="2">
        <v>38933</v>
      </c>
      <c r="E1685">
        <v>7</v>
      </c>
      <c r="G1685" s="2">
        <v>38933</v>
      </c>
      <c r="H1685">
        <v>6.9029999999999996</v>
      </c>
      <c r="J1685" s="2">
        <v>38940</v>
      </c>
      <c r="K1685" s="3">
        <f t="shared" si="52"/>
        <v>7</v>
      </c>
      <c r="L1685" s="3">
        <f t="shared" si="53"/>
        <v>6.8849999999999998</v>
      </c>
    </row>
    <row r="1686" spans="1:12" x14ac:dyDescent="0.3">
      <c r="A1686" s="2">
        <v>38203</v>
      </c>
      <c r="B1686" t="s">
        <v>13</v>
      </c>
      <c r="D1686" s="2">
        <v>38934</v>
      </c>
      <c r="E1686">
        <v>7</v>
      </c>
      <c r="G1686" s="2">
        <v>38934</v>
      </c>
      <c r="H1686">
        <v>6.9029999999999996</v>
      </c>
      <c r="J1686" s="2">
        <v>38941</v>
      </c>
      <c r="K1686" s="3">
        <f t="shared" si="52"/>
        <v>7</v>
      </c>
      <c r="L1686" s="3">
        <f t="shared" si="53"/>
        <v>6.8849999999999998</v>
      </c>
    </row>
    <row r="1687" spans="1:12" x14ac:dyDescent="0.3">
      <c r="A1687" s="2">
        <v>38204</v>
      </c>
      <c r="B1687" t="s">
        <v>13</v>
      </c>
      <c r="D1687" s="2">
        <v>38935</v>
      </c>
      <c r="E1687">
        <v>7</v>
      </c>
      <c r="G1687" s="2">
        <v>38935</v>
      </c>
      <c r="H1687">
        <v>6.9029999999999996</v>
      </c>
      <c r="J1687" s="2">
        <v>38942</v>
      </c>
      <c r="K1687" s="3">
        <f t="shared" si="52"/>
        <v>7</v>
      </c>
      <c r="L1687" s="3">
        <f t="shared" si="53"/>
        <v>6.8849999999999998</v>
      </c>
    </row>
    <row r="1688" spans="1:12" x14ac:dyDescent="0.3">
      <c r="A1688" s="2">
        <v>38205</v>
      </c>
      <c r="B1688" t="s">
        <v>13</v>
      </c>
      <c r="D1688" s="2">
        <v>38936</v>
      </c>
      <c r="E1688">
        <v>7</v>
      </c>
      <c r="G1688" s="2">
        <v>38936</v>
      </c>
      <c r="H1688">
        <v>6.8920000000000003</v>
      </c>
      <c r="J1688" s="2">
        <v>38943</v>
      </c>
      <c r="K1688" s="3">
        <f t="shared" si="52"/>
        <v>7</v>
      </c>
      <c r="L1688" s="3">
        <f t="shared" si="53"/>
        <v>6.8630000000000004</v>
      </c>
    </row>
    <row r="1689" spans="1:12" x14ac:dyDescent="0.3">
      <c r="A1689" s="2">
        <v>38206</v>
      </c>
      <c r="B1689" t="s">
        <v>13</v>
      </c>
      <c r="D1689" s="2">
        <v>38937</v>
      </c>
      <c r="E1689">
        <v>7</v>
      </c>
      <c r="G1689" s="2">
        <v>38937</v>
      </c>
      <c r="H1689">
        <v>6.9160000000000004</v>
      </c>
      <c r="J1689" s="2">
        <v>38944</v>
      </c>
      <c r="K1689" s="3">
        <f t="shared" si="52"/>
        <v>7</v>
      </c>
      <c r="L1689" s="3">
        <f t="shared" si="53"/>
        <v>6.8630000000000004</v>
      </c>
    </row>
    <row r="1690" spans="1:12" x14ac:dyDescent="0.3">
      <c r="A1690" s="2">
        <v>38207</v>
      </c>
      <c r="B1690" t="s">
        <v>13</v>
      </c>
      <c r="D1690" s="2">
        <v>38938</v>
      </c>
      <c r="E1690">
        <v>7</v>
      </c>
      <c r="G1690" s="2">
        <v>38938</v>
      </c>
      <c r="H1690">
        <v>6.8929999999999998</v>
      </c>
      <c r="J1690" s="2">
        <v>38945</v>
      </c>
      <c r="K1690" s="3">
        <f t="shared" si="52"/>
        <v>7</v>
      </c>
      <c r="L1690" s="3">
        <f t="shared" si="53"/>
        <v>6.9219999999999997</v>
      </c>
    </row>
    <row r="1691" spans="1:12" x14ac:dyDescent="0.3">
      <c r="A1691" s="2">
        <v>38208</v>
      </c>
      <c r="B1691" t="s">
        <v>13</v>
      </c>
      <c r="D1691" s="2">
        <v>38939</v>
      </c>
      <c r="E1691">
        <v>7</v>
      </c>
      <c r="G1691" s="2">
        <v>38939</v>
      </c>
      <c r="H1691">
        <v>6.8929999999999998</v>
      </c>
      <c r="J1691" s="2">
        <v>38946</v>
      </c>
      <c r="K1691" s="3">
        <f t="shared" si="52"/>
        <v>7</v>
      </c>
      <c r="L1691" s="3">
        <f t="shared" si="53"/>
        <v>6.8449999999999998</v>
      </c>
    </row>
    <row r="1692" spans="1:12" x14ac:dyDescent="0.3">
      <c r="A1692" s="2">
        <v>38209</v>
      </c>
      <c r="B1692" t="s">
        <v>13</v>
      </c>
      <c r="D1692" s="2">
        <v>38940</v>
      </c>
      <c r="E1692">
        <v>7</v>
      </c>
      <c r="G1692" s="2">
        <v>38940</v>
      </c>
      <c r="H1692">
        <v>6.8849999999999998</v>
      </c>
      <c r="J1692" s="2">
        <v>38947</v>
      </c>
      <c r="K1692" s="3">
        <f t="shared" si="52"/>
        <v>7</v>
      </c>
      <c r="L1692" s="3">
        <f t="shared" si="53"/>
        <v>6.8010000000000002</v>
      </c>
    </row>
    <row r="1693" spans="1:12" x14ac:dyDescent="0.3">
      <c r="A1693" s="2">
        <v>38210</v>
      </c>
      <c r="B1693" t="s">
        <v>13</v>
      </c>
      <c r="D1693" s="2">
        <v>38941</v>
      </c>
      <c r="E1693">
        <v>7</v>
      </c>
      <c r="G1693" s="2">
        <v>38941</v>
      </c>
      <c r="H1693">
        <v>6.8849999999999998</v>
      </c>
      <c r="J1693" s="2">
        <v>38948</v>
      </c>
      <c r="K1693" s="3">
        <f t="shared" si="52"/>
        <v>7</v>
      </c>
      <c r="L1693" s="3">
        <f t="shared" si="53"/>
        <v>6.8010000000000002</v>
      </c>
    </row>
    <row r="1694" spans="1:12" x14ac:dyDescent="0.3">
      <c r="A1694" s="2">
        <v>38211</v>
      </c>
      <c r="B1694" t="s">
        <v>13</v>
      </c>
      <c r="D1694" s="2">
        <v>38942</v>
      </c>
      <c r="E1694">
        <v>7</v>
      </c>
      <c r="G1694" s="2">
        <v>38942</v>
      </c>
      <c r="H1694">
        <v>6.8849999999999998</v>
      </c>
      <c r="J1694" s="2">
        <v>38949</v>
      </c>
      <c r="K1694" s="3">
        <f t="shared" si="52"/>
        <v>7</v>
      </c>
      <c r="L1694" s="3">
        <f t="shared" si="53"/>
        <v>6.8010000000000002</v>
      </c>
    </row>
    <row r="1695" spans="1:12" x14ac:dyDescent="0.3">
      <c r="A1695" s="2">
        <v>38212</v>
      </c>
      <c r="B1695" t="s">
        <v>13</v>
      </c>
      <c r="D1695" s="2">
        <v>38943</v>
      </c>
      <c r="E1695">
        <v>7</v>
      </c>
      <c r="G1695" s="2">
        <v>38943</v>
      </c>
      <c r="H1695">
        <v>6.8630000000000004</v>
      </c>
      <c r="J1695" s="2">
        <v>38950</v>
      </c>
      <c r="K1695" s="3">
        <f t="shared" si="52"/>
        <v>7</v>
      </c>
      <c r="L1695" s="3">
        <f t="shared" si="53"/>
        <v>6.82</v>
      </c>
    </row>
    <row r="1696" spans="1:12" x14ac:dyDescent="0.3">
      <c r="A1696" s="2">
        <v>38213</v>
      </c>
      <c r="B1696" t="s">
        <v>13</v>
      </c>
      <c r="D1696" s="2">
        <v>38944</v>
      </c>
      <c r="E1696">
        <v>7</v>
      </c>
      <c r="G1696" s="2">
        <v>38944</v>
      </c>
      <c r="H1696">
        <v>6.8630000000000004</v>
      </c>
      <c r="J1696" s="2">
        <v>38951</v>
      </c>
      <c r="K1696" s="3">
        <f t="shared" si="52"/>
        <v>7</v>
      </c>
      <c r="L1696" s="3">
        <f t="shared" si="53"/>
        <v>6.7960000000000003</v>
      </c>
    </row>
    <row r="1697" spans="1:12" x14ac:dyDescent="0.3">
      <c r="A1697" s="2">
        <v>38214</v>
      </c>
      <c r="B1697" t="s">
        <v>13</v>
      </c>
      <c r="D1697" s="2">
        <v>38945</v>
      </c>
      <c r="E1697">
        <v>7</v>
      </c>
      <c r="G1697" s="2">
        <v>38945</v>
      </c>
      <c r="H1697">
        <v>6.9219999999999997</v>
      </c>
      <c r="J1697" s="2">
        <v>38952</v>
      </c>
      <c r="K1697" s="3">
        <f t="shared" si="52"/>
        <v>7</v>
      </c>
      <c r="L1697" s="3">
        <f t="shared" si="53"/>
        <v>6.8090000000000002</v>
      </c>
    </row>
    <row r="1698" spans="1:12" x14ac:dyDescent="0.3">
      <c r="A1698" s="2">
        <v>38215</v>
      </c>
      <c r="B1698" t="s">
        <v>13</v>
      </c>
      <c r="D1698" s="2">
        <v>38946</v>
      </c>
      <c r="E1698">
        <v>7</v>
      </c>
      <c r="G1698" s="2">
        <v>38946</v>
      </c>
      <c r="H1698">
        <v>6.8449999999999998</v>
      </c>
      <c r="J1698" s="2">
        <v>38953</v>
      </c>
      <c r="K1698" s="3">
        <f t="shared" si="52"/>
        <v>7</v>
      </c>
      <c r="L1698" s="3">
        <f t="shared" si="53"/>
        <v>6.8559999999999999</v>
      </c>
    </row>
    <row r="1699" spans="1:12" x14ac:dyDescent="0.3">
      <c r="A1699" s="2">
        <v>38216</v>
      </c>
      <c r="B1699" t="s">
        <v>13</v>
      </c>
      <c r="D1699" s="2">
        <v>38947</v>
      </c>
      <c r="E1699">
        <v>7</v>
      </c>
      <c r="G1699" s="2">
        <v>38947</v>
      </c>
      <c r="H1699">
        <v>6.8010000000000002</v>
      </c>
      <c r="J1699" s="2">
        <v>38954</v>
      </c>
      <c r="K1699" s="3">
        <f t="shared" si="52"/>
        <v>7</v>
      </c>
      <c r="L1699" s="3">
        <f t="shared" si="53"/>
        <v>6.8179999999999996</v>
      </c>
    </row>
    <row r="1700" spans="1:12" x14ac:dyDescent="0.3">
      <c r="A1700" s="2">
        <v>38217</v>
      </c>
      <c r="B1700" t="s">
        <v>13</v>
      </c>
      <c r="D1700" s="2">
        <v>38948</v>
      </c>
      <c r="E1700">
        <v>7</v>
      </c>
      <c r="G1700" s="2">
        <v>38948</v>
      </c>
      <c r="H1700">
        <v>6.8010000000000002</v>
      </c>
      <c r="J1700" s="2">
        <v>38955</v>
      </c>
      <c r="K1700" s="3">
        <f t="shared" si="52"/>
        <v>7</v>
      </c>
      <c r="L1700" s="3">
        <f t="shared" si="53"/>
        <v>6.8179999999999996</v>
      </c>
    </row>
    <row r="1701" spans="1:12" x14ac:dyDescent="0.3">
      <c r="A1701" s="2">
        <v>38218</v>
      </c>
      <c r="B1701" t="s">
        <v>13</v>
      </c>
      <c r="D1701" s="2">
        <v>38949</v>
      </c>
      <c r="E1701">
        <v>7</v>
      </c>
      <c r="G1701" s="2">
        <v>38949</v>
      </c>
      <c r="H1701">
        <v>6.8010000000000002</v>
      </c>
      <c r="J1701" s="2">
        <v>38956</v>
      </c>
      <c r="K1701" s="3">
        <f t="shared" si="52"/>
        <v>7</v>
      </c>
      <c r="L1701" s="3">
        <f t="shared" si="53"/>
        <v>6.8179999999999996</v>
      </c>
    </row>
    <row r="1702" spans="1:12" x14ac:dyDescent="0.3">
      <c r="A1702" s="2">
        <v>38219</v>
      </c>
      <c r="B1702" t="s">
        <v>13</v>
      </c>
      <c r="D1702" s="2">
        <v>38950</v>
      </c>
      <c r="E1702">
        <v>7</v>
      </c>
      <c r="G1702" s="2">
        <v>38950</v>
      </c>
      <c r="H1702">
        <v>6.82</v>
      </c>
      <c r="J1702" s="2">
        <v>38957</v>
      </c>
      <c r="K1702" s="3">
        <f t="shared" si="52"/>
        <v>7</v>
      </c>
      <c r="L1702" s="3">
        <f t="shared" si="53"/>
        <v>6.8810000000000002</v>
      </c>
    </row>
    <row r="1703" spans="1:12" x14ac:dyDescent="0.3">
      <c r="A1703" s="2">
        <v>38220</v>
      </c>
      <c r="B1703" t="s">
        <v>13</v>
      </c>
      <c r="D1703" s="2">
        <v>38951</v>
      </c>
      <c r="E1703">
        <v>7</v>
      </c>
      <c r="G1703" s="2">
        <v>38951</v>
      </c>
      <c r="H1703">
        <v>6.7960000000000003</v>
      </c>
      <c r="J1703" s="2">
        <v>38958</v>
      </c>
      <c r="K1703" s="3">
        <f t="shared" si="52"/>
        <v>7</v>
      </c>
      <c r="L1703" s="3">
        <f t="shared" si="53"/>
        <v>6.8879999999999999</v>
      </c>
    </row>
    <row r="1704" spans="1:12" x14ac:dyDescent="0.3">
      <c r="A1704" s="2">
        <v>38221</v>
      </c>
      <c r="B1704" t="s">
        <v>13</v>
      </c>
      <c r="D1704" s="2">
        <v>38952</v>
      </c>
      <c r="E1704">
        <v>7</v>
      </c>
      <c r="G1704" s="2">
        <v>38952</v>
      </c>
      <c r="H1704">
        <v>6.8090000000000002</v>
      </c>
      <c r="J1704" s="2">
        <v>38959</v>
      </c>
      <c r="K1704" s="3">
        <f t="shared" si="52"/>
        <v>7</v>
      </c>
      <c r="L1704" s="3">
        <f t="shared" si="53"/>
        <v>6.9409999999999998</v>
      </c>
    </row>
    <row r="1705" spans="1:12" x14ac:dyDescent="0.3">
      <c r="A1705" s="2">
        <v>38222</v>
      </c>
      <c r="B1705" t="s">
        <v>13</v>
      </c>
      <c r="D1705" s="2">
        <v>38953</v>
      </c>
      <c r="E1705">
        <v>7</v>
      </c>
      <c r="G1705" s="2">
        <v>38953</v>
      </c>
      <c r="H1705">
        <v>6.8559999999999999</v>
      </c>
      <c r="J1705" s="2">
        <v>38960</v>
      </c>
      <c r="K1705" s="3">
        <f t="shared" si="52"/>
        <v>7</v>
      </c>
      <c r="L1705" s="3">
        <f t="shared" si="53"/>
        <v>6.867</v>
      </c>
    </row>
    <row r="1706" spans="1:12" x14ac:dyDescent="0.3">
      <c r="A1706" s="2">
        <v>38223</v>
      </c>
      <c r="B1706" t="s">
        <v>13</v>
      </c>
      <c r="D1706" s="2">
        <v>38954</v>
      </c>
      <c r="E1706">
        <v>7</v>
      </c>
      <c r="G1706" s="2">
        <v>38954</v>
      </c>
      <c r="H1706">
        <v>6.8179999999999996</v>
      </c>
      <c r="J1706" s="2">
        <v>38961</v>
      </c>
      <c r="K1706" s="3">
        <f t="shared" si="52"/>
        <v>7</v>
      </c>
      <c r="L1706" s="3">
        <f t="shared" si="53"/>
        <v>6.9930000000000003</v>
      </c>
    </row>
    <row r="1707" spans="1:12" x14ac:dyDescent="0.3">
      <c r="A1707" s="2">
        <v>38224</v>
      </c>
      <c r="B1707" t="s">
        <v>13</v>
      </c>
      <c r="D1707" s="2">
        <v>38955</v>
      </c>
      <c r="E1707">
        <v>7</v>
      </c>
      <c r="G1707" s="2">
        <v>38955</v>
      </c>
      <c r="H1707">
        <v>6.8179999999999996</v>
      </c>
      <c r="J1707" s="2">
        <v>38962</v>
      </c>
      <c r="K1707" s="3">
        <f t="shared" si="52"/>
        <v>7</v>
      </c>
      <c r="L1707" s="3">
        <f t="shared" si="53"/>
        <v>6.9930000000000003</v>
      </c>
    </row>
    <row r="1708" spans="1:12" x14ac:dyDescent="0.3">
      <c r="A1708" s="2">
        <v>38225</v>
      </c>
      <c r="B1708" t="s">
        <v>13</v>
      </c>
      <c r="D1708" s="2">
        <v>38956</v>
      </c>
      <c r="E1708">
        <v>7</v>
      </c>
      <c r="G1708" s="2">
        <v>38956</v>
      </c>
      <c r="H1708">
        <v>6.8179999999999996</v>
      </c>
      <c r="J1708" s="2">
        <v>38963</v>
      </c>
      <c r="K1708" s="3">
        <f t="shared" si="52"/>
        <v>7</v>
      </c>
      <c r="L1708" s="3">
        <f t="shared" si="53"/>
        <v>6.9930000000000003</v>
      </c>
    </row>
    <row r="1709" spans="1:12" x14ac:dyDescent="0.3">
      <c r="A1709" s="2">
        <v>38226</v>
      </c>
      <c r="B1709" t="s">
        <v>13</v>
      </c>
      <c r="D1709" s="2">
        <v>38957</v>
      </c>
      <c r="E1709">
        <v>7</v>
      </c>
      <c r="G1709" s="2">
        <v>38957</v>
      </c>
      <c r="H1709">
        <v>6.8810000000000002</v>
      </c>
      <c r="J1709" s="2">
        <v>38964</v>
      </c>
      <c r="K1709" s="3">
        <f t="shared" si="52"/>
        <v>7</v>
      </c>
      <c r="L1709" s="3">
        <f t="shared" si="53"/>
        <v>6.9580000000000002</v>
      </c>
    </row>
    <row r="1710" spans="1:12" x14ac:dyDescent="0.3">
      <c r="A1710" s="2">
        <v>38227</v>
      </c>
      <c r="B1710" t="s">
        <v>13</v>
      </c>
      <c r="D1710" s="2">
        <v>38958</v>
      </c>
      <c r="E1710">
        <v>7</v>
      </c>
      <c r="G1710" s="2">
        <v>38958</v>
      </c>
      <c r="H1710">
        <v>6.8879999999999999</v>
      </c>
      <c r="J1710" s="2">
        <v>38965</v>
      </c>
      <c r="K1710" s="3">
        <f t="shared" si="52"/>
        <v>7</v>
      </c>
      <c r="L1710" s="3">
        <f t="shared" si="53"/>
        <v>6.9370000000000003</v>
      </c>
    </row>
    <row r="1711" spans="1:12" x14ac:dyDescent="0.3">
      <c r="A1711" s="2">
        <v>38228</v>
      </c>
      <c r="B1711" t="s">
        <v>13</v>
      </c>
      <c r="D1711" s="2">
        <v>38959</v>
      </c>
      <c r="E1711">
        <v>7</v>
      </c>
      <c r="G1711" s="2">
        <v>38959</v>
      </c>
      <c r="H1711">
        <v>6.9409999999999998</v>
      </c>
      <c r="J1711" s="2">
        <v>38966</v>
      </c>
      <c r="K1711" s="3">
        <f t="shared" si="52"/>
        <v>7</v>
      </c>
      <c r="L1711" s="3">
        <f t="shared" si="53"/>
        <v>6.9420000000000002</v>
      </c>
    </row>
    <row r="1712" spans="1:12" x14ac:dyDescent="0.3">
      <c r="A1712" s="2">
        <v>38229</v>
      </c>
      <c r="B1712" t="s">
        <v>13</v>
      </c>
      <c r="D1712" s="2">
        <v>38960</v>
      </c>
      <c r="E1712">
        <v>7</v>
      </c>
      <c r="G1712" s="2">
        <v>38960</v>
      </c>
      <c r="H1712">
        <v>6.867</v>
      </c>
      <c r="J1712" s="2">
        <v>38967</v>
      </c>
      <c r="K1712" s="3">
        <f t="shared" si="52"/>
        <v>7</v>
      </c>
      <c r="L1712" s="3">
        <f t="shared" si="53"/>
        <v>6.9550000000000001</v>
      </c>
    </row>
    <row r="1713" spans="1:12" x14ac:dyDescent="0.3">
      <c r="A1713" s="2">
        <v>38230</v>
      </c>
      <c r="B1713" t="s">
        <v>13</v>
      </c>
      <c r="D1713" s="2">
        <v>38961</v>
      </c>
      <c r="E1713">
        <v>7</v>
      </c>
      <c r="G1713" s="2">
        <v>38961</v>
      </c>
      <c r="H1713">
        <v>6.9930000000000003</v>
      </c>
      <c r="J1713" s="2">
        <v>38968</v>
      </c>
      <c r="K1713" s="3">
        <f t="shared" si="52"/>
        <v>7</v>
      </c>
      <c r="L1713" s="3">
        <f t="shared" si="53"/>
        <v>6.89</v>
      </c>
    </row>
    <row r="1714" spans="1:12" x14ac:dyDescent="0.3">
      <c r="A1714" s="2">
        <v>38231</v>
      </c>
      <c r="B1714" t="s">
        <v>13</v>
      </c>
      <c r="D1714" s="2">
        <v>38962</v>
      </c>
      <c r="E1714">
        <v>7</v>
      </c>
      <c r="G1714" s="2">
        <v>38962</v>
      </c>
      <c r="H1714">
        <v>6.9930000000000003</v>
      </c>
      <c r="J1714" s="2">
        <v>38969</v>
      </c>
      <c r="K1714" s="3">
        <f t="shared" si="52"/>
        <v>7</v>
      </c>
      <c r="L1714" s="3">
        <f t="shared" si="53"/>
        <v>6.89</v>
      </c>
    </row>
    <row r="1715" spans="1:12" x14ac:dyDescent="0.3">
      <c r="A1715" s="2">
        <v>38232</v>
      </c>
      <c r="B1715" t="s">
        <v>13</v>
      </c>
      <c r="D1715" s="2">
        <v>38963</v>
      </c>
      <c r="E1715">
        <v>7</v>
      </c>
      <c r="G1715" s="2">
        <v>38963</v>
      </c>
      <c r="H1715">
        <v>6.9930000000000003</v>
      </c>
      <c r="J1715" s="2">
        <v>38970</v>
      </c>
      <c r="K1715" s="3">
        <f t="shared" si="52"/>
        <v>7</v>
      </c>
      <c r="L1715" s="3">
        <f t="shared" si="53"/>
        <v>6.89</v>
      </c>
    </row>
    <row r="1716" spans="1:12" x14ac:dyDescent="0.3">
      <c r="A1716" s="2">
        <v>38233</v>
      </c>
      <c r="B1716" t="s">
        <v>13</v>
      </c>
      <c r="D1716" s="2">
        <v>38964</v>
      </c>
      <c r="E1716">
        <v>7</v>
      </c>
      <c r="G1716" s="2">
        <v>38964</v>
      </c>
      <c r="H1716">
        <v>6.9580000000000002</v>
      </c>
      <c r="J1716" s="2">
        <v>38971</v>
      </c>
      <c r="K1716" s="3">
        <f t="shared" si="52"/>
        <v>7</v>
      </c>
      <c r="L1716" s="3">
        <f t="shared" si="53"/>
        <v>6.9029999999999996</v>
      </c>
    </row>
    <row r="1717" spans="1:12" x14ac:dyDescent="0.3">
      <c r="A1717" s="2">
        <v>38234</v>
      </c>
      <c r="B1717" t="s">
        <v>13</v>
      </c>
      <c r="D1717" s="2">
        <v>38965</v>
      </c>
      <c r="E1717">
        <v>7</v>
      </c>
      <c r="G1717" s="2">
        <v>38965</v>
      </c>
      <c r="H1717">
        <v>6.9370000000000003</v>
      </c>
      <c r="J1717" s="2">
        <v>38972</v>
      </c>
      <c r="K1717" s="3">
        <f t="shared" si="52"/>
        <v>7</v>
      </c>
      <c r="L1717" s="3">
        <f t="shared" si="53"/>
        <v>6.8849999999999998</v>
      </c>
    </row>
    <row r="1718" spans="1:12" x14ac:dyDescent="0.3">
      <c r="A1718" s="2">
        <v>38235</v>
      </c>
      <c r="B1718" t="s">
        <v>13</v>
      </c>
      <c r="D1718" s="2">
        <v>38966</v>
      </c>
      <c r="E1718">
        <v>7</v>
      </c>
      <c r="G1718" s="2">
        <v>38966</v>
      </c>
      <c r="H1718">
        <v>6.9420000000000002</v>
      </c>
      <c r="J1718" s="2">
        <v>38973</v>
      </c>
      <c r="K1718" s="3">
        <f t="shared" si="52"/>
        <v>7</v>
      </c>
      <c r="L1718" s="3">
        <f t="shared" si="53"/>
        <v>6.8730000000000002</v>
      </c>
    </row>
    <row r="1719" spans="1:12" x14ac:dyDescent="0.3">
      <c r="A1719" s="2">
        <v>38236</v>
      </c>
      <c r="B1719" t="s">
        <v>13</v>
      </c>
      <c r="D1719" s="2">
        <v>38967</v>
      </c>
      <c r="E1719">
        <v>7</v>
      </c>
      <c r="G1719" s="2">
        <v>38967</v>
      </c>
      <c r="H1719">
        <v>6.9550000000000001</v>
      </c>
      <c r="J1719" s="2">
        <v>38974</v>
      </c>
      <c r="K1719" s="3">
        <f t="shared" si="52"/>
        <v>7</v>
      </c>
      <c r="L1719" s="3">
        <f t="shared" si="53"/>
        <v>6.8650000000000002</v>
      </c>
    </row>
    <row r="1720" spans="1:12" x14ac:dyDescent="0.3">
      <c r="A1720" s="2">
        <v>38237</v>
      </c>
      <c r="B1720" t="s">
        <v>13</v>
      </c>
      <c r="D1720" s="2">
        <v>38968</v>
      </c>
      <c r="E1720">
        <v>7</v>
      </c>
      <c r="G1720" s="2">
        <v>38968</v>
      </c>
      <c r="H1720">
        <v>6.89</v>
      </c>
      <c r="J1720" s="2">
        <v>38975</v>
      </c>
      <c r="K1720" s="3">
        <f t="shared" si="52"/>
        <v>7</v>
      </c>
      <c r="L1720" s="3">
        <f t="shared" si="53"/>
        <v>6.883</v>
      </c>
    </row>
    <row r="1721" spans="1:12" x14ac:dyDescent="0.3">
      <c r="A1721" s="2">
        <v>38238</v>
      </c>
      <c r="B1721" t="s">
        <v>13</v>
      </c>
      <c r="D1721" s="2">
        <v>38969</v>
      </c>
      <c r="E1721">
        <v>7</v>
      </c>
      <c r="G1721" s="2">
        <v>38969</v>
      </c>
      <c r="H1721">
        <v>6.89</v>
      </c>
      <c r="J1721" s="2">
        <v>38976</v>
      </c>
      <c r="K1721" s="3">
        <f t="shared" si="52"/>
        <v>7</v>
      </c>
      <c r="L1721" s="3">
        <f t="shared" si="53"/>
        <v>6.883</v>
      </c>
    </row>
    <row r="1722" spans="1:12" x14ac:dyDescent="0.3">
      <c r="A1722" s="2">
        <v>38239</v>
      </c>
      <c r="B1722" t="s">
        <v>13</v>
      </c>
      <c r="D1722" s="2">
        <v>38970</v>
      </c>
      <c r="E1722">
        <v>7</v>
      </c>
      <c r="G1722" s="2">
        <v>38970</v>
      </c>
      <c r="H1722">
        <v>6.89</v>
      </c>
      <c r="J1722" s="2">
        <v>38977</v>
      </c>
      <c r="K1722" s="3">
        <f t="shared" si="52"/>
        <v>7</v>
      </c>
      <c r="L1722" s="3">
        <f t="shared" si="53"/>
        <v>6.883</v>
      </c>
    </row>
    <row r="1723" spans="1:12" x14ac:dyDescent="0.3">
      <c r="A1723" s="2">
        <v>38240</v>
      </c>
      <c r="B1723" t="s">
        <v>13</v>
      </c>
      <c r="D1723" s="2">
        <v>38971</v>
      </c>
      <c r="E1723">
        <v>7</v>
      </c>
      <c r="G1723" s="2">
        <v>38971</v>
      </c>
      <c r="H1723">
        <v>6.9029999999999996</v>
      </c>
      <c r="J1723" s="2">
        <v>38978</v>
      </c>
      <c r="K1723" s="3">
        <f t="shared" si="52"/>
        <v>7</v>
      </c>
      <c r="L1723" s="3">
        <f t="shared" si="53"/>
        <v>6.8630000000000004</v>
      </c>
    </row>
    <row r="1724" spans="1:12" x14ac:dyDescent="0.3">
      <c r="A1724" s="2">
        <v>38241</v>
      </c>
      <c r="B1724" t="s">
        <v>13</v>
      </c>
      <c r="D1724" s="2">
        <v>38972</v>
      </c>
      <c r="E1724">
        <v>7</v>
      </c>
      <c r="G1724" s="2">
        <v>38972</v>
      </c>
      <c r="H1724">
        <v>6.8849999999999998</v>
      </c>
      <c r="J1724" s="2">
        <v>38979</v>
      </c>
      <c r="K1724" s="3">
        <f t="shared" si="52"/>
        <v>7</v>
      </c>
      <c r="L1724" s="3">
        <f t="shared" si="53"/>
        <v>6.8579999999999997</v>
      </c>
    </row>
    <row r="1725" spans="1:12" x14ac:dyDescent="0.3">
      <c r="A1725" s="2">
        <v>38242</v>
      </c>
      <c r="B1725" t="s">
        <v>13</v>
      </c>
      <c r="D1725" s="2">
        <v>38973</v>
      </c>
      <c r="E1725">
        <v>7</v>
      </c>
      <c r="G1725" s="2">
        <v>38973</v>
      </c>
      <c r="H1725">
        <v>6.8730000000000002</v>
      </c>
      <c r="J1725" s="2">
        <v>38980</v>
      </c>
      <c r="K1725" s="3">
        <f t="shared" si="52"/>
        <v>7</v>
      </c>
      <c r="L1725" s="3">
        <f t="shared" si="53"/>
        <v>6.83</v>
      </c>
    </row>
    <row r="1726" spans="1:12" x14ac:dyDescent="0.3">
      <c r="A1726" s="2">
        <v>38243</v>
      </c>
      <c r="B1726" t="s">
        <v>13</v>
      </c>
      <c r="D1726" s="2">
        <v>38974</v>
      </c>
      <c r="E1726">
        <v>7</v>
      </c>
      <c r="G1726" s="2">
        <v>38974</v>
      </c>
      <c r="H1726">
        <v>6.8650000000000002</v>
      </c>
      <c r="J1726" s="2">
        <v>38981</v>
      </c>
      <c r="K1726" s="3">
        <f t="shared" si="52"/>
        <v>7</v>
      </c>
      <c r="L1726" s="3">
        <f t="shared" si="53"/>
        <v>6.8369999999999997</v>
      </c>
    </row>
    <row r="1727" spans="1:12" x14ac:dyDescent="0.3">
      <c r="A1727" s="2">
        <v>38244</v>
      </c>
      <c r="B1727" t="s">
        <v>13</v>
      </c>
      <c r="D1727" s="2">
        <v>38975</v>
      </c>
      <c r="E1727">
        <v>7</v>
      </c>
      <c r="G1727" s="2">
        <v>38975</v>
      </c>
      <c r="H1727">
        <v>6.883</v>
      </c>
      <c r="J1727" s="2">
        <v>38982</v>
      </c>
      <c r="K1727" s="3">
        <f t="shared" si="52"/>
        <v>7</v>
      </c>
      <c r="L1727" s="3">
        <f t="shared" si="53"/>
        <v>6.83</v>
      </c>
    </row>
    <row r="1728" spans="1:12" x14ac:dyDescent="0.3">
      <c r="A1728" s="2">
        <v>38245</v>
      </c>
      <c r="B1728" t="s">
        <v>13</v>
      </c>
      <c r="D1728" s="2">
        <v>38976</v>
      </c>
      <c r="E1728">
        <v>7</v>
      </c>
      <c r="G1728" s="2">
        <v>38976</v>
      </c>
      <c r="H1728">
        <v>6.883</v>
      </c>
      <c r="J1728" s="2">
        <v>38983</v>
      </c>
      <c r="K1728" s="3">
        <f t="shared" si="52"/>
        <v>7</v>
      </c>
      <c r="L1728" s="3">
        <f t="shared" si="53"/>
        <v>6.83</v>
      </c>
    </row>
    <row r="1729" spans="1:12" x14ac:dyDescent="0.3">
      <c r="A1729" s="2">
        <v>38246</v>
      </c>
      <c r="B1729" t="s">
        <v>13</v>
      </c>
      <c r="D1729" s="2">
        <v>38977</v>
      </c>
      <c r="E1729">
        <v>7</v>
      </c>
      <c r="G1729" s="2">
        <v>38977</v>
      </c>
      <c r="H1729">
        <v>6.883</v>
      </c>
      <c r="J1729" s="2">
        <v>38984</v>
      </c>
      <c r="K1729" s="3">
        <f t="shared" si="52"/>
        <v>7</v>
      </c>
      <c r="L1729" s="3">
        <f t="shared" si="53"/>
        <v>6.83</v>
      </c>
    </row>
    <row r="1730" spans="1:12" x14ac:dyDescent="0.3">
      <c r="A1730" s="2">
        <v>38247</v>
      </c>
      <c r="B1730" t="s">
        <v>13</v>
      </c>
      <c r="D1730" s="2">
        <v>38978</v>
      </c>
      <c r="E1730">
        <v>7</v>
      </c>
      <c r="G1730" s="2">
        <v>38978</v>
      </c>
      <c r="H1730">
        <v>6.8630000000000004</v>
      </c>
      <c r="J1730" s="2">
        <v>38985</v>
      </c>
      <c r="K1730" s="3">
        <f t="shared" si="52"/>
        <v>7</v>
      </c>
      <c r="L1730" s="3">
        <f t="shared" si="53"/>
        <v>6.8550000000000004</v>
      </c>
    </row>
    <row r="1731" spans="1:12" x14ac:dyDescent="0.3">
      <c r="A1731" s="2">
        <v>38248</v>
      </c>
      <c r="B1731" t="s">
        <v>13</v>
      </c>
      <c r="D1731" s="2">
        <v>38979</v>
      </c>
      <c r="E1731">
        <v>7</v>
      </c>
      <c r="G1731" s="2">
        <v>38979</v>
      </c>
      <c r="H1731">
        <v>6.8579999999999997</v>
      </c>
      <c r="J1731" s="2">
        <v>38986</v>
      </c>
      <c r="K1731" s="3">
        <f t="shared" ref="K1731:K1794" si="54">E1738</f>
        <v>7</v>
      </c>
      <c r="L1731" s="3">
        <f t="shared" ref="L1731:L1794" si="55">H1738</f>
        <v>6.7649999999999997</v>
      </c>
    </row>
    <row r="1732" spans="1:12" x14ac:dyDescent="0.3">
      <c r="A1732" s="2">
        <v>38249</v>
      </c>
      <c r="B1732" t="s">
        <v>13</v>
      </c>
      <c r="D1732" s="2">
        <v>38980</v>
      </c>
      <c r="E1732">
        <v>7</v>
      </c>
      <c r="G1732" s="2">
        <v>38980</v>
      </c>
      <c r="H1732">
        <v>6.83</v>
      </c>
      <c r="J1732" s="2">
        <v>38987</v>
      </c>
      <c r="K1732" s="3">
        <f t="shared" si="54"/>
        <v>7</v>
      </c>
      <c r="L1732" s="3">
        <f t="shared" si="55"/>
        <v>6.78</v>
      </c>
    </row>
    <row r="1733" spans="1:12" x14ac:dyDescent="0.3">
      <c r="A1733" s="2">
        <v>38250</v>
      </c>
      <c r="B1733" t="s">
        <v>13</v>
      </c>
      <c r="D1733" s="2">
        <v>38981</v>
      </c>
      <c r="E1733">
        <v>7</v>
      </c>
      <c r="G1733" s="2">
        <v>38981</v>
      </c>
      <c r="H1733">
        <v>6.8369999999999997</v>
      </c>
      <c r="J1733" s="2">
        <v>38988</v>
      </c>
      <c r="K1733" s="3">
        <f t="shared" si="54"/>
        <v>7</v>
      </c>
      <c r="L1733" s="3">
        <f t="shared" si="55"/>
        <v>6.7240000000000002</v>
      </c>
    </row>
    <row r="1734" spans="1:12" x14ac:dyDescent="0.3">
      <c r="A1734" s="2">
        <v>38251</v>
      </c>
      <c r="B1734" t="s">
        <v>13</v>
      </c>
      <c r="D1734" s="2">
        <v>38982</v>
      </c>
      <c r="E1734">
        <v>7</v>
      </c>
      <c r="G1734" s="2">
        <v>38982</v>
      </c>
      <c r="H1734">
        <v>6.83</v>
      </c>
      <c r="J1734" s="2">
        <v>38989</v>
      </c>
      <c r="K1734" s="3">
        <f t="shared" si="54"/>
        <v>7</v>
      </c>
      <c r="L1734" s="3">
        <f t="shared" si="55"/>
        <v>6.6449999999999996</v>
      </c>
    </row>
    <row r="1735" spans="1:12" x14ac:dyDescent="0.3">
      <c r="A1735" s="2">
        <v>38252</v>
      </c>
      <c r="B1735" t="s">
        <v>13</v>
      </c>
      <c r="D1735" s="2">
        <v>38983</v>
      </c>
      <c r="E1735">
        <v>7</v>
      </c>
      <c r="G1735" s="2">
        <v>38983</v>
      </c>
      <c r="H1735">
        <v>6.83</v>
      </c>
      <c r="J1735" s="2">
        <v>38990</v>
      </c>
      <c r="K1735" s="3">
        <f t="shared" si="54"/>
        <v>7</v>
      </c>
      <c r="L1735" s="3">
        <f t="shared" si="55"/>
        <v>6.6449999999999996</v>
      </c>
    </row>
    <row r="1736" spans="1:12" x14ac:dyDescent="0.3">
      <c r="A1736" s="2">
        <v>38253</v>
      </c>
      <c r="B1736" t="s">
        <v>13</v>
      </c>
      <c r="D1736" s="2">
        <v>38984</v>
      </c>
      <c r="E1736">
        <v>7</v>
      </c>
      <c r="G1736" s="2">
        <v>38984</v>
      </c>
      <c r="H1736">
        <v>6.83</v>
      </c>
      <c r="J1736" s="2">
        <v>38991</v>
      </c>
      <c r="K1736" s="3">
        <f t="shared" si="54"/>
        <v>7</v>
      </c>
      <c r="L1736" s="3">
        <f t="shared" si="55"/>
        <v>6.6449999999999996</v>
      </c>
    </row>
    <row r="1737" spans="1:12" x14ac:dyDescent="0.3">
      <c r="A1737" s="2">
        <v>38254</v>
      </c>
      <c r="B1737" t="s">
        <v>13</v>
      </c>
      <c r="D1737" s="2">
        <v>38985</v>
      </c>
      <c r="E1737">
        <v>7</v>
      </c>
      <c r="G1737" s="2">
        <v>38985</v>
      </c>
      <c r="H1737">
        <v>6.8550000000000004</v>
      </c>
      <c r="J1737" s="2">
        <v>38992</v>
      </c>
      <c r="K1737" s="3">
        <f t="shared" si="54"/>
        <v>7</v>
      </c>
      <c r="L1737" s="3">
        <f t="shared" si="55"/>
        <v>6.6449999999999996</v>
      </c>
    </row>
    <row r="1738" spans="1:12" x14ac:dyDescent="0.3">
      <c r="A1738" s="2">
        <v>38255</v>
      </c>
      <c r="B1738" t="s">
        <v>13</v>
      </c>
      <c r="D1738" s="2">
        <v>38986</v>
      </c>
      <c r="E1738">
        <v>7</v>
      </c>
      <c r="G1738" s="2">
        <v>38986</v>
      </c>
      <c r="H1738">
        <v>6.7649999999999997</v>
      </c>
      <c r="J1738" s="2">
        <v>38993</v>
      </c>
      <c r="K1738" s="3">
        <f t="shared" si="54"/>
        <v>7</v>
      </c>
      <c r="L1738" s="3">
        <f t="shared" si="55"/>
        <v>6.6609999999999996</v>
      </c>
    </row>
    <row r="1739" spans="1:12" x14ac:dyDescent="0.3">
      <c r="A1739" s="2">
        <v>38256</v>
      </c>
      <c r="B1739" t="s">
        <v>13</v>
      </c>
      <c r="D1739" s="2">
        <v>38987</v>
      </c>
      <c r="E1739">
        <v>7</v>
      </c>
      <c r="G1739" s="2">
        <v>38987</v>
      </c>
      <c r="H1739">
        <v>6.78</v>
      </c>
      <c r="J1739" s="2">
        <v>38994</v>
      </c>
      <c r="K1739" s="3">
        <f t="shared" si="54"/>
        <v>7</v>
      </c>
      <c r="L1739" s="3">
        <f t="shared" si="55"/>
        <v>6.7670000000000003</v>
      </c>
    </row>
    <row r="1740" spans="1:12" x14ac:dyDescent="0.3">
      <c r="A1740" s="2">
        <v>38257</v>
      </c>
      <c r="B1740" t="s">
        <v>13</v>
      </c>
      <c r="D1740" s="2">
        <v>38988</v>
      </c>
      <c r="E1740">
        <v>7</v>
      </c>
      <c r="G1740" s="2">
        <v>38988</v>
      </c>
      <c r="H1740">
        <v>6.7240000000000002</v>
      </c>
      <c r="J1740" s="2">
        <v>38995</v>
      </c>
      <c r="K1740" s="3">
        <f t="shared" si="54"/>
        <v>7</v>
      </c>
      <c r="L1740" s="3">
        <f t="shared" si="55"/>
        <v>6.8570000000000002</v>
      </c>
    </row>
    <row r="1741" spans="1:12" x14ac:dyDescent="0.3">
      <c r="A1741" s="2">
        <v>38258</v>
      </c>
      <c r="B1741" t="s">
        <v>13</v>
      </c>
      <c r="D1741" s="2">
        <v>38989</v>
      </c>
      <c r="E1741">
        <v>7</v>
      </c>
      <c r="G1741" s="2">
        <v>38989</v>
      </c>
      <c r="H1741">
        <v>6.6449999999999996</v>
      </c>
      <c r="J1741" s="2">
        <v>38996</v>
      </c>
      <c r="K1741" s="3">
        <f t="shared" si="54"/>
        <v>7</v>
      </c>
      <c r="L1741" s="3">
        <f t="shared" si="55"/>
        <v>6.8860000000000001</v>
      </c>
    </row>
    <row r="1742" spans="1:12" x14ac:dyDescent="0.3">
      <c r="A1742" s="2">
        <v>38259</v>
      </c>
      <c r="B1742" t="s">
        <v>13</v>
      </c>
      <c r="D1742" s="2">
        <v>38990</v>
      </c>
      <c r="E1742">
        <v>7</v>
      </c>
      <c r="G1742" s="2">
        <v>38990</v>
      </c>
      <c r="H1742">
        <v>6.6449999999999996</v>
      </c>
      <c r="J1742" s="2">
        <v>38997</v>
      </c>
      <c r="K1742" s="3">
        <f t="shared" si="54"/>
        <v>7</v>
      </c>
      <c r="L1742" s="3">
        <f t="shared" si="55"/>
        <v>6.8860000000000001</v>
      </c>
    </row>
    <row r="1743" spans="1:12" x14ac:dyDescent="0.3">
      <c r="A1743" s="2">
        <v>38260</v>
      </c>
      <c r="B1743" t="s">
        <v>13</v>
      </c>
      <c r="D1743" s="2">
        <v>38991</v>
      </c>
      <c r="E1743">
        <v>7</v>
      </c>
      <c r="G1743" s="2">
        <v>38991</v>
      </c>
      <c r="H1743">
        <v>6.6449999999999996</v>
      </c>
      <c r="J1743" s="2">
        <v>38998</v>
      </c>
      <c r="K1743" s="3">
        <f t="shared" si="54"/>
        <v>7</v>
      </c>
      <c r="L1743" s="3">
        <f t="shared" si="55"/>
        <v>6.8860000000000001</v>
      </c>
    </row>
    <row r="1744" spans="1:12" x14ac:dyDescent="0.3">
      <c r="A1744" s="2">
        <v>38261</v>
      </c>
      <c r="B1744" t="s">
        <v>13</v>
      </c>
      <c r="D1744" s="2">
        <v>38992</v>
      </c>
      <c r="E1744">
        <v>7</v>
      </c>
      <c r="G1744" s="2">
        <v>38992</v>
      </c>
      <c r="H1744">
        <v>6.6449999999999996</v>
      </c>
      <c r="J1744" s="2">
        <v>38999</v>
      </c>
      <c r="K1744" s="3">
        <f t="shared" si="54"/>
        <v>7</v>
      </c>
      <c r="L1744" s="3">
        <f t="shared" si="55"/>
        <v>6.9470000000000001</v>
      </c>
    </row>
    <row r="1745" spans="1:12" x14ac:dyDescent="0.3">
      <c r="A1745" s="2">
        <v>38262</v>
      </c>
      <c r="B1745" t="s">
        <v>13</v>
      </c>
      <c r="D1745" s="2">
        <v>38993</v>
      </c>
      <c r="E1745">
        <v>7</v>
      </c>
      <c r="G1745" s="2">
        <v>38993</v>
      </c>
      <c r="H1745">
        <v>6.6609999999999996</v>
      </c>
      <c r="J1745" s="2">
        <v>39000</v>
      </c>
      <c r="K1745" s="3">
        <f t="shared" si="54"/>
        <v>7</v>
      </c>
      <c r="L1745" s="3">
        <f t="shared" si="55"/>
        <v>6.9649999999999999</v>
      </c>
    </row>
    <row r="1746" spans="1:12" x14ac:dyDescent="0.3">
      <c r="A1746" s="2">
        <v>38263</v>
      </c>
      <c r="B1746" t="s">
        <v>13</v>
      </c>
      <c r="D1746" s="2">
        <v>38994</v>
      </c>
      <c r="E1746">
        <v>7</v>
      </c>
      <c r="G1746" s="2">
        <v>38994</v>
      </c>
      <c r="H1746">
        <v>6.7670000000000003</v>
      </c>
      <c r="J1746" s="2">
        <v>39001</v>
      </c>
      <c r="K1746" s="3">
        <f t="shared" si="54"/>
        <v>7</v>
      </c>
      <c r="L1746" s="3">
        <f t="shared" si="55"/>
        <v>6.9850000000000003</v>
      </c>
    </row>
    <row r="1747" spans="1:12" x14ac:dyDescent="0.3">
      <c r="A1747" s="2">
        <v>38264</v>
      </c>
      <c r="B1747" t="s">
        <v>13</v>
      </c>
      <c r="D1747" s="2">
        <v>38995</v>
      </c>
      <c r="E1747">
        <v>7</v>
      </c>
      <c r="G1747" s="2">
        <v>38995</v>
      </c>
      <c r="H1747">
        <v>6.8570000000000002</v>
      </c>
      <c r="J1747" s="2">
        <v>39002</v>
      </c>
      <c r="K1747" s="3">
        <f t="shared" si="54"/>
        <v>7</v>
      </c>
      <c r="L1747" s="3">
        <f t="shared" si="55"/>
        <v>6.9509999999999996</v>
      </c>
    </row>
    <row r="1748" spans="1:12" x14ac:dyDescent="0.3">
      <c r="A1748" s="2">
        <v>38265</v>
      </c>
      <c r="B1748" t="s">
        <v>13</v>
      </c>
      <c r="D1748" s="2">
        <v>38996</v>
      </c>
      <c r="E1748">
        <v>7</v>
      </c>
      <c r="G1748" s="2">
        <v>38996</v>
      </c>
      <c r="H1748">
        <v>6.8860000000000001</v>
      </c>
      <c r="J1748" s="2">
        <v>39003</v>
      </c>
      <c r="K1748" s="3">
        <f t="shared" si="54"/>
        <v>7</v>
      </c>
      <c r="L1748" s="3">
        <f t="shared" si="55"/>
        <v>6.9580000000000002</v>
      </c>
    </row>
    <row r="1749" spans="1:12" x14ac:dyDescent="0.3">
      <c r="A1749" s="2">
        <v>38266</v>
      </c>
      <c r="B1749" t="s">
        <v>13</v>
      </c>
      <c r="D1749" s="2">
        <v>38997</v>
      </c>
      <c r="E1749">
        <v>7</v>
      </c>
      <c r="G1749" s="2">
        <v>38997</v>
      </c>
      <c r="H1749">
        <v>6.8860000000000001</v>
      </c>
      <c r="J1749" s="2">
        <v>39004</v>
      </c>
      <c r="K1749" s="3">
        <f t="shared" si="54"/>
        <v>7</v>
      </c>
      <c r="L1749" s="3">
        <f t="shared" si="55"/>
        <v>6.9580000000000002</v>
      </c>
    </row>
    <row r="1750" spans="1:12" x14ac:dyDescent="0.3">
      <c r="A1750" s="2">
        <v>38267</v>
      </c>
      <c r="B1750" t="s">
        <v>13</v>
      </c>
      <c r="D1750" s="2">
        <v>38998</v>
      </c>
      <c r="E1750">
        <v>7</v>
      </c>
      <c r="G1750" s="2">
        <v>38998</v>
      </c>
      <c r="H1750">
        <v>6.8860000000000001</v>
      </c>
      <c r="J1750" s="2">
        <v>39005</v>
      </c>
      <c r="K1750" s="3">
        <f t="shared" si="54"/>
        <v>7</v>
      </c>
      <c r="L1750" s="3">
        <f t="shared" si="55"/>
        <v>6.9580000000000002</v>
      </c>
    </row>
    <row r="1751" spans="1:12" x14ac:dyDescent="0.3">
      <c r="A1751" s="2">
        <v>38268</v>
      </c>
      <c r="B1751" t="s">
        <v>13</v>
      </c>
      <c r="D1751" s="2">
        <v>38999</v>
      </c>
      <c r="E1751">
        <v>7</v>
      </c>
      <c r="G1751" s="2">
        <v>38999</v>
      </c>
      <c r="H1751">
        <v>6.9470000000000001</v>
      </c>
      <c r="J1751" s="2">
        <v>39006</v>
      </c>
      <c r="K1751" s="3">
        <f t="shared" si="54"/>
        <v>7</v>
      </c>
      <c r="L1751" s="3">
        <f t="shared" si="55"/>
        <v>6.9569999999999999</v>
      </c>
    </row>
    <row r="1752" spans="1:12" x14ac:dyDescent="0.3">
      <c r="A1752" s="2">
        <v>38269</v>
      </c>
      <c r="B1752" t="s">
        <v>13</v>
      </c>
      <c r="D1752" s="2">
        <v>39000</v>
      </c>
      <c r="E1752">
        <v>7</v>
      </c>
      <c r="G1752" s="2">
        <v>39000</v>
      </c>
      <c r="H1752">
        <v>6.9649999999999999</v>
      </c>
      <c r="J1752" s="2">
        <v>39007</v>
      </c>
      <c r="K1752" s="3">
        <f t="shared" si="54"/>
        <v>7</v>
      </c>
      <c r="L1752" s="3">
        <f t="shared" si="55"/>
        <v>6.9809999999999999</v>
      </c>
    </row>
    <row r="1753" spans="1:12" x14ac:dyDescent="0.3">
      <c r="A1753" s="2">
        <v>38270</v>
      </c>
      <c r="B1753" t="s">
        <v>13</v>
      </c>
      <c r="D1753" s="2">
        <v>39001</v>
      </c>
      <c r="E1753">
        <v>7</v>
      </c>
      <c r="G1753" s="2">
        <v>39001</v>
      </c>
      <c r="H1753">
        <v>6.9850000000000003</v>
      </c>
      <c r="J1753" s="2">
        <v>39008</v>
      </c>
      <c r="K1753" s="3">
        <f t="shared" si="54"/>
        <v>7</v>
      </c>
      <c r="L1753" s="3">
        <f t="shared" si="55"/>
        <v>7.0350000000000001</v>
      </c>
    </row>
    <row r="1754" spans="1:12" x14ac:dyDescent="0.3">
      <c r="A1754" s="2">
        <v>38271</v>
      </c>
      <c r="B1754" t="s">
        <v>13</v>
      </c>
      <c r="D1754" s="2">
        <v>39002</v>
      </c>
      <c r="E1754">
        <v>7</v>
      </c>
      <c r="G1754" s="2">
        <v>39002</v>
      </c>
      <c r="H1754">
        <v>6.9509999999999996</v>
      </c>
      <c r="J1754" s="2">
        <v>39009</v>
      </c>
      <c r="K1754" s="3">
        <f t="shared" si="54"/>
        <v>7</v>
      </c>
      <c r="L1754" s="3">
        <f t="shared" si="55"/>
        <v>6.9989999999999997</v>
      </c>
    </row>
    <row r="1755" spans="1:12" x14ac:dyDescent="0.3">
      <c r="A1755" s="2">
        <v>38272</v>
      </c>
      <c r="B1755" t="s">
        <v>13</v>
      </c>
      <c r="D1755" s="2">
        <v>39003</v>
      </c>
      <c r="E1755">
        <v>7</v>
      </c>
      <c r="G1755" s="2">
        <v>39003</v>
      </c>
      <c r="H1755">
        <v>6.9580000000000002</v>
      </c>
      <c r="J1755" s="2">
        <v>39010</v>
      </c>
      <c r="K1755" s="3">
        <f t="shared" si="54"/>
        <v>7</v>
      </c>
      <c r="L1755" s="3">
        <f t="shared" si="55"/>
        <v>6.96</v>
      </c>
    </row>
    <row r="1756" spans="1:12" x14ac:dyDescent="0.3">
      <c r="A1756" s="2">
        <v>38273</v>
      </c>
      <c r="B1756" t="s">
        <v>13</v>
      </c>
      <c r="D1756" s="2">
        <v>39004</v>
      </c>
      <c r="E1756">
        <v>7</v>
      </c>
      <c r="G1756" s="2">
        <v>39004</v>
      </c>
      <c r="H1756">
        <v>6.9580000000000002</v>
      </c>
      <c r="J1756" s="2">
        <v>39011</v>
      </c>
      <c r="K1756" s="3">
        <f t="shared" si="54"/>
        <v>7</v>
      </c>
      <c r="L1756" s="3">
        <f t="shared" si="55"/>
        <v>6.96</v>
      </c>
    </row>
    <row r="1757" spans="1:12" x14ac:dyDescent="0.3">
      <c r="A1757" s="2">
        <v>38274</v>
      </c>
      <c r="B1757" t="s">
        <v>13</v>
      </c>
      <c r="D1757" s="2">
        <v>39005</v>
      </c>
      <c r="E1757">
        <v>7</v>
      </c>
      <c r="G1757" s="2">
        <v>39005</v>
      </c>
      <c r="H1757">
        <v>6.9580000000000002</v>
      </c>
      <c r="J1757" s="2">
        <v>39012</v>
      </c>
      <c r="K1757" s="3">
        <f t="shared" si="54"/>
        <v>7</v>
      </c>
      <c r="L1757" s="3">
        <f t="shared" si="55"/>
        <v>6.96</v>
      </c>
    </row>
    <row r="1758" spans="1:12" x14ac:dyDescent="0.3">
      <c r="A1758" s="2">
        <v>38275</v>
      </c>
      <c r="B1758" t="s">
        <v>13</v>
      </c>
      <c r="D1758" s="2">
        <v>39006</v>
      </c>
      <c r="E1758">
        <v>7</v>
      </c>
      <c r="G1758" s="2">
        <v>39006</v>
      </c>
      <c r="H1758">
        <v>6.9569999999999999</v>
      </c>
      <c r="J1758" s="2">
        <v>39013</v>
      </c>
      <c r="K1758" s="3">
        <f t="shared" si="54"/>
        <v>7</v>
      </c>
      <c r="L1758" s="3">
        <f t="shared" si="55"/>
        <v>6.9359999999999999</v>
      </c>
    </row>
    <row r="1759" spans="1:12" x14ac:dyDescent="0.3">
      <c r="A1759" s="2">
        <v>38276</v>
      </c>
      <c r="B1759" t="s">
        <v>13</v>
      </c>
      <c r="D1759" s="2">
        <v>39007</v>
      </c>
      <c r="E1759">
        <v>7</v>
      </c>
      <c r="G1759" s="2">
        <v>39007</v>
      </c>
      <c r="H1759">
        <v>6.9809999999999999</v>
      </c>
      <c r="J1759" s="2">
        <v>39014</v>
      </c>
      <c r="K1759" s="3">
        <f t="shared" si="54"/>
        <v>7</v>
      </c>
      <c r="L1759" s="3">
        <f t="shared" si="55"/>
        <v>6.9359999999999999</v>
      </c>
    </row>
    <row r="1760" spans="1:12" x14ac:dyDescent="0.3">
      <c r="A1760" s="2">
        <v>38277</v>
      </c>
      <c r="B1760" t="s">
        <v>13</v>
      </c>
      <c r="D1760" s="2">
        <v>39008</v>
      </c>
      <c r="E1760">
        <v>7</v>
      </c>
      <c r="G1760" s="2">
        <v>39008</v>
      </c>
      <c r="H1760">
        <v>7.0350000000000001</v>
      </c>
      <c r="J1760" s="2">
        <v>39015</v>
      </c>
      <c r="K1760" s="3">
        <f t="shared" si="54"/>
        <v>7</v>
      </c>
      <c r="L1760" s="3">
        <f t="shared" si="55"/>
        <v>6.9359999999999999</v>
      </c>
    </row>
    <row r="1761" spans="1:12" x14ac:dyDescent="0.3">
      <c r="A1761" s="2">
        <v>38278</v>
      </c>
      <c r="B1761" t="s">
        <v>13</v>
      </c>
      <c r="D1761" s="2">
        <v>39009</v>
      </c>
      <c r="E1761">
        <v>7</v>
      </c>
      <c r="G1761" s="2">
        <v>39009</v>
      </c>
      <c r="H1761">
        <v>6.9989999999999997</v>
      </c>
      <c r="J1761" s="2">
        <v>39016</v>
      </c>
      <c r="K1761" s="3">
        <f t="shared" si="54"/>
        <v>7</v>
      </c>
      <c r="L1761" s="3">
        <f t="shared" si="55"/>
        <v>6.9370000000000003</v>
      </c>
    </row>
    <row r="1762" spans="1:12" x14ac:dyDescent="0.3">
      <c r="A1762" s="2">
        <v>38279</v>
      </c>
      <c r="B1762" t="s">
        <v>13</v>
      </c>
      <c r="D1762" s="2">
        <v>39010</v>
      </c>
      <c r="E1762">
        <v>7</v>
      </c>
      <c r="G1762" s="2">
        <v>39010</v>
      </c>
      <c r="H1762">
        <v>6.96</v>
      </c>
      <c r="J1762" s="2">
        <v>39017</v>
      </c>
      <c r="K1762" s="3">
        <f t="shared" si="54"/>
        <v>7</v>
      </c>
      <c r="L1762" s="3">
        <f t="shared" si="55"/>
        <v>6.9390000000000001</v>
      </c>
    </row>
    <row r="1763" spans="1:12" x14ac:dyDescent="0.3">
      <c r="A1763" s="2">
        <v>38280</v>
      </c>
      <c r="B1763" t="s">
        <v>13</v>
      </c>
      <c r="D1763" s="2">
        <v>39011</v>
      </c>
      <c r="E1763">
        <v>7</v>
      </c>
      <c r="G1763" s="2">
        <v>39011</v>
      </c>
      <c r="H1763">
        <v>6.96</v>
      </c>
      <c r="J1763" s="2">
        <v>39018</v>
      </c>
      <c r="K1763" s="3">
        <f t="shared" si="54"/>
        <v>7</v>
      </c>
      <c r="L1763" s="3">
        <f t="shared" si="55"/>
        <v>6.9390000000000001</v>
      </c>
    </row>
    <row r="1764" spans="1:12" x14ac:dyDescent="0.3">
      <c r="A1764" s="2">
        <v>38281</v>
      </c>
      <c r="B1764" t="s">
        <v>13</v>
      </c>
      <c r="D1764" s="2">
        <v>39012</v>
      </c>
      <c r="E1764">
        <v>7</v>
      </c>
      <c r="G1764" s="2">
        <v>39012</v>
      </c>
      <c r="H1764">
        <v>6.96</v>
      </c>
      <c r="J1764" s="2">
        <v>39019</v>
      </c>
      <c r="K1764" s="3">
        <f t="shared" si="54"/>
        <v>7</v>
      </c>
      <c r="L1764" s="3">
        <f t="shared" si="55"/>
        <v>6.9390000000000001</v>
      </c>
    </row>
    <row r="1765" spans="1:12" x14ac:dyDescent="0.3">
      <c r="A1765" s="2">
        <v>38282</v>
      </c>
      <c r="B1765" t="s">
        <v>13</v>
      </c>
      <c r="D1765" s="2">
        <v>39013</v>
      </c>
      <c r="E1765">
        <v>7</v>
      </c>
      <c r="G1765" s="2">
        <v>39013</v>
      </c>
      <c r="H1765">
        <v>6.9359999999999999</v>
      </c>
      <c r="J1765" s="2">
        <v>39020</v>
      </c>
      <c r="K1765" s="3">
        <f t="shared" si="54"/>
        <v>7</v>
      </c>
      <c r="L1765" s="3">
        <f t="shared" si="55"/>
        <v>6.9909999999999997</v>
      </c>
    </row>
    <row r="1766" spans="1:12" x14ac:dyDescent="0.3">
      <c r="A1766" s="2">
        <v>38283</v>
      </c>
      <c r="B1766" t="s">
        <v>13</v>
      </c>
      <c r="D1766" s="2">
        <v>39014</v>
      </c>
      <c r="E1766">
        <v>7</v>
      </c>
      <c r="G1766" s="2">
        <v>39014</v>
      </c>
      <c r="H1766">
        <v>6.9359999999999999</v>
      </c>
      <c r="J1766" s="2">
        <v>39021</v>
      </c>
      <c r="K1766" s="3">
        <f t="shared" si="54"/>
        <v>7.25</v>
      </c>
      <c r="L1766" s="3">
        <f t="shared" si="55"/>
        <v>7.1050000000000004</v>
      </c>
    </row>
    <row r="1767" spans="1:12" x14ac:dyDescent="0.3">
      <c r="A1767" s="2">
        <v>38284</v>
      </c>
      <c r="B1767" t="s">
        <v>13</v>
      </c>
      <c r="D1767" s="2">
        <v>39015</v>
      </c>
      <c r="E1767">
        <v>7</v>
      </c>
      <c r="G1767" s="2">
        <v>39015</v>
      </c>
      <c r="H1767">
        <v>6.9359999999999999</v>
      </c>
      <c r="J1767" s="2">
        <v>39022</v>
      </c>
      <c r="K1767" s="3">
        <f t="shared" si="54"/>
        <v>7.25</v>
      </c>
      <c r="L1767" s="3">
        <f t="shared" si="55"/>
        <v>7.0709999999999997</v>
      </c>
    </row>
    <row r="1768" spans="1:12" x14ac:dyDescent="0.3">
      <c r="A1768" s="2">
        <v>38285</v>
      </c>
      <c r="B1768" t="s">
        <v>13</v>
      </c>
      <c r="D1768" s="2">
        <v>39016</v>
      </c>
      <c r="E1768">
        <v>7</v>
      </c>
      <c r="G1768" s="2">
        <v>39016</v>
      </c>
      <c r="H1768">
        <v>6.9370000000000003</v>
      </c>
      <c r="J1768" s="2">
        <v>39023</v>
      </c>
      <c r="K1768" s="3">
        <f t="shared" si="54"/>
        <v>7.25</v>
      </c>
      <c r="L1768" s="3">
        <f t="shared" si="55"/>
        <v>7.0629999999999997</v>
      </c>
    </row>
    <row r="1769" spans="1:12" x14ac:dyDescent="0.3">
      <c r="A1769" s="2">
        <v>38286</v>
      </c>
      <c r="B1769" t="s">
        <v>13</v>
      </c>
      <c r="D1769" s="2">
        <v>39017</v>
      </c>
      <c r="E1769">
        <v>7</v>
      </c>
      <c r="G1769" s="2">
        <v>39017</v>
      </c>
      <c r="H1769">
        <v>6.9390000000000001</v>
      </c>
      <c r="J1769" s="2">
        <v>39024</v>
      </c>
      <c r="K1769" s="3">
        <f t="shared" si="54"/>
        <v>7.25</v>
      </c>
      <c r="L1769" s="3">
        <f t="shared" si="55"/>
        <v>7.0720000000000001</v>
      </c>
    </row>
    <row r="1770" spans="1:12" x14ac:dyDescent="0.3">
      <c r="A1770" s="2">
        <v>38287</v>
      </c>
      <c r="B1770" t="s">
        <v>13</v>
      </c>
      <c r="D1770" s="2">
        <v>39018</v>
      </c>
      <c r="E1770">
        <v>7</v>
      </c>
      <c r="G1770" s="2">
        <v>39018</v>
      </c>
      <c r="H1770">
        <v>6.9390000000000001</v>
      </c>
      <c r="J1770" s="2">
        <v>39025</v>
      </c>
      <c r="K1770" s="3">
        <f t="shared" si="54"/>
        <v>7.25</v>
      </c>
      <c r="L1770" s="3">
        <f t="shared" si="55"/>
        <v>7.0720000000000001</v>
      </c>
    </row>
    <row r="1771" spans="1:12" x14ac:dyDescent="0.3">
      <c r="A1771" s="2">
        <v>38288</v>
      </c>
      <c r="B1771" t="s">
        <v>13</v>
      </c>
      <c r="D1771" s="2">
        <v>39019</v>
      </c>
      <c r="E1771">
        <v>7</v>
      </c>
      <c r="G1771" s="2">
        <v>39019</v>
      </c>
      <c r="H1771">
        <v>6.9390000000000001</v>
      </c>
      <c r="J1771" s="2">
        <v>39026</v>
      </c>
      <c r="K1771" s="3">
        <f t="shared" si="54"/>
        <v>7.25</v>
      </c>
      <c r="L1771" s="3">
        <f t="shared" si="55"/>
        <v>7.0720000000000001</v>
      </c>
    </row>
    <row r="1772" spans="1:12" x14ac:dyDescent="0.3">
      <c r="A1772" s="2">
        <v>38289</v>
      </c>
      <c r="B1772" t="s">
        <v>13</v>
      </c>
      <c r="D1772" s="2">
        <v>39020</v>
      </c>
      <c r="E1772">
        <v>7</v>
      </c>
      <c r="G1772" s="2">
        <v>39020</v>
      </c>
      <c r="H1772">
        <v>6.9909999999999997</v>
      </c>
      <c r="J1772" s="2">
        <v>39027</v>
      </c>
      <c r="K1772" s="3">
        <f t="shared" si="54"/>
        <v>7.25</v>
      </c>
      <c r="L1772" s="3">
        <f t="shared" si="55"/>
        <v>7.1779999999999999</v>
      </c>
    </row>
    <row r="1773" spans="1:12" x14ac:dyDescent="0.3">
      <c r="A1773" s="2">
        <v>38290</v>
      </c>
      <c r="B1773" t="s">
        <v>13</v>
      </c>
      <c r="D1773" s="2">
        <v>39021</v>
      </c>
      <c r="E1773">
        <v>7.25</v>
      </c>
      <c r="G1773" s="2">
        <v>39021</v>
      </c>
      <c r="H1773">
        <v>7.1050000000000004</v>
      </c>
      <c r="J1773" s="2">
        <v>39028</v>
      </c>
      <c r="K1773" s="3">
        <f t="shared" si="54"/>
        <v>7.25</v>
      </c>
      <c r="L1773" s="3">
        <f t="shared" si="55"/>
        <v>7.141</v>
      </c>
    </row>
    <row r="1774" spans="1:12" x14ac:dyDescent="0.3">
      <c r="A1774" s="2">
        <v>38291</v>
      </c>
      <c r="B1774" t="s">
        <v>13</v>
      </c>
      <c r="D1774" s="2">
        <v>39022</v>
      </c>
      <c r="E1774">
        <v>7.25</v>
      </c>
      <c r="G1774" s="2">
        <v>39022</v>
      </c>
      <c r="H1774">
        <v>7.0709999999999997</v>
      </c>
      <c r="J1774" s="2">
        <v>39029</v>
      </c>
      <c r="K1774" s="3">
        <f t="shared" si="54"/>
        <v>7.25</v>
      </c>
      <c r="L1774" s="3">
        <f t="shared" si="55"/>
        <v>7.1319999999999997</v>
      </c>
    </row>
    <row r="1775" spans="1:12" x14ac:dyDescent="0.3">
      <c r="A1775" s="2">
        <v>38292</v>
      </c>
      <c r="B1775" t="s">
        <v>13</v>
      </c>
      <c r="D1775" s="2">
        <v>39023</v>
      </c>
      <c r="E1775">
        <v>7.25</v>
      </c>
      <c r="G1775" s="2">
        <v>39023</v>
      </c>
      <c r="H1775">
        <v>7.0629999999999997</v>
      </c>
      <c r="J1775" s="2">
        <v>39030</v>
      </c>
      <c r="K1775" s="3">
        <f t="shared" si="54"/>
        <v>7.25</v>
      </c>
      <c r="L1775" s="3">
        <f t="shared" si="55"/>
        <v>7.0750000000000002</v>
      </c>
    </row>
    <row r="1776" spans="1:12" x14ac:dyDescent="0.3">
      <c r="A1776" s="2">
        <v>38293</v>
      </c>
      <c r="B1776" t="s">
        <v>13</v>
      </c>
      <c r="D1776" s="2">
        <v>39024</v>
      </c>
      <c r="E1776">
        <v>7.25</v>
      </c>
      <c r="G1776" s="2">
        <v>39024</v>
      </c>
      <c r="H1776">
        <v>7.0720000000000001</v>
      </c>
      <c r="J1776" s="2">
        <v>39031</v>
      </c>
      <c r="K1776" s="3">
        <f t="shared" si="54"/>
        <v>7.25</v>
      </c>
      <c r="L1776" s="3">
        <f t="shared" si="55"/>
        <v>7.0419999999999998</v>
      </c>
    </row>
    <row r="1777" spans="1:12" x14ac:dyDescent="0.3">
      <c r="A1777" s="2">
        <v>38294</v>
      </c>
      <c r="B1777" t="s">
        <v>13</v>
      </c>
      <c r="D1777" s="2">
        <v>39025</v>
      </c>
      <c r="E1777">
        <v>7.25</v>
      </c>
      <c r="G1777" s="2">
        <v>39025</v>
      </c>
      <c r="H1777">
        <v>7.0720000000000001</v>
      </c>
      <c r="J1777" s="2">
        <v>39032</v>
      </c>
      <c r="K1777" s="3">
        <f t="shared" si="54"/>
        <v>7.25</v>
      </c>
      <c r="L1777" s="3">
        <f t="shared" si="55"/>
        <v>7.0419999999999998</v>
      </c>
    </row>
    <row r="1778" spans="1:12" x14ac:dyDescent="0.3">
      <c r="A1778" s="2">
        <v>38295</v>
      </c>
      <c r="B1778" t="s">
        <v>13</v>
      </c>
      <c r="D1778" s="2">
        <v>39026</v>
      </c>
      <c r="E1778">
        <v>7.25</v>
      </c>
      <c r="G1778" s="2">
        <v>39026</v>
      </c>
      <c r="H1778">
        <v>7.0720000000000001</v>
      </c>
      <c r="J1778" s="2">
        <v>39033</v>
      </c>
      <c r="K1778" s="3">
        <f t="shared" si="54"/>
        <v>7.25</v>
      </c>
      <c r="L1778" s="3">
        <f t="shared" si="55"/>
        <v>7.0419999999999998</v>
      </c>
    </row>
    <row r="1779" spans="1:12" x14ac:dyDescent="0.3">
      <c r="A1779" s="2">
        <v>38296</v>
      </c>
      <c r="B1779" t="s">
        <v>13</v>
      </c>
      <c r="D1779" s="2">
        <v>39027</v>
      </c>
      <c r="E1779">
        <v>7.25</v>
      </c>
      <c r="G1779" s="2">
        <v>39027</v>
      </c>
      <c r="H1779">
        <v>7.1779999999999999</v>
      </c>
      <c r="J1779" s="2">
        <v>39034</v>
      </c>
      <c r="K1779" s="3">
        <f t="shared" si="54"/>
        <v>7.25</v>
      </c>
      <c r="L1779" s="3">
        <f t="shared" si="55"/>
        <v>7.0170000000000003</v>
      </c>
    </row>
    <row r="1780" spans="1:12" x14ac:dyDescent="0.3">
      <c r="A1780" s="2">
        <v>38297</v>
      </c>
      <c r="B1780" t="s">
        <v>13</v>
      </c>
      <c r="D1780" s="2">
        <v>39028</v>
      </c>
      <c r="E1780">
        <v>7.25</v>
      </c>
      <c r="G1780" s="2">
        <v>39028</v>
      </c>
      <c r="H1780">
        <v>7.141</v>
      </c>
      <c r="J1780" s="2">
        <v>39035</v>
      </c>
      <c r="K1780" s="3">
        <f t="shared" si="54"/>
        <v>7.25</v>
      </c>
      <c r="L1780" s="3">
        <f t="shared" si="55"/>
        <v>6.9960000000000004</v>
      </c>
    </row>
    <row r="1781" spans="1:12" x14ac:dyDescent="0.3">
      <c r="A1781" s="2">
        <v>38298</v>
      </c>
      <c r="B1781" t="s">
        <v>13</v>
      </c>
      <c r="D1781" s="2">
        <v>39029</v>
      </c>
      <c r="E1781">
        <v>7.25</v>
      </c>
      <c r="G1781" s="2">
        <v>39029</v>
      </c>
      <c r="H1781">
        <v>7.1319999999999997</v>
      </c>
      <c r="J1781" s="2">
        <v>39036</v>
      </c>
      <c r="K1781" s="3">
        <f t="shared" si="54"/>
        <v>7.25</v>
      </c>
      <c r="L1781" s="3">
        <f t="shared" si="55"/>
        <v>6.9729999999999999</v>
      </c>
    </row>
    <row r="1782" spans="1:12" x14ac:dyDescent="0.3">
      <c r="A1782" s="2">
        <v>38299</v>
      </c>
      <c r="B1782" t="s">
        <v>13</v>
      </c>
      <c r="D1782" s="2">
        <v>39030</v>
      </c>
      <c r="E1782">
        <v>7.25</v>
      </c>
      <c r="G1782" s="2">
        <v>39030</v>
      </c>
      <c r="H1782">
        <v>7.0750000000000002</v>
      </c>
      <c r="J1782" s="2">
        <v>39037</v>
      </c>
      <c r="K1782" s="3">
        <f t="shared" si="54"/>
        <v>7.25</v>
      </c>
      <c r="L1782" s="3">
        <f t="shared" si="55"/>
        <v>7.09</v>
      </c>
    </row>
    <row r="1783" spans="1:12" x14ac:dyDescent="0.3">
      <c r="A1783" s="2">
        <v>38300</v>
      </c>
      <c r="B1783" t="s">
        <v>13</v>
      </c>
      <c r="D1783" s="2">
        <v>39031</v>
      </c>
      <c r="E1783">
        <v>7.25</v>
      </c>
      <c r="G1783" s="2">
        <v>39031</v>
      </c>
      <c r="H1783">
        <v>7.0419999999999998</v>
      </c>
      <c r="J1783" s="2">
        <v>39038</v>
      </c>
      <c r="K1783" s="3">
        <f t="shared" si="54"/>
        <v>7.25</v>
      </c>
      <c r="L1783" s="3">
        <f t="shared" si="55"/>
        <v>7.0650000000000004</v>
      </c>
    </row>
    <row r="1784" spans="1:12" x14ac:dyDescent="0.3">
      <c r="A1784" s="2">
        <v>38301</v>
      </c>
      <c r="B1784" t="s">
        <v>13</v>
      </c>
      <c r="D1784" s="2">
        <v>39032</v>
      </c>
      <c r="E1784">
        <v>7.25</v>
      </c>
      <c r="G1784" s="2">
        <v>39032</v>
      </c>
      <c r="H1784">
        <v>7.0419999999999998</v>
      </c>
      <c r="J1784" s="2">
        <v>39039</v>
      </c>
      <c r="K1784" s="3">
        <f t="shared" si="54"/>
        <v>7.25</v>
      </c>
      <c r="L1784" s="3">
        <f t="shared" si="55"/>
        <v>7.0650000000000004</v>
      </c>
    </row>
    <row r="1785" spans="1:12" x14ac:dyDescent="0.3">
      <c r="A1785" s="2">
        <v>38302</v>
      </c>
      <c r="B1785" t="s">
        <v>13</v>
      </c>
      <c r="D1785" s="2">
        <v>39033</v>
      </c>
      <c r="E1785">
        <v>7.25</v>
      </c>
      <c r="G1785" s="2">
        <v>39033</v>
      </c>
      <c r="H1785">
        <v>7.0419999999999998</v>
      </c>
      <c r="J1785" s="2">
        <v>39040</v>
      </c>
      <c r="K1785" s="3">
        <f t="shared" si="54"/>
        <v>7.25</v>
      </c>
      <c r="L1785" s="3">
        <f t="shared" si="55"/>
        <v>7.0650000000000004</v>
      </c>
    </row>
    <row r="1786" spans="1:12" x14ac:dyDescent="0.3">
      <c r="A1786" s="2">
        <v>38303</v>
      </c>
      <c r="B1786" t="s">
        <v>13</v>
      </c>
      <c r="D1786" s="2">
        <v>39034</v>
      </c>
      <c r="E1786">
        <v>7.25</v>
      </c>
      <c r="G1786" s="2">
        <v>39034</v>
      </c>
      <c r="H1786">
        <v>7.0170000000000003</v>
      </c>
      <c r="J1786" s="2">
        <v>39041</v>
      </c>
      <c r="K1786" s="3">
        <f t="shared" si="54"/>
        <v>7.25</v>
      </c>
      <c r="L1786" s="3">
        <f t="shared" si="55"/>
        <v>7.1280000000000001</v>
      </c>
    </row>
    <row r="1787" spans="1:12" x14ac:dyDescent="0.3">
      <c r="A1787" s="2">
        <v>38304</v>
      </c>
      <c r="B1787" t="s">
        <v>13</v>
      </c>
      <c r="D1787" s="2">
        <v>39035</v>
      </c>
      <c r="E1787">
        <v>7.25</v>
      </c>
      <c r="G1787" s="2">
        <v>39035</v>
      </c>
      <c r="H1787">
        <v>6.9960000000000004</v>
      </c>
      <c r="J1787" s="2">
        <v>39042</v>
      </c>
      <c r="K1787" s="3">
        <f t="shared" si="54"/>
        <v>7.25</v>
      </c>
      <c r="L1787" s="3">
        <f t="shared" si="55"/>
        <v>7.0709999999999997</v>
      </c>
    </row>
    <row r="1788" spans="1:12" x14ac:dyDescent="0.3">
      <c r="A1788" s="2">
        <v>38305</v>
      </c>
      <c r="B1788" t="s">
        <v>13</v>
      </c>
      <c r="D1788" s="2">
        <v>39036</v>
      </c>
      <c r="E1788">
        <v>7.25</v>
      </c>
      <c r="G1788" s="2">
        <v>39036</v>
      </c>
      <c r="H1788">
        <v>6.9729999999999999</v>
      </c>
      <c r="J1788" s="2">
        <v>39043</v>
      </c>
      <c r="K1788" s="3">
        <f t="shared" si="54"/>
        <v>7.25</v>
      </c>
      <c r="L1788" s="3">
        <f t="shared" si="55"/>
        <v>7.1210000000000004</v>
      </c>
    </row>
    <row r="1789" spans="1:12" x14ac:dyDescent="0.3">
      <c r="A1789" s="2">
        <v>38306</v>
      </c>
      <c r="B1789" t="s">
        <v>13</v>
      </c>
      <c r="D1789" s="2">
        <v>39037</v>
      </c>
      <c r="E1789">
        <v>7.25</v>
      </c>
      <c r="G1789" s="2">
        <v>39037</v>
      </c>
      <c r="H1789">
        <v>7.09</v>
      </c>
      <c r="J1789" s="2">
        <v>39044</v>
      </c>
      <c r="K1789" s="3">
        <f t="shared" si="54"/>
        <v>7.25</v>
      </c>
      <c r="L1789" s="3">
        <f t="shared" si="55"/>
        <v>7.0629999999999997</v>
      </c>
    </row>
    <row r="1790" spans="1:12" x14ac:dyDescent="0.3">
      <c r="A1790" s="2">
        <v>38307</v>
      </c>
      <c r="B1790" t="s">
        <v>13</v>
      </c>
      <c r="D1790" s="2">
        <v>39038</v>
      </c>
      <c r="E1790">
        <v>7.25</v>
      </c>
      <c r="G1790" s="2">
        <v>39038</v>
      </c>
      <c r="H1790">
        <v>7.0650000000000004</v>
      </c>
      <c r="J1790" s="2">
        <v>39045</v>
      </c>
      <c r="K1790" s="3">
        <f t="shared" si="54"/>
        <v>7.25</v>
      </c>
      <c r="L1790" s="3">
        <f t="shared" si="55"/>
        <v>6.9630000000000001</v>
      </c>
    </row>
    <row r="1791" spans="1:12" x14ac:dyDescent="0.3">
      <c r="A1791" s="2">
        <v>38308</v>
      </c>
      <c r="B1791" t="s">
        <v>13</v>
      </c>
      <c r="D1791" s="2">
        <v>39039</v>
      </c>
      <c r="E1791">
        <v>7.25</v>
      </c>
      <c r="G1791" s="2">
        <v>39039</v>
      </c>
      <c r="H1791">
        <v>7.0650000000000004</v>
      </c>
      <c r="J1791" s="2">
        <v>39046</v>
      </c>
      <c r="K1791" s="3">
        <f t="shared" si="54"/>
        <v>7.25</v>
      </c>
      <c r="L1791" s="3">
        <f t="shared" si="55"/>
        <v>6.9630000000000001</v>
      </c>
    </row>
    <row r="1792" spans="1:12" x14ac:dyDescent="0.3">
      <c r="A1792" s="2">
        <v>38309</v>
      </c>
      <c r="B1792" t="s">
        <v>13</v>
      </c>
      <c r="D1792" s="2">
        <v>39040</v>
      </c>
      <c r="E1792">
        <v>7.25</v>
      </c>
      <c r="G1792" s="2">
        <v>39040</v>
      </c>
      <c r="H1792">
        <v>7.0650000000000004</v>
      </c>
      <c r="J1792" s="2">
        <v>39047</v>
      </c>
      <c r="K1792" s="3">
        <f t="shared" si="54"/>
        <v>7.25</v>
      </c>
      <c r="L1792" s="3">
        <f t="shared" si="55"/>
        <v>6.9630000000000001</v>
      </c>
    </row>
    <row r="1793" spans="1:12" x14ac:dyDescent="0.3">
      <c r="A1793" s="2">
        <v>38310</v>
      </c>
      <c r="B1793" t="s">
        <v>13</v>
      </c>
      <c r="D1793" s="2">
        <v>39041</v>
      </c>
      <c r="E1793">
        <v>7.25</v>
      </c>
      <c r="G1793" s="2">
        <v>39041</v>
      </c>
      <c r="H1793">
        <v>7.1280000000000001</v>
      </c>
      <c r="J1793" s="2">
        <v>39048</v>
      </c>
      <c r="K1793" s="3">
        <f t="shared" si="54"/>
        <v>7.25</v>
      </c>
      <c r="L1793" s="3">
        <f t="shared" si="55"/>
        <v>6.9630000000000001</v>
      </c>
    </row>
    <row r="1794" spans="1:12" x14ac:dyDescent="0.3">
      <c r="A1794" s="2">
        <v>38311</v>
      </c>
      <c r="B1794" t="s">
        <v>13</v>
      </c>
      <c r="D1794" s="2">
        <v>39042</v>
      </c>
      <c r="E1794">
        <v>7.25</v>
      </c>
      <c r="G1794" s="2">
        <v>39042</v>
      </c>
      <c r="H1794">
        <v>7.0709999999999997</v>
      </c>
      <c r="J1794" s="2">
        <v>39049</v>
      </c>
      <c r="K1794" s="3">
        <f t="shared" si="54"/>
        <v>7.25</v>
      </c>
      <c r="L1794" s="3">
        <f t="shared" si="55"/>
        <v>6.9210000000000003</v>
      </c>
    </row>
    <row r="1795" spans="1:12" x14ac:dyDescent="0.3">
      <c r="A1795" s="2">
        <v>38312</v>
      </c>
      <c r="B1795" t="s">
        <v>13</v>
      </c>
      <c r="D1795" s="2">
        <v>39043</v>
      </c>
      <c r="E1795">
        <v>7.25</v>
      </c>
      <c r="G1795" s="2">
        <v>39043</v>
      </c>
      <c r="H1795">
        <v>7.1210000000000004</v>
      </c>
      <c r="J1795" s="2">
        <v>39050</v>
      </c>
      <c r="K1795" s="3">
        <f t="shared" ref="K1795:K1858" si="56">E1802</f>
        <v>7.25</v>
      </c>
      <c r="L1795" s="3">
        <f t="shared" ref="L1795:L1858" si="57">H1802</f>
        <v>6.9379999999999997</v>
      </c>
    </row>
    <row r="1796" spans="1:12" x14ac:dyDescent="0.3">
      <c r="A1796" s="2">
        <v>38313</v>
      </c>
      <c r="B1796" t="s">
        <v>13</v>
      </c>
      <c r="D1796" s="2">
        <v>39044</v>
      </c>
      <c r="E1796">
        <v>7.25</v>
      </c>
      <c r="G1796" s="2">
        <v>39044</v>
      </c>
      <c r="H1796">
        <v>7.0629999999999997</v>
      </c>
      <c r="J1796" s="2">
        <v>39051</v>
      </c>
      <c r="K1796" s="3">
        <f t="shared" si="56"/>
        <v>7.25</v>
      </c>
      <c r="L1796" s="3">
        <f t="shared" si="57"/>
        <v>6.9109999999999996</v>
      </c>
    </row>
    <row r="1797" spans="1:12" x14ac:dyDescent="0.3">
      <c r="A1797" s="2">
        <v>38314</v>
      </c>
      <c r="B1797" t="s">
        <v>13</v>
      </c>
      <c r="D1797" s="2">
        <v>39045</v>
      </c>
      <c r="E1797">
        <v>7.25</v>
      </c>
      <c r="G1797" s="2">
        <v>39045</v>
      </c>
      <c r="H1797">
        <v>6.9630000000000001</v>
      </c>
      <c r="J1797" s="2">
        <v>39052</v>
      </c>
      <c r="K1797" s="3">
        <f t="shared" si="56"/>
        <v>7.25</v>
      </c>
      <c r="L1797" s="3">
        <f t="shared" si="57"/>
        <v>6.9249999999999998</v>
      </c>
    </row>
    <row r="1798" spans="1:12" x14ac:dyDescent="0.3">
      <c r="A1798" s="2">
        <v>38315</v>
      </c>
      <c r="B1798" t="s">
        <v>13</v>
      </c>
      <c r="D1798" s="2">
        <v>39046</v>
      </c>
      <c r="E1798">
        <v>7.25</v>
      </c>
      <c r="G1798" s="2">
        <v>39046</v>
      </c>
      <c r="H1798">
        <v>6.9630000000000001</v>
      </c>
      <c r="J1798" s="2">
        <v>39053</v>
      </c>
      <c r="K1798" s="3">
        <f t="shared" si="56"/>
        <v>7.25</v>
      </c>
      <c r="L1798" s="3">
        <f t="shared" si="57"/>
        <v>6.9249999999999998</v>
      </c>
    </row>
    <row r="1799" spans="1:12" x14ac:dyDescent="0.3">
      <c r="A1799" s="2">
        <v>38316</v>
      </c>
      <c r="B1799" t="s">
        <v>13</v>
      </c>
      <c r="D1799" s="2">
        <v>39047</v>
      </c>
      <c r="E1799">
        <v>7.25</v>
      </c>
      <c r="G1799" s="2">
        <v>39047</v>
      </c>
      <c r="H1799">
        <v>6.9630000000000001</v>
      </c>
      <c r="J1799" s="2">
        <v>39054</v>
      </c>
      <c r="K1799" s="3">
        <f t="shared" si="56"/>
        <v>7.25</v>
      </c>
      <c r="L1799" s="3">
        <f t="shared" si="57"/>
        <v>6.9249999999999998</v>
      </c>
    </row>
    <row r="1800" spans="1:12" x14ac:dyDescent="0.3">
      <c r="A1800" s="2">
        <v>38317</v>
      </c>
      <c r="B1800" t="s">
        <v>13</v>
      </c>
      <c r="D1800" s="2">
        <v>39048</v>
      </c>
      <c r="E1800">
        <v>7.25</v>
      </c>
      <c r="G1800" s="2">
        <v>39048</v>
      </c>
      <c r="H1800">
        <v>6.9630000000000001</v>
      </c>
      <c r="J1800" s="2">
        <v>39055</v>
      </c>
      <c r="K1800" s="3">
        <f t="shared" si="56"/>
        <v>7.25</v>
      </c>
      <c r="L1800" s="3">
        <f t="shared" si="57"/>
        <v>6.8979999999999997</v>
      </c>
    </row>
    <row r="1801" spans="1:12" x14ac:dyDescent="0.3">
      <c r="A1801" s="2">
        <v>38318</v>
      </c>
      <c r="B1801" t="s">
        <v>13</v>
      </c>
      <c r="D1801" s="2">
        <v>39049</v>
      </c>
      <c r="E1801">
        <v>7.25</v>
      </c>
      <c r="G1801" s="2">
        <v>39049</v>
      </c>
      <c r="H1801">
        <v>6.9210000000000003</v>
      </c>
      <c r="J1801" s="2">
        <v>39056</v>
      </c>
      <c r="K1801" s="3">
        <f t="shared" si="56"/>
        <v>7.25</v>
      </c>
      <c r="L1801" s="3">
        <f t="shared" si="57"/>
        <v>6.883</v>
      </c>
    </row>
    <row r="1802" spans="1:12" x14ac:dyDescent="0.3">
      <c r="A1802" s="2">
        <v>38319</v>
      </c>
      <c r="B1802" t="s">
        <v>13</v>
      </c>
      <c r="D1802" s="2">
        <v>39050</v>
      </c>
      <c r="E1802">
        <v>7.25</v>
      </c>
      <c r="G1802" s="2">
        <v>39050</v>
      </c>
      <c r="H1802">
        <v>6.9379999999999997</v>
      </c>
      <c r="J1802" s="2">
        <v>39057</v>
      </c>
      <c r="K1802" s="3">
        <f t="shared" si="56"/>
        <v>7.25</v>
      </c>
      <c r="L1802" s="3">
        <f t="shared" si="57"/>
        <v>6.8689999999999998</v>
      </c>
    </row>
    <row r="1803" spans="1:12" x14ac:dyDescent="0.3">
      <c r="A1803" s="2">
        <v>38320</v>
      </c>
      <c r="B1803" t="s">
        <v>13</v>
      </c>
      <c r="D1803" s="2">
        <v>39051</v>
      </c>
      <c r="E1803">
        <v>7.25</v>
      </c>
      <c r="G1803" s="2">
        <v>39051</v>
      </c>
      <c r="H1803">
        <v>6.9109999999999996</v>
      </c>
      <c r="J1803" s="2">
        <v>39058</v>
      </c>
      <c r="K1803" s="3">
        <f t="shared" si="56"/>
        <v>7.25</v>
      </c>
      <c r="L1803" s="3">
        <f t="shared" si="57"/>
        <v>6.9</v>
      </c>
    </row>
    <row r="1804" spans="1:12" x14ac:dyDescent="0.3">
      <c r="A1804" s="2">
        <v>38321</v>
      </c>
      <c r="B1804" t="s">
        <v>13</v>
      </c>
      <c r="D1804" s="2">
        <v>39052</v>
      </c>
      <c r="E1804">
        <v>7.25</v>
      </c>
      <c r="G1804" s="2">
        <v>39052</v>
      </c>
      <c r="H1804">
        <v>6.9249999999999998</v>
      </c>
      <c r="J1804" s="2">
        <v>39059</v>
      </c>
      <c r="K1804" s="3">
        <f t="shared" si="56"/>
        <v>7.25</v>
      </c>
      <c r="L1804" s="3">
        <f t="shared" si="57"/>
        <v>6.8419999999999996</v>
      </c>
    </row>
    <row r="1805" spans="1:12" x14ac:dyDescent="0.3">
      <c r="A1805" s="2">
        <v>38322</v>
      </c>
      <c r="B1805" t="s">
        <v>13</v>
      </c>
      <c r="D1805" s="2">
        <v>39053</v>
      </c>
      <c r="E1805">
        <v>7.25</v>
      </c>
      <c r="G1805" s="2">
        <v>39053</v>
      </c>
      <c r="H1805">
        <v>6.9249999999999998</v>
      </c>
      <c r="J1805" s="2">
        <v>39060</v>
      </c>
      <c r="K1805" s="3">
        <f t="shared" si="56"/>
        <v>7.25</v>
      </c>
      <c r="L1805" s="3">
        <f t="shared" si="57"/>
        <v>6.8419999999999996</v>
      </c>
    </row>
    <row r="1806" spans="1:12" x14ac:dyDescent="0.3">
      <c r="A1806" s="2">
        <v>38323</v>
      </c>
      <c r="B1806" t="s">
        <v>13</v>
      </c>
      <c r="D1806" s="2">
        <v>39054</v>
      </c>
      <c r="E1806">
        <v>7.25</v>
      </c>
      <c r="G1806" s="2">
        <v>39054</v>
      </c>
      <c r="H1806">
        <v>6.9249999999999998</v>
      </c>
      <c r="J1806" s="2">
        <v>39061</v>
      </c>
      <c r="K1806" s="3">
        <f t="shared" si="56"/>
        <v>7.25</v>
      </c>
      <c r="L1806" s="3">
        <f t="shared" si="57"/>
        <v>6.8419999999999996</v>
      </c>
    </row>
    <row r="1807" spans="1:12" x14ac:dyDescent="0.3">
      <c r="A1807" s="2">
        <v>38324</v>
      </c>
      <c r="B1807" t="s">
        <v>13</v>
      </c>
      <c r="D1807" s="2">
        <v>39055</v>
      </c>
      <c r="E1807">
        <v>7.25</v>
      </c>
      <c r="G1807" s="2">
        <v>39055</v>
      </c>
      <c r="H1807">
        <v>6.8979999999999997</v>
      </c>
      <c r="J1807" s="2">
        <v>39062</v>
      </c>
      <c r="K1807" s="3">
        <f t="shared" si="56"/>
        <v>7.25</v>
      </c>
      <c r="L1807" s="3">
        <f t="shared" si="57"/>
        <v>7.0170000000000003</v>
      </c>
    </row>
    <row r="1808" spans="1:12" x14ac:dyDescent="0.3">
      <c r="A1808" s="2">
        <v>38325</v>
      </c>
      <c r="B1808" t="s">
        <v>13</v>
      </c>
      <c r="D1808" s="2">
        <v>39056</v>
      </c>
      <c r="E1808">
        <v>7.25</v>
      </c>
      <c r="G1808" s="2">
        <v>39056</v>
      </c>
      <c r="H1808">
        <v>6.883</v>
      </c>
      <c r="J1808" s="2">
        <v>39063</v>
      </c>
      <c r="K1808" s="3">
        <f t="shared" si="56"/>
        <v>7.25</v>
      </c>
      <c r="L1808" s="3">
        <f t="shared" si="57"/>
        <v>7.048</v>
      </c>
    </row>
    <row r="1809" spans="1:12" x14ac:dyDescent="0.3">
      <c r="A1809" s="2">
        <v>38326</v>
      </c>
      <c r="B1809" t="s">
        <v>13</v>
      </c>
      <c r="D1809" s="2">
        <v>39057</v>
      </c>
      <c r="E1809">
        <v>7.25</v>
      </c>
      <c r="G1809" s="2">
        <v>39057</v>
      </c>
      <c r="H1809">
        <v>6.8689999999999998</v>
      </c>
      <c r="J1809" s="2">
        <v>39064</v>
      </c>
      <c r="K1809" s="3">
        <f t="shared" si="56"/>
        <v>7.25</v>
      </c>
      <c r="L1809" s="3">
        <f t="shared" si="57"/>
        <v>7.0510000000000002</v>
      </c>
    </row>
    <row r="1810" spans="1:12" x14ac:dyDescent="0.3">
      <c r="A1810" s="2">
        <v>38327</v>
      </c>
      <c r="B1810" t="s">
        <v>13</v>
      </c>
      <c r="D1810" s="2">
        <v>39058</v>
      </c>
      <c r="E1810">
        <v>7.25</v>
      </c>
      <c r="G1810" s="2">
        <v>39058</v>
      </c>
      <c r="H1810">
        <v>6.9</v>
      </c>
      <c r="J1810" s="2">
        <v>39065</v>
      </c>
      <c r="K1810" s="3">
        <f t="shared" si="56"/>
        <v>7.25</v>
      </c>
      <c r="L1810" s="3">
        <f t="shared" si="57"/>
        <v>7.0830000000000002</v>
      </c>
    </row>
    <row r="1811" spans="1:12" x14ac:dyDescent="0.3">
      <c r="A1811" s="2">
        <v>38328</v>
      </c>
      <c r="B1811" t="s">
        <v>13</v>
      </c>
      <c r="D1811" s="2">
        <v>39059</v>
      </c>
      <c r="E1811">
        <v>7.25</v>
      </c>
      <c r="G1811" s="2">
        <v>39059</v>
      </c>
      <c r="H1811">
        <v>6.8419999999999996</v>
      </c>
      <c r="J1811" s="2">
        <v>39066</v>
      </c>
      <c r="K1811" s="3">
        <f t="shared" si="56"/>
        <v>7.25</v>
      </c>
      <c r="L1811" s="3">
        <f t="shared" si="57"/>
        <v>6.9939999999999998</v>
      </c>
    </row>
    <row r="1812" spans="1:12" x14ac:dyDescent="0.3">
      <c r="A1812" s="2">
        <v>38329</v>
      </c>
      <c r="B1812" t="s">
        <v>13</v>
      </c>
      <c r="D1812" s="2">
        <v>39060</v>
      </c>
      <c r="E1812">
        <v>7.25</v>
      </c>
      <c r="G1812" s="2">
        <v>39060</v>
      </c>
      <c r="H1812">
        <v>6.8419999999999996</v>
      </c>
      <c r="J1812" s="2">
        <v>39067</v>
      </c>
      <c r="K1812" s="3">
        <f t="shared" si="56"/>
        <v>7.25</v>
      </c>
      <c r="L1812" s="3">
        <f t="shared" si="57"/>
        <v>6.9939999999999998</v>
      </c>
    </row>
    <row r="1813" spans="1:12" x14ac:dyDescent="0.3">
      <c r="A1813" s="2">
        <v>38330</v>
      </c>
      <c r="B1813" t="s">
        <v>13</v>
      </c>
      <c r="D1813" s="2">
        <v>39061</v>
      </c>
      <c r="E1813">
        <v>7.25</v>
      </c>
      <c r="G1813" s="2">
        <v>39061</v>
      </c>
      <c r="H1813">
        <v>6.8419999999999996</v>
      </c>
      <c r="J1813" s="2">
        <v>39068</v>
      </c>
      <c r="K1813" s="3">
        <f t="shared" si="56"/>
        <v>7.25</v>
      </c>
      <c r="L1813" s="3">
        <f t="shared" si="57"/>
        <v>6.9939999999999998</v>
      </c>
    </row>
    <row r="1814" spans="1:12" x14ac:dyDescent="0.3">
      <c r="A1814" s="2">
        <v>38331</v>
      </c>
      <c r="B1814" t="s">
        <v>13</v>
      </c>
      <c r="D1814" s="2">
        <v>39062</v>
      </c>
      <c r="E1814">
        <v>7.25</v>
      </c>
      <c r="G1814" s="2">
        <v>39062</v>
      </c>
      <c r="H1814">
        <v>7.0170000000000003</v>
      </c>
      <c r="J1814" s="2">
        <v>39069</v>
      </c>
      <c r="K1814" s="3">
        <f t="shared" si="56"/>
        <v>7.25</v>
      </c>
      <c r="L1814" s="3">
        <f t="shared" si="57"/>
        <v>7.0209999999999999</v>
      </c>
    </row>
    <row r="1815" spans="1:12" x14ac:dyDescent="0.3">
      <c r="A1815" s="2">
        <v>38332</v>
      </c>
      <c r="B1815" t="s">
        <v>13</v>
      </c>
      <c r="D1815" s="2">
        <v>39063</v>
      </c>
      <c r="E1815">
        <v>7.25</v>
      </c>
      <c r="G1815" s="2">
        <v>39063</v>
      </c>
      <c r="H1815">
        <v>7.048</v>
      </c>
      <c r="J1815" s="2">
        <v>39070</v>
      </c>
      <c r="K1815" s="3">
        <f t="shared" si="56"/>
        <v>7.25</v>
      </c>
      <c r="L1815" s="3">
        <f t="shared" si="57"/>
        <v>6.9770000000000003</v>
      </c>
    </row>
    <row r="1816" spans="1:12" x14ac:dyDescent="0.3">
      <c r="A1816" s="2">
        <v>38333</v>
      </c>
      <c r="B1816" t="s">
        <v>13</v>
      </c>
      <c r="D1816" s="2">
        <v>39064</v>
      </c>
      <c r="E1816">
        <v>7.25</v>
      </c>
      <c r="G1816" s="2">
        <v>39064</v>
      </c>
      <c r="H1816">
        <v>7.0510000000000002</v>
      </c>
      <c r="J1816" s="2">
        <v>39071</v>
      </c>
      <c r="K1816" s="3">
        <f t="shared" si="56"/>
        <v>7.25</v>
      </c>
      <c r="L1816" s="3">
        <f t="shared" si="57"/>
        <v>7</v>
      </c>
    </row>
    <row r="1817" spans="1:12" x14ac:dyDescent="0.3">
      <c r="A1817" s="2">
        <v>38334</v>
      </c>
      <c r="B1817" t="s">
        <v>13</v>
      </c>
      <c r="D1817" s="2">
        <v>39065</v>
      </c>
      <c r="E1817">
        <v>7.25</v>
      </c>
      <c r="G1817" s="2">
        <v>39065</v>
      </c>
      <c r="H1817">
        <v>7.0830000000000002</v>
      </c>
      <c r="J1817" s="2">
        <v>39072</v>
      </c>
      <c r="K1817" s="3">
        <f t="shared" si="56"/>
        <v>7.25</v>
      </c>
      <c r="L1817" s="3">
        <f t="shared" si="57"/>
        <v>7.1550000000000002</v>
      </c>
    </row>
    <row r="1818" spans="1:12" x14ac:dyDescent="0.3">
      <c r="A1818" s="2">
        <v>38335</v>
      </c>
      <c r="B1818" t="s">
        <v>13</v>
      </c>
      <c r="D1818" s="2">
        <v>39066</v>
      </c>
      <c r="E1818">
        <v>7.25</v>
      </c>
      <c r="G1818" s="2">
        <v>39066</v>
      </c>
      <c r="H1818">
        <v>6.9939999999999998</v>
      </c>
      <c r="J1818" s="2">
        <v>39073</v>
      </c>
      <c r="K1818" s="3">
        <f t="shared" si="56"/>
        <v>7.25</v>
      </c>
      <c r="L1818" s="3">
        <f t="shared" si="57"/>
        <v>7.1390000000000002</v>
      </c>
    </row>
    <row r="1819" spans="1:12" x14ac:dyDescent="0.3">
      <c r="A1819" s="2">
        <v>38336</v>
      </c>
      <c r="B1819" t="s">
        <v>13</v>
      </c>
      <c r="D1819" s="2">
        <v>39067</v>
      </c>
      <c r="E1819">
        <v>7.25</v>
      </c>
      <c r="G1819" s="2">
        <v>39067</v>
      </c>
      <c r="H1819">
        <v>6.9939999999999998</v>
      </c>
      <c r="J1819" s="2">
        <v>39074</v>
      </c>
      <c r="K1819" s="3">
        <f t="shared" si="56"/>
        <v>7.25</v>
      </c>
      <c r="L1819" s="3">
        <f t="shared" si="57"/>
        <v>7.1390000000000002</v>
      </c>
    </row>
    <row r="1820" spans="1:12" x14ac:dyDescent="0.3">
      <c r="A1820" s="2">
        <v>38337</v>
      </c>
      <c r="B1820" t="s">
        <v>13</v>
      </c>
      <c r="D1820" s="2">
        <v>39068</v>
      </c>
      <c r="E1820">
        <v>7.25</v>
      </c>
      <c r="G1820" s="2">
        <v>39068</v>
      </c>
      <c r="H1820">
        <v>6.9939999999999998</v>
      </c>
      <c r="J1820" s="2">
        <v>39075</v>
      </c>
      <c r="K1820" s="3">
        <f t="shared" si="56"/>
        <v>7.25</v>
      </c>
      <c r="L1820" s="3">
        <f t="shared" si="57"/>
        <v>7.1390000000000002</v>
      </c>
    </row>
    <row r="1821" spans="1:12" x14ac:dyDescent="0.3">
      <c r="A1821" s="2">
        <v>38338</v>
      </c>
      <c r="B1821" t="s">
        <v>13</v>
      </c>
      <c r="D1821" s="2">
        <v>39069</v>
      </c>
      <c r="E1821">
        <v>7.25</v>
      </c>
      <c r="G1821" s="2">
        <v>39069</v>
      </c>
      <c r="H1821">
        <v>7.0209999999999999</v>
      </c>
      <c r="J1821" s="2">
        <v>39076</v>
      </c>
      <c r="K1821" s="3">
        <f t="shared" si="56"/>
        <v>7.25</v>
      </c>
      <c r="L1821" s="3">
        <f t="shared" si="57"/>
        <v>7.1390000000000002</v>
      </c>
    </row>
    <row r="1822" spans="1:12" x14ac:dyDescent="0.3">
      <c r="A1822" s="2">
        <v>38339</v>
      </c>
      <c r="B1822" t="s">
        <v>13</v>
      </c>
      <c r="D1822" s="2">
        <v>39070</v>
      </c>
      <c r="E1822">
        <v>7.25</v>
      </c>
      <c r="G1822" s="2">
        <v>39070</v>
      </c>
      <c r="H1822">
        <v>6.9770000000000003</v>
      </c>
      <c r="J1822" s="2">
        <v>39077</v>
      </c>
      <c r="K1822" s="3">
        <f t="shared" si="56"/>
        <v>7.25</v>
      </c>
      <c r="L1822" s="3">
        <f t="shared" si="57"/>
        <v>7.234</v>
      </c>
    </row>
    <row r="1823" spans="1:12" x14ac:dyDescent="0.3">
      <c r="A1823" s="2">
        <v>38340</v>
      </c>
      <c r="B1823" t="s">
        <v>13</v>
      </c>
      <c r="D1823" s="2">
        <v>39071</v>
      </c>
      <c r="E1823">
        <v>7.25</v>
      </c>
      <c r="G1823" s="2">
        <v>39071</v>
      </c>
      <c r="H1823">
        <v>7</v>
      </c>
      <c r="J1823" s="2">
        <v>39078</v>
      </c>
      <c r="K1823" s="3">
        <f t="shared" si="56"/>
        <v>7.25</v>
      </c>
      <c r="L1823" s="3">
        <f t="shared" si="57"/>
        <v>7.2009999999999996</v>
      </c>
    </row>
    <row r="1824" spans="1:12" x14ac:dyDescent="0.3">
      <c r="A1824" s="2">
        <v>38341</v>
      </c>
      <c r="B1824" t="s">
        <v>13</v>
      </c>
      <c r="D1824" s="2">
        <v>39072</v>
      </c>
      <c r="E1824">
        <v>7.25</v>
      </c>
      <c r="G1824" s="2">
        <v>39072</v>
      </c>
      <c r="H1824">
        <v>7.1550000000000002</v>
      </c>
      <c r="J1824" s="2">
        <v>39079</v>
      </c>
      <c r="K1824" s="3">
        <f t="shared" si="56"/>
        <v>7.25</v>
      </c>
      <c r="L1824" s="3">
        <f t="shared" si="57"/>
        <v>7.2619999999999996</v>
      </c>
    </row>
    <row r="1825" spans="1:12" x14ac:dyDescent="0.3">
      <c r="A1825" s="2">
        <v>38342</v>
      </c>
      <c r="B1825" t="s">
        <v>13</v>
      </c>
      <c r="D1825" s="2">
        <v>39073</v>
      </c>
      <c r="E1825">
        <v>7.25</v>
      </c>
      <c r="G1825" s="2">
        <v>39073</v>
      </c>
      <c r="H1825">
        <v>7.1390000000000002</v>
      </c>
      <c r="J1825" s="2">
        <v>39080</v>
      </c>
      <c r="K1825" s="3">
        <f t="shared" si="56"/>
        <v>7.25</v>
      </c>
      <c r="L1825" s="3">
        <f t="shared" si="57"/>
        <v>7.18</v>
      </c>
    </row>
    <row r="1826" spans="1:12" x14ac:dyDescent="0.3">
      <c r="A1826" s="2">
        <v>38343</v>
      </c>
      <c r="B1826" t="s">
        <v>13</v>
      </c>
      <c r="D1826" s="2">
        <v>39074</v>
      </c>
      <c r="E1826">
        <v>7.25</v>
      </c>
      <c r="G1826" s="2">
        <v>39074</v>
      </c>
      <c r="H1826">
        <v>7.1390000000000002</v>
      </c>
      <c r="J1826" s="2">
        <v>39081</v>
      </c>
      <c r="K1826" s="3">
        <f t="shared" si="56"/>
        <v>7.25</v>
      </c>
      <c r="L1826" s="3">
        <f t="shared" si="57"/>
        <v>7.18</v>
      </c>
    </row>
    <row r="1827" spans="1:12" x14ac:dyDescent="0.3">
      <c r="A1827" s="2">
        <v>38344</v>
      </c>
      <c r="B1827" t="s">
        <v>13</v>
      </c>
      <c r="D1827" s="2">
        <v>39075</v>
      </c>
      <c r="E1827">
        <v>7.25</v>
      </c>
      <c r="G1827" s="2">
        <v>39075</v>
      </c>
      <c r="H1827">
        <v>7.1390000000000002</v>
      </c>
      <c r="J1827" s="2">
        <v>39082</v>
      </c>
      <c r="K1827" s="3">
        <f t="shared" si="56"/>
        <v>7.25</v>
      </c>
      <c r="L1827" s="3">
        <f t="shared" si="57"/>
        <v>7.18</v>
      </c>
    </row>
    <row r="1828" spans="1:12" x14ac:dyDescent="0.3">
      <c r="A1828" s="2">
        <v>38345</v>
      </c>
      <c r="B1828" t="s">
        <v>13</v>
      </c>
      <c r="D1828" s="2">
        <v>39076</v>
      </c>
      <c r="E1828">
        <v>7.25</v>
      </c>
      <c r="G1828" s="2">
        <v>39076</v>
      </c>
      <c r="H1828">
        <v>7.1390000000000002</v>
      </c>
      <c r="J1828" s="2">
        <v>39083</v>
      </c>
      <c r="K1828" s="3">
        <f t="shared" si="56"/>
        <v>7.25</v>
      </c>
      <c r="L1828" s="3">
        <f t="shared" si="57"/>
        <v>7.18</v>
      </c>
    </row>
    <row r="1829" spans="1:12" x14ac:dyDescent="0.3">
      <c r="A1829" s="2">
        <v>38346</v>
      </c>
      <c r="B1829" t="s">
        <v>13</v>
      </c>
      <c r="D1829" s="2">
        <v>39077</v>
      </c>
      <c r="E1829">
        <v>7.25</v>
      </c>
      <c r="G1829" s="2">
        <v>39077</v>
      </c>
      <c r="H1829">
        <v>7.234</v>
      </c>
      <c r="J1829" s="2">
        <v>39084</v>
      </c>
      <c r="K1829" s="3">
        <f t="shared" si="56"/>
        <v>7.25</v>
      </c>
      <c r="L1829" s="3">
        <f t="shared" si="57"/>
        <v>7.1989999999999998</v>
      </c>
    </row>
    <row r="1830" spans="1:12" x14ac:dyDescent="0.3">
      <c r="A1830" s="2">
        <v>38347</v>
      </c>
      <c r="B1830" t="s">
        <v>13</v>
      </c>
      <c r="D1830" s="2">
        <v>39078</v>
      </c>
      <c r="E1830">
        <v>7.25</v>
      </c>
      <c r="G1830" s="2">
        <v>39078</v>
      </c>
      <c r="H1830">
        <v>7.2009999999999996</v>
      </c>
      <c r="J1830" s="2">
        <v>39085</v>
      </c>
      <c r="K1830" s="3">
        <f t="shared" si="56"/>
        <v>7.25</v>
      </c>
      <c r="L1830" s="3">
        <f t="shared" si="57"/>
        <v>7.1589999999999998</v>
      </c>
    </row>
    <row r="1831" spans="1:12" x14ac:dyDescent="0.3">
      <c r="A1831" s="2">
        <v>38348</v>
      </c>
      <c r="B1831" t="s">
        <v>13</v>
      </c>
      <c r="D1831" s="2">
        <v>39079</v>
      </c>
      <c r="E1831">
        <v>7.25</v>
      </c>
      <c r="G1831" s="2">
        <v>39079</v>
      </c>
      <c r="H1831">
        <v>7.2619999999999996</v>
      </c>
      <c r="J1831" s="2">
        <v>39086</v>
      </c>
      <c r="K1831" s="3">
        <f t="shared" si="56"/>
        <v>7.25</v>
      </c>
      <c r="L1831" s="3">
        <f t="shared" si="57"/>
        <v>7.1680000000000001</v>
      </c>
    </row>
    <row r="1832" spans="1:12" x14ac:dyDescent="0.3">
      <c r="A1832" s="2">
        <v>38349</v>
      </c>
      <c r="B1832" t="s">
        <v>13</v>
      </c>
      <c r="D1832" s="2">
        <v>39080</v>
      </c>
      <c r="E1832">
        <v>7.25</v>
      </c>
      <c r="G1832" s="2">
        <v>39080</v>
      </c>
      <c r="H1832">
        <v>7.18</v>
      </c>
      <c r="J1832" s="2">
        <v>39087</v>
      </c>
      <c r="K1832" s="3">
        <f t="shared" si="56"/>
        <v>7.25</v>
      </c>
      <c r="L1832" s="3">
        <f t="shared" si="57"/>
        <v>7.1130000000000004</v>
      </c>
    </row>
    <row r="1833" spans="1:12" x14ac:dyDescent="0.3">
      <c r="A1833" s="2">
        <v>38350</v>
      </c>
      <c r="B1833" t="s">
        <v>13</v>
      </c>
      <c r="D1833" s="2">
        <v>39081</v>
      </c>
      <c r="E1833">
        <v>7.25</v>
      </c>
      <c r="G1833" s="2">
        <v>39081</v>
      </c>
      <c r="H1833">
        <v>7.18</v>
      </c>
      <c r="J1833" s="2">
        <v>39088</v>
      </c>
      <c r="K1833" s="3">
        <f t="shared" si="56"/>
        <v>7.25</v>
      </c>
      <c r="L1833" s="3">
        <f t="shared" si="57"/>
        <v>7.1130000000000004</v>
      </c>
    </row>
    <row r="1834" spans="1:12" x14ac:dyDescent="0.3">
      <c r="A1834" s="2">
        <v>38351</v>
      </c>
      <c r="B1834" t="s">
        <v>13</v>
      </c>
      <c r="D1834" s="2">
        <v>39082</v>
      </c>
      <c r="E1834">
        <v>7.25</v>
      </c>
      <c r="G1834" s="2">
        <v>39082</v>
      </c>
      <c r="H1834">
        <v>7.18</v>
      </c>
      <c r="J1834" s="2">
        <v>39089</v>
      </c>
      <c r="K1834" s="3">
        <f t="shared" si="56"/>
        <v>7.25</v>
      </c>
      <c r="L1834" s="3">
        <f t="shared" si="57"/>
        <v>7.1130000000000004</v>
      </c>
    </row>
    <row r="1835" spans="1:12" x14ac:dyDescent="0.3">
      <c r="A1835" s="2">
        <v>38352</v>
      </c>
      <c r="B1835" t="s">
        <v>13</v>
      </c>
      <c r="D1835" s="2">
        <v>39083</v>
      </c>
      <c r="E1835">
        <v>7.25</v>
      </c>
      <c r="G1835" s="2">
        <v>39083</v>
      </c>
      <c r="H1835">
        <v>7.18</v>
      </c>
      <c r="J1835" s="2">
        <v>39090</v>
      </c>
      <c r="K1835" s="3">
        <f t="shared" si="56"/>
        <v>7.25</v>
      </c>
      <c r="L1835" s="3">
        <f t="shared" si="57"/>
        <v>7.1479999999999997</v>
      </c>
    </row>
    <row r="1836" spans="1:12" x14ac:dyDescent="0.3">
      <c r="A1836" s="2">
        <v>38353</v>
      </c>
      <c r="B1836" t="s">
        <v>13</v>
      </c>
      <c r="D1836" s="2">
        <v>39084</v>
      </c>
      <c r="E1836">
        <v>7.25</v>
      </c>
      <c r="G1836" s="2">
        <v>39084</v>
      </c>
      <c r="H1836">
        <v>7.1989999999999998</v>
      </c>
      <c r="J1836" s="2">
        <v>39091</v>
      </c>
      <c r="K1836" s="3">
        <f t="shared" si="56"/>
        <v>7.25</v>
      </c>
      <c r="L1836" s="3">
        <f t="shared" si="57"/>
        <v>7.1310000000000002</v>
      </c>
    </row>
    <row r="1837" spans="1:12" x14ac:dyDescent="0.3">
      <c r="A1837" s="2">
        <v>38354</v>
      </c>
      <c r="B1837" t="s">
        <v>13</v>
      </c>
      <c r="D1837" s="2">
        <v>39085</v>
      </c>
      <c r="E1837">
        <v>7.25</v>
      </c>
      <c r="G1837" s="2">
        <v>39085</v>
      </c>
      <c r="H1837">
        <v>7.1589999999999998</v>
      </c>
      <c r="J1837" s="2">
        <v>39092</v>
      </c>
      <c r="K1837" s="3">
        <f t="shared" si="56"/>
        <v>7.25</v>
      </c>
      <c r="L1837" s="3">
        <f t="shared" si="57"/>
        <v>7.0640000000000001</v>
      </c>
    </row>
    <row r="1838" spans="1:12" x14ac:dyDescent="0.3">
      <c r="A1838" s="2">
        <v>38355</v>
      </c>
      <c r="B1838" t="s">
        <v>13</v>
      </c>
      <c r="D1838" s="2">
        <v>39086</v>
      </c>
      <c r="E1838">
        <v>7.25</v>
      </c>
      <c r="G1838" s="2">
        <v>39086</v>
      </c>
      <c r="H1838">
        <v>7.1680000000000001</v>
      </c>
      <c r="J1838" s="2">
        <v>39093</v>
      </c>
      <c r="K1838" s="3">
        <f t="shared" si="56"/>
        <v>7.25</v>
      </c>
      <c r="L1838" s="3">
        <f t="shared" si="57"/>
        <v>7.1079999999999997</v>
      </c>
    </row>
    <row r="1839" spans="1:12" x14ac:dyDescent="0.3">
      <c r="A1839" s="2">
        <v>38356</v>
      </c>
      <c r="B1839" t="s">
        <v>13</v>
      </c>
      <c r="D1839" s="2">
        <v>39087</v>
      </c>
      <c r="E1839">
        <v>7.25</v>
      </c>
      <c r="G1839" s="2">
        <v>39087</v>
      </c>
      <c r="H1839">
        <v>7.1130000000000004</v>
      </c>
      <c r="J1839" s="2">
        <v>39094</v>
      </c>
      <c r="K1839" s="3">
        <f t="shared" si="56"/>
        <v>7.25</v>
      </c>
      <c r="L1839" s="3">
        <f t="shared" si="57"/>
        <v>7.1630000000000003</v>
      </c>
    </row>
    <row r="1840" spans="1:12" x14ac:dyDescent="0.3">
      <c r="A1840" s="2">
        <v>38357</v>
      </c>
      <c r="B1840" t="s">
        <v>13</v>
      </c>
      <c r="D1840" s="2">
        <v>39088</v>
      </c>
      <c r="E1840">
        <v>7.25</v>
      </c>
      <c r="G1840" s="2">
        <v>39088</v>
      </c>
      <c r="H1840">
        <v>7.1130000000000004</v>
      </c>
      <c r="J1840" s="2">
        <v>39095</v>
      </c>
      <c r="K1840" s="3">
        <f t="shared" si="56"/>
        <v>7.25</v>
      </c>
      <c r="L1840" s="3">
        <f t="shared" si="57"/>
        <v>7.1630000000000003</v>
      </c>
    </row>
    <row r="1841" spans="1:12" x14ac:dyDescent="0.3">
      <c r="A1841" s="2">
        <v>38358</v>
      </c>
      <c r="B1841" t="s">
        <v>13</v>
      </c>
      <c r="D1841" s="2">
        <v>39089</v>
      </c>
      <c r="E1841">
        <v>7.25</v>
      </c>
      <c r="G1841" s="2">
        <v>39089</v>
      </c>
      <c r="H1841">
        <v>7.1130000000000004</v>
      </c>
      <c r="J1841" s="2">
        <v>39096</v>
      </c>
      <c r="K1841" s="3">
        <f t="shared" si="56"/>
        <v>7.25</v>
      </c>
      <c r="L1841" s="3">
        <f t="shared" si="57"/>
        <v>7.1630000000000003</v>
      </c>
    </row>
    <row r="1842" spans="1:12" x14ac:dyDescent="0.3">
      <c r="A1842" s="2">
        <v>38359</v>
      </c>
      <c r="B1842" t="s">
        <v>13</v>
      </c>
      <c r="D1842" s="2">
        <v>39090</v>
      </c>
      <c r="E1842">
        <v>7.25</v>
      </c>
      <c r="G1842" s="2">
        <v>39090</v>
      </c>
      <c r="H1842">
        <v>7.1479999999999997</v>
      </c>
      <c r="J1842" s="2">
        <v>39097</v>
      </c>
      <c r="K1842" s="3">
        <f t="shared" si="56"/>
        <v>7.25</v>
      </c>
      <c r="L1842" s="3">
        <f t="shared" si="57"/>
        <v>7.0460000000000003</v>
      </c>
    </row>
    <row r="1843" spans="1:12" x14ac:dyDescent="0.3">
      <c r="A1843" s="2">
        <v>38360</v>
      </c>
      <c r="B1843" t="s">
        <v>13</v>
      </c>
      <c r="D1843" s="2">
        <v>39091</v>
      </c>
      <c r="E1843">
        <v>7.25</v>
      </c>
      <c r="G1843" s="2">
        <v>39091</v>
      </c>
      <c r="H1843">
        <v>7.1310000000000002</v>
      </c>
      <c r="J1843" s="2">
        <v>39098</v>
      </c>
      <c r="K1843" s="3">
        <f t="shared" si="56"/>
        <v>7.25</v>
      </c>
      <c r="L1843" s="3">
        <f t="shared" si="57"/>
        <v>7.1959999999999997</v>
      </c>
    </row>
    <row r="1844" spans="1:12" x14ac:dyDescent="0.3">
      <c r="A1844" s="2">
        <v>38361</v>
      </c>
      <c r="B1844" t="s">
        <v>13</v>
      </c>
      <c r="D1844" s="2">
        <v>39092</v>
      </c>
      <c r="E1844">
        <v>7.25</v>
      </c>
      <c r="G1844" s="2">
        <v>39092</v>
      </c>
      <c r="H1844">
        <v>7.0640000000000001</v>
      </c>
      <c r="J1844" s="2">
        <v>39099</v>
      </c>
      <c r="K1844" s="3">
        <f t="shared" si="56"/>
        <v>7.25</v>
      </c>
      <c r="L1844" s="3">
        <f t="shared" si="57"/>
        <v>7.1029999999999998</v>
      </c>
    </row>
    <row r="1845" spans="1:12" x14ac:dyDescent="0.3">
      <c r="A1845" s="2">
        <v>38362</v>
      </c>
      <c r="B1845" t="s">
        <v>13</v>
      </c>
      <c r="D1845" s="2">
        <v>39093</v>
      </c>
      <c r="E1845">
        <v>7.25</v>
      </c>
      <c r="G1845" s="2">
        <v>39093</v>
      </c>
      <c r="H1845">
        <v>7.1079999999999997</v>
      </c>
      <c r="J1845" s="2">
        <v>39100</v>
      </c>
      <c r="K1845" s="3">
        <f t="shared" si="56"/>
        <v>7.25</v>
      </c>
      <c r="L1845" s="3">
        <f t="shared" si="57"/>
        <v>7.1980000000000004</v>
      </c>
    </row>
    <row r="1846" spans="1:12" x14ac:dyDescent="0.3">
      <c r="A1846" s="2">
        <v>38363</v>
      </c>
      <c r="B1846" t="s">
        <v>13</v>
      </c>
      <c r="D1846" s="2">
        <v>39094</v>
      </c>
      <c r="E1846">
        <v>7.25</v>
      </c>
      <c r="G1846" s="2">
        <v>39094</v>
      </c>
      <c r="H1846">
        <v>7.1630000000000003</v>
      </c>
      <c r="J1846" s="2">
        <v>39101</v>
      </c>
      <c r="K1846" s="3">
        <f t="shared" si="56"/>
        <v>7.25</v>
      </c>
      <c r="L1846" s="3">
        <f t="shared" si="57"/>
        <v>6.99</v>
      </c>
    </row>
    <row r="1847" spans="1:12" x14ac:dyDescent="0.3">
      <c r="A1847" s="2">
        <v>38364</v>
      </c>
      <c r="B1847" t="s">
        <v>13</v>
      </c>
      <c r="D1847" s="2">
        <v>39095</v>
      </c>
      <c r="E1847">
        <v>7.25</v>
      </c>
      <c r="G1847" s="2">
        <v>39095</v>
      </c>
      <c r="H1847">
        <v>7.1630000000000003</v>
      </c>
      <c r="J1847" s="2">
        <v>39102</v>
      </c>
      <c r="K1847" s="3">
        <f t="shared" si="56"/>
        <v>7.25</v>
      </c>
      <c r="L1847" s="3">
        <f t="shared" si="57"/>
        <v>6.99</v>
      </c>
    </row>
    <row r="1848" spans="1:12" x14ac:dyDescent="0.3">
      <c r="A1848" s="2">
        <v>38365</v>
      </c>
      <c r="B1848" t="s">
        <v>13</v>
      </c>
      <c r="D1848" s="2">
        <v>39096</v>
      </c>
      <c r="E1848">
        <v>7.25</v>
      </c>
      <c r="G1848" s="2">
        <v>39096</v>
      </c>
      <c r="H1848">
        <v>7.1630000000000003</v>
      </c>
      <c r="J1848" s="2">
        <v>39103</v>
      </c>
      <c r="K1848" s="3">
        <f t="shared" si="56"/>
        <v>7.25</v>
      </c>
      <c r="L1848" s="3">
        <f t="shared" si="57"/>
        <v>6.99</v>
      </c>
    </row>
    <row r="1849" spans="1:12" x14ac:dyDescent="0.3">
      <c r="A1849" s="2">
        <v>38366</v>
      </c>
      <c r="B1849" t="s">
        <v>13</v>
      </c>
      <c r="D1849" s="2">
        <v>39097</v>
      </c>
      <c r="E1849">
        <v>7.25</v>
      </c>
      <c r="G1849" s="2">
        <v>39097</v>
      </c>
      <c r="H1849">
        <v>7.0460000000000003</v>
      </c>
      <c r="J1849" s="2">
        <v>39104</v>
      </c>
      <c r="K1849" s="3">
        <f t="shared" si="56"/>
        <v>7.25</v>
      </c>
      <c r="L1849" s="3">
        <f t="shared" si="57"/>
        <v>7.3630000000000004</v>
      </c>
    </row>
    <row r="1850" spans="1:12" x14ac:dyDescent="0.3">
      <c r="A1850" s="2">
        <v>38367</v>
      </c>
      <c r="B1850" t="s">
        <v>13</v>
      </c>
      <c r="D1850" s="2">
        <v>39098</v>
      </c>
      <c r="E1850">
        <v>7.25</v>
      </c>
      <c r="G1850" s="2">
        <v>39098</v>
      </c>
      <c r="H1850">
        <v>7.1959999999999997</v>
      </c>
      <c r="J1850" s="2">
        <v>39105</v>
      </c>
      <c r="K1850" s="3">
        <f t="shared" si="56"/>
        <v>7.25</v>
      </c>
      <c r="L1850" s="3">
        <f t="shared" si="57"/>
        <v>7.2949999999999999</v>
      </c>
    </row>
    <row r="1851" spans="1:12" x14ac:dyDescent="0.3">
      <c r="A1851" s="2">
        <v>38368</v>
      </c>
      <c r="B1851" t="s">
        <v>13</v>
      </c>
      <c r="D1851" s="2">
        <v>39099</v>
      </c>
      <c r="E1851">
        <v>7.25</v>
      </c>
      <c r="G1851" s="2">
        <v>39099</v>
      </c>
      <c r="H1851">
        <v>7.1029999999999998</v>
      </c>
      <c r="J1851" s="2">
        <v>39106</v>
      </c>
      <c r="K1851" s="3">
        <f t="shared" si="56"/>
        <v>7.25</v>
      </c>
      <c r="L1851" s="3">
        <f t="shared" si="57"/>
        <v>7.282</v>
      </c>
    </row>
    <row r="1852" spans="1:12" x14ac:dyDescent="0.3">
      <c r="A1852" s="2">
        <v>38369</v>
      </c>
      <c r="B1852" t="s">
        <v>13</v>
      </c>
      <c r="D1852" s="2">
        <v>39100</v>
      </c>
      <c r="E1852">
        <v>7.25</v>
      </c>
      <c r="G1852" s="2">
        <v>39100</v>
      </c>
      <c r="H1852">
        <v>7.1980000000000004</v>
      </c>
      <c r="J1852" s="2">
        <v>39107</v>
      </c>
      <c r="K1852" s="3">
        <f t="shared" si="56"/>
        <v>7.25</v>
      </c>
      <c r="L1852" s="3">
        <f t="shared" si="57"/>
        <v>7.3339999999999996</v>
      </c>
    </row>
    <row r="1853" spans="1:12" x14ac:dyDescent="0.3">
      <c r="A1853" s="2">
        <v>38370</v>
      </c>
      <c r="B1853" t="s">
        <v>13</v>
      </c>
      <c r="D1853" s="2">
        <v>39101</v>
      </c>
      <c r="E1853">
        <v>7.25</v>
      </c>
      <c r="G1853" s="2">
        <v>39101</v>
      </c>
      <c r="H1853">
        <v>6.99</v>
      </c>
      <c r="J1853" s="2">
        <v>39108</v>
      </c>
      <c r="K1853" s="3">
        <f t="shared" si="56"/>
        <v>7.25</v>
      </c>
      <c r="L1853" s="3">
        <f t="shared" si="57"/>
        <v>7.3339999999999996</v>
      </c>
    </row>
    <row r="1854" spans="1:12" x14ac:dyDescent="0.3">
      <c r="A1854" s="2">
        <v>38371</v>
      </c>
      <c r="B1854" t="s">
        <v>13</v>
      </c>
      <c r="D1854" s="2">
        <v>39102</v>
      </c>
      <c r="E1854">
        <v>7.25</v>
      </c>
      <c r="G1854" s="2">
        <v>39102</v>
      </c>
      <c r="H1854">
        <v>6.99</v>
      </c>
      <c r="J1854" s="2">
        <v>39109</v>
      </c>
      <c r="K1854" s="3">
        <f t="shared" si="56"/>
        <v>7.25</v>
      </c>
      <c r="L1854" s="3">
        <f t="shared" si="57"/>
        <v>7.3339999999999996</v>
      </c>
    </row>
    <row r="1855" spans="1:12" x14ac:dyDescent="0.3">
      <c r="A1855" s="2">
        <v>38372</v>
      </c>
      <c r="B1855" t="s">
        <v>13</v>
      </c>
      <c r="D1855" s="2">
        <v>39103</v>
      </c>
      <c r="E1855">
        <v>7.25</v>
      </c>
      <c r="G1855" s="2">
        <v>39103</v>
      </c>
      <c r="H1855">
        <v>6.99</v>
      </c>
      <c r="J1855" s="2">
        <v>39110</v>
      </c>
      <c r="K1855" s="3">
        <f t="shared" si="56"/>
        <v>7.25</v>
      </c>
      <c r="L1855" s="3">
        <f t="shared" si="57"/>
        <v>7.3339999999999996</v>
      </c>
    </row>
    <row r="1856" spans="1:12" x14ac:dyDescent="0.3">
      <c r="A1856" s="2">
        <v>38373</v>
      </c>
      <c r="B1856" t="s">
        <v>13</v>
      </c>
      <c r="D1856" s="2">
        <v>39104</v>
      </c>
      <c r="E1856">
        <v>7.25</v>
      </c>
      <c r="G1856" s="2">
        <v>39104</v>
      </c>
      <c r="H1856">
        <v>7.3630000000000004</v>
      </c>
      <c r="J1856" s="2">
        <v>39111</v>
      </c>
      <c r="K1856" s="3">
        <f t="shared" si="56"/>
        <v>7.25</v>
      </c>
      <c r="L1856" s="3">
        <f t="shared" si="57"/>
        <v>7.2750000000000004</v>
      </c>
    </row>
    <row r="1857" spans="1:12" x14ac:dyDescent="0.3">
      <c r="A1857" s="2">
        <v>38374</v>
      </c>
      <c r="B1857" t="s">
        <v>13</v>
      </c>
      <c r="D1857" s="2">
        <v>39105</v>
      </c>
      <c r="E1857">
        <v>7.25</v>
      </c>
      <c r="G1857" s="2">
        <v>39105</v>
      </c>
      <c r="H1857">
        <v>7.2949999999999999</v>
      </c>
      <c r="J1857" s="2">
        <v>39112</v>
      </c>
      <c r="K1857" s="3">
        <f t="shared" si="56"/>
        <v>7.25</v>
      </c>
      <c r="L1857" s="3">
        <f t="shared" si="57"/>
        <v>7.2750000000000004</v>
      </c>
    </row>
    <row r="1858" spans="1:12" x14ac:dyDescent="0.3">
      <c r="A1858" s="2">
        <v>38375</v>
      </c>
      <c r="B1858" t="s">
        <v>13</v>
      </c>
      <c r="D1858" s="2">
        <v>39106</v>
      </c>
      <c r="E1858">
        <v>7.25</v>
      </c>
      <c r="G1858" s="2">
        <v>39106</v>
      </c>
      <c r="H1858">
        <v>7.282</v>
      </c>
      <c r="J1858" s="2">
        <v>39113</v>
      </c>
      <c r="K1858" s="3">
        <f t="shared" si="56"/>
        <v>7.5</v>
      </c>
      <c r="L1858" s="3">
        <f t="shared" si="57"/>
        <v>7.2720000000000002</v>
      </c>
    </row>
    <row r="1859" spans="1:12" x14ac:dyDescent="0.3">
      <c r="A1859" s="2">
        <v>38376</v>
      </c>
      <c r="B1859" t="s">
        <v>13</v>
      </c>
      <c r="D1859" s="2">
        <v>39107</v>
      </c>
      <c r="E1859">
        <v>7.25</v>
      </c>
      <c r="G1859" s="2">
        <v>39107</v>
      </c>
      <c r="H1859">
        <v>7.3339999999999996</v>
      </c>
      <c r="J1859" s="2">
        <v>39114</v>
      </c>
      <c r="K1859" s="3">
        <f t="shared" ref="K1859:K1922" si="58">E1866</f>
        <v>7.5</v>
      </c>
      <c r="L1859" s="3">
        <f t="shared" ref="L1859:L1922" si="59">H1866</f>
        <v>7.2720000000000002</v>
      </c>
    </row>
    <row r="1860" spans="1:12" x14ac:dyDescent="0.3">
      <c r="A1860" s="2">
        <v>38377</v>
      </c>
      <c r="B1860" t="s">
        <v>13</v>
      </c>
      <c r="D1860" s="2">
        <v>39108</v>
      </c>
      <c r="E1860">
        <v>7.25</v>
      </c>
      <c r="G1860" s="2">
        <v>39108</v>
      </c>
      <c r="H1860">
        <v>7.3339999999999996</v>
      </c>
      <c r="J1860" s="2">
        <v>39115</v>
      </c>
      <c r="K1860" s="3">
        <f t="shared" si="58"/>
        <v>7.5</v>
      </c>
      <c r="L1860" s="3">
        <f t="shared" si="59"/>
        <v>7.274</v>
      </c>
    </row>
    <row r="1861" spans="1:12" x14ac:dyDescent="0.3">
      <c r="A1861" s="2">
        <v>38378</v>
      </c>
      <c r="B1861" t="s">
        <v>13</v>
      </c>
      <c r="D1861" s="2">
        <v>39109</v>
      </c>
      <c r="E1861">
        <v>7.25</v>
      </c>
      <c r="G1861" s="2">
        <v>39109</v>
      </c>
      <c r="H1861">
        <v>7.3339999999999996</v>
      </c>
      <c r="J1861" s="2">
        <v>39116</v>
      </c>
      <c r="K1861" s="3">
        <f t="shared" si="58"/>
        <v>7.5</v>
      </c>
      <c r="L1861" s="3">
        <f t="shared" si="59"/>
        <v>7.274</v>
      </c>
    </row>
    <row r="1862" spans="1:12" x14ac:dyDescent="0.3">
      <c r="A1862" s="2">
        <v>38379</v>
      </c>
      <c r="B1862" t="s">
        <v>13</v>
      </c>
      <c r="D1862" s="2">
        <v>39110</v>
      </c>
      <c r="E1862">
        <v>7.25</v>
      </c>
      <c r="G1862" s="2">
        <v>39110</v>
      </c>
      <c r="H1862">
        <v>7.3339999999999996</v>
      </c>
      <c r="J1862" s="2">
        <v>39117</v>
      </c>
      <c r="K1862" s="3">
        <f t="shared" si="58"/>
        <v>7.5</v>
      </c>
      <c r="L1862" s="3">
        <f t="shared" si="59"/>
        <v>7.274</v>
      </c>
    </row>
    <row r="1863" spans="1:12" x14ac:dyDescent="0.3">
      <c r="A1863" s="2">
        <v>38380</v>
      </c>
      <c r="B1863" t="s">
        <v>13</v>
      </c>
      <c r="D1863" s="2">
        <v>39111</v>
      </c>
      <c r="E1863">
        <v>7.25</v>
      </c>
      <c r="G1863" s="2">
        <v>39111</v>
      </c>
      <c r="H1863">
        <v>7.2750000000000004</v>
      </c>
      <c r="J1863" s="2">
        <v>39118</v>
      </c>
      <c r="K1863" s="3">
        <f t="shared" si="58"/>
        <v>7.5</v>
      </c>
      <c r="L1863" s="3">
        <f t="shared" si="59"/>
        <v>7.26</v>
      </c>
    </row>
    <row r="1864" spans="1:12" x14ac:dyDescent="0.3">
      <c r="A1864" s="2">
        <v>38381</v>
      </c>
      <c r="B1864" t="s">
        <v>13</v>
      </c>
      <c r="D1864" s="2">
        <v>39112</v>
      </c>
      <c r="E1864">
        <v>7.25</v>
      </c>
      <c r="G1864" s="2">
        <v>39112</v>
      </c>
      <c r="H1864">
        <v>7.2750000000000004</v>
      </c>
      <c r="J1864" s="2">
        <v>39119</v>
      </c>
      <c r="K1864" s="3">
        <f t="shared" si="58"/>
        <v>7.5</v>
      </c>
      <c r="L1864" s="3">
        <f t="shared" si="59"/>
        <v>7.3319999999999999</v>
      </c>
    </row>
    <row r="1865" spans="1:12" x14ac:dyDescent="0.3">
      <c r="A1865" s="2">
        <v>38382</v>
      </c>
      <c r="B1865" t="s">
        <v>13</v>
      </c>
      <c r="D1865" s="2">
        <v>39113</v>
      </c>
      <c r="E1865">
        <v>7.5</v>
      </c>
      <c r="G1865" s="2">
        <v>39113</v>
      </c>
      <c r="H1865">
        <v>7.2720000000000002</v>
      </c>
      <c r="J1865" s="2">
        <v>39120</v>
      </c>
      <c r="K1865" s="3">
        <f t="shared" si="58"/>
        <v>7.5</v>
      </c>
      <c r="L1865" s="3">
        <f t="shared" si="59"/>
        <v>7.4210000000000003</v>
      </c>
    </row>
    <row r="1866" spans="1:12" x14ac:dyDescent="0.3">
      <c r="A1866" s="2">
        <v>38383</v>
      </c>
      <c r="B1866" t="s">
        <v>13</v>
      </c>
      <c r="D1866" s="2">
        <v>39114</v>
      </c>
      <c r="E1866">
        <v>7.5</v>
      </c>
      <c r="G1866" s="2">
        <v>39114</v>
      </c>
      <c r="H1866">
        <v>7.2720000000000002</v>
      </c>
      <c r="J1866" s="2">
        <v>39121</v>
      </c>
      <c r="K1866" s="3">
        <f t="shared" si="58"/>
        <v>7.5</v>
      </c>
      <c r="L1866" s="3">
        <f t="shared" si="59"/>
        <v>7.55</v>
      </c>
    </row>
    <row r="1867" spans="1:12" x14ac:dyDescent="0.3">
      <c r="A1867" s="2">
        <v>38384</v>
      </c>
      <c r="B1867" t="s">
        <v>13</v>
      </c>
      <c r="D1867" s="2">
        <v>39115</v>
      </c>
      <c r="E1867">
        <v>7.5</v>
      </c>
      <c r="G1867" s="2">
        <v>39115</v>
      </c>
      <c r="H1867">
        <v>7.274</v>
      </c>
      <c r="J1867" s="2">
        <v>39122</v>
      </c>
      <c r="K1867" s="3">
        <f t="shared" si="58"/>
        <v>7.5</v>
      </c>
      <c r="L1867" s="3">
        <f t="shared" si="59"/>
        <v>7.6130000000000004</v>
      </c>
    </row>
    <row r="1868" spans="1:12" x14ac:dyDescent="0.3">
      <c r="A1868" s="2">
        <v>38385</v>
      </c>
      <c r="B1868" t="s">
        <v>13</v>
      </c>
      <c r="D1868" s="2">
        <v>39116</v>
      </c>
      <c r="E1868">
        <v>7.5</v>
      </c>
      <c r="G1868" s="2">
        <v>39116</v>
      </c>
      <c r="H1868">
        <v>7.274</v>
      </c>
      <c r="J1868" s="2">
        <v>39123</v>
      </c>
      <c r="K1868" s="3">
        <f t="shared" si="58"/>
        <v>7.5</v>
      </c>
      <c r="L1868" s="3">
        <f t="shared" si="59"/>
        <v>7.6130000000000004</v>
      </c>
    </row>
    <row r="1869" spans="1:12" x14ac:dyDescent="0.3">
      <c r="A1869" s="2">
        <v>38386</v>
      </c>
      <c r="B1869" t="s">
        <v>13</v>
      </c>
      <c r="D1869" s="2">
        <v>39117</v>
      </c>
      <c r="E1869">
        <v>7.5</v>
      </c>
      <c r="G1869" s="2">
        <v>39117</v>
      </c>
      <c r="H1869">
        <v>7.274</v>
      </c>
      <c r="J1869" s="2">
        <v>39124</v>
      </c>
      <c r="K1869" s="3">
        <f t="shared" si="58"/>
        <v>7.5</v>
      </c>
      <c r="L1869" s="3">
        <f t="shared" si="59"/>
        <v>7.6130000000000004</v>
      </c>
    </row>
    <row r="1870" spans="1:12" x14ac:dyDescent="0.3">
      <c r="A1870" s="2">
        <v>38387</v>
      </c>
      <c r="B1870" t="s">
        <v>13</v>
      </c>
      <c r="D1870" s="2">
        <v>39118</v>
      </c>
      <c r="E1870">
        <v>7.5</v>
      </c>
      <c r="G1870" s="2">
        <v>39118</v>
      </c>
      <c r="H1870">
        <v>7.26</v>
      </c>
      <c r="J1870" s="2">
        <v>39125</v>
      </c>
      <c r="K1870" s="3">
        <f t="shared" si="58"/>
        <v>7.5</v>
      </c>
      <c r="L1870" s="3">
        <f t="shared" si="59"/>
        <v>7.6</v>
      </c>
    </row>
    <row r="1871" spans="1:12" x14ac:dyDescent="0.3">
      <c r="A1871" s="2">
        <v>38388</v>
      </c>
      <c r="B1871" t="s">
        <v>13</v>
      </c>
      <c r="D1871" s="2">
        <v>39119</v>
      </c>
      <c r="E1871">
        <v>7.5</v>
      </c>
      <c r="G1871" s="2">
        <v>39119</v>
      </c>
      <c r="H1871">
        <v>7.3319999999999999</v>
      </c>
      <c r="J1871" s="2">
        <v>39126</v>
      </c>
      <c r="K1871" s="3">
        <f t="shared" si="58"/>
        <v>7.5</v>
      </c>
      <c r="L1871" s="3">
        <f t="shared" si="59"/>
        <v>7.6260000000000003</v>
      </c>
    </row>
    <row r="1872" spans="1:12" x14ac:dyDescent="0.3">
      <c r="A1872" s="2">
        <v>38389</v>
      </c>
      <c r="B1872" t="s">
        <v>13</v>
      </c>
      <c r="D1872" s="2">
        <v>39120</v>
      </c>
      <c r="E1872">
        <v>7.5</v>
      </c>
      <c r="G1872" s="2">
        <v>39120</v>
      </c>
      <c r="H1872">
        <v>7.4210000000000003</v>
      </c>
      <c r="J1872" s="2">
        <v>39127</v>
      </c>
      <c r="K1872" s="3">
        <f t="shared" si="58"/>
        <v>7.5</v>
      </c>
      <c r="L1872" s="3">
        <f t="shared" si="59"/>
        <v>7.7220000000000004</v>
      </c>
    </row>
    <row r="1873" spans="1:12" x14ac:dyDescent="0.3">
      <c r="A1873" s="2">
        <v>38390</v>
      </c>
      <c r="B1873" t="s">
        <v>13</v>
      </c>
      <c r="D1873" s="2">
        <v>39121</v>
      </c>
      <c r="E1873">
        <v>7.5</v>
      </c>
      <c r="G1873" s="2">
        <v>39121</v>
      </c>
      <c r="H1873">
        <v>7.55</v>
      </c>
      <c r="J1873" s="2">
        <v>39128</v>
      </c>
      <c r="K1873" s="3">
        <f t="shared" si="58"/>
        <v>7.5</v>
      </c>
      <c r="L1873" s="3">
        <f t="shared" si="59"/>
        <v>7.7080000000000002</v>
      </c>
    </row>
    <row r="1874" spans="1:12" x14ac:dyDescent="0.3">
      <c r="A1874" s="2">
        <v>38391</v>
      </c>
      <c r="B1874" t="s">
        <v>13</v>
      </c>
      <c r="D1874" s="2">
        <v>39122</v>
      </c>
      <c r="E1874">
        <v>7.5</v>
      </c>
      <c r="G1874" s="2">
        <v>39122</v>
      </c>
      <c r="H1874">
        <v>7.6130000000000004</v>
      </c>
      <c r="J1874" s="2">
        <v>39129</v>
      </c>
      <c r="K1874" s="3">
        <f t="shared" si="58"/>
        <v>7.5</v>
      </c>
      <c r="L1874" s="3">
        <f t="shared" si="59"/>
        <v>7.7080000000000002</v>
      </c>
    </row>
    <row r="1875" spans="1:12" x14ac:dyDescent="0.3">
      <c r="A1875" s="2">
        <v>38392</v>
      </c>
      <c r="B1875" t="s">
        <v>13</v>
      </c>
      <c r="D1875" s="2">
        <v>39123</v>
      </c>
      <c r="E1875">
        <v>7.5</v>
      </c>
      <c r="G1875" s="2">
        <v>39123</v>
      </c>
      <c r="H1875">
        <v>7.6130000000000004</v>
      </c>
      <c r="J1875" s="2">
        <v>39130</v>
      </c>
      <c r="K1875" s="3">
        <f t="shared" si="58"/>
        <v>7.5</v>
      </c>
      <c r="L1875" s="3">
        <f t="shared" si="59"/>
        <v>7.7080000000000002</v>
      </c>
    </row>
    <row r="1876" spans="1:12" x14ac:dyDescent="0.3">
      <c r="A1876" s="2">
        <v>38393</v>
      </c>
      <c r="B1876" t="s">
        <v>13</v>
      </c>
      <c r="D1876" s="2">
        <v>39124</v>
      </c>
      <c r="E1876">
        <v>7.5</v>
      </c>
      <c r="G1876" s="2">
        <v>39124</v>
      </c>
      <c r="H1876">
        <v>7.6130000000000004</v>
      </c>
      <c r="J1876" s="2">
        <v>39131</v>
      </c>
      <c r="K1876" s="3">
        <f t="shared" si="58"/>
        <v>7.5</v>
      </c>
      <c r="L1876" s="3">
        <f t="shared" si="59"/>
        <v>7.7080000000000002</v>
      </c>
    </row>
    <row r="1877" spans="1:12" x14ac:dyDescent="0.3">
      <c r="A1877" s="2">
        <v>38394</v>
      </c>
      <c r="B1877" t="s">
        <v>13</v>
      </c>
      <c r="D1877" s="2">
        <v>39125</v>
      </c>
      <c r="E1877">
        <v>7.5</v>
      </c>
      <c r="G1877" s="2">
        <v>39125</v>
      </c>
      <c r="H1877">
        <v>7.6</v>
      </c>
      <c r="J1877" s="2">
        <v>39132</v>
      </c>
      <c r="K1877" s="3">
        <f t="shared" si="58"/>
        <v>7.5</v>
      </c>
      <c r="L1877" s="3">
        <f t="shared" si="59"/>
        <v>7.7279999999999998</v>
      </c>
    </row>
    <row r="1878" spans="1:12" x14ac:dyDescent="0.3">
      <c r="A1878" s="2">
        <v>38395</v>
      </c>
      <c r="B1878" t="s">
        <v>13</v>
      </c>
      <c r="D1878" s="2">
        <v>39126</v>
      </c>
      <c r="E1878">
        <v>7.5</v>
      </c>
      <c r="G1878" s="2">
        <v>39126</v>
      </c>
      <c r="H1878">
        <v>7.6260000000000003</v>
      </c>
      <c r="J1878" s="2">
        <v>39133</v>
      </c>
      <c r="K1878" s="3">
        <f t="shared" si="58"/>
        <v>7.5</v>
      </c>
      <c r="L1878" s="3">
        <f t="shared" si="59"/>
        <v>7.6920000000000002</v>
      </c>
    </row>
    <row r="1879" spans="1:12" x14ac:dyDescent="0.3">
      <c r="A1879" s="2">
        <v>38396</v>
      </c>
      <c r="B1879" t="s">
        <v>13</v>
      </c>
      <c r="D1879" s="2">
        <v>39127</v>
      </c>
      <c r="E1879">
        <v>7.5</v>
      </c>
      <c r="G1879" s="2">
        <v>39127</v>
      </c>
      <c r="H1879">
        <v>7.7220000000000004</v>
      </c>
      <c r="J1879" s="2">
        <v>39134</v>
      </c>
      <c r="K1879" s="3">
        <f t="shared" si="58"/>
        <v>7.5</v>
      </c>
      <c r="L1879" s="3">
        <f t="shared" si="59"/>
        <v>7.7389999999999999</v>
      </c>
    </row>
    <row r="1880" spans="1:12" x14ac:dyDescent="0.3">
      <c r="A1880" s="2">
        <v>38397</v>
      </c>
      <c r="B1880" t="s">
        <v>13</v>
      </c>
      <c r="D1880" s="2">
        <v>39128</v>
      </c>
      <c r="E1880">
        <v>7.5</v>
      </c>
      <c r="G1880" s="2">
        <v>39128</v>
      </c>
      <c r="H1880">
        <v>7.7080000000000002</v>
      </c>
      <c r="J1880" s="2">
        <v>39135</v>
      </c>
      <c r="K1880" s="3">
        <f t="shared" si="58"/>
        <v>7.5</v>
      </c>
      <c r="L1880" s="3">
        <f t="shared" si="59"/>
        <v>7.7249999999999996</v>
      </c>
    </row>
    <row r="1881" spans="1:12" x14ac:dyDescent="0.3">
      <c r="A1881" s="2">
        <v>38398</v>
      </c>
      <c r="B1881" t="s">
        <v>13</v>
      </c>
      <c r="D1881" s="2">
        <v>39129</v>
      </c>
      <c r="E1881">
        <v>7.5</v>
      </c>
      <c r="G1881" s="2">
        <v>39129</v>
      </c>
      <c r="H1881">
        <v>7.7080000000000002</v>
      </c>
      <c r="J1881" s="2">
        <v>39136</v>
      </c>
      <c r="K1881" s="3">
        <f t="shared" si="58"/>
        <v>7.5</v>
      </c>
      <c r="L1881" s="3">
        <f t="shared" si="59"/>
        <v>7.6630000000000003</v>
      </c>
    </row>
    <row r="1882" spans="1:12" x14ac:dyDescent="0.3">
      <c r="A1882" s="2">
        <v>38399</v>
      </c>
      <c r="B1882" t="s">
        <v>13</v>
      </c>
      <c r="D1882" s="2">
        <v>39130</v>
      </c>
      <c r="E1882">
        <v>7.5</v>
      </c>
      <c r="G1882" s="2">
        <v>39130</v>
      </c>
      <c r="H1882">
        <v>7.7080000000000002</v>
      </c>
      <c r="J1882" s="2">
        <v>39137</v>
      </c>
      <c r="K1882" s="3">
        <f t="shared" si="58"/>
        <v>7.5</v>
      </c>
      <c r="L1882" s="3">
        <f t="shared" si="59"/>
        <v>7.6630000000000003</v>
      </c>
    </row>
    <row r="1883" spans="1:12" x14ac:dyDescent="0.3">
      <c r="A1883" s="2">
        <v>38400</v>
      </c>
      <c r="B1883" t="s">
        <v>13</v>
      </c>
      <c r="D1883" s="2">
        <v>39131</v>
      </c>
      <c r="E1883">
        <v>7.5</v>
      </c>
      <c r="G1883" s="2">
        <v>39131</v>
      </c>
      <c r="H1883">
        <v>7.7080000000000002</v>
      </c>
      <c r="J1883" s="2">
        <v>39138</v>
      </c>
      <c r="K1883" s="3">
        <f t="shared" si="58"/>
        <v>7.5</v>
      </c>
      <c r="L1883" s="3">
        <f t="shared" si="59"/>
        <v>7.6630000000000003</v>
      </c>
    </row>
    <row r="1884" spans="1:12" x14ac:dyDescent="0.3">
      <c r="A1884" s="2">
        <v>38401</v>
      </c>
      <c r="B1884" t="s">
        <v>13</v>
      </c>
      <c r="D1884" s="2">
        <v>39132</v>
      </c>
      <c r="E1884">
        <v>7.5</v>
      </c>
      <c r="G1884" s="2">
        <v>39132</v>
      </c>
      <c r="H1884">
        <v>7.7279999999999998</v>
      </c>
      <c r="J1884" s="2">
        <v>39139</v>
      </c>
      <c r="K1884" s="3">
        <f t="shared" si="58"/>
        <v>7.5</v>
      </c>
      <c r="L1884" s="3">
        <f t="shared" si="59"/>
        <v>7.577</v>
      </c>
    </row>
    <row r="1885" spans="1:12" x14ac:dyDescent="0.3">
      <c r="A1885" s="2">
        <v>38402</v>
      </c>
      <c r="B1885" t="s">
        <v>13</v>
      </c>
      <c r="D1885" s="2">
        <v>39133</v>
      </c>
      <c r="E1885">
        <v>7.5</v>
      </c>
      <c r="G1885" s="2">
        <v>39133</v>
      </c>
      <c r="H1885">
        <v>7.6920000000000002</v>
      </c>
      <c r="J1885" s="2">
        <v>39140</v>
      </c>
      <c r="K1885" s="3">
        <f t="shared" si="58"/>
        <v>7.5</v>
      </c>
      <c r="L1885" s="3">
        <f t="shared" si="59"/>
        <v>7.6310000000000002</v>
      </c>
    </row>
    <row r="1886" spans="1:12" x14ac:dyDescent="0.3">
      <c r="A1886" s="2">
        <v>38403</v>
      </c>
      <c r="B1886" t="s">
        <v>13</v>
      </c>
      <c r="D1886" s="2">
        <v>39134</v>
      </c>
      <c r="E1886">
        <v>7.5</v>
      </c>
      <c r="G1886" s="2">
        <v>39134</v>
      </c>
      <c r="H1886">
        <v>7.7389999999999999</v>
      </c>
      <c r="J1886" s="2">
        <v>39141</v>
      </c>
      <c r="K1886" s="3">
        <f t="shared" si="58"/>
        <v>7.5</v>
      </c>
      <c r="L1886" s="3">
        <f t="shared" si="59"/>
        <v>7.6509999999999998</v>
      </c>
    </row>
    <row r="1887" spans="1:12" x14ac:dyDescent="0.3">
      <c r="A1887" s="2">
        <v>38404</v>
      </c>
      <c r="B1887" t="s">
        <v>13</v>
      </c>
      <c r="D1887" s="2">
        <v>39135</v>
      </c>
      <c r="E1887">
        <v>7.5</v>
      </c>
      <c r="G1887" s="2">
        <v>39135</v>
      </c>
      <c r="H1887">
        <v>7.7249999999999996</v>
      </c>
      <c r="J1887" s="2">
        <v>39142</v>
      </c>
      <c r="K1887" s="3">
        <f t="shared" si="58"/>
        <v>7.5</v>
      </c>
      <c r="L1887" s="3">
        <f t="shared" si="59"/>
        <v>7.5990000000000002</v>
      </c>
    </row>
    <row r="1888" spans="1:12" x14ac:dyDescent="0.3">
      <c r="A1888" s="2">
        <v>38405</v>
      </c>
      <c r="B1888" t="s">
        <v>13</v>
      </c>
      <c r="D1888" s="2">
        <v>39136</v>
      </c>
      <c r="E1888">
        <v>7.5</v>
      </c>
      <c r="G1888" s="2">
        <v>39136</v>
      </c>
      <c r="H1888">
        <v>7.6630000000000003</v>
      </c>
      <c r="J1888" s="2">
        <v>39143</v>
      </c>
      <c r="K1888" s="3">
        <f t="shared" si="58"/>
        <v>7.5</v>
      </c>
      <c r="L1888" s="3">
        <f t="shared" si="59"/>
        <v>7.6</v>
      </c>
    </row>
    <row r="1889" spans="1:12" x14ac:dyDescent="0.3">
      <c r="A1889" s="2">
        <v>38406</v>
      </c>
      <c r="B1889" t="s">
        <v>13</v>
      </c>
      <c r="D1889" s="2">
        <v>39137</v>
      </c>
      <c r="E1889">
        <v>7.5</v>
      </c>
      <c r="G1889" s="2">
        <v>39137</v>
      </c>
      <c r="H1889">
        <v>7.6630000000000003</v>
      </c>
      <c r="J1889" s="2">
        <v>39144</v>
      </c>
      <c r="K1889" s="3">
        <f t="shared" si="58"/>
        <v>7.5</v>
      </c>
      <c r="L1889" s="3">
        <f t="shared" si="59"/>
        <v>7.6</v>
      </c>
    </row>
    <row r="1890" spans="1:12" x14ac:dyDescent="0.3">
      <c r="A1890" s="2">
        <v>38407</v>
      </c>
      <c r="B1890" t="s">
        <v>13</v>
      </c>
      <c r="D1890" s="2">
        <v>39138</v>
      </c>
      <c r="E1890">
        <v>7.5</v>
      </c>
      <c r="G1890" s="2">
        <v>39138</v>
      </c>
      <c r="H1890">
        <v>7.6630000000000003</v>
      </c>
      <c r="J1890" s="2">
        <v>39145</v>
      </c>
      <c r="K1890" s="3">
        <f t="shared" si="58"/>
        <v>7.5</v>
      </c>
      <c r="L1890" s="3">
        <f t="shared" si="59"/>
        <v>7.6</v>
      </c>
    </row>
    <row r="1891" spans="1:12" x14ac:dyDescent="0.3">
      <c r="A1891" s="2">
        <v>38408</v>
      </c>
      <c r="B1891" t="s">
        <v>13</v>
      </c>
      <c r="D1891" s="2">
        <v>39139</v>
      </c>
      <c r="E1891">
        <v>7.5</v>
      </c>
      <c r="G1891" s="2">
        <v>39139</v>
      </c>
      <c r="H1891">
        <v>7.577</v>
      </c>
      <c r="J1891" s="2">
        <v>39146</v>
      </c>
      <c r="K1891" s="3">
        <f t="shared" si="58"/>
        <v>7.5</v>
      </c>
      <c r="L1891" s="3">
        <f t="shared" si="59"/>
        <v>7.5519999999999996</v>
      </c>
    </row>
    <row r="1892" spans="1:12" x14ac:dyDescent="0.3">
      <c r="A1892" s="2">
        <v>38409</v>
      </c>
      <c r="B1892" t="s">
        <v>13</v>
      </c>
      <c r="D1892" s="2">
        <v>39140</v>
      </c>
      <c r="E1892">
        <v>7.5</v>
      </c>
      <c r="G1892" s="2">
        <v>39140</v>
      </c>
      <c r="H1892">
        <v>7.6310000000000002</v>
      </c>
      <c r="J1892" s="2">
        <v>39147</v>
      </c>
      <c r="K1892" s="3">
        <f t="shared" si="58"/>
        <v>7.5</v>
      </c>
      <c r="L1892" s="3">
        <f t="shared" si="59"/>
        <v>7.5890000000000004</v>
      </c>
    </row>
    <row r="1893" spans="1:12" x14ac:dyDescent="0.3">
      <c r="A1893" s="2">
        <v>38410</v>
      </c>
      <c r="B1893" t="s">
        <v>13</v>
      </c>
      <c r="D1893" s="2">
        <v>39141</v>
      </c>
      <c r="E1893">
        <v>7.5</v>
      </c>
      <c r="G1893" s="2">
        <v>39141</v>
      </c>
      <c r="H1893">
        <v>7.6509999999999998</v>
      </c>
      <c r="J1893" s="2">
        <v>39148</v>
      </c>
      <c r="K1893" s="3">
        <f t="shared" si="58"/>
        <v>7.5</v>
      </c>
      <c r="L1893" s="3">
        <f t="shared" si="59"/>
        <v>7.6239999999999997</v>
      </c>
    </row>
    <row r="1894" spans="1:12" x14ac:dyDescent="0.3">
      <c r="A1894" s="2">
        <v>38411</v>
      </c>
      <c r="B1894" t="s">
        <v>13</v>
      </c>
      <c r="D1894" s="2">
        <v>39142</v>
      </c>
      <c r="E1894">
        <v>7.5</v>
      </c>
      <c r="G1894" s="2">
        <v>39142</v>
      </c>
      <c r="H1894">
        <v>7.5990000000000002</v>
      </c>
      <c r="J1894" s="2">
        <v>39149</v>
      </c>
      <c r="K1894" s="3">
        <f t="shared" si="58"/>
        <v>7.5</v>
      </c>
      <c r="L1894" s="3">
        <f t="shared" si="59"/>
        <v>7.6710000000000003</v>
      </c>
    </row>
    <row r="1895" spans="1:12" x14ac:dyDescent="0.3">
      <c r="A1895" s="2">
        <v>38412</v>
      </c>
      <c r="B1895" t="s">
        <v>13</v>
      </c>
      <c r="D1895" s="2">
        <v>39143</v>
      </c>
      <c r="E1895">
        <v>7.5</v>
      </c>
      <c r="G1895" s="2">
        <v>39143</v>
      </c>
      <c r="H1895">
        <v>7.6</v>
      </c>
      <c r="J1895" s="2">
        <v>39150</v>
      </c>
      <c r="K1895" s="3">
        <f t="shared" si="58"/>
        <v>7.5</v>
      </c>
      <c r="L1895" s="3">
        <f t="shared" si="59"/>
        <v>7.6630000000000003</v>
      </c>
    </row>
    <row r="1896" spans="1:12" x14ac:dyDescent="0.3">
      <c r="A1896" s="2">
        <v>38413</v>
      </c>
      <c r="B1896" t="s">
        <v>13</v>
      </c>
      <c r="D1896" s="2">
        <v>39144</v>
      </c>
      <c r="E1896">
        <v>7.5</v>
      </c>
      <c r="G1896" s="2">
        <v>39144</v>
      </c>
      <c r="H1896">
        <v>7.6</v>
      </c>
      <c r="J1896" s="2">
        <v>39151</v>
      </c>
      <c r="K1896" s="3">
        <f t="shared" si="58"/>
        <v>7.5</v>
      </c>
      <c r="L1896" s="3">
        <f t="shared" si="59"/>
        <v>7.6630000000000003</v>
      </c>
    </row>
    <row r="1897" spans="1:12" x14ac:dyDescent="0.3">
      <c r="A1897" s="2">
        <v>38414</v>
      </c>
      <c r="B1897" t="s">
        <v>13</v>
      </c>
      <c r="D1897" s="2">
        <v>39145</v>
      </c>
      <c r="E1897">
        <v>7.5</v>
      </c>
      <c r="G1897" s="2">
        <v>39145</v>
      </c>
      <c r="H1897">
        <v>7.6</v>
      </c>
      <c r="J1897" s="2">
        <v>39152</v>
      </c>
      <c r="K1897" s="3">
        <f t="shared" si="58"/>
        <v>7.5</v>
      </c>
      <c r="L1897" s="3">
        <f t="shared" si="59"/>
        <v>7.6630000000000003</v>
      </c>
    </row>
    <row r="1898" spans="1:12" x14ac:dyDescent="0.3">
      <c r="A1898" s="2">
        <v>38415</v>
      </c>
      <c r="B1898" t="s">
        <v>13</v>
      </c>
      <c r="D1898" s="2">
        <v>39146</v>
      </c>
      <c r="E1898">
        <v>7.5</v>
      </c>
      <c r="G1898" s="2">
        <v>39146</v>
      </c>
      <c r="H1898">
        <v>7.5519999999999996</v>
      </c>
      <c r="J1898" s="2">
        <v>39153</v>
      </c>
      <c r="K1898" s="3">
        <f t="shared" si="58"/>
        <v>7.5</v>
      </c>
      <c r="L1898" s="3">
        <f t="shared" si="59"/>
        <v>7.67</v>
      </c>
    </row>
    <row r="1899" spans="1:12" x14ac:dyDescent="0.3">
      <c r="A1899" s="2">
        <v>38416</v>
      </c>
      <c r="B1899" t="s">
        <v>13</v>
      </c>
      <c r="D1899" s="2">
        <v>39147</v>
      </c>
      <c r="E1899">
        <v>7.5</v>
      </c>
      <c r="G1899" s="2">
        <v>39147</v>
      </c>
      <c r="H1899">
        <v>7.5890000000000004</v>
      </c>
      <c r="J1899" s="2">
        <v>39154</v>
      </c>
      <c r="K1899" s="3">
        <f t="shared" si="58"/>
        <v>7.5</v>
      </c>
      <c r="L1899" s="3">
        <f t="shared" si="59"/>
        <v>7.6859999999999999</v>
      </c>
    </row>
    <row r="1900" spans="1:12" x14ac:dyDescent="0.3">
      <c r="A1900" s="2">
        <v>38417</v>
      </c>
      <c r="B1900" t="s">
        <v>13</v>
      </c>
      <c r="D1900" s="2">
        <v>39148</v>
      </c>
      <c r="E1900">
        <v>7.5</v>
      </c>
      <c r="G1900" s="2">
        <v>39148</v>
      </c>
      <c r="H1900">
        <v>7.6239999999999997</v>
      </c>
      <c r="J1900" s="2">
        <v>39155</v>
      </c>
      <c r="K1900" s="3">
        <f t="shared" si="58"/>
        <v>7.5</v>
      </c>
      <c r="L1900" s="3">
        <f t="shared" si="59"/>
        <v>7.6029999999999998</v>
      </c>
    </row>
    <row r="1901" spans="1:12" x14ac:dyDescent="0.3">
      <c r="A1901" s="2">
        <v>38418</v>
      </c>
      <c r="B1901" t="s">
        <v>13</v>
      </c>
      <c r="D1901" s="2">
        <v>39149</v>
      </c>
      <c r="E1901">
        <v>7.5</v>
      </c>
      <c r="G1901" s="2">
        <v>39149</v>
      </c>
      <c r="H1901">
        <v>7.6710000000000003</v>
      </c>
      <c r="J1901" s="2">
        <v>39156</v>
      </c>
      <c r="K1901" s="3">
        <f t="shared" si="58"/>
        <v>7.5</v>
      </c>
      <c r="L1901" s="3">
        <f t="shared" si="59"/>
        <v>7.6749999999999998</v>
      </c>
    </row>
    <row r="1902" spans="1:12" x14ac:dyDescent="0.3">
      <c r="A1902" s="2">
        <v>38419</v>
      </c>
      <c r="B1902" t="s">
        <v>13</v>
      </c>
      <c r="D1902" s="2">
        <v>39150</v>
      </c>
      <c r="E1902">
        <v>7.5</v>
      </c>
      <c r="G1902" s="2">
        <v>39150</v>
      </c>
      <c r="H1902">
        <v>7.6630000000000003</v>
      </c>
      <c r="J1902" s="2">
        <v>39157</v>
      </c>
      <c r="K1902" s="3">
        <f t="shared" si="58"/>
        <v>7.5</v>
      </c>
      <c r="L1902" s="3">
        <f t="shared" si="59"/>
        <v>7.6459999999999999</v>
      </c>
    </row>
    <row r="1903" spans="1:12" x14ac:dyDescent="0.3">
      <c r="A1903" s="2">
        <v>38420</v>
      </c>
      <c r="B1903" t="s">
        <v>13</v>
      </c>
      <c r="D1903" s="2">
        <v>39151</v>
      </c>
      <c r="E1903">
        <v>7.5</v>
      </c>
      <c r="G1903" s="2">
        <v>39151</v>
      </c>
      <c r="H1903">
        <v>7.6630000000000003</v>
      </c>
      <c r="J1903" s="2">
        <v>39158</v>
      </c>
      <c r="K1903" s="3">
        <f t="shared" si="58"/>
        <v>7.5</v>
      </c>
      <c r="L1903" s="3">
        <f t="shared" si="59"/>
        <v>7.6459999999999999</v>
      </c>
    </row>
    <row r="1904" spans="1:12" x14ac:dyDescent="0.3">
      <c r="A1904" s="2">
        <v>38421</v>
      </c>
      <c r="B1904" t="s">
        <v>13</v>
      </c>
      <c r="D1904" s="2">
        <v>39152</v>
      </c>
      <c r="E1904">
        <v>7.5</v>
      </c>
      <c r="G1904" s="2">
        <v>39152</v>
      </c>
      <c r="H1904">
        <v>7.6630000000000003</v>
      </c>
      <c r="J1904" s="2">
        <v>39159</v>
      </c>
      <c r="K1904" s="3">
        <f t="shared" si="58"/>
        <v>7.5</v>
      </c>
      <c r="L1904" s="3">
        <f t="shared" si="59"/>
        <v>7.6459999999999999</v>
      </c>
    </row>
    <row r="1905" spans="1:12" x14ac:dyDescent="0.3">
      <c r="A1905" s="2">
        <v>38422</v>
      </c>
      <c r="B1905" t="s">
        <v>13</v>
      </c>
      <c r="D1905" s="2">
        <v>39153</v>
      </c>
      <c r="E1905">
        <v>7.5</v>
      </c>
      <c r="G1905" s="2">
        <v>39153</v>
      </c>
      <c r="H1905">
        <v>7.67</v>
      </c>
      <c r="J1905" s="2">
        <v>39160</v>
      </c>
      <c r="K1905" s="3">
        <f t="shared" si="58"/>
        <v>7.5</v>
      </c>
      <c r="L1905" s="3">
        <f t="shared" si="59"/>
        <v>7.6459999999999999</v>
      </c>
    </row>
    <row r="1906" spans="1:12" x14ac:dyDescent="0.3">
      <c r="A1906" s="2">
        <v>38423</v>
      </c>
      <c r="B1906" t="s">
        <v>13</v>
      </c>
      <c r="D1906" s="2">
        <v>39154</v>
      </c>
      <c r="E1906">
        <v>7.5</v>
      </c>
      <c r="G1906" s="2">
        <v>39154</v>
      </c>
      <c r="H1906">
        <v>7.6859999999999999</v>
      </c>
      <c r="J1906" s="2">
        <v>39161</v>
      </c>
      <c r="K1906" s="3">
        <f t="shared" si="58"/>
        <v>7.5</v>
      </c>
      <c r="L1906" s="3">
        <f t="shared" si="59"/>
        <v>7.7089999999999996</v>
      </c>
    </row>
    <row r="1907" spans="1:12" x14ac:dyDescent="0.3">
      <c r="A1907" s="2">
        <v>38424</v>
      </c>
      <c r="B1907" t="s">
        <v>13</v>
      </c>
      <c r="D1907" s="2">
        <v>39155</v>
      </c>
      <c r="E1907">
        <v>7.5</v>
      </c>
      <c r="G1907" s="2">
        <v>39155</v>
      </c>
      <c r="H1907">
        <v>7.6029999999999998</v>
      </c>
      <c r="J1907" s="2">
        <v>39162</v>
      </c>
      <c r="K1907" s="3">
        <f t="shared" si="58"/>
        <v>7.5</v>
      </c>
      <c r="L1907" s="3">
        <f t="shared" si="59"/>
        <v>8.0259999999999998</v>
      </c>
    </row>
    <row r="1908" spans="1:12" x14ac:dyDescent="0.3">
      <c r="A1908" s="2">
        <v>38425</v>
      </c>
      <c r="B1908" t="s">
        <v>13</v>
      </c>
      <c r="D1908" s="2">
        <v>39156</v>
      </c>
      <c r="E1908">
        <v>7.5</v>
      </c>
      <c r="G1908" s="2">
        <v>39156</v>
      </c>
      <c r="H1908">
        <v>7.6749999999999998</v>
      </c>
      <c r="J1908" s="2">
        <v>39163</v>
      </c>
      <c r="K1908" s="3">
        <f t="shared" si="58"/>
        <v>7.5</v>
      </c>
      <c r="L1908" s="3">
        <f t="shared" si="59"/>
        <v>7.8630000000000004</v>
      </c>
    </row>
    <row r="1909" spans="1:12" x14ac:dyDescent="0.3">
      <c r="A1909" s="2">
        <v>38426</v>
      </c>
      <c r="B1909" t="s">
        <v>13</v>
      </c>
      <c r="D1909" s="2">
        <v>39157</v>
      </c>
      <c r="E1909">
        <v>7.5</v>
      </c>
      <c r="G1909" s="2">
        <v>39157</v>
      </c>
      <c r="H1909">
        <v>7.6459999999999999</v>
      </c>
      <c r="J1909" s="2">
        <v>39164</v>
      </c>
      <c r="K1909" s="3">
        <f t="shared" si="58"/>
        <v>7.5</v>
      </c>
      <c r="L1909" s="3">
        <f t="shared" si="59"/>
        <v>7.6870000000000003</v>
      </c>
    </row>
    <row r="1910" spans="1:12" x14ac:dyDescent="0.3">
      <c r="A1910" s="2">
        <v>38427</v>
      </c>
      <c r="B1910" t="s">
        <v>13</v>
      </c>
      <c r="D1910" s="2">
        <v>39158</v>
      </c>
      <c r="E1910">
        <v>7.5</v>
      </c>
      <c r="G1910" s="2">
        <v>39158</v>
      </c>
      <c r="H1910">
        <v>7.6459999999999999</v>
      </c>
      <c r="J1910" s="2">
        <v>39165</v>
      </c>
      <c r="K1910" s="3">
        <f t="shared" si="58"/>
        <v>7.5</v>
      </c>
      <c r="L1910" s="3">
        <f t="shared" si="59"/>
        <v>7.6870000000000003</v>
      </c>
    </row>
    <row r="1911" spans="1:12" x14ac:dyDescent="0.3">
      <c r="A1911" s="2">
        <v>38428</v>
      </c>
      <c r="B1911" t="s">
        <v>13</v>
      </c>
      <c r="D1911" s="2">
        <v>39159</v>
      </c>
      <c r="E1911">
        <v>7.5</v>
      </c>
      <c r="G1911" s="2">
        <v>39159</v>
      </c>
      <c r="H1911">
        <v>7.6459999999999999</v>
      </c>
      <c r="J1911" s="2">
        <v>39166</v>
      </c>
      <c r="K1911" s="3">
        <f t="shared" si="58"/>
        <v>7.5</v>
      </c>
      <c r="L1911" s="3">
        <f t="shared" si="59"/>
        <v>7.6870000000000003</v>
      </c>
    </row>
    <row r="1912" spans="1:12" x14ac:dyDescent="0.3">
      <c r="A1912" s="2">
        <v>38429</v>
      </c>
      <c r="B1912" t="s">
        <v>13</v>
      </c>
      <c r="D1912" s="2">
        <v>39160</v>
      </c>
      <c r="E1912">
        <v>7.5</v>
      </c>
      <c r="G1912" s="2">
        <v>39160</v>
      </c>
      <c r="H1912">
        <v>7.6459999999999999</v>
      </c>
      <c r="J1912" s="2">
        <v>39167</v>
      </c>
      <c r="K1912" s="3">
        <f t="shared" si="58"/>
        <v>7.5</v>
      </c>
      <c r="L1912" s="3">
        <f t="shared" si="59"/>
        <v>7.7089999999999996</v>
      </c>
    </row>
    <row r="1913" spans="1:12" x14ac:dyDescent="0.3">
      <c r="A1913" s="2">
        <v>38430</v>
      </c>
      <c r="B1913" t="s">
        <v>13</v>
      </c>
      <c r="D1913" s="2">
        <v>39161</v>
      </c>
      <c r="E1913">
        <v>7.5</v>
      </c>
      <c r="G1913" s="2">
        <v>39161</v>
      </c>
      <c r="H1913">
        <v>7.7089999999999996</v>
      </c>
      <c r="J1913" s="2">
        <v>39168</v>
      </c>
      <c r="K1913" s="3">
        <f t="shared" si="58"/>
        <v>7.5</v>
      </c>
      <c r="L1913" s="3">
        <f t="shared" si="59"/>
        <v>7.7089999999999996</v>
      </c>
    </row>
    <row r="1914" spans="1:12" x14ac:dyDescent="0.3">
      <c r="A1914" s="2">
        <v>38431</v>
      </c>
      <c r="B1914" t="s">
        <v>13</v>
      </c>
      <c r="D1914" s="2">
        <v>39162</v>
      </c>
      <c r="E1914">
        <v>7.5</v>
      </c>
      <c r="G1914" s="2">
        <v>39162</v>
      </c>
      <c r="H1914">
        <v>8.0259999999999998</v>
      </c>
      <c r="J1914" s="2">
        <v>39169</v>
      </c>
      <c r="K1914" s="3">
        <f t="shared" si="58"/>
        <v>7.5</v>
      </c>
      <c r="L1914" s="3">
        <f t="shared" si="59"/>
        <v>7.758</v>
      </c>
    </row>
    <row r="1915" spans="1:12" x14ac:dyDescent="0.3">
      <c r="A1915" s="2">
        <v>38432</v>
      </c>
      <c r="B1915" t="s">
        <v>13</v>
      </c>
      <c r="D1915" s="2">
        <v>39163</v>
      </c>
      <c r="E1915">
        <v>7.5</v>
      </c>
      <c r="G1915" s="2">
        <v>39163</v>
      </c>
      <c r="H1915">
        <v>7.8630000000000004</v>
      </c>
      <c r="J1915" s="2">
        <v>39170</v>
      </c>
      <c r="K1915" s="3">
        <f t="shared" si="58"/>
        <v>7.5</v>
      </c>
      <c r="L1915" s="3">
        <f t="shared" si="59"/>
        <v>7.6849999999999996</v>
      </c>
    </row>
    <row r="1916" spans="1:12" x14ac:dyDescent="0.3">
      <c r="A1916" s="2">
        <v>38433</v>
      </c>
      <c r="B1916" t="s">
        <v>13</v>
      </c>
      <c r="D1916" s="2">
        <v>39164</v>
      </c>
      <c r="E1916">
        <v>7.5</v>
      </c>
      <c r="G1916" s="2">
        <v>39164</v>
      </c>
      <c r="H1916">
        <v>7.6870000000000003</v>
      </c>
      <c r="J1916" s="2">
        <v>39171</v>
      </c>
      <c r="K1916" s="3">
        <f t="shared" si="58"/>
        <v>7.75</v>
      </c>
      <c r="L1916" s="3">
        <f t="shared" si="59"/>
        <v>7.633</v>
      </c>
    </row>
    <row r="1917" spans="1:12" x14ac:dyDescent="0.3">
      <c r="A1917" s="2">
        <v>38434</v>
      </c>
      <c r="B1917" t="s">
        <v>13</v>
      </c>
      <c r="D1917" s="2">
        <v>39165</v>
      </c>
      <c r="E1917">
        <v>7.5</v>
      </c>
      <c r="G1917" s="2">
        <v>39165</v>
      </c>
      <c r="H1917">
        <v>7.6870000000000003</v>
      </c>
      <c r="J1917" s="2">
        <v>39172</v>
      </c>
      <c r="K1917" s="3">
        <f t="shared" si="58"/>
        <v>7.75</v>
      </c>
      <c r="L1917" s="3">
        <f t="shared" si="59"/>
        <v>7.633</v>
      </c>
    </row>
    <row r="1918" spans="1:12" x14ac:dyDescent="0.3">
      <c r="A1918" s="2">
        <v>38435</v>
      </c>
      <c r="B1918" t="s">
        <v>13</v>
      </c>
      <c r="D1918" s="2">
        <v>39166</v>
      </c>
      <c r="E1918">
        <v>7.5</v>
      </c>
      <c r="G1918" s="2">
        <v>39166</v>
      </c>
      <c r="H1918">
        <v>7.6870000000000003</v>
      </c>
      <c r="J1918" s="2">
        <v>39173</v>
      </c>
      <c r="K1918" s="3">
        <f t="shared" si="58"/>
        <v>7.75</v>
      </c>
      <c r="L1918" s="3">
        <f t="shared" si="59"/>
        <v>7.633</v>
      </c>
    </row>
    <row r="1919" spans="1:12" x14ac:dyDescent="0.3">
      <c r="A1919" s="2">
        <v>38436</v>
      </c>
      <c r="B1919" t="s">
        <v>13</v>
      </c>
      <c r="D1919" s="2">
        <v>39167</v>
      </c>
      <c r="E1919">
        <v>7.5</v>
      </c>
      <c r="G1919" s="2">
        <v>39167</v>
      </c>
      <c r="H1919">
        <v>7.7089999999999996</v>
      </c>
      <c r="J1919" s="2">
        <v>39174</v>
      </c>
      <c r="K1919" s="3">
        <f t="shared" si="58"/>
        <v>7.75</v>
      </c>
      <c r="L1919" s="3">
        <f t="shared" si="59"/>
        <v>7.633</v>
      </c>
    </row>
    <row r="1920" spans="1:12" x14ac:dyDescent="0.3">
      <c r="A1920" s="2">
        <v>38437</v>
      </c>
      <c r="B1920" t="s">
        <v>13</v>
      </c>
      <c r="D1920" s="2">
        <v>39168</v>
      </c>
      <c r="E1920">
        <v>7.5</v>
      </c>
      <c r="G1920" s="2">
        <v>39168</v>
      </c>
      <c r="H1920">
        <v>7.7089999999999996</v>
      </c>
      <c r="J1920" s="2">
        <v>39175</v>
      </c>
      <c r="K1920" s="3">
        <f t="shared" si="58"/>
        <v>7.75</v>
      </c>
      <c r="L1920" s="3">
        <f t="shared" si="59"/>
        <v>8.0939999999999994</v>
      </c>
    </row>
    <row r="1921" spans="1:12" x14ac:dyDescent="0.3">
      <c r="A1921" s="2">
        <v>38438</v>
      </c>
      <c r="B1921" t="s">
        <v>13</v>
      </c>
      <c r="D1921" s="2">
        <v>39169</v>
      </c>
      <c r="E1921">
        <v>7.5</v>
      </c>
      <c r="G1921" s="2">
        <v>39169</v>
      </c>
      <c r="H1921">
        <v>7.758</v>
      </c>
      <c r="J1921" s="2">
        <v>39176</v>
      </c>
      <c r="K1921" s="3">
        <f t="shared" si="58"/>
        <v>7.75</v>
      </c>
      <c r="L1921" s="3">
        <f t="shared" si="59"/>
        <v>8.0920000000000005</v>
      </c>
    </row>
    <row r="1922" spans="1:12" x14ac:dyDescent="0.3">
      <c r="A1922" s="2">
        <v>38439</v>
      </c>
      <c r="B1922" t="s">
        <v>13</v>
      </c>
      <c r="D1922" s="2">
        <v>39170</v>
      </c>
      <c r="E1922">
        <v>7.5</v>
      </c>
      <c r="G1922" s="2">
        <v>39170</v>
      </c>
      <c r="H1922">
        <v>7.6849999999999996</v>
      </c>
      <c r="J1922" s="2">
        <v>39177</v>
      </c>
      <c r="K1922" s="3">
        <f t="shared" si="58"/>
        <v>7.75</v>
      </c>
      <c r="L1922" s="3">
        <f t="shared" si="59"/>
        <v>7.96</v>
      </c>
    </row>
    <row r="1923" spans="1:12" x14ac:dyDescent="0.3">
      <c r="A1923" s="2">
        <v>38440</v>
      </c>
      <c r="B1923" t="s">
        <v>13</v>
      </c>
      <c r="D1923" s="2">
        <v>39171</v>
      </c>
      <c r="E1923">
        <v>7.75</v>
      </c>
      <c r="G1923" s="2">
        <v>39171</v>
      </c>
      <c r="H1923">
        <v>7.633</v>
      </c>
      <c r="J1923" s="2">
        <v>39178</v>
      </c>
      <c r="K1923" s="3">
        <f t="shared" ref="K1923:K1986" si="60">E1930</f>
        <v>7.75</v>
      </c>
      <c r="L1923" s="3">
        <f t="shared" ref="L1923:L1986" si="61">H1930</f>
        <v>7.96</v>
      </c>
    </row>
    <row r="1924" spans="1:12" x14ac:dyDescent="0.3">
      <c r="A1924" s="2">
        <v>38441</v>
      </c>
      <c r="B1924" t="s">
        <v>13</v>
      </c>
      <c r="D1924" s="2">
        <v>39172</v>
      </c>
      <c r="E1924">
        <v>7.75</v>
      </c>
      <c r="G1924" s="2">
        <v>39172</v>
      </c>
      <c r="H1924">
        <v>7.633</v>
      </c>
      <c r="J1924" s="2">
        <v>39179</v>
      </c>
      <c r="K1924" s="3">
        <f t="shared" si="60"/>
        <v>7.75</v>
      </c>
      <c r="L1924" s="3">
        <f t="shared" si="61"/>
        <v>7.96</v>
      </c>
    </row>
    <row r="1925" spans="1:12" x14ac:dyDescent="0.3">
      <c r="A1925" s="2">
        <v>38442</v>
      </c>
      <c r="B1925" t="s">
        <v>13</v>
      </c>
      <c r="D1925" s="2">
        <v>39173</v>
      </c>
      <c r="E1925">
        <v>7.75</v>
      </c>
      <c r="G1925" s="2">
        <v>39173</v>
      </c>
      <c r="H1925">
        <v>7.633</v>
      </c>
      <c r="J1925" s="2">
        <v>39180</v>
      </c>
      <c r="K1925" s="3">
        <f t="shared" si="60"/>
        <v>7.75</v>
      </c>
      <c r="L1925" s="3">
        <f t="shared" si="61"/>
        <v>7.96</v>
      </c>
    </row>
    <row r="1926" spans="1:12" x14ac:dyDescent="0.3">
      <c r="A1926" s="2">
        <v>38443</v>
      </c>
      <c r="B1926" t="s">
        <v>13</v>
      </c>
      <c r="D1926" s="2">
        <v>39174</v>
      </c>
      <c r="E1926">
        <v>7.75</v>
      </c>
      <c r="G1926" s="2">
        <v>39174</v>
      </c>
      <c r="H1926">
        <v>7.633</v>
      </c>
      <c r="J1926" s="2">
        <v>39181</v>
      </c>
      <c r="K1926" s="3">
        <f t="shared" si="60"/>
        <v>7.75</v>
      </c>
      <c r="L1926" s="3">
        <f t="shared" si="61"/>
        <v>8.0299999999999994</v>
      </c>
    </row>
    <row r="1927" spans="1:12" x14ac:dyDescent="0.3">
      <c r="A1927" s="2">
        <v>38444</v>
      </c>
      <c r="B1927" t="s">
        <v>13</v>
      </c>
      <c r="D1927" s="2">
        <v>39175</v>
      </c>
      <c r="E1927">
        <v>7.75</v>
      </c>
      <c r="G1927" s="2">
        <v>39175</v>
      </c>
      <c r="H1927">
        <v>8.0939999999999994</v>
      </c>
      <c r="J1927" s="2">
        <v>39182</v>
      </c>
      <c r="K1927" s="3">
        <f t="shared" si="60"/>
        <v>7.75</v>
      </c>
      <c r="L1927" s="3">
        <f t="shared" si="61"/>
        <v>7.9169999999999998</v>
      </c>
    </row>
    <row r="1928" spans="1:12" x14ac:dyDescent="0.3">
      <c r="A1928" s="2">
        <v>38445</v>
      </c>
      <c r="B1928" t="s">
        <v>13</v>
      </c>
      <c r="D1928" s="2">
        <v>39176</v>
      </c>
      <c r="E1928">
        <v>7.75</v>
      </c>
      <c r="G1928" s="2">
        <v>39176</v>
      </c>
      <c r="H1928">
        <v>8.0920000000000005</v>
      </c>
      <c r="J1928" s="2">
        <v>39183</v>
      </c>
      <c r="K1928" s="3">
        <f t="shared" si="60"/>
        <v>7.75</v>
      </c>
      <c r="L1928" s="3">
        <f t="shared" si="61"/>
        <v>7.9379999999999997</v>
      </c>
    </row>
    <row r="1929" spans="1:12" x14ac:dyDescent="0.3">
      <c r="A1929" s="2">
        <v>38446</v>
      </c>
      <c r="B1929" t="s">
        <v>13</v>
      </c>
      <c r="D1929" s="2">
        <v>39177</v>
      </c>
      <c r="E1929">
        <v>7.75</v>
      </c>
      <c r="G1929" s="2">
        <v>39177</v>
      </c>
      <c r="H1929">
        <v>7.96</v>
      </c>
      <c r="J1929" s="2">
        <v>39184</v>
      </c>
      <c r="K1929" s="3">
        <f t="shared" si="60"/>
        <v>7.75</v>
      </c>
      <c r="L1929" s="3">
        <f t="shared" si="61"/>
        <v>7.9249999999999998</v>
      </c>
    </row>
    <row r="1930" spans="1:12" x14ac:dyDescent="0.3">
      <c r="A1930" s="2">
        <v>38447</v>
      </c>
      <c r="B1930" t="s">
        <v>13</v>
      </c>
      <c r="D1930" s="2">
        <v>39178</v>
      </c>
      <c r="E1930">
        <v>7.75</v>
      </c>
      <c r="G1930" s="2">
        <v>39178</v>
      </c>
      <c r="H1930">
        <v>7.96</v>
      </c>
      <c r="J1930" s="2">
        <v>39185</v>
      </c>
      <c r="K1930" s="3">
        <f t="shared" si="60"/>
        <v>7.75</v>
      </c>
      <c r="L1930" s="3">
        <f t="shared" si="61"/>
        <v>7.9119999999999999</v>
      </c>
    </row>
    <row r="1931" spans="1:12" x14ac:dyDescent="0.3">
      <c r="A1931" s="2">
        <v>38448</v>
      </c>
      <c r="B1931" t="s">
        <v>13</v>
      </c>
      <c r="D1931" s="2">
        <v>39179</v>
      </c>
      <c r="E1931">
        <v>7.75</v>
      </c>
      <c r="G1931" s="2">
        <v>39179</v>
      </c>
      <c r="H1931">
        <v>7.96</v>
      </c>
      <c r="J1931" s="2">
        <v>39186</v>
      </c>
      <c r="K1931" s="3">
        <f t="shared" si="60"/>
        <v>7.75</v>
      </c>
      <c r="L1931" s="3">
        <f t="shared" si="61"/>
        <v>7.9119999999999999</v>
      </c>
    </row>
    <row r="1932" spans="1:12" x14ac:dyDescent="0.3">
      <c r="A1932" s="2">
        <v>38449</v>
      </c>
      <c r="B1932" t="s">
        <v>13</v>
      </c>
      <c r="D1932" s="2">
        <v>39180</v>
      </c>
      <c r="E1932">
        <v>7.75</v>
      </c>
      <c r="G1932" s="2">
        <v>39180</v>
      </c>
      <c r="H1932">
        <v>7.96</v>
      </c>
      <c r="J1932" s="2">
        <v>39187</v>
      </c>
      <c r="K1932" s="3">
        <f t="shared" si="60"/>
        <v>7.75</v>
      </c>
      <c r="L1932" s="3">
        <f t="shared" si="61"/>
        <v>7.9119999999999999</v>
      </c>
    </row>
    <row r="1933" spans="1:12" x14ac:dyDescent="0.3">
      <c r="A1933" s="2">
        <v>38450</v>
      </c>
      <c r="B1933" t="s">
        <v>13</v>
      </c>
      <c r="D1933" s="2">
        <v>39181</v>
      </c>
      <c r="E1933">
        <v>7.75</v>
      </c>
      <c r="G1933" s="2">
        <v>39181</v>
      </c>
      <c r="H1933">
        <v>8.0299999999999994</v>
      </c>
      <c r="J1933" s="2">
        <v>39188</v>
      </c>
      <c r="K1933" s="3">
        <f t="shared" si="60"/>
        <v>7.75</v>
      </c>
      <c r="L1933" s="3">
        <f t="shared" si="61"/>
        <v>7.95</v>
      </c>
    </row>
    <row r="1934" spans="1:12" x14ac:dyDescent="0.3">
      <c r="A1934" s="2">
        <v>38451</v>
      </c>
      <c r="B1934" t="s">
        <v>13</v>
      </c>
      <c r="D1934" s="2">
        <v>39182</v>
      </c>
      <c r="E1934">
        <v>7.75</v>
      </c>
      <c r="G1934" s="2">
        <v>39182</v>
      </c>
      <c r="H1934">
        <v>7.9169999999999998</v>
      </c>
      <c r="J1934" s="2">
        <v>39189</v>
      </c>
      <c r="K1934" s="3">
        <f t="shared" si="60"/>
        <v>7.75</v>
      </c>
      <c r="L1934" s="3">
        <f t="shared" si="61"/>
        <v>7.9269999999999996</v>
      </c>
    </row>
    <row r="1935" spans="1:12" x14ac:dyDescent="0.3">
      <c r="A1935" s="2">
        <v>38452</v>
      </c>
      <c r="B1935" t="s">
        <v>13</v>
      </c>
      <c r="D1935" s="2">
        <v>39183</v>
      </c>
      <c r="E1935">
        <v>7.75</v>
      </c>
      <c r="G1935" s="2">
        <v>39183</v>
      </c>
      <c r="H1935">
        <v>7.9379999999999997</v>
      </c>
      <c r="J1935" s="2">
        <v>39190</v>
      </c>
      <c r="K1935" s="3">
        <f t="shared" si="60"/>
        <v>7.75</v>
      </c>
      <c r="L1935" s="3">
        <f t="shared" si="61"/>
        <v>7.8739999999999997</v>
      </c>
    </row>
    <row r="1936" spans="1:12" x14ac:dyDescent="0.3">
      <c r="A1936" s="2">
        <v>38453</v>
      </c>
      <c r="B1936" t="s">
        <v>13</v>
      </c>
      <c r="D1936" s="2">
        <v>39184</v>
      </c>
      <c r="E1936">
        <v>7.75</v>
      </c>
      <c r="G1936" s="2">
        <v>39184</v>
      </c>
      <c r="H1936">
        <v>7.9249999999999998</v>
      </c>
      <c r="J1936" s="2">
        <v>39191</v>
      </c>
      <c r="K1936" s="3">
        <f t="shared" si="60"/>
        <v>7.75</v>
      </c>
      <c r="L1936" s="3">
        <f t="shared" si="61"/>
        <v>7.94</v>
      </c>
    </row>
    <row r="1937" spans="1:12" x14ac:dyDescent="0.3">
      <c r="A1937" s="2">
        <v>38454</v>
      </c>
      <c r="B1937" t="s">
        <v>13</v>
      </c>
      <c r="D1937" s="2">
        <v>39185</v>
      </c>
      <c r="E1937">
        <v>7.75</v>
      </c>
      <c r="G1937" s="2">
        <v>39185</v>
      </c>
      <c r="H1937">
        <v>7.9119999999999999</v>
      </c>
      <c r="J1937" s="2">
        <v>39192</v>
      </c>
      <c r="K1937" s="3">
        <f t="shared" si="60"/>
        <v>7.75</v>
      </c>
      <c r="L1937" s="3">
        <f t="shared" si="61"/>
        <v>7.9459999999999997</v>
      </c>
    </row>
    <row r="1938" spans="1:12" x14ac:dyDescent="0.3">
      <c r="A1938" s="2">
        <v>38455</v>
      </c>
      <c r="B1938" t="s">
        <v>13</v>
      </c>
      <c r="D1938" s="2">
        <v>39186</v>
      </c>
      <c r="E1938">
        <v>7.75</v>
      </c>
      <c r="G1938" s="2">
        <v>39186</v>
      </c>
      <c r="H1938">
        <v>7.9119999999999999</v>
      </c>
      <c r="J1938" s="2">
        <v>39193</v>
      </c>
      <c r="K1938" s="3">
        <f t="shared" si="60"/>
        <v>7.75</v>
      </c>
      <c r="L1938" s="3">
        <f t="shared" si="61"/>
        <v>7.9459999999999997</v>
      </c>
    </row>
    <row r="1939" spans="1:12" x14ac:dyDescent="0.3">
      <c r="A1939" s="2">
        <v>38456</v>
      </c>
      <c r="B1939" t="s">
        <v>13</v>
      </c>
      <c r="D1939" s="2">
        <v>39187</v>
      </c>
      <c r="E1939">
        <v>7.75</v>
      </c>
      <c r="G1939" s="2">
        <v>39187</v>
      </c>
      <c r="H1939">
        <v>7.9119999999999999</v>
      </c>
      <c r="J1939" s="2">
        <v>39194</v>
      </c>
      <c r="K1939" s="3">
        <f t="shared" si="60"/>
        <v>7.75</v>
      </c>
      <c r="L1939" s="3">
        <f t="shared" si="61"/>
        <v>7.9459999999999997</v>
      </c>
    </row>
    <row r="1940" spans="1:12" x14ac:dyDescent="0.3">
      <c r="A1940" s="2">
        <v>38457</v>
      </c>
      <c r="B1940" t="s">
        <v>13</v>
      </c>
      <c r="D1940" s="2">
        <v>39188</v>
      </c>
      <c r="E1940">
        <v>7.75</v>
      </c>
      <c r="G1940" s="2">
        <v>39188</v>
      </c>
      <c r="H1940">
        <v>7.95</v>
      </c>
      <c r="J1940" s="2">
        <v>39195</v>
      </c>
      <c r="K1940" s="3">
        <f t="shared" si="60"/>
        <v>7.75</v>
      </c>
      <c r="L1940" s="3">
        <f t="shared" si="61"/>
        <v>7.8739999999999997</v>
      </c>
    </row>
    <row r="1941" spans="1:12" x14ac:dyDescent="0.3">
      <c r="A1941" s="2">
        <v>38458</v>
      </c>
      <c r="B1941" t="s">
        <v>13</v>
      </c>
      <c r="D1941" s="2">
        <v>39189</v>
      </c>
      <c r="E1941">
        <v>7.75</v>
      </c>
      <c r="G1941" s="2">
        <v>39189</v>
      </c>
      <c r="H1941">
        <v>7.9269999999999996</v>
      </c>
      <c r="J1941" s="2">
        <v>39196</v>
      </c>
      <c r="K1941" s="3">
        <f t="shared" si="60"/>
        <v>7.75</v>
      </c>
      <c r="L1941" s="3">
        <f t="shared" si="61"/>
        <v>7.7270000000000003</v>
      </c>
    </row>
    <row r="1942" spans="1:12" x14ac:dyDescent="0.3">
      <c r="A1942" s="2">
        <v>38459</v>
      </c>
      <c r="B1942" t="s">
        <v>13</v>
      </c>
      <c r="D1942" s="2">
        <v>39190</v>
      </c>
      <c r="E1942">
        <v>7.75</v>
      </c>
      <c r="G1942" s="2">
        <v>39190</v>
      </c>
      <c r="H1942">
        <v>7.8739999999999997</v>
      </c>
      <c r="J1942" s="2">
        <v>39197</v>
      </c>
      <c r="K1942" s="3">
        <f t="shared" si="60"/>
        <v>7.75</v>
      </c>
      <c r="L1942" s="3">
        <f t="shared" si="61"/>
        <v>7.8230000000000004</v>
      </c>
    </row>
    <row r="1943" spans="1:12" x14ac:dyDescent="0.3">
      <c r="A1943" s="2">
        <v>38460</v>
      </c>
      <c r="B1943" t="s">
        <v>13</v>
      </c>
      <c r="D1943" s="2">
        <v>39191</v>
      </c>
      <c r="E1943">
        <v>7.75</v>
      </c>
      <c r="G1943" s="2">
        <v>39191</v>
      </c>
      <c r="H1943">
        <v>7.94</v>
      </c>
      <c r="J1943" s="2">
        <v>39198</v>
      </c>
      <c r="K1943" s="3">
        <f t="shared" si="60"/>
        <v>7.75</v>
      </c>
      <c r="L1943" s="3">
        <f t="shared" si="61"/>
        <v>7.8319999999999999</v>
      </c>
    </row>
    <row r="1944" spans="1:12" x14ac:dyDescent="0.3">
      <c r="A1944" s="2">
        <v>38461</v>
      </c>
      <c r="B1944" t="s">
        <v>13</v>
      </c>
      <c r="D1944" s="2">
        <v>39192</v>
      </c>
      <c r="E1944">
        <v>7.75</v>
      </c>
      <c r="G1944" s="2">
        <v>39192</v>
      </c>
      <c r="H1944">
        <v>7.9459999999999997</v>
      </c>
      <c r="J1944" s="2">
        <v>39199</v>
      </c>
      <c r="K1944" s="3">
        <f t="shared" si="60"/>
        <v>7.75</v>
      </c>
      <c r="L1944" s="3">
        <f t="shared" si="61"/>
        <v>7.8419999999999996</v>
      </c>
    </row>
    <row r="1945" spans="1:12" x14ac:dyDescent="0.3">
      <c r="A1945" s="2">
        <v>38462</v>
      </c>
      <c r="B1945" t="s">
        <v>13</v>
      </c>
      <c r="D1945" s="2">
        <v>39193</v>
      </c>
      <c r="E1945">
        <v>7.75</v>
      </c>
      <c r="G1945" s="2">
        <v>39193</v>
      </c>
      <c r="H1945">
        <v>7.9459999999999997</v>
      </c>
      <c r="J1945" s="2">
        <v>39200</v>
      </c>
      <c r="K1945" s="3">
        <f t="shared" si="60"/>
        <v>7.75</v>
      </c>
      <c r="L1945" s="3">
        <f t="shared" si="61"/>
        <v>7.8419999999999996</v>
      </c>
    </row>
    <row r="1946" spans="1:12" x14ac:dyDescent="0.3">
      <c r="A1946" s="2">
        <v>38463</v>
      </c>
      <c r="B1946" t="s">
        <v>13</v>
      </c>
      <c r="D1946" s="2">
        <v>39194</v>
      </c>
      <c r="E1946">
        <v>7.75</v>
      </c>
      <c r="G1946" s="2">
        <v>39194</v>
      </c>
      <c r="H1946">
        <v>7.9459999999999997</v>
      </c>
      <c r="J1946" s="2">
        <v>39201</v>
      </c>
      <c r="K1946" s="3">
        <f t="shared" si="60"/>
        <v>7.75</v>
      </c>
      <c r="L1946" s="3">
        <f t="shared" si="61"/>
        <v>7.8419999999999996</v>
      </c>
    </row>
    <row r="1947" spans="1:12" x14ac:dyDescent="0.3">
      <c r="A1947" s="2">
        <v>38464</v>
      </c>
      <c r="B1947" t="s">
        <v>13</v>
      </c>
      <c r="D1947" s="2">
        <v>39195</v>
      </c>
      <c r="E1947">
        <v>7.75</v>
      </c>
      <c r="G1947" s="2">
        <v>39195</v>
      </c>
      <c r="H1947">
        <v>7.8739999999999997</v>
      </c>
      <c r="J1947" s="2">
        <v>39202</v>
      </c>
      <c r="K1947" s="3">
        <f t="shared" si="60"/>
        <v>7.75</v>
      </c>
      <c r="L1947" s="3">
        <f t="shared" si="61"/>
        <v>7.9489999999999998</v>
      </c>
    </row>
    <row r="1948" spans="1:12" x14ac:dyDescent="0.3">
      <c r="A1948" s="2">
        <v>38465</v>
      </c>
      <c r="B1948" t="s">
        <v>13</v>
      </c>
      <c r="D1948" s="2">
        <v>39196</v>
      </c>
      <c r="E1948">
        <v>7.75</v>
      </c>
      <c r="G1948" s="2">
        <v>39196</v>
      </c>
      <c r="H1948">
        <v>7.7270000000000003</v>
      </c>
      <c r="J1948" s="2">
        <v>39203</v>
      </c>
      <c r="K1948" s="3">
        <f t="shared" si="60"/>
        <v>7.75</v>
      </c>
      <c r="L1948" s="3">
        <f t="shared" si="61"/>
        <v>7.9489999999999998</v>
      </c>
    </row>
    <row r="1949" spans="1:12" x14ac:dyDescent="0.3">
      <c r="A1949" s="2">
        <v>38466</v>
      </c>
      <c r="B1949" t="s">
        <v>13</v>
      </c>
      <c r="D1949" s="2">
        <v>39197</v>
      </c>
      <c r="E1949">
        <v>7.75</v>
      </c>
      <c r="G1949" s="2">
        <v>39197</v>
      </c>
      <c r="H1949">
        <v>7.8230000000000004</v>
      </c>
      <c r="J1949" s="2">
        <v>39204</v>
      </c>
      <c r="K1949" s="3">
        <f t="shared" si="60"/>
        <v>7.75</v>
      </c>
      <c r="L1949" s="3">
        <f t="shared" si="61"/>
        <v>7.9489999999999998</v>
      </c>
    </row>
    <row r="1950" spans="1:12" x14ac:dyDescent="0.3">
      <c r="A1950" s="2">
        <v>38467</v>
      </c>
      <c r="B1950" t="s">
        <v>13</v>
      </c>
      <c r="D1950" s="2">
        <v>39198</v>
      </c>
      <c r="E1950">
        <v>7.75</v>
      </c>
      <c r="G1950" s="2">
        <v>39198</v>
      </c>
      <c r="H1950">
        <v>7.8319999999999999</v>
      </c>
      <c r="J1950" s="2">
        <v>39205</v>
      </c>
      <c r="K1950" s="3">
        <f t="shared" si="60"/>
        <v>7.75</v>
      </c>
      <c r="L1950" s="3">
        <f t="shared" si="61"/>
        <v>8.01</v>
      </c>
    </row>
    <row r="1951" spans="1:12" x14ac:dyDescent="0.3">
      <c r="A1951" s="2">
        <v>38468</v>
      </c>
      <c r="B1951" t="s">
        <v>13</v>
      </c>
      <c r="D1951" s="2">
        <v>39199</v>
      </c>
      <c r="E1951">
        <v>7.75</v>
      </c>
      <c r="G1951" s="2">
        <v>39199</v>
      </c>
      <c r="H1951">
        <v>7.8419999999999996</v>
      </c>
      <c r="J1951" s="2">
        <v>39206</v>
      </c>
      <c r="K1951" s="3">
        <f t="shared" si="60"/>
        <v>7.75</v>
      </c>
      <c r="L1951" s="3">
        <f t="shared" si="61"/>
        <v>7.907</v>
      </c>
    </row>
    <row r="1952" spans="1:12" x14ac:dyDescent="0.3">
      <c r="A1952" s="2">
        <v>38469</v>
      </c>
      <c r="B1952" t="s">
        <v>13</v>
      </c>
      <c r="D1952" s="2">
        <v>39200</v>
      </c>
      <c r="E1952">
        <v>7.75</v>
      </c>
      <c r="G1952" s="2">
        <v>39200</v>
      </c>
      <c r="H1952">
        <v>7.8419999999999996</v>
      </c>
      <c r="J1952" s="2">
        <v>39207</v>
      </c>
      <c r="K1952" s="3">
        <f t="shared" si="60"/>
        <v>7.75</v>
      </c>
      <c r="L1952" s="3">
        <f t="shared" si="61"/>
        <v>7.907</v>
      </c>
    </row>
    <row r="1953" spans="1:12" x14ac:dyDescent="0.3">
      <c r="A1953" s="2">
        <v>38470</v>
      </c>
      <c r="B1953" t="s">
        <v>13</v>
      </c>
      <c r="D1953" s="2">
        <v>39201</v>
      </c>
      <c r="E1953">
        <v>7.75</v>
      </c>
      <c r="G1953" s="2">
        <v>39201</v>
      </c>
      <c r="H1953">
        <v>7.8419999999999996</v>
      </c>
      <c r="J1953" s="2">
        <v>39208</v>
      </c>
      <c r="K1953" s="3">
        <f t="shared" si="60"/>
        <v>7.75</v>
      </c>
      <c r="L1953" s="3">
        <f t="shared" si="61"/>
        <v>7.907</v>
      </c>
    </row>
    <row r="1954" spans="1:12" x14ac:dyDescent="0.3">
      <c r="A1954" s="2">
        <v>38471</v>
      </c>
      <c r="B1954" t="s">
        <v>13</v>
      </c>
      <c r="D1954" s="2">
        <v>39202</v>
      </c>
      <c r="E1954">
        <v>7.75</v>
      </c>
      <c r="G1954" s="2">
        <v>39202</v>
      </c>
      <c r="H1954">
        <v>7.9489999999999998</v>
      </c>
      <c r="J1954" s="2">
        <v>39209</v>
      </c>
      <c r="K1954" s="3">
        <f t="shared" si="60"/>
        <v>7.75</v>
      </c>
      <c r="L1954" s="3">
        <f t="shared" si="61"/>
        <v>7.9740000000000002</v>
      </c>
    </row>
    <row r="1955" spans="1:12" x14ac:dyDescent="0.3">
      <c r="A1955" s="2">
        <v>38472</v>
      </c>
      <c r="B1955" t="s">
        <v>13</v>
      </c>
      <c r="D1955" s="2">
        <v>39203</v>
      </c>
      <c r="E1955">
        <v>7.75</v>
      </c>
      <c r="G1955" s="2">
        <v>39203</v>
      </c>
      <c r="H1955">
        <v>7.9489999999999998</v>
      </c>
      <c r="J1955" s="2">
        <v>39210</v>
      </c>
      <c r="K1955" s="3">
        <f t="shared" si="60"/>
        <v>7.75</v>
      </c>
      <c r="L1955" s="3">
        <f t="shared" si="61"/>
        <v>7.9470000000000001</v>
      </c>
    </row>
    <row r="1956" spans="1:12" x14ac:dyDescent="0.3">
      <c r="A1956" s="2">
        <v>38473</v>
      </c>
      <c r="B1956" t="s">
        <v>13</v>
      </c>
      <c r="D1956" s="2">
        <v>39204</v>
      </c>
      <c r="E1956">
        <v>7.75</v>
      </c>
      <c r="G1956" s="2">
        <v>39204</v>
      </c>
      <c r="H1956">
        <v>7.9489999999999998</v>
      </c>
      <c r="J1956" s="2">
        <v>39211</v>
      </c>
      <c r="K1956" s="3">
        <f t="shared" si="60"/>
        <v>7.75</v>
      </c>
      <c r="L1956" s="3">
        <f t="shared" si="61"/>
        <v>7.9119999999999999</v>
      </c>
    </row>
    <row r="1957" spans="1:12" x14ac:dyDescent="0.3">
      <c r="A1957" s="2">
        <v>38474</v>
      </c>
      <c r="B1957" t="s">
        <v>13</v>
      </c>
      <c r="D1957" s="2">
        <v>39205</v>
      </c>
      <c r="E1957">
        <v>7.75</v>
      </c>
      <c r="G1957" s="2">
        <v>39205</v>
      </c>
      <c r="H1957">
        <v>8.01</v>
      </c>
      <c r="J1957" s="2">
        <v>39212</v>
      </c>
      <c r="K1957" s="3">
        <f t="shared" si="60"/>
        <v>7.75</v>
      </c>
      <c r="L1957" s="3">
        <f t="shared" si="61"/>
        <v>7.9480000000000004</v>
      </c>
    </row>
    <row r="1958" spans="1:12" x14ac:dyDescent="0.3">
      <c r="A1958" s="2">
        <v>38475</v>
      </c>
      <c r="B1958" t="s">
        <v>13</v>
      </c>
      <c r="D1958" s="2">
        <v>39206</v>
      </c>
      <c r="E1958">
        <v>7.75</v>
      </c>
      <c r="G1958" s="2">
        <v>39206</v>
      </c>
      <c r="H1958">
        <v>7.907</v>
      </c>
      <c r="J1958" s="2">
        <v>39213</v>
      </c>
      <c r="K1958" s="3">
        <f t="shared" si="60"/>
        <v>7.75</v>
      </c>
      <c r="L1958" s="3">
        <f t="shared" si="61"/>
        <v>7.9219999999999997</v>
      </c>
    </row>
    <row r="1959" spans="1:12" x14ac:dyDescent="0.3">
      <c r="A1959" s="2">
        <v>38476</v>
      </c>
      <c r="B1959" t="s">
        <v>13</v>
      </c>
      <c r="D1959" s="2">
        <v>39207</v>
      </c>
      <c r="E1959">
        <v>7.75</v>
      </c>
      <c r="G1959" s="2">
        <v>39207</v>
      </c>
      <c r="H1959">
        <v>7.907</v>
      </c>
      <c r="J1959" s="2">
        <v>39214</v>
      </c>
      <c r="K1959" s="3">
        <f t="shared" si="60"/>
        <v>7.75</v>
      </c>
      <c r="L1959" s="3">
        <f t="shared" si="61"/>
        <v>7.9219999999999997</v>
      </c>
    </row>
    <row r="1960" spans="1:12" x14ac:dyDescent="0.3">
      <c r="A1960" s="2">
        <v>38477</v>
      </c>
      <c r="B1960" t="s">
        <v>13</v>
      </c>
      <c r="D1960" s="2">
        <v>39208</v>
      </c>
      <c r="E1960">
        <v>7.75</v>
      </c>
      <c r="G1960" s="2">
        <v>39208</v>
      </c>
      <c r="H1960">
        <v>7.907</v>
      </c>
      <c r="J1960" s="2">
        <v>39215</v>
      </c>
      <c r="K1960" s="3">
        <f t="shared" si="60"/>
        <v>7.75</v>
      </c>
      <c r="L1960" s="3">
        <f t="shared" si="61"/>
        <v>7.9219999999999997</v>
      </c>
    </row>
    <row r="1961" spans="1:12" x14ac:dyDescent="0.3">
      <c r="A1961" s="2">
        <v>38478</v>
      </c>
      <c r="B1961" t="s">
        <v>13</v>
      </c>
      <c r="D1961" s="2">
        <v>39209</v>
      </c>
      <c r="E1961">
        <v>7.75</v>
      </c>
      <c r="G1961" s="2">
        <v>39209</v>
      </c>
      <c r="H1961">
        <v>7.9740000000000002</v>
      </c>
      <c r="J1961" s="2">
        <v>39216</v>
      </c>
      <c r="K1961" s="3">
        <f t="shared" si="60"/>
        <v>7.75</v>
      </c>
      <c r="L1961" s="3">
        <f t="shared" si="61"/>
        <v>7.9279999999999999</v>
      </c>
    </row>
    <row r="1962" spans="1:12" x14ac:dyDescent="0.3">
      <c r="A1962" s="2">
        <v>38479</v>
      </c>
      <c r="B1962" t="s">
        <v>13</v>
      </c>
      <c r="D1962" s="2">
        <v>39210</v>
      </c>
      <c r="E1962">
        <v>7.75</v>
      </c>
      <c r="G1962" s="2">
        <v>39210</v>
      </c>
      <c r="H1962">
        <v>7.9470000000000001</v>
      </c>
      <c r="J1962" s="2">
        <v>39217</v>
      </c>
      <c r="K1962" s="3">
        <f t="shared" si="60"/>
        <v>7.75</v>
      </c>
      <c r="L1962" s="3">
        <f t="shared" si="61"/>
        <v>7.9130000000000003</v>
      </c>
    </row>
    <row r="1963" spans="1:12" x14ac:dyDescent="0.3">
      <c r="A1963" s="2">
        <v>38480</v>
      </c>
      <c r="B1963" t="s">
        <v>13</v>
      </c>
      <c r="D1963" s="2">
        <v>39211</v>
      </c>
      <c r="E1963">
        <v>7.75</v>
      </c>
      <c r="G1963" s="2">
        <v>39211</v>
      </c>
      <c r="H1963">
        <v>7.9119999999999999</v>
      </c>
      <c r="J1963" s="2">
        <v>39218</v>
      </c>
      <c r="K1963" s="3">
        <f t="shared" si="60"/>
        <v>7.75</v>
      </c>
      <c r="L1963" s="3">
        <f t="shared" si="61"/>
        <v>7.915</v>
      </c>
    </row>
    <row r="1964" spans="1:12" x14ac:dyDescent="0.3">
      <c r="A1964" s="2">
        <v>38481</v>
      </c>
      <c r="B1964" t="s">
        <v>13</v>
      </c>
      <c r="D1964" s="2">
        <v>39212</v>
      </c>
      <c r="E1964">
        <v>7.75</v>
      </c>
      <c r="G1964" s="2">
        <v>39212</v>
      </c>
      <c r="H1964">
        <v>7.9480000000000004</v>
      </c>
      <c r="J1964" s="2">
        <v>39219</v>
      </c>
      <c r="K1964" s="3">
        <f t="shared" si="60"/>
        <v>7.75</v>
      </c>
      <c r="L1964" s="3">
        <f t="shared" si="61"/>
        <v>7.8520000000000003</v>
      </c>
    </row>
    <row r="1965" spans="1:12" x14ac:dyDescent="0.3">
      <c r="A1965" s="2">
        <v>38482</v>
      </c>
      <c r="B1965" t="s">
        <v>13</v>
      </c>
      <c r="D1965" s="2">
        <v>39213</v>
      </c>
      <c r="E1965">
        <v>7.75</v>
      </c>
      <c r="G1965" s="2">
        <v>39213</v>
      </c>
      <c r="H1965">
        <v>7.9219999999999997</v>
      </c>
      <c r="J1965" s="2">
        <v>39220</v>
      </c>
      <c r="K1965" s="3">
        <f t="shared" si="60"/>
        <v>7.75</v>
      </c>
      <c r="L1965" s="3">
        <f t="shared" si="61"/>
        <v>7.859</v>
      </c>
    </row>
    <row r="1966" spans="1:12" x14ac:dyDescent="0.3">
      <c r="A1966" s="2">
        <v>38483</v>
      </c>
      <c r="B1966" t="s">
        <v>13</v>
      </c>
      <c r="D1966" s="2">
        <v>39214</v>
      </c>
      <c r="E1966">
        <v>7.75</v>
      </c>
      <c r="G1966" s="2">
        <v>39214</v>
      </c>
      <c r="H1966">
        <v>7.9219999999999997</v>
      </c>
      <c r="J1966" s="2">
        <v>39221</v>
      </c>
      <c r="K1966" s="3">
        <f t="shared" si="60"/>
        <v>7.75</v>
      </c>
      <c r="L1966" s="3">
        <f t="shared" si="61"/>
        <v>7.859</v>
      </c>
    </row>
    <row r="1967" spans="1:12" x14ac:dyDescent="0.3">
      <c r="A1967" s="2">
        <v>38484</v>
      </c>
      <c r="B1967" t="s">
        <v>13</v>
      </c>
      <c r="D1967" s="2">
        <v>39215</v>
      </c>
      <c r="E1967">
        <v>7.75</v>
      </c>
      <c r="G1967" s="2">
        <v>39215</v>
      </c>
      <c r="H1967">
        <v>7.9219999999999997</v>
      </c>
      <c r="J1967" s="2">
        <v>39222</v>
      </c>
      <c r="K1967" s="3">
        <f t="shared" si="60"/>
        <v>7.75</v>
      </c>
      <c r="L1967" s="3">
        <f t="shared" si="61"/>
        <v>7.859</v>
      </c>
    </row>
    <row r="1968" spans="1:12" x14ac:dyDescent="0.3">
      <c r="A1968" s="2">
        <v>38485</v>
      </c>
      <c r="B1968" t="s">
        <v>13</v>
      </c>
      <c r="D1968" s="2">
        <v>39216</v>
      </c>
      <c r="E1968">
        <v>7.75</v>
      </c>
      <c r="G1968" s="2">
        <v>39216</v>
      </c>
      <c r="H1968">
        <v>7.9279999999999999</v>
      </c>
      <c r="J1968" s="2">
        <v>39223</v>
      </c>
      <c r="K1968" s="3">
        <f t="shared" si="60"/>
        <v>7.75</v>
      </c>
      <c r="L1968" s="3">
        <f t="shared" si="61"/>
        <v>7.8049999999999997</v>
      </c>
    </row>
    <row r="1969" spans="1:12" x14ac:dyDescent="0.3">
      <c r="A1969" s="2">
        <v>38486</v>
      </c>
      <c r="B1969" t="s">
        <v>13</v>
      </c>
      <c r="D1969" s="2">
        <v>39217</v>
      </c>
      <c r="E1969">
        <v>7.75</v>
      </c>
      <c r="G1969" s="2">
        <v>39217</v>
      </c>
      <c r="H1969">
        <v>7.9130000000000003</v>
      </c>
      <c r="J1969" s="2">
        <v>39224</v>
      </c>
      <c r="K1969" s="3">
        <f t="shared" si="60"/>
        <v>7.75</v>
      </c>
      <c r="L1969" s="3">
        <f t="shared" si="61"/>
        <v>7.77</v>
      </c>
    </row>
    <row r="1970" spans="1:12" x14ac:dyDescent="0.3">
      <c r="A1970" s="2">
        <v>38487</v>
      </c>
      <c r="B1970" t="s">
        <v>13</v>
      </c>
      <c r="D1970" s="2">
        <v>39218</v>
      </c>
      <c r="E1970">
        <v>7.75</v>
      </c>
      <c r="G1970" s="2">
        <v>39218</v>
      </c>
      <c r="H1970">
        <v>7.915</v>
      </c>
      <c r="J1970" s="2">
        <v>39225</v>
      </c>
      <c r="K1970" s="3">
        <f t="shared" si="60"/>
        <v>7.75</v>
      </c>
      <c r="L1970" s="3">
        <f t="shared" si="61"/>
        <v>7.7919999999999998</v>
      </c>
    </row>
    <row r="1971" spans="1:12" x14ac:dyDescent="0.3">
      <c r="A1971" s="2">
        <v>38488</v>
      </c>
      <c r="B1971" t="s">
        <v>13</v>
      </c>
      <c r="D1971" s="2">
        <v>39219</v>
      </c>
      <c r="E1971">
        <v>7.75</v>
      </c>
      <c r="G1971" s="2">
        <v>39219</v>
      </c>
      <c r="H1971">
        <v>7.8520000000000003</v>
      </c>
      <c r="J1971" s="2">
        <v>39226</v>
      </c>
      <c r="K1971" s="3">
        <f t="shared" si="60"/>
        <v>7.75</v>
      </c>
      <c r="L1971" s="3">
        <f t="shared" si="61"/>
        <v>7.8150000000000004</v>
      </c>
    </row>
    <row r="1972" spans="1:12" x14ac:dyDescent="0.3">
      <c r="A1972" s="2">
        <v>38489</v>
      </c>
      <c r="B1972" t="s">
        <v>13</v>
      </c>
      <c r="D1972" s="2">
        <v>39220</v>
      </c>
      <c r="E1972">
        <v>7.75</v>
      </c>
      <c r="G1972" s="2">
        <v>39220</v>
      </c>
      <c r="H1972">
        <v>7.859</v>
      </c>
      <c r="J1972" s="2">
        <v>39227</v>
      </c>
      <c r="K1972" s="3">
        <f t="shared" si="60"/>
        <v>7.75</v>
      </c>
      <c r="L1972" s="3">
        <f t="shared" si="61"/>
        <v>7.7789999999999999</v>
      </c>
    </row>
    <row r="1973" spans="1:12" x14ac:dyDescent="0.3">
      <c r="A1973" s="2">
        <v>38490</v>
      </c>
      <c r="B1973" t="s">
        <v>13</v>
      </c>
      <c r="D1973" s="2">
        <v>39221</v>
      </c>
      <c r="E1973">
        <v>7.75</v>
      </c>
      <c r="G1973" s="2">
        <v>39221</v>
      </c>
      <c r="H1973">
        <v>7.859</v>
      </c>
      <c r="J1973" s="2">
        <v>39228</v>
      </c>
      <c r="K1973" s="3">
        <f t="shared" si="60"/>
        <v>7.75</v>
      </c>
      <c r="L1973" s="3">
        <f t="shared" si="61"/>
        <v>7.7789999999999999</v>
      </c>
    </row>
    <row r="1974" spans="1:12" x14ac:dyDescent="0.3">
      <c r="A1974" s="2">
        <v>38491</v>
      </c>
      <c r="B1974" t="s">
        <v>13</v>
      </c>
      <c r="D1974" s="2">
        <v>39222</v>
      </c>
      <c r="E1974">
        <v>7.75</v>
      </c>
      <c r="G1974" s="2">
        <v>39222</v>
      </c>
      <c r="H1974">
        <v>7.859</v>
      </c>
      <c r="J1974" s="2">
        <v>39229</v>
      </c>
      <c r="K1974" s="3">
        <f t="shared" si="60"/>
        <v>7.75</v>
      </c>
      <c r="L1974" s="3">
        <f t="shared" si="61"/>
        <v>7.7789999999999999</v>
      </c>
    </row>
    <row r="1975" spans="1:12" x14ac:dyDescent="0.3">
      <c r="A1975" s="2">
        <v>38492</v>
      </c>
      <c r="B1975" t="s">
        <v>13</v>
      </c>
      <c r="D1975" s="2">
        <v>39223</v>
      </c>
      <c r="E1975">
        <v>7.75</v>
      </c>
      <c r="G1975" s="2">
        <v>39223</v>
      </c>
      <c r="H1975">
        <v>7.8049999999999997</v>
      </c>
      <c r="J1975" s="2">
        <v>39230</v>
      </c>
      <c r="K1975" s="3">
        <f t="shared" si="60"/>
        <v>7.75</v>
      </c>
      <c r="L1975" s="3">
        <f t="shared" si="61"/>
        <v>7.7350000000000003</v>
      </c>
    </row>
    <row r="1976" spans="1:12" x14ac:dyDescent="0.3">
      <c r="A1976" s="2">
        <v>38493</v>
      </c>
      <c r="B1976" t="s">
        <v>13</v>
      </c>
      <c r="D1976" s="2">
        <v>39224</v>
      </c>
      <c r="E1976">
        <v>7.75</v>
      </c>
      <c r="G1976" s="2">
        <v>39224</v>
      </c>
      <c r="H1976">
        <v>7.77</v>
      </c>
      <c r="J1976" s="2">
        <v>39231</v>
      </c>
      <c r="K1976" s="3">
        <f t="shared" si="60"/>
        <v>7.75</v>
      </c>
      <c r="L1976" s="3">
        <f t="shared" si="61"/>
        <v>7.7039999999999997</v>
      </c>
    </row>
    <row r="1977" spans="1:12" x14ac:dyDescent="0.3">
      <c r="A1977" s="2">
        <v>38494</v>
      </c>
      <c r="B1977" t="s">
        <v>13</v>
      </c>
      <c r="D1977" s="2">
        <v>39225</v>
      </c>
      <c r="E1977">
        <v>7.75</v>
      </c>
      <c r="G1977" s="2">
        <v>39225</v>
      </c>
      <c r="H1977">
        <v>7.7919999999999998</v>
      </c>
      <c r="J1977" s="2">
        <v>39232</v>
      </c>
      <c r="K1977" s="3">
        <f t="shared" si="60"/>
        <v>7.75</v>
      </c>
      <c r="L1977" s="3">
        <f t="shared" si="61"/>
        <v>7.7060000000000004</v>
      </c>
    </row>
    <row r="1978" spans="1:12" x14ac:dyDescent="0.3">
      <c r="A1978" s="2">
        <v>38495</v>
      </c>
      <c r="B1978" t="s">
        <v>13</v>
      </c>
      <c r="D1978" s="2">
        <v>39226</v>
      </c>
      <c r="E1978">
        <v>7.75</v>
      </c>
      <c r="G1978" s="2">
        <v>39226</v>
      </c>
      <c r="H1978">
        <v>7.8150000000000004</v>
      </c>
      <c r="J1978" s="2">
        <v>39233</v>
      </c>
      <c r="K1978" s="3">
        <f t="shared" si="60"/>
        <v>7.75</v>
      </c>
      <c r="L1978" s="3">
        <f t="shared" si="61"/>
        <v>7.6970000000000001</v>
      </c>
    </row>
    <row r="1979" spans="1:12" x14ac:dyDescent="0.3">
      <c r="A1979" s="2">
        <v>38496</v>
      </c>
      <c r="B1979" t="s">
        <v>13</v>
      </c>
      <c r="D1979" s="2">
        <v>39227</v>
      </c>
      <c r="E1979">
        <v>7.75</v>
      </c>
      <c r="G1979" s="2">
        <v>39227</v>
      </c>
      <c r="H1979">
        <v>7.7789999999999999</v>
      </c>
      <c r="J1979" s="2">
        <v>39234</v>
      </c>
      <c r="K1979" s="3">
        <f t="shared" si="60"/>
        <v>7.75</v>
      </c>
      <c r="L1979" s="3">
        <f t="shared" si="61"/>
        <v>7.6950000000000003</v>
      </c>
    </row>
    <row r="1980" spans="1:12" x14ac:dyDescent="0.3">
      <c r="A1980" s="2">
        <v>38497</v>
      </c>
      <c r="B1980" t="s">
        <v>13</v>
      </c>
      <c r="D1980" s="2">
        <v>39228</v>
      </c>
      <c r="E1980">
        <v>7.75</v>
      </c>
      <c r="G1980" s="2">
        <v>39228</v>
      </c>
      <c r="H1980">
        <v>7.7789999999999999</v>
      </c>
      <c r="J1980" s="2">
        <v>39235</v>
      </c>
      <c r="K1980" s="3">
        <f t="shared" si="60"/>
        <v>7.75</v>
      </c>
      <c r="L1980" s="3">
        <f t="shared" si="61"/>
        <v>7.6950000000000003</v>
      </c>
    </row>
    <row r="1981" spans="1:12" x14ac:dyDescent="0.3">
      <c r="A1981" s="2">
        <v>38498</v>
      </c>
      <c r="B1981" t="s">
        <v>13</v>
      </c>
      <c r="D1981" s="2">
        <v>39229</v>
      </c>
      <c r="E1981">
        <v>7.75</v>
      </c>
      <c r="G1981" s="2">
        <v>39229</v>
      </c>
      <c r="H1981">
        <v>7.7789999999999999</v>
      </c>
      <c r="J1981" s="2">
        <v>39236</v>
      </c>
      <c r="K1981" s="3">
        <f t="shared" si="60"/>
        <v>7.75</v>
      </c>
      <c r="L1981" s="3">
        <f t="shared" si="61"/>
        <v>7.6950000000000003</v>
      </c>
    </row>
    <row r="1982" spans="1:12" x14ac:dyDescent="0.3">
      <c r="A1982" s="2">
        <v>38499</v>
      </c>
      <c r="B1982" t="s">
        <v>13</v>
      </c>
      <c r="D1982" s="2">
        <v>39230</v>
      </c>
      <c r="E1982">
        <v>7.75</v>
      </c>
      <c r="G1982" s="2">
        <v>39230</v>
      </c>
      <c r="H1982">
        <v>7.7350000000000003</v>
      </c>
      <c r="J1982" s="2">
        <v>39237</v>
      </c>
      <c r="K1982" s="3">
        <f t="shared" si="60"/>
        <v>7.75</v>
      </c>
      <c r="L1982" s="3">
        <f t="shared" si="61"/>
        <v>7.7069999999999999</v>
      </c>
    </row>
    <row r="1983" spans="1:12" x14ac:dyDescent="0.3">
      <c r="A1983" s="2">
        <v>38500</v>
      </c>
      <c r="B1983" t="s">
        <v>13</v>
      </c>
      <c r="D1983" s="2">
        <v>39231</v>
      </c>
      <c r="E1983">
        <v>7.75</v>
      </c>
      <c r="G1983" s="2">
        <v>39231</v>
      </c>
      <c r="H1983">
        <v>7.7039999999999997</v>
      </c>
      <c r="J1983" s="2">
        <v>39238</v>
      </c>
      <c r="K1983" s="3">
        <f t="shared" si="60"/>
        <v>7.75</v>
      </c>
      <c r="L1983" s="3">
        <f t="shared" si="61"/>
        <v>7.7</v>
      </c>
    </row>
    <row r="1984" spans="1:12" x14ac:dyDescent="0.3">
      <c r="A1984" s="2">
        <v>38501</v>
      </c>
      <c r="B1984" t="s">
        <v>13</v>
      </c>
      <c r="D1984" s="2">
        <v>39232</v>
      </c>
      <c r="E1984">
        <v>7.75</v>
      </c>
      <c r="G1984" s="2">
        <v>39232</v>
      </c>
      <c r="H1984">
        <v>7.7060000000000004</v>
      </c>
      <c r="J1984" s="2">
        <v>39239</v>
      </c>
      <c r="K1984" s="3">
        <f t="shared" si="60"/>
        <v>7.75</v>
      </c>
      <c r="L1984" s="3">
        <f t="shared" si="61"/>
        <v>7.7069999999999999</v>
      </c>
    </row>
    <row r="1985" spans="1:12" x14ac:dyDescent="0.3">
      <c r="A1985" s="2">
        <v>38502</v>
      </c>
      <c r="B1985" t="s">
        <v>13</v>
      </c>
      <c r="D1985" s="2">
        <v>39233</v>
      </c>
      <c r="E1985">
        <v>7.75</v>
      </c>
      <c r="G1985" s="2">
        <v>39233</v>
      </c>
      <c r="H1985">
        <v>7.6970000000000001</v>
      </c>
      <c r="J1985" s="2">
        <v>39240</v>
      </c>
      <c r="K1985" s="3">
        <f t="shared" si="60"/>
        <v>7.75</v>
      </c>
      <c r="L1985" s="3">
        <f t="shared" si="61"/>
        <v>7.7030000000000003</v>
      </c>
    </row>
    <row r="1986" spans="1:12" x14ac:dyDescent="0.3">
      <c r="A1986" s="2">
        <v>38503</v>
      </c>
      <c r="B1986" t="s">
        <v>13</v>
      </c>
      <c r="D1986" s="2">
        <v>39234</v>
      </c>
      <c r="E1986">
        <v>7.75</v>
      </c>
      <c r="G1986" s="2">
        <v>39234</v>
      </c>
      <c r="H1986">
        <v>7.6950000000000003</v>
      </c>
      <c r="J1986" s="2">
        <v>39241</v>
      </c>
      <c r="K1986" s="3">
        <f t="shared" si="60"/>
        <v>7.75</v>
      </c>
      <c r="L1986" s="3">
        <f t="shared" si="61"/>
        <v>7.7309999999999999</v>
      </c>
    </row>
    <row r="1987" spans="1:12" x14ac:dyDescent="0.3">
      <c r="A1987" s="2">
        <v>38504</v>
      </c>
      <c r="B1987" t="s">
        <v>13</v>
      </c>
      <c r="D1987" s="2">
        <v>39235</v>
      </c>
      <c r="E1987">
        <v>7.75</v>
      </c>
      <c r="G1987" s="2">
        <v>39235</v>
      </c>
      <c r="H1987">
        <v>7.6950000000000003</v>
      </c>
      <c r="J1987" s="2">
        <v>39242</v>
      </c>
      <c r="K1987" s="3">
        <f t="shared" ref="K1987:K2050" si="62">E1994</f>
        <v>7.75</v>
      </c>
      <c r="L1987" s="3">
        <f t="shared" ref="L1987:L2050" si="63">H1994</f>
        <v>7.7309999999999999</v>
      </c>
    </row>
    <row r="1988" spans="1:12" x14ac:dyDescent="0.3">
      <c r="A1988" s="2">
        <v>38505</v>
      </c>
      <c r="B1988" t="s">
        <v>13</v>
      </c>
      <c r="D1988" s="2">
        <v>39236</v>
      </c>
      <c r="E1988">
        <v>7.75</v>
      </c>
      <c r="G1988" s="2">
        <v>39236</v>
      </c>
      <c r="H1988">
        <v>7.6950000000000003</v>
      </c>
      <c r="J1988" s="2">
        <v>39243</v>
      </c>
      <c r="K1988" s="3">
        <f t="shared" si="62"/>
        <v>7.75</v>
      </c>
      <c r="L1988" s="3">
        <f t="shared" si="63"/>
        <v>7.7309999999999999</v>
      </c>
    </row>
    <row r="1989" spans="1:12" x14ac:dyDescent="0.3">
      <c r="A1989" s="2">
        <v>38506</v>
      </c>
      <c r="B1989" t="s">
        <v>13</v>
      </c>
      <c r="D1989" s="2">
        <v>39237</v>
      </c>
      <c r="E1989">
        <v>7.75</v>
      </c>
      <c r="G1989" s="2">
        <v>39237</v>
      </c>
      <c r="H1989">
        <v>7.7069999999999999</v>
      </c>
      <c r="J1989" s="2">
        <v>39244</v>
      </c>
      <c r="K1989" s="3">
        <f t="shared" si="62"/>
        <v>7.75</v>
      </c>
      <c r="L1989" s="3">
        <f t="shared" si="63"/>
        <v>7.7720000000000002</v>
      </c>
    </row>
    <row r="1990" spans="1:12" x14ac:dyDescent="0.3">
      <c r="A1990" s="2">
        <v>38507</v>
      </c>
      <c r="B1990" t="s">
        <v>13</v>
      </c>
      <c r="D1990" s="2">
        <v>39238</v>
      </c>
      <c r="E1990">
        <v>7.75</v>
      </c>
      <c r="G1990" s="2">
        <v>39238</v>
      </c>
      <c r="H1990">
        <v>7.7</v>
      </c>
      <c r="J1990" s="2">
        <v>39245</v>
      </c>
      <c r="K1990" s="3">
        <f t="shared" si="62"/>
        <v>7.75</v>
      </c>
      <c r="L1990" s="3">
        <f t="shared" si="63"/>
        <v>7.7309999999999999</v>
      </c>
    </row>
    <row r="1991" spans="1:12" x14ac:dyDescent="0.3">
      <c r="A1991" s="2">
        <v>38508</v>
      </c>
      <c r="B1991" t="s">
        <v>13</v>
      </c>
      <c r="D1991" s="2">
        <v>39239</v>
      </c>
      <c r="E1991">
        <v>7.75</v>
      </c>
      <c r="G1991" s="2">
        <v>39239</v>
      </c>
      <c r="H1991">
        <v>7.7069999999999999</v>
      </c>
      <c r="J1991" s="2">
        <v>39246</v>
      </c>
      <c r="K1991" s="3">
        <f t="shared" si="62"/>
        <v>7.75</v>
      </c>
      <c r="L1991" s="3">
        <f t="shared" si="63"/>
        <v>7.8040000000000003</v>
      </c>
    </row>
    <row r="1992" spans="1:12" x14ac:dyDescent="0.3">
      <c r="A1992" s="2">
        <v>38509</v>
      </c>
      <c r="B1992" t="s">
        <v>13</v>
      </c>
      <c r="D1992" s="2">
        <v>39240</v>
      </c>
      <c r="E1992">
        <v>7.75</v>
      </c>
      <c r="G1992" s="2">
        <v>39240</v>
      </c>
      <c r="H1992">
        <v>7.7030000000000003</v>
      </c>
      <c r="J1992" s="2">
        <v>39247</v>
      </c>
      <c r="K1992" s="3">
        <f t="shared" si="62"/>
        <v>7.75</v>
      </c>
      <c r="L1992" s="3">
        <f t="shared" si="63"/>
        <v>7.7869999999999999</v>
      </c>
    </row>
    <row r="1993" spans="1:12" x14ac:dyDescent="0.3">
      <c r="A1993" s="2">
        <v>38510</v>
      </c>
      <c r="B1993" t="s">
        <v>13</v>
      </c>
      <c r="D1993" s="2">
        <v>39241</v>
      </c>
      <c r="E1993">
        <v>7.75</v>
      </c>
      <c r="G1993" s="2">
        <v>39241</v>
      </c>
      <c r="H1993">
        <v>7.7309999999999999</v>
      </c>
      <c r="J1993" s="2">
        <v>39248</v>
      </c>
      <c r="K1993" s="3">
        <f t="shared" si="62"/>
        <v>7.75</v>
      </c>
      <c r="L1993" s="3">
        <f t="shared" si="63"/>
        <v>7.7539999999999996</v>
      </c>
    </row>
    <row r="1994" spans="1:12" x14ac:dyDescent="0.3">
      <c r="A1994" s="2">
        <v>38511</v>
      </c>
      <c r="B1994" t="s">
        <v>13</v>
      </c>
      <c r="D1994" s="2">
        <v>39242</v>
      </c>
      <c r="E1994">
        <v>7.75</v>
      </c>
      <c r="G1994" s="2">
        <v>39242</v>
      </c>
      <c r="H1994">
        <v>7.7309999999999999</v>
      </c>
      <c r="J1994" s="2">
        <v>39249</v>
      </c>
      <c r="K1994" s="3">
        <f t="shared" si="62"/>
        <v>7.75</v>
      </c>
      <c r="L1994" s="3">
        <f t="shared" si="63"/>
        <v>7.7539999999999996</v>
      </c>
    </row>
    <row r="1995" spans="1:12" x14ac:dyDescent="0.3">
      <c r="A1995" s="2">
        <v>38512</v>
      </c>
      <c r="B1995" t="s">
        <v>13</v>
      </c>
      <c r="D1995" s="2">
        <v>39243</v>
      </c>
      <c r="E1995">
        <v>7.75</v>
      </c>
      <c r="G1995" s="2">
        <v>39243</v>
      </c>
      <c r="H1995">
        <v>7.7309999999999999</v>
      </c>
      <c r="J1995" s="2">
        <v>39250</v>
      </c>
      <c r="K1995" s="3">
        <f t="shared" si="62"/>
        <v>7.75</v>
      </c>
      <c r="L1995" s="3">
        <f t="shared" si="63"/>
        <v>7.7539999999999996</v>
      </c>
    </row>
    <row r="1996" spans="1:12" x14ac:dyDescent="0.3">
      <c r="A1996" s="2">
        <v>38513</v>
      </c>
      <c r="B1996" t="s">
        <v>13</v>
      </c>
      <c r="D1996" s="2">
        <v>39244</v>
      </c>
      <c r="E1996">
        <v>7.75</v>
      </c>
      <c r="G1996" s="2">
        <v>39244</v>
      </c>
      <c r="H1996">
        <v>7.7720000000000002</v>
      </c>
      <c r="J1996" s="2">
        <v>39251</v>
      </c>
      <c r="K1996" s="3">
        <f t="shared" si="62"/>
        <v>7.75</v>
      </c>
      <c r="L1996" s="3">
        <f t="shared" si="63"/>
        <v>7.7229999999999999</v>
      </c>
    </row>
    <row r="1997" spans="1:12" x14ac:dyDescent="0.3">
      <c r="A1997" s="2">
        <v>38514</v>
      </c>
      <c r="B1997" t="s">
        <v>13</v>
      </c>
      <c r="D1997" s="2">
        <v>39245</v>
      </c>
      <c r="E1997">
        <v>7.75</v>
      </c>
      <c r="G1997" s="2">
        <v>39245</v>
      </c>
      <c r="H1997">
        <v>7.7309999999999999</v>
      </c>
      <c r="J1997" s="2">
        <v>39252</v>
      </c>
      <c r="K1997" s="3">
        <f t="shared" si="62"/>
        <v>7.75</v>
      </c>
      <c r="L1997" s="3">
        <f t="shared" si="63"/>
        <v>7.726</v>
      </c>
    </row>
    <row r="1998" spans="1:12" x14ac:dyDescent="0.3">
      <c r="A1998" s="2">
        <v>38515</v>
      </c>
      <c r="B1998" t="s">
        <v>13</v>
      </c>
      <c r="D1998" s="2">
        <v>39246</v>
      </c>
      <c r="E1998">
        <v>7.75</v>
      </c>
      <c r="G1998" s="2">
        <v>39246</v>
      </c>
      <c r="H1998">
        <v>7.8040000000000003</v>
      </c>
      <c r="J1998" s="2">
        <v>39253</v>
      </c>
      <c r="K1998" s="3">
        <f t="shared" si="62"/>
        <v>7.75</v>
      </c>
      <c r="L1998" s="3">
        <f t="shared" si="63"/>
        <v>7.6369999999999996</v>
      </c>
    </row>
    <row r="1999" spans="1:12" x14ac:dyDescent="0.3">
      <c r="A1999" s="2">
        <v>38516</v>
      </c>
      <c r="B1999" t="s">
        <v>13</v>
      </c>
      <c r="D1999" s="2">
        <v>39247</v>
      </c>
      <c r="E1999">
        <v>7.75</v>
      </c>
      <c r="G1999" s="2">
        <v>39247</v>
      </c>
      <c r="H1999">
        <v>7.7869999999999999</v>
      </c>
      <c r="J1999" s="2">
        <v>39254</v>
      </c>
      <c r="K1999" s="3">
        <f t="shared" si="62"/>
        <v>7.75</v>
      </c>
      <c r="L1999" s="3">
        <f t="shared" si="63"/>
        <v>7.7009999999999996</v>
      </c>
    </row>
    <row r="2000" spans="1:12" x14ac:dyDescent="0.3">
      <c r="A2000" s="2">
        <v>38517</v>
      </c>
      <c r="B2000" t="s">
        <v>13</v>
      </c>
      <c r="D2000" s="2">
        <v>39248</v>
      </c>
      <c r="E2000">
        <v>7.75</v>
      </c>
      <c r="G2000" s="2">
        <v>39248</v>
      </c>
      <c r="H2000">
        <v>7.7539999999999996</v>
      </c>
      <c r="J2000" s="2">
        <v>39255</v>
      </c>
      <c r="K2000" s="3">
        <f t="shared" si="62"/>
        <v>7.75</v>
      </c>
      <c r="L2000" s="3">
        <f t="shared" si="63"/>
        <v>7.65</v>
      </c>
    </row>
    <row r="2001" spans="1:12" x14ac:dyDescent="0.3">
      <c r="A2001" s="2">
        <v>38518</v>
      </c>
      <c r="B2001" t="s">
        <v>13</v>
      </c>
      <c r="D2001" s="2">
        <v>39249</v>
      </c>
      <c r="E2001">
        <v>7.75</v>
      </c>
      <c r="G2001" s="2">
        <v>39249</v>
      </c>
      <c r="H2001">
        <v>7.7539999999999996</v>
      </c>
      <c r="J2001" s="2">
        <v>39256</v>
      </c>
      <c r="K2001" s="3">
        <f t="shared" si="62"/>
        <v>7.75</v>
      </c>
      <c r="L2001" s="3">
        <f t="shared" si="63"/>
        <v>7.65</v>
      </c>
    </row>
    <row r="2002" spans="1:12" x14ac:dyDescent="0.3">
      <c r="A2002" s="2">
        <v>38519</v>
      </c>
      <c r="B2002" t="s">
        <v>13</v>
      </c>
      <c r="D2002" s="2">
        <v>39250</v>
      </c>
      <c r="E2002">
        <v>7.75</v>
      </c>
      <c r="G2002" s="2">
        <v>39250</v>
      </c>
      <c r="H2002">
        <v>7.7539999999999996</v>
      </c>
      <c r="J2002" s="2">
        <v>39257</v>
      </c>
      <c r="K2002" s="3">
        <f t="shared" si="62"/>
        <v>7.75</v>
      </c>
      <c r="L2002" s="3">
        <f t="shared" si="63"/>
        <v>7.65</v>
      </c>
    </row>
    <row r="2003" spans="1:12" x14ac:dyDescent="0.3">
      <c r="A2003" s="2">
        <v>38520</v>
      </c>
      <c r="B2003" t="s">
        <v>13</v>
      </c>
      <c r="D2003" s="2">
        <v>39251</v>
      </c>
      <c r="E2003">
        <v>7.75</v>
      </c>
      <c r="G2003" s="2">
        <v>39251</v>
      </c>
      <c r="H2003">
        <v>7.7229999999999999</v>
      </c>
      <c r="J2003" s="2">
        <v>39258</v>
      </c>
      <c r="K2003" s="3">
        <f t="shared" si="62"/>
        <v>7.75</v>
      </c>
      <c r="L2003" s="3">
        <f t="shared" si="63"/>
        <v>7.5380000000000003</v>
      </c>
    </row>
    <row r="2004" spans="1:12" x14ac:dyDescent="0.3">
      <c r="A2004" s="2">
        <v>38521</v>
      </c>
      <c r="B2004" t="s">
        <v>13</v>
      </c>
      <c r="D2004" s="2">
        <v>39252</v>
      </c>
      <c r="E2004">
        <v>7.75</v>
      </c>
      <c r="G2004" s="2">
        <v>39252</v>
      </c>
      <c r="H2004">
        <v>7.726</v>
      </c>
      <c r="J2004" s="2">
        <v>39259</v>
      </c>
      <c r="K2004" s="3">
        <f t="shared" si="62"/>
        <v>7.75</v>
      </c>
      <c r="L2004" s="3">
        <f t="shared" si="63"/>
        <v>7.6109999999999998</v>
      </c>
    </row>
    <row r="2005" spans="1:12" x14ac:dyDescent="0.3">
      <c r="A2005" s="2">
        <v>38522</v>
      </c>
      <c r="B2005" t="s">
        <v>13</v>
      </c>
      <c r="D2005" s="2">
        <v>39253</v>
      </c>
      <c r="E2005">
        <v>7.75</v>
      </c>
      <c r="G2005" s="2">
        <v>39253</v>
      </c>
      <c r="H2005">
        <v>7.6369999999999996</v>
      </c>
      <c r="J2005" s="2">
        <v>39260</v>
      </c>
      <c r="K2005" s="3">
        <f t="shared" si="62"/>
        <v>7.75</v>
      </c>
      <c r="L2005" s="3">
        <f t="shared" si="63"/>
        <v>7.6130000000000004</v>
      </c>
    </row>
    <row r="2006" spans="1:12" x14ac:dyDescent="0.3">
      <c r="A2006" s="2">
        <v>38523</v>
      </c>
      <c r="B2006" t="s">
        <v>13</v>
      </c>
      <c r="D2006" s="2">
        <v>39254</v>
      </c>
      <c r="E2006">
        <v>7.75</v>
      </c>
      <c r="G2006" s="2">
        <v>39254</v>
      </c>
      <c r="H2006">
        <v>7.7009999999999996</v>
      </c>
      <c r="J2006" s="2">
        <v>39261</v>
      </c>
      <c r="K2006" s="3">
        <f t="shared" si="62"/>
        <v>7.75</v>
      </c>
      <c r="L2006" s="3">
        <f t="shared" si="63"/>
        <v>7.8780000000000001</v>
      </c>
    </row>
    <row r="2007" spans="1:12" x14ac:dyDescent="0.3">
      <c r="A2007" s="2">
        <v>38524</v>
      </c>
      <c r="B2007" t="s">
        <v>13</v>
      </c>
      <c r="D2007" s="2">
        <v>39255</v>
      </c>
      <c r="E2007">
        <v>7.75</v>
      </c>
      <c r="G2007" s="2">
        <v>39255</v>
      </c>
      <c r="H2007">
        <v>7.65</v>
      </c>
      <c r="J2007" s="2">
        <v>39262</v>
      </c>
      <c r="K2007" s="3">
        <f t="shared" si="62"/>
        <v>7.75</v>
      </c>
      <c r="L2007" s="3">
        <f t="shared" si="63"/>
        <v>7.5190000000000001</v>
      </c>
    </row>
    <row r="2008" spans="1:12" x14ac:dyDescent="0.3">
      <c r="A2008" s="2">
        <v>38525</v>
      </c>
      <c r="B2008" t="s">
        <v>13</v>
      </c>
      <c r="D2008" s="2">
        <v>39256</v>
      </c>
      <c r="E2008">
        <v>7.75</v>
      </c>
      <c r="G2008" s="2">
        <v>39256</v>
      </c>
      <c r="H2008">
        <v>7.65</v>
      </c>
      <c r="J2008" s="2">
        <v>39263</v>
      </c>
      <c r="K2008" s="3">
        <f t="shared" si="62"/>
        <v>7.75</v>
      </c>
      <c r="L2008" s="3">
        <f t="shared" si="63"/>
        <v>7.5190000000000001</v>
      </c>
    </row>
    <row r="2009" spans="1:12" x14ac:dyDescent="0.3">
      <c r="A2009" s="2">
        <v>38526</v>
      </c>
      <c r="B2009" t="s">
        <v>13</v>
      </c>
      <c r="D2009" s="2">
        <v>39257</v>
      </c>
      <c r="E2009">
        <v>7.75</v>
      </c>
      <c r="G2009" s="2">
        <v>39257</v>
      </c>
      <c r="H2009">
        <v>7.65</v>
      </c>
      <c r="J2009" s="2">
        <v>39264</v>
      </c>
      <c r="K2009" s="3">
        <f t="shared" si="62"/>
        <v>7.75</v>
      </c>
      <c r="L2009" s="3">
        <f t="shared" si="63"/>
        <v>7.5190000000000001</v>
      </c>
    </row>
    <row r="2010" spans="1:12" x14ac:dyDescent="0.3">
      <c r="A2010" s="2">
        <v>38527</v>
      </c>
      <c r="B2010" t="s">
        <v>13</v>
      </c>
      <c r="D2010" s="2">
        <v>39258</v>
      </c>
      <c r="E2010">
        <v>7.75</v>
      </c>
      <c r="G2010" s="2">
        <v>39258</v>
      </c>
      <c r="H2010">
        <v>7.5380000000000003</v>
      </c>
      <c r="J2010" s="2">
        <v>39265</v>
      </c>
      <c r="K2010" s="3">
        <f t="shared" si="62"/>
        <v>7.75</v>
      </c>
      <c r="L2010" s="3">
        <f t="shared" si="63"/>
        <v>7.2169999999999996</v>
      </c>
    </row>
    <row r="2011" spans="1:12" x14ac:dyDescent="0.3">
      <c r="A2011" s="2">
        <v>38528</v>
      </c>
      <c r="B2011" t="s">
        <v>13</v>
      </c>
      <c r="D2011" s="2">
        <v>39259</v>
      </c>
      <c r="E2011">
        <v>7.75</v>
      </c>
      <c r="G2011" s="2">
        <v>39259</v>
      </c>
      <c r="H2011">
        <v>7.6109999999999998</v>
      </c>
      <c r="J2011" s="2">
        <v>39266</v>
      </c>
      <c r="K2011" s="3">
        <f t="shared" si="62"/>
        <v>7.75</v>
      </c>
      <c r="L2011" s="3">
        <f t="shared" si="63"/>
        <v>7.2140000000000004</v>
      </c>
    </row>
    <row r="2012" spans="1:12" x14ac:dyDescent="0.3">
      <c r="A2012" s="2">
        <v>38529</v>
      </c>
      <c r="B2012" t="s">
        <v>13</v>
      </c>
      <c r="D2012" s="2">
        <v>39260</v>
      </c>
      <c r="E2012">
        <v>7.75</v>
      </c>
      <c r="G2012" s="2">
        <v>39260</v>
      </c>
      <c r="H2012">
        <v>7.6130000000000004</v>
      </c>
      <c r="J2012" s="2">
        <v>39267</v>
      </c>
      <c r="K2012" s="3">
        <f t="shared" si="62"/>
        <v>7.75</v>
      </c>
      <c r="L2012" s="3">
        <f t="shared" si="63"/>
        <v>7.1449999999999996</v>
      </c>
    </row>
    <row r="2013" spans="1:12" x14ac:dyDescent="0.3">
      <c r="A2013" s="2">
        <v>38530</v>
      </c>
      <c r="B2013" t="s">
        <v>13</v>
      </c>
      <c r="D2013" s="2">
        <v>39261</v>
      </c>
      <c r="E2013">
        <v>7.75</v>
      </c>
      <c r="G2013" s="2">
        <v>39261</v>
      </c>
      <c r="H2013">
        <v>7.8780000000000001</v>
      </c>
      <c r="J2013" s="2">
        <v>39268</v>
      </c>
      <c r="K2013" s="3">
        <f t="shared" si="62"/>
        <v>7.75</v>
      </c>
      <c r="L2013" s="3">
        <f t="shared" si="63"/>
        <v>7.4820000000000002</v>
      </c>
    </row>
    <row r="2014" spans="1:12" x14ac:dyDescent="0.3">
      <c r="A2014" s="2">
        <v>38531</v>
      </c>
      <c r="B2014" t="s">
        <v>13</v>
      </c>
      <c r="D2014" s="2">
        <v>39262</v>
      </c>
      <c r="E2014">
        <v>7.75</v>
      </c>
      <c r="G2014" s="2">
        <v>39262</v>
      </c>
      <c r="H2014">
        <v>7.5190000000000001</v>
      </c>
      <c r="J2014" s="2">
        <v>39269</v>
      </c>
      <c r="K2014" s="3">
        <f t="shared" si="62"/>
        <v>7.75</v>
      </c>
      <c r="L2014" s="3">
        <f t="shared" si="63"/>
        <v>7.1360000000000001</v>
      </c>
    </row>
    <row r="2015" spans="1:12" x14ac:dyDescent="0.3">
      <c r="A2015" s="2">
        <v>38532</v>
      </c>
      <c r="B2015" t="s">
        <v>13</v>
      </c>
      <c r="D2015" s="2">
        <v>39263</v>
      </c>
      <c r="E2015">
        <v>7.75</v>
      </c>
      <c r="G2015" s="2">
        <v>39263</v>
      </c>
      <c r="H2015">
        <v>7.5190000000000001</v>
      </c>
      <c r="J2015" s="2">
        <v>39270</v>
      </c>
      <c r="K2015" s="3">
        <f t="shared" si="62"/>
        <v>7.75</v>
      </c>
      <c r="L2015" s="3">
        <f t="shared" si="63"/>
        <v>7.1360000000000001</v>
      </c>
    </row>
    <row r="2016" spans="1:12" x14ac:dyDescent="0.3">
      <c r="A2016" s="2">
        <v>38533</v>
      </c>
      <c r="B2016" t="s">
        <v>13</v>
      </c>
      <c r="D2016" s="2">
        <v>39264</v>
      </c>
      <c r="E2016">
        <v>7.75</v>
      </c>
      <c r="G2016" s="2">
        <v>39264</v>
      </c>
      <c r="H2016">
        <v>7.5190000000000001</v>
      </c>
      <c r="J2016" s="2">
        <v>39271</v>
      </c>
      <c r="K2016" s="3">
        <f t="shared" si="62"/>
        <v>7.75</v>
      </c>
      <c r="L2016" s="3">
        <f t="shared" si="63"/>
        <v>7.1360000000000001</v>
      </c>
    </row>
    <row r="2017" spans="1:12" x14ac:dyDescent="0.3">
      <c r="A2017" s="2">
        <v>38534</v>
      </c>
      <c r="B2017" t="s">
        <v>13</v>
      </c>
      <c r="D2017" s="2">
        <v>39265</v>
      </c>
      <c r="E2017">
        <v>7.75</v>
      </c>
      <c r="G2017" s="2">
        <v>39265</v>
      </c>
      <c r="H2017">
        <v>7.2169999999999996</v>
      </c>
      <c r="J2017" s="2">
        <v>39272</v>
      </c>
      <c r="K2017" s="3">
        <f t="shared" si="62"/>
        <v>7.75</v>
      </c>
      <c r="L2017" s="3">
        <f t="shared" si="63"/>
        <v>6.9790000000000001</v>
      </c>
    </row>
    <row r="2018" spans="1:12" x14ac:dyDescent="0.3">
      <c r="A2018" s="2">
        <v>38535</v>
      </c>
      <c r="B2018" t="s">
        <v>13</v>
      </c>
      <c r="D2018" s="2">
        <v>39266</v>
      </c>
      <c r="E2018">
        <v>7.75</v>
      </c>
      <c r="G2018" s="2">
        <v>39266</v>
      </c>
      <c r="H2018">
        <v>7.2140000000000004</v>
      </c>
      <c r="J2018" s="2">
        <v>39273</v>
      </c>
      <c r="K2018" s="3">
        <f t="shared" si="62"/>
        <v>7.75</v>
      </c>
      <c r="L2018" s="3">
        <f t="shared" si="63"/>
        <v>7.0549999999999997</v>
      </c>
    </row>
    <row r="2019" spans="1:12" x14ac:dyDescent="0.3">
      <c r="A2019" s="2">
        <v>38536</v>
      </c>
      <c r="B2019" t="s">
        <v>13</v>
      </c>
      <c r="D2019" s="2">
        <v>39267</v>
      </c>
      <c r="E2019">
        <v>7.75</v>
      </c>
      <c r="G2019" s="2">
        <v>39267</v>
      </c>
      <c r="H2019">
        <v>7.1449999999999996</v>
      </c>
      <c r="J2019" s="2">
        <v>39274</v>
      </c>
      <c r="K2019" s="3">
        <f t="shared" si="62"/>
        <v>7.75</v>
      </c>
      <c r="L2019" s="3">
        <f t="shared" si="63"/>
        <v>7.0060000000000002</v>
      </c>
    </row>
    <row r="2020" spans="1:12" x14ac:dyDescent="0.3">
      <c r="A2020" s="2">
        <v>38537</v>
      </c>
      <c r="B2020" t="s">
        <v>13</v>
      </c>
      <c r="D2020" s="2">
        <v>39268</v>
      </c>
      <c r="E2020">
        <v>7.75</v>
      </c>
      <c r="G2020" s="2">
        <v>39268</v>
      </c>
      <c r="H2020">
        <v>7.4820000000000002</v>
      </c>
      <c r="J2020" s="2">
        <v>39275</v>
      </c>
      <c r="K2020" s="3">
        <f t="shared" si="62"/>
        <v>7.75</v>
      </c>
      <c r="L2020" s="3">
        <f t="shared" si="63"/>
        <v>6.9779999999999998</v>
      </c>
    </row>
    <row r="2021" spans="1:12" x14ac:dyDescent="0.3">
      <c r="A2021" s="2">
        <v>38538</v>
      </c>
      <c r="B2021" t="s">
        <v>13</v>
      </c>
      <c r="D2021" s="2">
        <v>39269</v>
      </c>
      <c r="E2021">
        <v>7.75</v>
      </c>
      <c r="G2021" s="2">
        <v>39269</v>
      </c>
      <c r="H2021">
        <v>7.1360000000000001</v>
      </c>
      <c r="J2021" s="2">
        <v>39276</v>
      </c>
      <c r="K2021" s="3">
        <f t="shared" si="62"/>
        <v>7.75</v>
      </c>
      <c r="L2021" s="3">
        <f t="shared" si="63"/>
        <v>6.9740000000000002</v>
      </c>
    </row>
    <row r="2022" spans="1:12" x14ac:dyDescent="0.3">
      <c r="A2022" s="2">
        <v>38539</v>
      </c>
      <c r="B2022" t="s">
        <v>13</v>
      </c>
      <c r="D2022" s="2">
        <v>39270</v>
      </c>
      <c r="E2022">
        <v>7.75</v>
      </c>
      <c r="G2022" s="2">
        <v>39270</v>
      </c>
      <c r="H2022">
        <v>7.1360000000000001</v>
      </c>
      <c r="J2022" s="2">
        <v>39277</v>
      </c>
      <c r="K2022" s="3">
        <f t="shared" si="62"/>
        <v>7.75</v>
      </c>
      <c r="L2022" s="3">
        <f t="shared" si="63"/>
        <v>6.9740000000000002</v>
      </c>
    </row>
    <row r="2023" spans="1:12" x14ac:dyDescent="0.3">
      <c r="A2023" s="2">
        <v>38540</v>
      </c>
      <c r="B2023" t="s">
        <v>13</v>
      </c>
      <c r="D2023" s="2">
        <v>39271</v>
      </c>
      <c r="E2023">
        <v>7.75</v>
      </c>
      <c r="G2023" s="2">
        <v>39271</v>
      </c>
      <c r="H2023">
        <v>7.1360000000000001</v>
      </c>
      <c r="J2023" s="2">
        <v>39278</v>
      </c>
      <c r="K2023" s="3">
        <f t="shared" si="62"/>
        <v>7.75</v>
      </c>
      <c r="L2023" s="3">
        <f t="shared" si="63"/>
        <v>6.9740000000000002</v>
      </c>
    </row>
    <row r="2024" spans="1:12" x14ac:dyDescent="0.3">
      <c r="A2024" s="2">
        <v>38541</v>
      </c>
      <c r="B2024" t="s">
        <v>13</v>
      </c>
      <c r="D2024" s="2">
        <v>39272</v>
      </c>
      <c r="E2024">
        <v>7.75</v>
      </c>
      <c r="G2024" s="2">
        <v>39272</v>
      </c>
      <c r="H2024">
        <v>6.9790000000000001</v>
      </c>
      <c r="J2024" s="2">
        <v>39279</v>
      </c>
      <c r="K2024" s="3">
        <f t="shared" si="62"/>
        <v>7.75</v>
      </c>
      <c r="L2024" s="3">
        <f t="shared" si="63"/>
        <v>6.8970000000000002</v>
      </c>
    </row>
    <row r="2025" spans="1:12" x14ac:dyDescent="0.3">
      <c r="A2025" s="2">
        <v>38542</v>
      </c>
      <c r="B2025" t="s">
        <v>13</v>
      </c>
      <c r="D2025" s="2">
        <v>39273</v>
      </c>
      <c r="E2025">
        <v>7.75</v>
      </c>
      <c r="G2025" s="2">
        <v>39273</v>
      </c>
      <c r="H2025">
        <v>7.0549999999999997</v>
      </c>
      <c r="J2025" s="2">
        <v>39280</v>
      </c>
      <c r="K2025" s="3">
        <f t="shared" si="62"/>
        <v>7.75</v>
      </c>
      <c r="L2025" s="3">
        <f t="shared" si="63"/>
        <v>6.8490000000000002</v>
      </c>
    </row>
    <row r="2026" spans="1:12" x14ac:dyDescent="0.3">
      <c r="A2026" s="2">
        <v>38543</v>
      </c>
      <c r="B2026" t="s">
        <v>13</v>
      </c>
      <c r="D2026" s="2">
        <v>39274</v>
      </c>
      <c r="E2026">
        <v>7.75</v>
      </c>
      <c r="G2026" s="2">
        <v>39274</v>
      </c>
      <c r="H2026">
        <v>7.0060000000000002</v>
      </c>
      <c r="J2026" s="2">
        <v>39281</v>
      </c>
      <c r="K2026" s="3">
        <f t="shared" si="62"/>
        <v>7.75</v>
      </c>
      <c r="L2026" s="3">
        <f t="shared" si="63"/>
        <v>6.7679999999999998</v>
      </c>
    </row>
    <row r="2027" spans="1:12" x14ac:dyDescent="0.3">
      <c r="A2027" s="2">
        <v>38544</v>
      </c>
      <c r="B2027" t="s">
        <v>13</v>
      </c>
      <c r="D2027" s="2">
        <v>39275</v>
      </c>
      <c r="E2027">
        <v>7.75</v>
      </c>
      <c r="G2027" s="2">
        <v>39275</v>
      </c>
      <c r="H2027">
        <v>6.9779999999999998</v>
      </c>
      <c r="J2027" s="2">
        <v>39282</v>
      </c>
      <c r="K2027" s="3">
        <f t="shared" si="62"/>
        <v>7.75</v>
      </c>
      <c r="L2027" s="3">
        <f t="shared" si="63"/>
        <v>6.843</v>
      </c>
    </row>
    <row r="2028" spans="1:12" x14ac:dyDescent="0.3">
      <c r="A2028" s="2">
        <v>38545</v>
      </c>
      <c r="B2028" t="s">
        <v>13</v>
      </c>
      <c r="D2028" s="2">
        <v>39276</v>
      </c>
      <c r="E2028">
        <v>7.75</v>
      </c>
      <c r="G2028" s="2">
        <v>39276</v>
      </c>
      <c r="H2028">
        <v>6.9740000000000002</v>
      </c>
      <c r="J2028" s="2">
        <v>39283</v>
      </c>
      <c r="K2028" s="3">
        <f t="shared" si="62"/>
        <v>7.75</v>
      </c>
      <c r="L2028" s="3">
        <f t="shared" si="63"/>
        <v>6.7220000000000004</v>
      </c>
    </row>
    <row r="2029" spans="1:12" x14ac:dyDescent="0.3">
      <c r="A2029" s="2">
        <v>38546</v>
      </c>
      <c r="B2029" t="s">
        <v>13</v>
      </c>
      <c r="D2029" s="2">
        <v>39277</v>
      </c>
      <c r="E2029">
        <v>7.75</v>
      </c>
      <c r="G2029" s="2">
        <v>39277</v>
      </c>
      <c r="H2029">
        <v>6.9740000000000002</v>
      </c>
      <c r="J2029" s="2">
        <v>39284</v>
      </c>
      <c r="K2029" s="3">
        <f t="shared" si="62"/>
        <v>7.75</v>
      </c>
      <c r="L2029" s="3">
        <f t="shared" si="63"/>
        <v>6.7220000000000004</v>
      </c>
    </row>
    <row r="2030" spans="1:12" x14ac:dyDescent="0.3">
      <c r="A2030" s="2">
        <v>38547</v>
      </c>
      <c r="B2030" t="s">
        <v>13</v>
      </c>
      <c r="D2030" s="2">
        <v>39278</v>
      </c>
      <c r="E2030">
        <v>7.75</v>
      </c>
      <c r="G2030" s="2">
        <v>39278</v>
      </c>
      <c r="H2030">
        <v>6.9740000000000002</v>
      </c>
      <c r="J2030" s="2">
        <v>39285</v>
      </c>
      <c r="K2030" s="3">
        <f t="shared" si="62"/>
        <v>7.75</v>
      </c>
      <c r="L2030" s="3">
        <f t="shared" si="63"/>
        <v>6.7220000000000004</v>
      </c>
    </row>
    <row r="2031" spans="1:12" x14ac:dyDescent="0.3">
      <c r="A2031" s="2">
        <v>38548</v>
      </c>
      <c r="B2031" t="s">
        <v>13</v>
      </c>
      <c r="D2031" s="2">
        <v>39279</v>
      </c>
      <c r="E2031">
        <v>7.75</v>
      </c>
      <c r="G2031" s="2">
        <v>39279</v>
      </c>
      <c r="H2031">
        <v>6.8970000000000002</v>
      </c>
      <c r="J2031" s="2">
        <v>39286</v>
      </c>
      <c r="K2031" s="3">
        <f t="shared" si="62"/>
        <v>7.75</v>
      </c>
      <c r="L2031" s="3">
        <f t="shared" si="63"/>
        <v>6.6520000000000001</v>
      </c>
    </row>
    <row r="2032" spans="1:12" x14ac:dyDescent="0.3">
      <c r="A2032" s="2">
        <v>38549</v>
      </c>
      <c r="B2032" t="s">
        <v>13</v>
      </c>
      <c r="D2032" s="2">
        <v>39280</v>
      </c>
      <c r="E2032">
        <v>7.75</v>
      </c>
      <c r="G2032" s="2">
        <v>39280</v>
      </c>
      <c r="H2032">
        <v>6.8490000000000002</v>
      </c>
      <c r="J2032" s="2">
        <v>39287</v>
      </c>
      <c r="K2032" s="3">
        <f t="shared" si="62"/>
        <v>7.75</v>
      </c>
      <c r="L2032" s="3">
        <f t="shared" si="63"/>
        <v>6.6429999999999998</v>
      </c>
    </row>
    <row r="2033" spans="1:12" x14ac:dyDescent="0.3">
      <c r="A2033" s="2">
        <v>38550</v>
      </c>
      <c r="B2033" t="s">
        <v>13</v>
      </c>
      <c r="D2033" s="2">
        <v>39281</v>
      </c>
      <c r="E2033">
        <v>7.75</v>
      </c>
      <c r="G2033" s="2">
        <v>39281</v>
      </c>
      <c r="H2033">
        <v>6.7679999999999998</v>
      </c>
      <c r="J2033" s="2">
        <v>39288</v>
      </c>
      <c r="K2033" s="3">
        <f t="shared" si="62"/>
        <v>7.75</v>
      </c>
      <c r="L2033" s="3">
        <f t="shared" si="63"/>
        <v>6.7990000000000004</v>
      </c>
    </row>
    <row r="2034" spans="1:12" x14ac:dyDescent="0.3">
      <c r="A2034" s="2">
        <v>38551</v>
      </c>
      <c r="B2034" t="s">
        <v>13</v>
      </c>
      <c r="D2034" s="2">
        <v>39282</v>
      </c>
      <c r="E2034">
        <v>7.75</v>
      </c>
      <c r="G2034" s="2">
        <v>39282</v>
      </c>
      <c r="H2034">
        <v>6.843</v>
      </c>
      <c r="J2034" s="2">
        <v>39289</v>
      </c>
      <c r="K2034" s="3">
        <f t="shared" si="62"/>
        <v>7.75</v>
      </c>
      <c r="L2034" s="3">
        <f t="shared" si="63"/>
        <v>6.8209999999999997</v>
      </c>
    </row>
    <row r="2035" spans="1:12" x14ac:dyDescent="0.3">
      <c r="A2035" s="2">
        <v>38552</v>
      </c>
      <c r="B2035" t="s">
        <v>13</v>
      </c>
      <c r="D2035" s="2">
        <v>39283</v>
      </c>
      <c r="E2035">
        <v>7.75</v>
      </c>
      <c r="G2035" s="2">
        <v>39283</v>
      </c>
      <c r="H2035">
        <v>6.7220000000000004</v>
      </c>
      <c r="J2035" s="2">
        <v>39290</v>
      </c>
      <c r="K2035" s="3">
        <f t="shared" si="62"/>
        <v>7.75</v>
      </c>
      <c r="L2035" s="3">
        <f t="shared" si="63"/>
        <v>6.6929999999999996</v>
      </c>
    </row>
    <row r="2036" spans="1:12" x14ac:dyDescent="0.3">
      <c r="A2036" s="2">
        <v>38553</v>
      </c>
      <c r="B2036" t="s">
        <v>13</v>
      </c>
      <c r="D2036" s="2">
        <v>39284</v>
      </c>
      <c r="E2036">
        <v>7.75</v>
      </c>
      <c r="G2036" s="2">
        <v>39284</v>
      </c>
      <c r="H2036">
        <v>6.7220000000000004</v>
      </c>
      <c r="J2036" s="2">
        <v>39291</v>
      </c>
      <c r="K2036" s="3">
        <f t="shared" si="62"/>
        <v>7.75</v>
      </c>
      <c r="L2036" s="3">
        <f t="shared" si="63"/>
        <v>6.6929999999999996</v>
      </c>
    </row>
    <row r="2037" spans="1:12" x14ac:dyDescent="0.3">
      <c r="A2037" s="2">
        <v>38554</v>
      </c>
      <c r="B2037" t="s">
        <v>13</v>
      </c>
      <c r="D2037" s="2">
        <v>39285</v>
      </c>
      <c r="E2037">
        <v>7.75</v>
      </c>
      <c r="G2037" s="2">
        <v>39285</v>
      </c>
      <c r="H2037">
        <v>6.7220000000000004</v>
      </c>
      <c r="J2037" s="2">
        <v>39292</v>
      </c>
      <c r="K2037" s="3">
        <f t="shared" si="62"/>
        <v>7.75</v>
      </c>
      <c r="L2037" s="3">
        <f t="shared" si="63"/>
        <v>6.6929999999999996</v>
      </c>
    </row>
    <row r="2038" spans="1:12" x14ac:dyDescent="0.3">
      <c r="A2038" s="2">
        <v>38555</v>
      </c>
      <c r="B2038" t="s">
        <v>13</v>
      </c>
      <c r="D2038" s="2">
        <v>39286</v>
      </c>
      <c r="E2038">
        <v>7.75</v>
      </c>
      <c r="G2038" s="2">
        <v>39286</v>
      </c>
      <c r="H2038">
        <v>6.6520000000000001</v>
      </c>
      <c r="J2038" s="2">
        <v>39293</v>
      </c>
      <c r="K2038" s="3">
        <f t="shared" si="62"/>
        <v>7.75</v>
      </c>
      <c r="L2038" s="3">
        <f t="shared" si="63"/>
        <v>6.8470000000000004</v>
      </c>
    </row>
    <row r="2039" spans="1:12" x14ac:dyDescent="0.3">
      <c r="A2039" s="2">
        <v>38556</v>
      </c>
      <c r="B2039" t="s">
        <v>13</v>
      </c>
      <c r="D2039" s="2">
        <v>39287</v>
      </c>
      <c r="E2039">
        <v>7.75</v>
      </c>
      <c r="G2039" s="2">
        <v>39287</v>
      </c>
      <c r="H2039">
        <v>6.6429999999999998</v>
      </c>
      <c r="J2039" s="2">
        <v>39294</v>
      </c>
      <c r="K2039" s="3">
        <f t="shared" si="62"/>
        <v>7.75</v>
      </c>
      <c r="L2039" s="3">
        <f t="shared" si="63"/>
        <v>7.0039999999999996</v>
      </c>
    </row>
    <row r="2040" spans="1:12" x14ac:dyDescent="0.3">
      <c r="A2040" s="2">
        <v>38557</v>
      </c>
      <c r="B2040" t="s">
        <v>13</v>
      </c>
      <c r="D2040" s="2">
        <v>39288</v>
      </c>
      <c r="E2040">
        <v>7.75</v>
      </c>
      <c r="G2040" s="2">
        <v>39288</v>
      </c>
      <c r="H2040">
        <v>6.7990000000000004</v>
      </c>
      <c r="J2040" s="2">
        <v>39295</v>
      </c>
      <c r="K2040" s="3">
        <f t="shared" si="62"/>
        <v>7.75</v>
      </c>
      <c r="L2040" s="3">
        <f t="shared" si="63"/>
        <v>7.1849999999999996</v>
      </c>
    </row>
    <row r="2041" spans="1:12" x14ac:dyDescent="0.3">
      <c r="A2041" s="2">
        <v>38558</v>
      </c>
      <c r="B2041" t="s">
        <v>13</v>
      </c>
      <c r="D2041" s="2">
        <v>39289</v>
      </c>
      <c r="E2041">
        <v>7.75</v>
      </c>
      <c r="G2041" s="2">
        <v>39289</v>
      </c>
      <c r="H2041">
        <v>6.8209999999999997</v>
      </c>
      <c r="J2041" s="2">
        <v>39296</v>
      </c>
      <c r="K2041" s="3">
        <f t="shared" si="62"/>
        <v>7.75</v>
      </c>
      <c r="L2041" s="3">
        <f t="shared" si="63"/>
        <v>7.157</v>
      </c>
    </row>
    <row r="2042" spans="1:12" x14ac:dyDescent="0.3">
      <c r="A2042" s="2">
        <v>38559</v>
      </c>
      <c r="B2042" t="s">
        <v>13</v>
      </c>
      <c r="D2042" s="2">
        <v>39290</v>
      </c>
      <c r="E2042">
        <v>7.75</v>
      </c>
      <c r="G2042" s="2">
        <v>39290</v>
      </c>
      <c r="H2042">
        <v>6.6929999999999996</v>
      </c>
      <c r="J2042" s="2">
        <v>39297</v>
      </c>
      <c r="K2042" s="3">
        <f t="shared" si="62"/>
        <v>7.75</v>
      </c>
      <c r="L2042" s="3">
        <f t="shared" si="63"/>
        <v>7.0810000000000004</v>
      </c>
    </row>
    <row r="2043" spans="1:12" x14ac:dyDescent="0.3">
      <c r="A2043" s="2">
        <v>38560</v>
      </c>
      <c r="B2043" t="s">
        <v>13</v>
      </c>
      <c r="D2043" s="2">
        <v>39291</v>
      </c>
      <c r="E2043">
        <v>7.75</v>
      </c>
      <c r="G2043" s="2">
        <v>39291</v>
      </c>
      <c r="H2043">
        <v>6.6929999999999996</v>
      </c>
      <c r="J2043" s="2">
        <v>39298</v>
      </c>
      <c r="K2043" s="3">
        <f t="shared" si="62"/>
        <v>7.75</v>
      </c>
      <c r="L2043" s="3">
        <f t="shared" si="63"/>
        <v>7.0810000000000004</v>
      </c>
    </row>
    <row r="2044" spans="1:12" x14ac:dyDescent="0.3">
      <c r="A2044" s="2">
        <v>38561</v>
      </c>
      <c r="B2044" t="s">
        <v>13</v>
      </c>
      <c r="D2044" s="2">
        <v>39292</v>
      </c>
      <c r="E2044">
        <v>7.75</v>
      </c>
      <c r="G2044" s="2">
        <v>39292</v>
      </c>
      <c r="H2044">
        <v>6.6929999999999996</v>
      </c>
      <c r="J2044" s="2">
        <v>39299</v>
      </c>
      <c r="K2044" s="3">
        <f t="shared" si="62"/>
        <v>7.75</v>
      </c>
      <c r="L2044" s="3">
        <f t="shared" si="63"/>
        <v>7.0810000000000004</v>
      </c>
    </row>
    <row r="2045" spans="1:12" x14ac:dyDescent="0.3">
      <c r="A2045" s="2">
        <v>38562</v>
      </c>
      <c r="B2045" t="s">
        <v>13</v>
      </c>
      <c r="D2045" s="2">
        <v>39293</v>
      </c>
      <c r="E2045">
        <v>7.75</v>
      </c>
      <c r="G2045" s="2">
        <v>39293</v>
      </c>
      <c r="H2045">
        <v>6.8470000000000004</v>
      </c>
      <c r="J2045" s="2">
        <v>39300</v>
      </c>
      <c r="K2045" s="3">
        <f t="shared" si="62"/>
        <v>7.75</v>
      </c>
      <c r="L2045" s="3">
        <f t="shared" si="63"/>
        <v>7.0810000000000004</v>
      </c>
    </row>
    <row r="2046" spans="1:12" x14ac:dyDescent="0.3">
      <c r="A2046" s="2">
        <v>38563</v>
      </c>
      <c r="B2046" t="s">
        <v>13</v>
      </c>
      <c r="D2046" s="2">
        <v>39294</v>
      </c>
      <c r="E2046">
        <v>7.75</v>
      </c>
      <c r="G2046" s="2">
        <v>39294</v>
      </c>
      <c r="H2046">
        <v>7.0039999999999996</v>
      </c>
      <c r="J2046" s="2">
        <v>39301</v>
      </c>
      <c r="K2046" s="3">
        <f t="shared" si="62"/>
        <v>7.75</v>
      </c>
      <c r="L2046" s="3">
        <f t="shared" si="63"/>
        <v>6.8150000000000004</v>
      </c>
    </row>
    <row r="2047" spans="1:12" x14ac:dyDescent="0.3">
      <c r="A2047" s="2">
        <v>38564</v>
      </c>
      <c r="B2047" t="s">
        <v>13</v>
      </c>
      <c r="D2047" s="2">
        <v>39295</v>
      </c>
      <c r="E2047">
        <v>7.75</v>
      </c>
      <c r="G2047" s="2">
        <v>39295</v>
      </c>
      <c r="H2047">
        <v>7.1849999999999996</v>
      </c>
      <c r="J2047" s="2">
        <v>39302</v>
      </c>
      <c r="K2047" s="3">
        <f t="shared" si="62"/>
        <v>7.75</v>
      </c>
      <c r="L2047" s="3">
        <f t="shared" si="63"/>
        <v>7.1050000000000004</v>
      </c>
    </row>
    <row r="2048" spans="1:12" x14ac:dyDescent="0.3">
      <c r="A2048" s="2">
        <v>38565</v>
      </c>
      <c r="B2048" t="s">
        <v>13</v>
      </c>
      <c r="D2048" s="2">
        <v>39296</v>
      </c>
      <c r="E2048">
        <v>7.75</v>
      </c>
      <c r="G2048" s="2">
        <v>39296</v>
      </c>
      <c r="H2048">
        <v>7.157</v>
      </c>
      <c r="J2048" s="2">
        <v>39303</v>
      </c>
      <c r="K2048" s="3">
        <f t="shared" si="62"/>
        <v>7.75</v>
      </c>
      <c r="L2048" s="3">
        <f t="shared" si="63"/>
        <v>7.665</v>
      </c>
    </row>
    <row r="2049" spans="1:12" x14ac:dyDescent="0.3">
      <c r="A2049" s="2">
        <v>38566</v>
      </c>
      <c r="B2049" t="s">
        <v>13</v>
      </c>
      <c r="D2049" s="2">
        <v>39297</v>
      </c>
      <c r="E2049">
        <v>7.75</v>
      </c>
      <c r="G2049" s="2">
        <v>39297</v>
      </c>
      <c r="H2049">
        <v>7.0810000000000004</v>
      </c>
      <c r="J2049" s="2">
        <v>39304</v>
      </c>
      <c r="K2049" s="3">
        <f t="shared" si="62"/>
        <v>7.75</v>
      </c>
      <c r="L2049" s="3">
        <f t="shared" si="63"/>
        <v>7.665</v>
      </c>
    </row>
    <row r="2050" spans="1:12" x14ac:dyDescent="0.3">
      <c r="A2050" s="2">
        <v>38567</v>
      </c>
      <c r="B2050" t="s">
        <v>13</v>
      </c>
      <c r="D2050" s="2">
        <v>39298</v>
      </c>
      <c r="E2050">
        <v>7.75</v>
      </c>
      <c r="G2050" s="2">
        <v>39298</v>
      </c>
      <c r="H2050">
        <v>7.0810000000000004</v>
      </c>
      <c r="J2050" s="2">
        <v>39305</v>
      </c>
      <c r="K2050" s="3">
        <f t="shared" si="62"/>
        <v>7.75</v>
      </c>
      <c r="L2050" s="3">
        <f t="shared" si="63"/>
        <v>7.665</v>
      </c>
    </row>
    <row r="2051" spans="1:12" x14ac:dyDescent="0.3">
      <c r="A2051" s="2">
        <v>38568</v>
      </c>
      <c r="B2051" t="s">
        <v>13</v>
      </c>
      <c r="D2051" s="2">
        <v>39299</v>
      </c>
      <c r="E2051">
        <v>7.75</v>
      </c>
      <c r="G2051" s="2">
        <v>39299</v>
      </c>
      <c r="H2051">
        <v>7.0810000000000004</v>
      </c>
      <c r="J2051" s="2">
        <v>39306</v>
      </c>
      <c r="K2051" s="3">
        <f t="shared" ref="K2051:K2114" si="64">E2058</f>
        <v>7.75</v>
      </c>
      <c r="L2051" s="3">
        <f t="shared" ref="L2051:L2114" si="65">H2058</f>
        <v>7.665</v>
      </c>
    </row>
    <row r="2052" spans="1:12" x14ac:dyDescent="0.3">
      <c r="A2052" s="2">
        <v>38569</v>
      </c>
      <c r="B2052" t="s">
        <v>13</v>
      </c>
      <c r="D2052" s="2">
        <v>39300</v>
      </c>
      <c r="E2052">
        <v>7.75</v>
      </c>
      <c r="G2052" s="2">
        <v>39300</v>
      </c>
      <c r="H2052">
        <v>7.0810000000000004</v>
      </c>
      <c r="J2052" s="2">
        <v>39307</v>
      </c>
      <c r="K2052" s="3">
        <f t="shared" si="64"/>
        <v>7.75</v>
      </c>
      <c r="L2052" s="3">
        <f t="shared" si="65"/>
        <v>7.3029999999999999</v>
      </c>
    </row>
    <row r="2053" spans="1:12" x14ac:dyDescent="0.3">
      <c r="A2053" s="2">
        <v>38570</v>
      </c>
      <c r="B2053" t="s">
        <v>13</v>
      </c>
      <c r="D2053" s="2">
        <v>39301</v>
      </c>
      <c r="E2053">
        <v>7.75</v>
      </c>
      <c r="G2053" s="2">
        <v>39301</v>
      </c>
      <c r="H2053">
        <v>6.8150000000000004</v>
      </c>
      <c r="J2053" s="2">
        <v>39308</v>
      </c>
      <c r="K2053" s="3">
        <f t="shared" si="64"/>
        <v>7.75</v>
      </c>
      <c r="L2053" s="3">
        <f t="shared" si="65"/>
        <v>7.1680000000000001</v>
      </c>
    </row>
    <row r="2054" spans="1:12" x14ac:dyDescent="0.3">
      <c r="A2054" s="2">
        <v>38571</v>
      </c>
      <c r="B2054" t="s">
        <v>13</v>
      </c>
      <c r="D2054" s="2">
        <v>39302</v>
      </c>
      <c r="E2054">
        <v>7.75</v>
      </c>
      <c r="G2054" s="2">
        <v>39302</v>
      </c>
      <c r="H2054">
        <v>7.1050000000000004</v>
      </c>
      <c r="J2054" s="2">
        <v>39309</v>
      </c>
      <c r="K2054" s="3">
        <f t="shared" si="64"/>
        <v>7.75</v>
      </c>
      <c r="L2054" s="3">
        <f t="shared" si="65"/>
        <v>7.1680000000000001</v>
      </c>
    </row>
    <row r="2055" spans="1:12" x14ac:dyDescent="0.3">
      <c r="A2055" s="2">
        <v>38572</v>
      </c>
      <c r="B2055" t="s">
        <v>13</v>
      </c>
      <c r="D2055" s="2">
        <v>39303</v>
      </c>
      <c r="E2055">
        <v>7.75</v>
      </c>
      <c r="G2055" s="2">
        <v>39303</v>
      </c>
      <c r="H2055">
        <v>7.665</v>
      </c>
      <c r="J2055" s="2">
        <v>39310</v>
      </c>
      <c r="K2055" s="3">
        <f t="shared" si="64"/>
        <v>7.75</v>
      </c>
      <c r="L2055" s="3">
        <f t="shared" si="65"/>
        <v>7.6619999999999999</v>
      </c>
    </row>
    <row r="2056" spans="1:12" x14ac:dyDescent="0.3">
      <c r="A2056" s="2">
        <v>38573</v>
      </c>
      <c r="B2056" t="s">
        <v>13</v>
      </c>
      <c r="D2056" s="2">
        <v>39304</v>
      </c>
      <c r="E2056">
        <v>7.75</v>
      </c>
      <c r="G2056" s="2">
        <v>39304</v>
      </c>
      <c r="H2056">
        <v>7.665</v>
      </c>
      <c r="J2056" s="2">
        <v>39311</v>
      </c>
      <c r="K2056" s="3">
        <f t="shared" si="64"/>
        <v>7.75</v>
      </c>
      <c r="L2056" s="3">
        <f t="shared" si="65"/>
        <v>7.5119999999999996</v>
      </c>
    </row>
    <row r="2057" spans="1:12" x14ac:dyDescent="0.3">
      <c r="A2057" s="2">
        <v>38574</v>
      </c>
      <c r="B2057" t="s">
        <v>13</v>
      </c>
      <c r="D2057" s="2">
        <v>39305</v>
      </c>
      <c r="E2057">
        <v>7.75</v>
      </c>
      <c r="G2057" s="2">
        <v>39305</v>
      </c>
      <c r="H2057">
        <v>7.665</v>
      </c>
      <c r="J2057" s="2">
        <v>39312</v>
      </c>
      <c r="K2057" s="3">
        <f t="shared" si="64"/>
        <v>7.75</v>
      </c>
      <c r="L2057" s="3">
        <f t="shared" si="65"/>
        <v>7.5119999999999996</v>
      </c>
    </row>
    <row r="2058" spans="1:12" x14ac:dyDescent="0.3">
      <c r="A2058" s="2">
        <v>38575</v>
      </c>
      <c r="B2058" t="s">
        <v>13</v>
      </c>
      <c r="D2058" s="2">
        <v>39306</v>
      </c>
      <c r="E2058">
        <v>7.75</v>
      </c>
      <c r="G2058" s="2">
        <v>39306</v>
      </c>
      <c r="H2058">
        <v>7.665</v>
      </c>
      <c r="J2058" s="2">
        <v>39313</v>
      </c>
      <c r="K2058" s="3">
        <f t="shared" si="64"/>
        <v>7.75</v>
      </c>
      <c r="L2058" s="3">
        <f t="shared" si="65"/>
        <v>7.5119999999999996</v>
      </c>
    </row>
    <row r="2059" spans="1:12" x14ac:dyDescent="0.3">
      <c r="A2059" s="2">
        <v>38576</v>
      </c>
      <c r="B2059" t="s">
        <v>13</v>
      </c>
      <c r="D2059" s="2">
        <v>39307</v>
      </c>
      <c r="E2059">
        <v>7.75</v>
      </c>
      <c r="G2059" s="2">
        <v>39307</v>
      </c>
      <c r="H2059">
        <v>7.3029999999999999</v>
      </c>
      <c r="J2059" s="2">
        <v>39314</v>
      </c>
      <c r="K2059" s="3">
        <f t="shared" si="64"/>
        <v>7.75</v>
      </c>
      <c r="L2059" s="3">
        <f t="shared" si="65"/>
        <v>7.5119999999999996</v>
      </c>
    </row>
    <row r="2060" spans="1:12" x14ac:dyDescent="0.3">
      <c r="A2060" s="2">
        <v>38577</v>
      </c>
      <c r="B2060" t="s">
        <v>13</v>
      </c>
      <c r="D2060" s="2">
        <v>39308</v>
      </c>
      <c r="E2060">
        <v>7.75</v>
      </c>
      <c r="G2060" s="2">
        <v>39308</v>
      </c>
      <c r="H2060">
        <v>7.1680000000000001</v>
      </c>
      <c r="J2060" s="2">
        <v>39315</v>
      </c>
      <c r="K2060" s="3">
        <f t="shared" si="64"/>
        <v>7.75</v>
      </c>
      <c r="L2060" s="3">
        <f t="shared" si="65"/>
        <v>7.3849999999999998</v>
      </c>
    </row>
    <row r="2061" spans="1:12" x14ac:dyDescent="0.3">
      <c r="A2061" s="2">
        <v>38578</v>
      </c>
      <c r="B2061" t="s">
        <v>13</v>
      </c>
      <c r="D2061" s="2">
        <v>39309</v>
      </c>
      <c r="E2061">
        <v>7.75</v>
      </c>
      <c r="G2061" s="2">
        <v>39309</v>
      </c>
      <c r="H2061">
        <v>7.1680000000000001</v>
      </c>
      <c r="J2061" s="2">
        <v>39316</v>
      </c>
      <c r="K2061" s="3">
        <f t="shared" si="64"/>
        <v>7.75</v>
      </c>
      <c r="L2061" s="3">
        <f t="shared" si="65"/>
        <v>7.1559999999999997</v>
      </c>
    </row>
    <row r="2062" spans="1:12" x14ac:dyDescent="0.3">
      <c r="A2062" s="2">
        <v>38579</v>
      </c>
      <c r="B2062" t="s">
        <v>13</v>
      </c>
      <c r="D2062" s="2">
        <v>39310</v>
      </c>
      <c r="E2062">
        <v>7.75</v>
      </c>
      <c r="G2062" s="2">
        <v>39310</v>
      </c>
      <c r="H2062">
        <v>7.6619999999999999</v>
      </c>
      <c r="J2062" s="2">
        <v>39317</v>
      </c>
      <c r="K2062" s="3">
        <f t="shared" si="64"/>
        <v>7.75</v>
      </c>
      <c r="L2062" s="3">
        <f t="shared" si="65"/>
        <v>7.2850000000000001</v>
      </c>
    </row>
    <row r="2063" spans="1:12" x14ac:dyDescent="0.3">
      <c r="A2063" s="2">
        <v>38580</v>
      </c>
      <c r="B2063" t="s">
        <v>13</v>
      </c>
      <c r="D2063" s="2">
        <v>39311</v>
      </c>
      <c r="E2063">
        <v>7.75</v>
      </c>
      <c r="G2063" s="2">
        <v>39311</v>
      </c>
      <c r="H2063">
        <v>7.5119999999999996</v>
      </c>
      <c r="J2063" s="2">
        <v>39318</v>
      </c>
      <c r="K2063" s="3">
        <f t="shared" si="64"/>
        <v>7.75</v>
      </c>
      <c r="L2063" s="3">
        <f t="shared" si="65"/>
        <v>7.3390000000000004</v>
      </c>
    </row>
    <row r="2064" spans="1:12" x14ac:dyDescent="0.3">
      <c r="A2064" s="2">
        <v>38581</v>
      </c>
      <c r="B2064" t="s">
        <v>13</v>
      </c>
      <c r="D2064" s="2">
        <v>39312</v>
      </c>
      <c r="E2064">
        <v>7.75</v>
      </c>
      <c r="G2064" s="2">
        <v>39312</v>
      </c>
      <c r="H2064">
        <v>7.5119999999999996</v>
      </c>
      <c r="J2064" s="2">
        <v>39319</v>
      </c>
      <c r="K2064" s="3">
        <f t="shared" si="64"/>
        <v>7.75</v>
      </c>
      <c r="L2064" s="3">
        <f t="shared" si="65"/>
        <v>7.3390000000000004</v>
      </c>
    </row>
    <row r="2065" spans="1:12" x14ac:dyDescent="0.3">
      <c r="A2065" s="2">
        <v>38582</v>
      </c>
      <c r="B2065" t="s">
        <v>13</v>
      </c>
      <c r="D2065" s="2">
        <v>39313</v>
      </c>
      <c r="E2065">
        <v>7.75</v>
      </c>
      <c r="G2065" s="2">
        <v>39313</v>
      </c>
      <c r="H2065">
        <v>7.5119999999999996</v>
      </c>
      <c r="J2065" s="2">
        <v>39320</v>
      </c>
      <c r="K2065" s="3">
        <f t="shared" si="64"/>
        <v>7.75</v>
      </c>
      <c r="L2065" s="3">
        <f t="shared" si="65"/>
        <v>7.3390000000000004</v>
      </c>
    </row>
    <row r="2066" spans="1:12" x14ac:dyDescent="0.3">
      <c r="A2066" s="2">
        <v>38583</v>
      </c>
      <c r="B2066" t="s">
        <v>13</v>
      </c>
      <c r="D2066" s="2">
        <v>39314</v>
      </c>
      <c r="E2066">
        <v>7.75</v>
      </c>
      <c r="G2066" s="2">
        <v>39314</v>
      </c>
      <c r="H2066">
        <v>7.5119999999999996</v>
      </c>
      <c r="J2066" s="2">
        <v>39321</v>
      </c>
      <c r="K2066" s="3">
        <f t="shared" si="64"/>
        <v>7.75</v>
      </c>
      <c r="L2066" s="3">
        <f t="shared" si="65"/>
        <v>7.2140000000000004</v>
      </c>
    </row>
    <row r="2067" spans="1:12" x14ac:dyDescent="0.3">
      <c r="A2067" s="2">
        <v>38584</v>
      </c>
      <c r="B2067" t="s">
        <v>13</v>
      </c>
      <c r="D2067" s="2">
        <v>39315</v>
      </c>
      <c r="E2067">
        <v>7.75</v>
      </c>
      <c r="G2067" s="2">
        <v>39315</v>
      </c>
      <c r="H2067">
        <v>7.3849999999999998</v>
      </c>
      <c r="J2067" s="2">
        <v>39322</v>
      </c>
      <c r="K2067" s="3">
        <f t="shared" si="64"/>
        <v>7.75</v>
      </c>
      <c r="L2067" s="3">
        <f t="shared" si="65"/>
        <v>7.282</v>
      </c>
    </row>
    <row r="2068" spans="1:12" x14ac:dyDescent="0.3">
      <c r="A2068" s="2">
        <v>38585</v>
      </c>
      <c r="B2068" t="s">
        <v>13</v>
      </c>
      <c r="D2068" s="2">
        <v>39316</v>
      </c>
      <c r="E2068">
        <v>7.75</v>
      </c>
      <c r="G2068" s="2">
        <v>39316</v>
      </c>
      <c r="H2068">
        <v>7.1559999999999997</v>
      </c>
      <c r="J2068" s="2">
        <v>39323</v>
      </c>
      <c r="K2068" s="3">
        <f t="shared" si="64"/>
        <v>7.75</v>
      </c>
      <c r="L2068" s="3">
        <f t="shared" si="65"/>
        <v>7.2160000000000002</v>
      </c>
    </row>
    <row r="2069" spans="1:12" x14ac:dyDescent="0.3">
      <c r="A2069" s="2">
        <v>38586</v>
      </c>
      <c r="B2069" t="s">
        <v>13</v>
      </c>
      <c r="D2069" s="2">
        <v>39317</v>
      </c>
      <c r="E2069">
        <v>7.75</v>
      </c>
      <c r="G2069" s="2">
        <v>39317</v>
      </c>
      <c r="H2069">
        <v>7.2850000000000001</v>
      </c>
      <c r="J2069" s="2">
        <v>39324</v>
      </c>
      <c r="K2069" s="3">
        <f t="shared" si="64"/>
        <v>7.75</v>
      </c>
      <c r="L2069" s="3">
        <f t="shared" si="65"/>
        <v>7.3609999999999998</v>
      </c>
    </row>
    <row r="2070" spans="1:12" x14ac:dyDescent="0.3">
      <c r="A2070" s="2">
        <v>38587</v>
      </c>
      <c r="B2070" t="s">
        <v>13</v>
      </c>
      <c r="D2070" s="2">
        <v>39318</v>
      </c>
      <c r="E2070">
        <v>7.75</v>
      </c>
      <c r="G2070" s="2">
        <v>39318</v>
      </c>
      <c r="H2070">
        <v>7.3390000000000004</v>
      </c>
      <c r="J2070" s="2">
        <v>39325</v>
      </c>
      <c r="K2070" s="3">
        <f t="shared" si="64"/>
        <v>7.75</v>
      </c>
      <c r="L2070" s="3">
        <f t="shared" si="65"/>
        <v>7.3179999999999996</v>
      </c>
    </row>
    <row r="2071" spans="1:12" x14ac:dyDescent="0.3">
      <c r="A2071" s="2">
        <v>38588</v>
      </c>
      <c r="B2071" t="s">
        <v>13</v>
      </c>
      <c r="D2071" s="2">
        <v>39319</v>
      </c>
      <c r="E2071">
        <v>7.75</v>
      </c>
      <c r="G2071" s="2">
        <v>39319</v>
      </c>
      <c r="H2071">
        <v>7.3390000000000004</v>
      </c>
      <c r="J2071" s="2">
        <v>39326</v>
      </c>
      <c r="K2071" s="3">
        <f t="shared" si="64"/>
        <v>7.75</v>
      </c>
      <c r="L2071" s="3">
        <f t="shared" si="65"/>
        <v>7.3179999999999996</v>
      </c>
    </row>
    <row r="2072" spans="1:12" x14ac:dyDescent="0.3">
      <c r="A2072" s="2">
        <v>38589</v>
      </c>
      <c r="B2072" t="s">
        <v>13</v>
      </c>
      <c r="D2072" s="2">
        <v>39320</v>
      </c>
      <c r="E2072">
        <v>7.75</v>
      </c>
      <c r="G2072" s="2">
        <v>39320</v>
      </c>
      <c r="H2072">
        <v>7.3390000000000004</v>
      </c>
      <c r="J2072" s="2">
        <v>39327</v>
      </c>
      <c r="K2072" s="3">
        <f t="shared" si="64"/>
        <v>7.75</v>
      </c>
      <c r="L2072" s="3">
        <f t="shared" si="65"/>
        <v>7.3179999999999996</v>
      </c>
    </row>
    <row r="2073" spans="1:12" x14ac:dyDescent="0.3">
      <c r="A2073" s="2">
        <v>38590</v>
      </c>
      <c r="B2073" t="s">
        <v>13</v>
      </c>
      <c r="D2073" s="2">
        <v>39321</v>
      </c>
      <c r="E2073">
        <v>7.75</v>
      </c>
      <c r="G2073" s="2">
        <v>39321</v>
      </c>
      <c r="H2073">
        <v>7.2140000000000004</v>
      </c>
      <c r="J2073" s="2">
        <v>39328</v>
      </c>
      <c r="K2073" s="3">
        <f t="shared" si="64"/>
        <v>7.75</v>
      </c>
      <c r="L2073" s="3">
        <f t="shared" si="65"/>
        <v>7.327</v>
      </c>
    </row>
    <row r="2074" spans="1:12" x14ac:dyDescent="0.3">
      <c r="A2074" s="2">
        <v>38591</v>
      </c>
      <c r="B2074" t="s">
        <v>13</v>
      </c>
      <c r="D2074" s="2">
        <v>39322</v>
      </c>
      <c r="E2074">
        <v>7.75</v>
      </c>
      <c r="G2074" s="2">
        <v>39322</v>
      </c>
      <c r="H2074">
        <v>7.282</v>
      </c>
      <c r="J2074" s="2">
        <v>39329</v>
      </c>
      <c r="K2074" s="3">
        <f t="shared" si="64"/>
        <v>7.75</v>
      </c>
      <c r="L2074" s="3">
        <f t="shared" si="65"/>
        <v>7.2670000000000003</v>
      </c>
    </row>
    <row r="2075" spans="1:12" x14ac:dyDescent="0.3">
      <c r="A2075" s="2">
        <v>38592</v>
      </c>
      <c r="B2075" t="s">
        <v>13</v>
      </c>
      <c r="D2075" s="2">
        <v>39323</v>
      </c>
      <c r="E2075">
        <v>7.75</v>
      </c>
      <c r="G2075" s="2">
        <v>39323</v>
      </c>
      <c r="H2075">
        <v>7.2160000000000002</v>
      </c>
      <c r="J2075" s="2">
        <v>39330</v>
      </c>
      <c r="K2075" s="3">
        <f t="shared" si="64"/>
        <v>7.75</v>
      </c>
      <c r="L2075" s="3">
        <f t="shared" si="65"/>
        <v>7.3680000000000003</v>
      </c>
    </row>
    <row r="2076" spans="1:12" x14ac:dyDescent="0.3">
      <c r="A2076" s="2">
        <v>38593</v>
      </c>
      <c r="B2076" t="s">
        <v>13</v>
      </c>
      <c r="D2076" s="2">
        <v>39324</v>
      </c>
      <c r="E2076">
        <v>7.75</v>
      </c>
      <c r="G2076" s="2">
        <v>39324</v>
      </c>
      <c r="H2076">
        <v>7.3609999999999998</v>
      </c>
      <c r="J2076" s="2">
        <v>39331</v>
      </c>
      <c r="K2076" s="3">
        <f t="shared" si="64"/>
        <v>7.75</v>
      </c>
      <c r="L2076" s="3">
        <f t="shared" si="65"/>
        <v>7.3220000000000001</v>
      </c>
    </row>
    <row r="2077" spans="1:12" x14ac:dyDescent="0.3">
      <c r="A2077" s="2">
        <v>38594</v>
      </c>
      <c r="B2077" t="s">
        <v>13</v>
      </c>
      <c r="D2077" s="2">
        <v>39325</v>
      </c>
      <c r="E2077">
        <v>7.75</v>
      </c>
      <c r="G2077" s="2">
        <v>39325</v>
      </c>
      <c r="H2077">
        <v>7.3179999999999996</v>
      </c>
      <c r="J2077" s="2">
        <v>39332</v>
      </c>
      <c r="K2077" s="3">
        <f t="shared" si="64"/>
        <v>7.75</v>
      </c>
      <c r="L2077" s="3">
        <f t="shared" si="65"/>
        <v>7.3049999999999997</v>
      </c>
    </row>
    <row r="2078" spans="1:12" x14ac:dyDescent="0.3">
      <c r="A2078" s="2">
        <v>38595</v>
      </c>
      <c r="B2078" t="s">
        <v>13</v>
      </c>
      <c r="D2078" s="2">
        <v>39326</v>
      </c>
      <c r="E2078">
        <v>7.75</v>
      </c>
      <c r="G2078" s="2">
        <v>39326</v>
      </c>
      <c r="H2078">
        <v>7.3179999999999996</v>
      </c>
      <c r="J2078" s="2">
        <v>39333</v>
      </c>
      <c r="K2078" s="3">
        <f t="shared" si="64"/>
        <v>7.75</v>
      </c>
      <c r="L2078" s="3">
        <f t="shared" si="65"/>
        <v>7.3049999999999997</v>
      </c>
    </row>
    <row r="2079" spans="1:12" x14ac:dyDescent="0.3">
      <c r="A2079" s="2">
        <v>38596</v>
      </c>
      <c r="B2079" t="s">
        <v>13</v>
      </c>
      <c r="D2079" s="2">
        <v>39327</v>
      </c>
      <c r="E2079">
        <v>7.75</v>
      </c>
      <c r="G2079" s="2">
        <v>39327</v>
      </c>
      <c r="H2079">
        <v>7.3179999999999996</v>
      </c>
      <c r="J2079" s="2">
        <v>39334</v>
      </c>
      <c r="K2079" s="3">
        <f t="shared" si="64"/>
        <v>7.75</v>
      </c>
      <c r="L2079" s="3">
        <f t="shared" si="65"/>
        <v>7.3049999999999997</v>
      </c>
    </row>
    <row r="2080" spans="1:12" x14ac:dyDescent="0.3">
      <c r="A2080" s="2">
        <v>38597</v>
      </c>
      <c r="B2080" t="s">
        <v>13</v>
      </c>
      <c r="D2080" s="2">
        <v>39328</v>
      </c>
      <c r="E2080">
        <v>7.75</v>
      </c>
      <c r="G2080" s="2">
        <v>39328</v>
      </c>
      <c r="H2080">
        <v>7.327</v>
      </c>
      <c r="J2080" s="2">
        <v>39335</v>
      </c>
      <c r="K2080" s="3">
        <f t="shared" si="64"/>
        <v>7.75</v>
      </c>
      <c r="L2080" s="3">
        <f t="shared" si="65"/>
        <v>7.2549999999999999</v>
      </c>
    </row>
    <row r="2081" spans="1:12" x14ac:dyDescent="0.3">
      <c r="A2081" s="2">
        <v>38598</v>
      </c>
      <c r="B2081" t="s">
        <v>13</v>
      </c>
      <c r="D2081" s="2">
        <v>39329</v>
      </c>
      <c r="E2081">
        <v>7.75</v>
      </c>
      <c r="G2081" s="2">
        <v>39329</v>
      </c>
      <c r="H2081">
        <v>7.2670000000000003</v>
      </c>
      <c r="J2081" s="2">
        <v>39336</v>
      </c>
      <c r="K2081" s="3">
        <f t="shared" si="64"/>
        <v>7.75</v>
      </c>
      <c r="L2081" s="3">
        <f t="shared" si="65"/>
        <v>7.2690000000000001</v>
      </c>
    </row>
    <row r="2082" spans="1:12" x14ac:dyDescent="0.3">
      <c r="A2082" s="2">
        <v>38599</v>
      </c>
      <c r="B2082" t="s">
        <v>13</v>
      </c>
      <c r="D2082" s="2">
        <v>39330</v>
      </c>
      <c r="E2082">
        <v>7.75</v>
      </c>
      <c r="G2082" s="2">
        <v>39330</v>
      </c>
      <c r="H2082">
        <v>7.3680000000000003</v>
      </c>
      <c r="J2082" s="2">
        <v>39337</v>
      </c>
      <c r="K2082" s="3">
        <f t="shared" si="64"/>
        <v>7.75</v>
      </c>
      <c r="L2082" s="3">
        <f t="shared" si="65"/>
        <v>7.2389999999999999</v>
      </c>
    </row>
    <row r="2083" spans="1:12" x14ac:dyDescent="0.3">
      <c r="A2083" s="2">
        <v>38600</v>
      </c>
      <c r="B2083" t="s">
        <v>13</v>
      </c>
      <c r="D2083" s="2">
        <v>39331</v>
      </c>
      <c r="E2083">
        <v>7.75</v>
      </c>
      <c r="G2083" s="2">
        <v>39331</v>
      </c>
      <c r="H2083">
        <v>7.3220000000000001</v>
      </c>
      <c r="J2083" s="2">
        <v>39338</v>
      </c>
      <c r="K2083" s="3">
        <f t="shared" si="64"/>
        <v>7.75</v>
      </c>
      <c r="L2083" s="3">
        <f t="shared" si="65"/>
        <v>7.2279999999999998</v>
      </c>
    </row>
    <row r="2084" spans="1:12" x14ac:dyDescent="0.3">
      <c r="A2084" s="2">
        <v>38601</v>
      </c>
      <c r="B2084" t="s">
        <v>13</v>
      </c>
      <c r="D2084" s="2">
        <v>39332</v>
      </c>
      <c r="E2084">
        <v>7.75</v>
      </c>
      <c r="G2084" s="2">
        <v>39332</v>
      </c>
      <c r="H2084">
        <v>7.3049999999999997</v>
      </c>
      <c r="J2084" s="2">
        <v>39339</v>
      </c>
      <c r="K2084" s="3">
        <f t="shared" si="64"/>
        <v>7.75</v>
      </c>
      <c r="L2084" s="3">
        <f t="shared" si="65"/>
        <v>7.2839999999999998</v>
      </c>
    </row>
    <row r="2085" spans="1:12" x14ac:dyDescent="0.3">
      <c r="A2085" s="2">
        <v>38602</v>
      </c>
      <c r="B2085" t="s">
        <v>13</v>
      </c>
      <c r="D2085" s="2">
        <v>39333</v>
      </c>
      <c r="E2085">
        <v>7.75</v>
      </c>
      <c r="G2085" s="2">
        <v>39333</v>
      </c>
      <c r="H2085">
        <v>7.3049999999999997</v>
      </c>
      <c r="J2085" s="2">
        <v>39340</v>
      </c>
      <c r="K2085" s="3">
        <f t="shared" si="64"/>
        <v>7.75</v>
      </c>
      <c r="L2085" s="3">
        <f t="shared" si="65"/>
        <v>7.2839999999999998</v>
      </c>
    </row>
    <row r="2086" spans="1:12" x14ac:dyDescent="0.3">
      <c r="A2086" s="2">
        <v>38603</v>
      </c>
      <c r="B2086" t="s">
        <v>13</v>
      </c>
      <c r="D2086" s="2">
        <v>39334</v>
      </c>
      <c r="E2086">
        <v>7.75</v>
      </c>
      <c r="G2086" s="2">
        <v>39334</v>
      </c>
      <c r="H2086">
        <v>7.3049999999999997</v>
      </c>
      <c r="J2086" s="2">
        <v>39341</v>
      </c>
      <c r="K2086" s="3">
        <f t="shared" si="64"/>
        <v>7.75</v>
      </c>
      <c r="L2086" s="3">
        <f t="shared" si="65"/>
        <v>7.2839999999999998</v>
      </c>
    </row>
    <row r="2087" spans="1:12" x14ac:dyDescent="0.3">
      <c r="A2087" s="2">
        <v>38604</v>
      </c>
      <c r="B2087" t="s">
        <v>13</v>
      </c>
      <c r="D2087" s="2">
        <v>39335</v>
      </c>
      <c r="E2087">
        <v>7.75</v>
      </c>
      <c r="G2087" s="2">
        <v>39335</v>
      </c>
      <c r="H2087">
        <v>7.2549999999999999</v>
      </c>
      <c r="J2087" s="2">
        <v>39342</v>
      </c>
      <c r="K2087" s="3">
        <f t="shared" si="64"/>
        <v>7.75</v>
      </c>
      <c r="L2087" s="3">
        <f t="shared" si="65"/>
        <v>7.1790000000000003</v>
      </c>
    </row>
    <row r="2088" spans="1:12" x14ac:dyDescent="0.3">
      <c r="A2088" s="2">
        <v>38605</v>
      </c>
      <c r="B2088" t="s">
        <v>13</v>
      </c>
      <c r="D2088" s="2">
        <v>39336</v>
      </c>
      <c r="E2088">
        <v>7.75</v>
      </c>
      <c r="G2088" s="2">
        <v>39336</v>
      </c>
      <c r="H2088">
        <v>7.2690000000000001</v>
      </c>
      <c r="J2088" s="2">
        <v>39343</v>
      </c>
      <c r="K2088" s="3">
        <f t="shared" si="64"/>
        <v>7.75</v>
      </c>
      <c r="L2088" s="3">
        <f t="shared" si="65"/>
        <v>7.1950000000000003</v>
      </c>
    </row>
    <row r="2089" spans="1:12" x14ac:dyDescent="0.3">
      <c r="A2089" s="2">
        <v>38606</v>
      </c>
      <c r="B2089" t="s">
        <v>13</v>
      </c>
      <c r="D2089" s="2">
        <v>39337</v>
      </c>
      <c r="E2089">
        <v>7.75</v>
      </c>
      <c r="G2089" s="2">
        <v>39337</v>
      </c>
      <c r="H2089">
        <v>7.2389999999999999</v>
      </c>
      <c r="J2089" s="2">
        <v>39344</v>
      </c>
      <c r="K2089" s="3">
        <f t="shared" si="64"/>
        <v>7.75</v>
      </c>
      <c r="L2089" s="3">
        <f t="shared" si="65"/>
        <v>7.2510000000000003</v>
      </c>
    </row>
    <row r="2090" spans="1:12" x14ac:dyDescent="0.3">
      <c r="A2090" s="2">
        <v>38607</v>
      </c>
      <c r="B2090" t="s">
        <v>13</v>
      </c>
      <c r="D2090" s="2">
        <v>39338</v>
      </c>
      <c r="E2090">
        <v>7.75</v>
      </c>
      <c r="G2090" s="2">
        <v>39338</v>
      </c>
      <c r="H2090">
        <v>7.2279999999999998</v>
      </c>
      <c r="J2090" s="2">
        <v>39345</v>
      </c>
      <c r="K2090" s="3">
        <f t="shared" si="64"/>
        <v>7.75</v>
      </c>
      <c r="L2090" s="3">
        <f t="shared" si="65"/>
        <v>7.1909999999999998</v>
      </c>
    </row>
    <row r="2091" spans="1:12" x14ac:dyDescent="0.3">
      <c r="A2091" s="2">
        <v>38608</v>
      </c>
      <c r="B2091" t="s">
        <v>13</v>
      </c>
      <c r="D2091" s="2">
        <v>39339</v>
      </c>
      <c r="E2091">
        <v>7.75</v>
      </c>
      <c r="G2091" s="2">
        <v>39339</v>
      </c>
      <c r="H2091">
        <v>7.2839999999999998</v>
      </c>
      <c r="J2091" s="2">
        <v>39346</v>
      </c>
      <c r="K2091" s="3">
        <f t="shared" si="64"/>
        <v>7.75</v>
      </c>
      <c r="L2091" s="3">
        <f t="shared" si="65"/>
        <v>7.1760000000000002</v>
      </c>
    </row>
    <row r="2092" spans="1:12" x14ac:dyDescent="0.3">
      <c r="A2092" s="2">
        <v>38609</v>
      </c>
      <c r="B2092" t="s">
        <v>13</v>
      </c>
      <c r="D2092" s="2">
        <v>39340</v>
      </c>
      <c r="E2092">
        <v>7.75</v>
      </c>
      <c r="G2092" s="2">
        <v>39340</v>
      </c>
      <c r="H2092">
        <v>7.2839999999999998</v>
      </c>
      <c r="J2092" s="2">
        <v>39347</v>
      </c>
      <c r="K2092" s="3">
        <f t="shared" si="64"/>
        <v>7.75</v>
      </c>
      <c r="L2092" s="3">
        <f t="shared" si="65"/>
        <v>7.1760000000000002</v>
      </c>
    </row>
    <row r="2093" spans="1:12" x14ac:dyDescent="0.3">
      <c r="A2093" s="2">
        <v>38610</v>
      </c>
      <c r="B2093" t="s">
        <v>13</v>
      </c>
      <c r="D2093" s="2">
        <v>39341</v>
      </c>
      <c r="E2093">
        <v>7.75</v>
      </c>
      <c r="G2093" s="2">
        <v>39341</v>
      </c>
      <c r="H2093">
        <v>7.2839999999999998</v>
      </c>
      <c r="J2093" s="2">
        <v>39348</v>
      </c>
      <c r="K2093" s="3">
        <f t="shared" si="64"/>
        <v>7.75</v>
      </c>
      <c r="L2093" s="3">
        <f t="shared" si="65"/>
        <v>7.1760000000000002</v>
      </c>
    </row>
    <row r="2094" spans="1:12" x14ac:dyDescent="0.3">
      <c r="A2094" s="2">
        <v>38611</v>
      </c>
      <c r="B2094" t="s">
        <v>13</v>
      </c>
      <c r="D2094" s="2">
        <v>39342</v>
      </c>
      <c r="E2094">
        <v>7.75</v>
      </c>
      <c r="G2094" s="2">
        <v>39342</v>
      </c>
      <c r="H2094">
        <v>7.1790000000000003</v>
      </c>
      <c r="J2094" s="2">
        <v>39349</v>
      </c>
      <c r="K2094" s="3">
        <f t="shared" si="64"/>
        <v>7.75</v>
      </c>
      <c r="L2094" s="3">
        <f t="shared" si="65"/>
        <v>7.2590000000000003</v>
      </c>
    </row>
    <row r="2095" spans="1:12" x14ac:dyDescent="0.3">
      <c r="A2095" s="2">
        <v>38612</v>
      </c>
      <c r="B2095" t="s">
        <v>13</v>
      </c>
      <c r="D2095" s="2">
        <v>39343</v>
      </c>
      <c r="E2095">
        <v>7.75</v>
      </c>
      <c r="G2095" s="2">
        <v>39343</v>
      </c>
      <c r="H2095">
        <v>7.1950000000000003</v>
      </c>
      <c r="J2095" s="2">
        <v>39350</v>
      </c>
      <c r="K2095" s="3">
        <f t="shared" si="64"/>
        <v>7.75</v>
      </c>
      <c r="L2095" s="3">
        <f t="shared" si="65"/>
        <v>7.242</v>
      </c>
    </row>
    <row r="2096" spans="1:12" x14ac:dyDescent="0.3">
      <c r="A2096" s="2">
        <v>38613</v>
      </c>
      <c r="B2096" t="s">
        <v>13</v>
      </c>
      <c r="D2096" s="2">
        <v>39344</v>
      </c>
      <c r="E2096">
        <v>7.75</v>
      </c>
      <c r="G2096" s="2">
        <v>39344</v>
      </c>
      <c r="H2096">
        <v>7.2510000000000003</v>
      </c>
      <c r="J2096" s="2">
        <v>39351</v>
      </c>
      <c r="K2096" s="3">
        <f t="shared" si="64"/>
        <v>7.75</v>
      </c>
      <c r="L2096" s="3">
        <f t="shared" si="65"/>
        <v>7.1260000000000003</v>
      </c>
    </row>
    <row r="2097" spans="1:12" x14ac:dyDescent="0.3">
      <c r="A2097" s="2">
        <v>38614</v>
      </c>
      <c r="B2097" t="s">
        <v>13</v>
      </c>
      <c r="D2097" s="2">
        <v>39345</v>
      </c>
      <c r="E2097">
        <v>7.75</v>
      </c>
      <c r="G2097" s="2">
        <v>39345</v>
      </c>
      <c r="H2097">
        <v>7.1909999999999998</v>
      </c>
      <c r="J2097" s="2">
        <v>39352</v>
      </c>
      <c r="K2097" s="3">
        <f t="shared" si="64"/>
        <v>7.75</v>
      </c>
      <c r="L2097" s="3">
        <f t="shared" si="65"/>
        <v>7.2060000000000004</v>
      </c>
    </row>
    <row r="2098" spans="1:12" x14ac:dyDescent="0.3">
      <c r="A2098" s="2">
        <v>38615</v>
      </c>
      <c r="B2098" t="s">
        <v>13</v>
      </c>
      <c r="D2098" s="2">
        <v>39346</v>
      </c>
      <c r="E2098">
        <v>7.75</v>
      </c>
      <c r="G2098" s="2">
        <v>39346</v>
      </c>
      <c r="H2098">
        <v>7.1760000000000002</v>
      </c>
      <c r="J2098" s="2">
        <v>39353</v>
      </c>
      <c r="K2098" s="3">
        <f t="shared" si="64"/>
        <v>7.75</v>
      </c>
      <c r="L2098" s="3">
        <f t="shared" si="65"/>
        <v>7.2729999999999997</v>
      </c>
    </row>
    <row r="2099" spans="1:12" x14ac:dyDescent="0.3">
      <c r="A2099" s="2">
        <v>38616</v>
      </c>
      <c r="B2099" t="s">
        <v>13</v>
      </c>
      <c r="D2099" s="2">
        <v>39347</v>
      </c>
      <c r="E2099">
        <v>7.75</v>
      </c>
      <c r="G2099" s="2">
        <v>39347</v>
      </c>
      <c r="H2099">
        <v>7.1760000000000002</v>
      </c>
      <c r="J2099" s="2">
        <v>39354</v>
      </c>
      <c r="K2099" s="3">
        <f t="shared" si="64"/>
        <v>7.75</v>
      </c>
      <c r="L2099" s="3">
        <f t="shared" si="65"/>
        <v>7.2729999999999997</v>
      </c>
    </row>
    <row r="2100" spans="1:12" x14ac:dyDescent="0.3">
      <c r="A2100" s="2">
        <v>38617</v>
      </c>
      <c r="B2100" t="s">
        <v>13</v>
      </c>
      <c r="D2100" s="2">
        <v>39348</v>
      </c>
      <c r="E2100">
        <v>7.75</v>
      </c>
      <c r="G2100" s="2">
        <v>39348</v>
      </c>
      <c r="H2100">
        <v>7.1760000000000002</v>
      </c>
      <c r="J2100" s="2">
        <v>39355</v>
      </c>
      <c r="K2100" s="3">
        <f t="shared" si="64"/>
        <v>7.75</v>
      </c>
      <c r="L2100" s="3">
        <f t="shared" si="65"/>
        <v>7.2729999999999997</v>
      </c>
    </row>
    <row r="2101" spans="1:12" x14ac:dyDescent="0.3">
      <c r="A2101" s="2">
        <v>38618</v>
      </c>
      <c r="B2101" t="s">
        <v>13</v>
      </c>
      <c r="D2101" s="2">
        <v>39349</v>
      </c>
      <c r="E2101">
        <v>7.75</v>
      </c>
      <c r="G2101" s="2">
        <v>39349</v>
      </c>
      <c r="H2101">
        <v>7.2590000000000003</v>
      </c>
      <c r="J2101" s="2">
        <v>39356</v>
      </c>
      <c r="K2101" s="3">
        <f t="shared" si="64"/>
        <v>7.75</v>
      </c>
      <c r="L2101" s="3">
        <f t="shared" si="65"/>
        <v>7.0620000000000003</v>
      </c>
    </row>
    <row r="2102" spans="1:12" x14ac:dyDescent="0.3">
      <c r="A2102" s="2">
        <v>38619</v>
      </c>
      <c r="B2102" t="s">
        <v>13</v>
      </c>
      <c r="D2102" s="2">
        <v>39350</v>
      </c>
      <c r="E2102">
        <v>7.75</v>
      </c>
      <c r="G2102" s="2">
        <v>39350</v>
      </c>
      <c r="H2102">
        <v>7.242</v>
      </c>
      <c r="J2102" s="2">
        <v>39357</v>
      </c>
      <c r="K2102" s="3">
        <f t="shared" si="64"/>
        <v>7.75</v>
      </c>
      <c r="L2102" s="3">
        <f t="shared" si="65"/>
        <v>7.0620000000000003</v>
      </c>
    </row>
    <row r="2103" spans="1:12" x14ac:dyDescent="0.3">
      <c r="A2103" s="2">
        <v>38620</v>
      </c>
      <c r="B2103" t="s">
        <v>13</v>
      </c>
      <c r="D2103" s="2">
        <v>39351</v>
      </c>
      <c r="E2103">
        <v>7.75</v>
      </c>
      <c r="G2103" s="2">
        <v>39351</v>
      </c>
      <c r="H2103">
        <v>7.1260000000000003</v>
      </c>
      <c r="J2103" s="2">
        <v>39358</v>
      </c>
      <c r="K2103" s="3">
        <f t="shared" si="64"/>
        <v>7.75</v>
      </c>
      <c r="L2103" s="3">
        <f t="shared" si="65"/>
        <v>7.1719999999999997</v>
      </c>
    </row>
    <row r="2104" spans="1:12" x14ac:dyDescent="0.3">
      <c r="A2104" s="2">
        <v>38621</v>
      </c>
      <c r="B2104" t="s">
        <v>13</v>
      </c>
      <c r="D2104" s="2">
        <v>39352</v>
      </c>
      <c r="E2104">
        <v>7.75</v>
      </c>
      <c r="G2104" s="2">
        <v>39352</v>
      </c>
      <c r="H2104">
        <v>7.2060000000000004</v>
      </c>
      <c r="J2104" s="2">
        <v>39359</v>
      </c>
      <c r="K2104" s="3">
        <f t="shared" si="64"/>
        <v>7.75</v>
      </c>
      <c r="L2104" s="3">
        <f t="shared" si="65"/>
        <v>7.3220000000000001</v>
      </c>
    </row>
    <row r="2105" spans="1:12" x14ac:dyDescent="0.3">
      <c r="A2105" s="2">
        <v>38622</v>
      </c>
      <c r="B2105" t="s">
        <v>13</v>
      </c>
      <c r="D2105" s="2">
        <v>39353</v>
      </c>
      <c r="E2105">
        <v>7.75</v>
      </c>
      <c r="G2105" s="2">
        <v>39353</v>
      </c>
      <c r="H2105">
        <v>7.2729999999999997</v>
      </c>
      <c r="J2105" s="2">
        <v>39360</v>
      </c>
      <c r="K2105" s="3">
        <f t="shared" si="64"/>
        <v>7.75</v>
      </c>
      <c r="L2105" s="3">
        <f t="shared" si="65"/>
        <v>7.3849999999999998</v>
      </c>
    </row>
    <row r="2106" spans="1:12" x14ac:dyDescent="0.3">
      <c r="A2106" s="2">
        <v>38623</v>
      </c>
      <c r="B2106" t="s">
        <v>13</v>
      </c>
      <c r="D2106" s="2">
        <v>39354</v>
      </c>
      <c r="E2106">
        <v>7.75</v>
      </c>
      <c r="G2106" s="2">
        <v>39354</v>
      </c>
      <c r="H2106">
        <v>7.2729999999999997</v>
      </c>
      <c r="J2106" s="2">
        <v>39361</v>
      </c>
      <c r="K2106" s="3">
        <f t="shared" si="64"/>
        <v>7.75</v>
      </c>
      <c r="L2106" s="3">
        <f t="shared" si="65"/>
        <v>7.3849999999999998</v>
      </c>
    </row>
    <row r="2107" spans="1:12" x14ac:dyDescent="0.3">
      <c r="A2107" s="2">
        <v>38624</v>
      </c>
      <c r="B2107" t="s">
        <v>13</v>
      </c>
      <c r="D2107" s="2">
        <v>39355</v>
      </c>
      <c r="E2107">
        <v>7.75</v>
      </c>
      <c r="G2107" s="2">
        <v>39355</v>
      </c>
      <c r="H2107">
        <v>7.2729999999999997</v>
      </c>
      <c r="J2107" s="2">
        <v>39362</v>
      </c>
      <c r="K2107" s="3">
        <f t="shared" si="64"/>
        <v>7.75</v>
      </c>
      <c r="L2107" s="3">
        <f t="shared" si="65"/>
        <v>7.3849999999999998</v>
      </c>
    </row>
    <row r="2108" spans="1:12" x14ac:dyDescent="0.3">
      <c r="A2108" s="2">
        <v>38625</v>
      </c>
      <c r="B2108" t="s">
        <v>13</v>
      </c>
      <c r="D2108" s="2">
        <v>39356</v>
      </c>
      <c r="E2108">
        <v>7.75</v>
      </c>
      <c r="G2108" s="2">
        <v>39356</v>
      </c>
      <c r="H2108">
        <v>7.0620000000000003</v>
      </c>
      <c r="J2108" s="2">
        <v>39363</v>
      </c>
      <c r="K2108" s="3">
        <f t="shared" si="64"/>
        <v>7.75</v>
      </c>
      <c r="L2108" s="3">
        <f t="shared" si="65"/>
        <v>7.5140000000000002</v>
      </c>
    </row>
    <row r="2109" spans="1:12" x14ac:dyDescent="0.3">
      <c r="A2109" s="2">
        <v>38626</v>
      </c>
      <c r="B2109" t="s">
        <v>13</v>
      </c>
      <c r="D2109" s="2">
        <v>39357</v>
      </c>
      <c r="E2109">
        <v>7.75</v>
      </c>
      <c r="G2109" s="2">
        <v>39357</v>
      </c>
      <c r="H2109">
        <v>7.0620000000000003</v>
      </c>
      <c r="J2109" s="2">
        <v>39364</v>
      </c>
      <c r="K2109" s="3">
        <f t="shared" si="64"/>
        <v>7.75</v>
      </c>
      <c r="L2109" s="3">
        <f t="shared" si="65"/>
        <v>7.4669999999999996</v>
      </c>
    </row>
    <row r="2110" spans="1:12" x14ac:dyDescent="0.3">
      <c r="A2110" s="2">
        <v>38627</v>
      </c>
      <c r="B2110" t="s">
        <v>13</v>
      </c>
      <c r="D2110" s="2">
        <v>39358</v>
      </c>
      <c r="E2110">
        <v>7.75</v>
      </c>
      <c r="G2110" s="2">
        <v>39358</v>
      </c>
      <c r="H2110">
        <v>7.1719999999999997</v>
      </c>
      <c r="J2110" s="2">
        <v>39365</v>
      </c>
      <c r="K2110" s="3">
        <f t="shared" si="64"/>
        <v>7.75</v>
      </c>
      <c r="L2110" s="3">
        <f t="shared" si="65"/>
        <v>7.4950000000000001</v>
      </c>
    </row>
    <row r="2111" spans="1:12" x14ac:dyDescent="0.3">
      <c r="A2111" s="2">
        <v>38628</v>
      </c>
      <c r="B2111" t="s">
        <v>13</v>
      </c>
      <c r="D2111" s="2">
        <v>39359</v>
      </c>
      <c r="E2111">
        <v>7.75</v>
      </c>
      <c r="G2111" s="2">
        <v>39359</v>
      </c>
      <c r="H2111">
        <v>7.3220000000000001</v>
      </c>
      <c r="J2111" s="2">
        <v>39366</v>
      </c>
      <c r="K2111" s="3">
        <f t="shared" si="64"/>
        <v>7.75</v>
      </c>
      <c r="L2111" s="3">
        <f t="shared" si="65"/>
        <v>7.14</v>
      </c>
    </row>
    <row r="2112" spans="1:12" x14ac:dyDescent="0.3">
      <c r="A2112" s="2">
        <v>38629</v>
      </c>
      <c r="B2112" t="s">
        <v>13</v>
      </c>
      <c r="D2112" s="2">
        <v>39360</v>
      </c>
      <c r="E2112">
        <v>7.75</v>
      </c>
      <c r="G2112" s="2">
        <v>39360</v>
      </c>
      <c r="H2112">
        <v>7.3849999999999998</v>
      </c>
      <c r="J2112" s="2">
        <v>39367</v>
      </c>
      <c r="K2112" s="3">
        <f t="shared" si="64"/>
        <v>7.75</v>
      </c>
      <c r="L2112" s="3">
        <f t="shared" si="65"/>
        <v>7.4569999999999999</v>
      </c>
    </row>
    <row r="2113" spans="1:12" x14ac:dyDescent="0.3">
      <c r="A2113" s="2">
        <v>38630</v>
      </c>
      <c r="B2113" t="s">
        <v>13</v>
      </c>
      <c r="D2113" s="2">
        <v>39361</v>
      </c>
      <c r="E2113">
        <v>7.75</v>
      </c>
      <c r="G2113" s="2">
        <v>39361</v>
      </c>
      <c r="H2113">
        <v>7.3849999999999998</v>
      </c>
      <c r="J2113" s="2">
        <v>39368</v>
      </c>
      <c r="K2113" s="3">
        <f t="shared" si="64"/>
        <v>7.75</v>
      </c>
      <c r="L2113" s="3">
        <f t="shared" si="65"/>
        <v>7.4569999999999999</v>
      </c>
    </row>
    <row r="2114" spans="1:12" x14ac:dyDescent="0.3">
      <c r="A2114" s="2">
        <v>38631</v>
      </c>
      <c r="B2114" t="s">
        <v>13</v>
      </c>
      <c r="D2114" s="2">
        <v>39362</v>
      </c>
      <c r="E2114">
        <v>7.75</v>
      </c>
      <c r="G2114" s="2">
        <v>39362</v>
      </c>
      <c r="H2114">
        <v>7.3849999999999998</v>
      </c>
      <c r="J2114" s="2">
        <v>39369</v>
      </c>
      <c r="K2114" s="3">
        <f t="shared" si="64"/>
        <v>7.75</v>
      </c>
      <c r="L2114" s="3">
        <f t="shared" si="65"/>
        <v>7.4569999999999999</v>
      </c>
    </row>
    <row r="2115" spans="1:12" x14ac:dyDescent="0.3">
      <c r="A2115" s="2">
        <v>38632</v>
      </c>
      <c r="B2115" t="s">
        <v>13</v>
      </c>
      <c r="D2115" s="2">
        <v>39363</v>
      </c>
      <c r="E2115">
        <v>7.75</v>
      </c>
      <c r="G2115" s="2">
        <v>39363</v>
      </c>
      <c r="H2115">
        <v>7.5140000000000002</v>
      </c>
      <c r="J2115" s="2">
        <v>39370</v>
      </c>
      <c r="K2115" s="3">
        <f t="shared" ref="K2115:K2178" si="66">E2122</f>
        <v>7.75</v>
      </c>
      <c r="L2115" s="3">
        <f t="shared" ref="L2115:L2178" si="67">H2122</f>
        <v>7.4539999999999997</v>
      </c>
    </row>
    <row r="2116" spans="1:12" x14ac:dyDescent="0.3">
      <c r="A2116" s="2">
        <v>38633</v>
      </c>
      <c r="B2116" t="s">
        <v>13</v>
      </c>
      <c r="D2116" s="2">
        <v>39364</v>
      </c>
      <c r="E2116">
        <v>7.75</v>
      </c>
      <c r="G2116" s="2">
        <v>39364</v>
      </c>
      <c r="H2116">
        <v>7.4669999999999996</v>
      </c>
      <c r="J2116" s="2">
        <v>39371</v>
      </c>
      <c r="K2116" s="3">
        <f t="shared" si="66"/>
        <v>7.75</v>
      </c>
      <c r="L2116" s="3">
        <f t="shared" si="67"/>
        <v>7.2270000000000003</v>
      </c>
    </row>
    <row r="2117" spans="1:12" x14ac:dyDescent="0.3">
      <c r="A2117" s="2">
        <v>38634</v>
      </c>
      <c r="B2117" t="s">
        <v>13</v>
      </c>
      <c r="D2117" s="2">
        <v>39365</v>
      </c>
      <c r="E2117">
        <v>7.75</v>
      </c>
      <c r="G2117" s="2">
        <v>39365</v>
      </c>
      <c r="H2117">
        <v>7.4950000000000001</v>
      </c>
      <c r="J2117" s="2">
        <v>39372</v>
      </c>
      <c r="K2117" s="3">
        <f t="shared" si="66"/>
        <v>7.75</v>
      </c>
      <c r="L2117" s="3">
        <f t="shared" si="67"/>
        <v>7.2830000000000004</v>
      </c>
    </row>
    <row r="2118" spans="1:12" x14ac:dyDescent="0.3">
      <c r="A2118" s="2">
        <v>38635</v>
      </c>
      <c r="B2118" t="s">
        <v>13</v>
      </c>
      <c r="D2118" s="2">
        <v>39366</v>
      </c>
      <c r="E2118">
        <v>7.75</v>
      </c>
      <c r="G2118" s="2">
        <v>39366</v>
      </c>
      <c r="H2118">
        <v>7.14</v>
      </c>
      <c r="J2118" s="2">
        <v>39373</v>
      </c>
      <c r="K2118" s="3">
        <f t="shared" si="66"/>
        <v>7.75</v>
      </c>
      <c r="L2118" s="3">
        <f t="shared" si="67"/>
        <v>7.4240000000000004</v>
      </c>
    </row>
    <row r="2119" spans="1:12" x14ac:dyDescent="0.3">
      <c r="A2119" s="2">
        <v>38636</v>
      </c>
      <c r="B2119" t="s">
        <v>13</v>
      </c>
      <c r="D2119" s="2">
        <v>39367</v>
      </c>
      <c r="E2119">
        <v>7.75</v>
      </c>
      <c r="G2119" s="2">
        <v>39367</v>
      </c>
      <c r="H2119">
        <v>7.4569999999999999</v>
      </c>
      <c r="J2119" s="2">
        <v>39374</v>
      </c>
      <c r="K2119" s="3">
        <f t="shared" si="66"/>
        <v>7.75</v>
      </c>
      <c r="L2119" s="3">
        <f t="shared" si="67"/>
        <v>7.3330000000000002</v>
      </c>
    </row>
    <row r="2120" spans="1:12" x14ac:dyDescent="0.3">
      <c r="A2120" s="2">
        <v>38637</v>
      </c>
      <c r="B2120" t="s">
        <v>13</v>
      </c>
      <c r="D2120" s="2">
        <v>39368</v>
      </c>
      <c r="E2120">
        <v>7.75</v>
      </c>
      <c r="G2120" s="2">
        <v>39368</v>
      </c>
      <c r="H2120">
        <v>7.4569999999999999</v>
      </c>
      <c r="J2120" s="2">
        <v>39375</v>
      </c>
      <c r="K2120" s="3">
        <f t="shared" si="66"/>
        <v>7.75</v>
      </c>
      <c r="L2120" s="3">
        <f t="shared" si="67"/>
        <v>7.3330000000000002</v>
      </c>
    </row>
    <row r="2121" spans="1:12" x14ac:dyDescent="0.3">
      <c r="A2121" s="2">
        <v>38638</v>
      </c>
      <c r="B2121" t="s">
        <v>13</v>
      </c>
      <c r="D2121" s="2">
        <v>39369</v>
      </c>
      <c r="E2121">
        <v>7.75</v>
      </c>
      <c r="G2121" s="2">
        <v>39369</v>
      </c>
      <c r="H2121">
        <v>7.4569999999999999</v>
      </c>
      <c r="J2121" s="2">
        <v>39376</v>
      </c>
      <c r="K2121" s="3">
        <f t="shared" si="66"/>
        <v>7.75</v>
      </c>
      <c r="L2121" s="3">
        <f t="shared" si="67"/>
        <v>7.3330000000000002</v>
      </c>
    </row>
    <row r="2122" spans="1:12" x14ac:dyDescent="0.3">
      <c r="A2122" s="2">
        <v>38639</v>
      </c>
      <c r="B2122" t="s">
        <v>13</v>
      </c>
      <c r="D2122" s="2">
        <v>39370</v>
      </c>
      <c r="E2122">
        <v>7.75</v>
      </c>
      <c r="G2122" s="2">
        <v>39370</v>
      </c>
      <c r="H2122">
        <v>7.4539999999999997</v>
      </c>
      <c r="J2122" s="2">
        <v>39377</v>
      </c>
      <c r="K2122" s="3">
        <f t="shared" si="66"/>
        <v>7.75</v>
      </c>
      <c r="L2122" s="3">
        <f t="shared" si="67"/>
        <v>7.3280000000000003</v>
      </c>
    </row>
    <row r="2123" spans="1:12" x14ac:dyDescent="0.3">
      <c r="A2123" s="2">
        <v>38640</v>
      </c>
      <c r="B2123" t="s">
        <v>13</v>
      </c>
      <c r="D2123" s="2">
        <v>39371</v>
      </c>
      <c r="E2123">
        <v>7.75</v>
      </c>
      <c r="G2123" s="2">
        <v>39371</v>
      </c>
      <c r="H2123">
        <v>7.2270000000000003</v>
      </c>
      <c r="J2123" s="2">
        <v>39378</v>
      </c>
      <c r="K2123" s="3">
        <f t="shared" si="66"/>
        <v>7.75</v>
      </c>
      <c r="L2123" s="3">
        <f t="shared" si="67"/>
        <v>6.9180000000000001</v>
      </c>
    </row>
    <row r="2124" spans="1:12" x14ac:dyDescent="0.3">
      <c r="A2124" s="2">
        <v>38641</v>
      </c>
      <c r="B2124" t="s">
        <v>13</v>
      </c>
      <c r="D2124" s="2">
        <v>39372</v>
      </c>
      <c r="E2124">
        <v>7.75</v>
      </c>
      <c r="G2124" s="2">
        <v>39372</v>
      </c>
      <c r="H2124">
        <v>7.2830000000000004</v>
      </c>
      <c r="J2124" s="2">
        <v>39379</v>
      </c>
      <c r="K2124" s="3">
        <f t="shared" si="66"/>
        <v>7.75</v>
      </c>
      <c r="L2124" s="3">
        <f t="shared" si="67"/>
        <v>6.9180000000000001</v>
      </c>
    </row>
    <row r="2125" spans="1:12" x14ac:dyDescent="0.3">
      <c r="A2125" s="2">
        <v>38642</v>
      </c>
      <c r="B2125" t="s">
        <v>13</v>
      </c>
      <c r="D2125" s="2">
        <v>39373</v>
      </c>
      <c r="E2125">
        <v>7.75</v>
      </c>
      <c r="G2125" s="2">
        <v>39373</v>
      </c>
      <c r="H2125">
        <v>7.4240000000000004</v>
      </c>
      <c r="J2125" s="2">
        <v>39380</v>
      </c>
      <c r="K2125" s="3">
        <f t="shared" si="66"/>
        <v>7.75</v>
      </c>
      <c r="L2125" s="3">
        <f t="shared" si="67"/>
        <v>6.9180000000000001</v>
      </c>
    </row>
    <row r="2126" spans="1:12" x14ac:dyDescent="0.3">
      <c r="A2126" s="2">
        <v>38643</v>
      </c>
      <c r="B2126" t="s">
        <v>13</v>
      </c>
      <c r="D2126" s="2">
        <v>39374</v>
      </c>
      <c r="E2126">
        <v>7.75</v>
      </c>
      <c r="G2126" s="2">
        <v>39374</v>
      </c>
      <c r="H2126">
        <v>7.3330000000000002</v>
      </c>
      <c r="J2126" s="2">
        <v>39381</v>
      </c>
      <c r="K2126" s="3">
        <f t="shared" si="66"/>
        <v>7.75</v>
      </c>
      <c r="L2126" s="3">
        <f t="shared" si="67"/>
        <v>7.0339999999999998</v>
      </c>
    </row>
    <row r="2127" spans="1:12" x14ac:dyDescent="0.3">
      <c r="A2127" s="2">
        <v>38644</v>
      </c>
      <c r="B2127" t="s">
        <v>13</v>
      </c>
      <c r="D2127" s="2">
        <v>39375</v>
      </c>
      <c r="E2127">
        <v>7.75</v>
      </c>
      <c r="G2127" s="2">
        <v>39375</v>
      </c>
      <c r="H2127">
        <v>7.3330000000000002</v>
      </c>
      <c r="J2127" s="2">
        <v>39382</v>
      </c>
      <c r="K2127" s="3">
        <f t="shared" si="66"/>
        <v>7.75</v>
      </c>
      <c r="L2127" s="3">
        <f t="shared" si="67"/>
        <v>7.0339999999999998</v>
      </c>
    </row>
    <row r="2128" spans="1:12" x14ac:dyDescent="0.3">
      <c r="A2128" s="2">
        <v>38645</v>
      </c>
      <c r="B2128" t="s">
        <v>13</v>
      </c>
      <c r="D2128" s="2">
        <v>39376</v>
      </c>
      <c r="E2128">
        <v>7.75</v>
      </c>
      <c r="G2128" s="2">
        <v>39376</v>
      </c>
      <c r="H2128">
        <v>7.3330000000000002</v>
      </c>
      <c r="J2128" s="2">
        <v>39383</v>
      </c>
      <c r="K2128" s="3">
        <f t="shared" si="66"/>
        <v>7.75</v>
      </c>
      <c r="L2128" s="3">
        <f t="shared" si="67"/>
        <v>7.0339999999999998</v>
      </c>
    </row>
    <row r="2129" spans="1:12" x14ac:dyDescent="0.3">
      <c r="A2129" s="2">
        <v>38646</v>
      </c>
      <c r="B2129" t="s">
        <v>13</v>
      </c>
      <c r="D2129" s="2">
        <v>39377</v>
      </c>
      <c r="E2129">
        <v>7.75</v>
      </c>
      <c r="G2129" s="2">
        <v>39377</v>
      </c>
      <c r="H2129">
        <v>7.3280000000000003</v>
      </c>
      <c r="J2129" s="2">
        <v>39384</v>
      </c>
      <c r="K2129" s="3">
        <f t="shared" si="66"/>
        <v>7.75</v>
      </c>
      <c r="L2129" s="3">
        <f t="shared" si="67"/>
        <v>7.01</v>
      </c>
    </row>
    <row r="2130" spans="1:12" x14ac:dyDescent="0.3">
      <c r="A2130" s="2">
        <v>38647</v>
      </c>
      <c r="B2130" t="s">
        <v>13</v>
      </c>
      <c r="D2130" s="2">
        <v>39378</v>
      </c>
      <c r="E2130">
        <v>7.75</v>
      </c>
      <c r="G2130" s="2">
        <v>39378</v>
      </c>
      <c r="H2130">
        <v>6.9180000000000001</v>
      </c>
      <c r="J2130" s="2">
        <v>39385</v>
      </c>
      <c r="K2130" s="3">
        <f t="shared" si="66"/>
        <v>7.75</v>
      </c>
      <c r="L2130" s="3">
        <f t="shared" si="67"/>
        <v>7.3029999999999999</v>
      </c>
    </row>
    <row r="2131" spans="1:12" x14ac:dyDescent="0.3">
      <c r="A2131" s="2">
        <v>38648</v>
      </c>
      <c r="B2131" t="s">
        <v>13</v>
      </c>
      <c r="D2131" s="2">
        <v>39379</v>
      </c>
      <c r="E2131">
        <v>7.75</v>
      </c>
      <c r="G2131" s="2">
        <v>39379</v>
      </c>
      <c r="H2131">
        <v>6.9180000000000001</v>
      </c>
      <c r="J2131" s="2">
        <v>39386</v>
      </c>
      <c r="K2131" s="3">
        <f t="shared" si="66"/>
        <v>7.75</v>
      </c>
      <c r="L2131" s="3">
        <f t="shared" si="67"/>
        <v>7.3929999999999998</v>
      </c>
    </row>
    <row r="2132" spans="1:12" x14ac:dyDescent="0.3">
      <c r="A2132" s="2">
        <v>38649</v>
      </c>
      <c r="B2132" t="s">
        <v>13</v>
      </c>
      <c r="D2132" s="2">
        <v>39380</v>
      </c>
      <c r="E2132">
        <v>7.75</v>
      </c>
      <c r="G2132" s="2">
        <v>39380</v>
      </c>
      <c r="H2132">
        <v>6.9180000000000001</v>
      </c>
      <c r="J2132" s="2">
        <v>39387</v>
      </c>
      <c r="K2132" s="3">
        <f t="shared" si="66"/>
        <v>7.75</v>
      </c>
      <c r="L2132" s="3">
        <f t="shared" si="67"/>
        <v>7.3479999999999999</v>
      </c>
    </row>
    <row r="2133" spans="1:12" x14ac:dyDescent="0.3">
      <c r="A2133" s="2">
        <v>38650</v>
      </c>
      <c r="B2133" t="s">
        <v>13</v>
      </c>
      <c r="D2133" s="2">
        <v>39381</v>
      </c>
      <c r="E2133">
        <v>7.75</v>
      </c>
      <c r="G2133" s="2">
        <v>39381</v>
      </c>
      <c r="H2133">
        <v>7.0339999999999998</v>
      </c>
      <c r="J2133" s="2">
        <v>39388</v>
      </c>
      <c r="K2133" s="3">
        <f t="shared" si="66"/>
        <v>7.75</v>
      </c>
      <c r="L2133" s="3">
        <f t="shared" si="67"/>
        <v>7.4610000000000003</v>
      </c>
    </row>
    <row r="2134" spans="1:12" x14ac:dyDescent="0.3">
      <c r="A2134" s="2">
        <v>38651</v>
      </c>
      <c r="B2134" t="s">
        <v>13</v>
      </c>
      <c r="D2134" s="2">
        <v>39382</v>
      </c>
      <c r="E2134">
        <v>7.75</v>
      </c>
      <c r="G2134" s="2">
        <v>39382</v>
      </c>
      <c r="H2134">
        <v>7.0339999999999998</v>
      </c>
      <c r="J2134" s="2">
        <v>39389</v>
      </c>
      <c r="K2134" s="3">
        <f t="shared" si="66"/>
        <v>7.75</v>
      </c>
      <c r="L2134" s="3">
        <f t="shared" si="67"/>
        <v>7.4610000000000003</v>
      </c>
    </row>
    <row r="2135" spans="1:12" x14ac:dyDescent="0.3">
      <c r="A2135" s="2">
        <v>38652</v>
      </c>
      <c r="B2135" t="s">
        <v>13</v>
      </c>
      <c r="D2135" s="2">
        <v>39383</v>
      </c>
      <c r="E2135">
        <v>7.75</v>
      </c>
      <c r="G2135" s="2">
        <v>39383</v>
      </c>
      <c r="H2135">
        <v>7.0339999999999998</v>
      </c>
      <c r="J2135" s="2">
        <v>39390</v>
      </c>
      <c r="K2135" s="3">
        <f t="shared" si="66"/>
        <v>7.75</v>
      </c>
      <c r="L2135" s="3">
        <f t="shared" si="67"/>
        <v>7.4610000000000003</v>
      </c>
    </row>
    <row r="2136" spans="1:12" x14ac:dyDescent="0.3">
      <c r="A2136" s="2">
        <v>38653</v>
      </c>
      <c r="B2136" t="s">
        <v>13</v>
      </c>
      <c r="D2136" s="2">
        <v>39384</v>
      </c>
      <c r="E2136">
        <v>7.75</v>
      </c>
      <c r="G2136" s="2">
        <v>39384</v>
      </c>
      <c r="H2136">
        <v>7.01</v>
      </c>
      <c r="J2136" s="2">
        <v>39391</v>
      </c>
      <c r="K2136" s="3">
        <f t="shared" si="66"/>
        <v>7.75</v>
      </c>
      <c r="L2136" s="3">
        <f t="shared" si="67"/>
        <v>7.4589999999999996</v>
      </c>
    </row>
    <row r="2137" spans="1:12" x14ac:dyDescent="0.3">
      <c r="A2137" s="2">
        <v>38654</v>
      </c>
      <c r="B2137" t="s">
        <v>13</v>
      </c>
      <c r="D2137" s="2">
        <v>39385</v>
      </c>
      <c r="E2137">
        <v>7.75</v>
      </c>
      <c r="G2137" s="2">
        <v>39385</v>
      </c>
      <c r="H2137">
        <v>7.3029999999999999</v>
      </c>
      <c r="J2137" s="2">
        <v>39392</v>
      </c>
      <c r="K2137" s="3">
        <f t="shared" si="66"/>
        <v>7.75</v>
      </c>
      <c r="L2137" s="3">
        <f t="shared" si="67"/>
        <v>7.5110000000000001</v>
      </c>
    </row>
    <row r="2138" spans="1:12" x14ac:dyDescent="0.3">
      <c r="A2138" s="2">
        <v>38655</v>
      </c>
      <c r="B2138" t="s">
        <v>13</v>
      </c>
      <c r="D2138" s="2">
        <v>39386</v>
      </c>
      <c r="E2138">
        <v>7.75</v>
      </c>
      <c r="G2138" s="2">
        <v>39386</v>
      </c>
      <c r="H2138">
        <v>7.3929999999999998</v>
      </c>
      <c r="J2138" s="2">
        <v>39393</v>
      </c>
      <c r="K2138" s="3">
        <f t="shared" si="66"/>
        <v>7.75</v>
      </c>
      <c r="L2138" s="3">
        <f t="shared" si="67"/>
        <v>7.617</v>
      </c>
    </row>
    <row r="2139" spans="1:12" x14ac:dyDescent="0.3">
      <c r="A2139" s="2">
        <v>38656</v>
      </c>
      <c r="B2139" t="s">
        <v>13</v>
      </c>
      <c r="D2139" s="2">
        <v>39387</v>
      </c>
      <c r="E2139">
        <v>7.75</v>
      </c>
      <c r="G2139" s="2">
        <v>39387</v>
      </c>
      <c r="H2139">
        <v>7.3479999999999999</v>
      </c>
      <c r="J2139" s="2">
        <v>39394</v>
      </c>
      <c r="K2139" s="3">
        <f t="shared" si="66"/>
        <v>7.75</v>
      </c>
      <c r="L2139" s="3">
        <f t="shared" si="67"/>
        <v>7.5</v>
      </c>
    </row>
    <row r="2140" spans="1:12" x14ac:dyDescent="0.3">
      <c r="A2140" s="2">
        <v>38657</v>
      </c>
      <c r="B2140" t="s">
        <v>13</v>
      </c>
      <c r="D2140" s="2">
        <v>39388</v>
      </c>
      <c r="E2140">
        <v>7.75</v>
      </c>
      <c r="G2140" s="2">
        <v>39388</v>
      </c>
      <c r="H2140">
        <v>7.4610000000000003</v>
      </c>
      <c r="J2140" s="2">
        <v>39395</v>
      </c>
      <c r="K2140" s="3">
        <f t="shared" si="66"/>
        <v>7.75</v>
      </c>
      <c r="L2140" s="3">
        <f t="shared" si="67"/>
        <v>7.5</v>
      </c>
    </row>
    <row r="2141" spans="1:12" x14ac:dyDescent="0.3">
      <c r="A2141" s="2">
        <v>38658</v>
      </c>
      <c r="B2141" t="s">
        <v>13</v>
      </c>
      <c r="D2141" s="2">
        <v>39389</v>
      </c>
      <c r="E2141">
        <v>7.75</v>
      </c>
      <c r="G2141" s="2">
        <v>39389</v>
      </c>
      <c r="H2141">
        <v>7.4610000000000003</v>
      </c>
      <c r="J2141" s="2">
        <v>39396</v>
      </c>
      <c r="K2141" s="3">
        <f t="shared" si="66"/>
        <v>7.75</v>
      </c>
      <c r="L2141" s="3">
        <f t="shared" si="67"/>
        <v>7.5</v>
      </c>
    </row>
    <row r="2142" spans="1:12" x14ac:dyDescent="0.3">
      <c r="A2142" s="2">
        <v>38659</v>
      </c>
      <c r="B2142" t="s">
        <v>13</v>
      </c>
      <c r="D2142" s="2">
        <v>39390</v>
      </c>
      <c r="E2142">
        <v>7.75</v>
      </c>
      <c r="G2142" s="2">
        <v>39390</v>
      </c>
      <c r="H2142">
        <v>7.4610000000000003</v>
      </c>
      <c r="J2142" s="2">
        <v>39397</v>
      </c>
      <c r="K2142" s="3">
        <f t="shared" si="66"/>
        <v>7.75</v>
      </c>
      <c r="L2142" s="3">
        <f t="shared" si="67"/>
        <v>7.5</v>
      </c>
    </row>
    <row r="2143" spans="1:12" x14ac:dyDescent="0.3">
      <c r="A2143" s="2">
        <v>38660</v>
      </c>
      <c r="B2143" t="s">
        <v>13</v>
      </c>
      <c r="D2143" s="2">
        <v>39391</v>
      </c>
      <c r="E2143">
        <v>7.75</v>
      </c>
      <c r="G2143" s="2">
        <v>39391</v>
      </c>
      <c r="H2143">
        <v>7.4589999999999996</v>
      </c>
      <c r="J2143" s="2">
        <v>39398</v>
      </c>
      <c r="K2143" s="3">
        <f t="shared" si="66"/>
        <v>7.75</v>
      </c>
      <c r="L2143" s="3">
        <f t="shared" si="67"/>
        <v>7.5419999999999998</v>
      </c>
    </row>
    <row r="2144" spans="1:12" x14ac:dyDescent="0.3">
      <c r="A2144" s="2">
        <v>38661</v>
      </c>
      <c r="B2144" t="s">
        <v>13</v>
      </c>
      <c r="D2144" s="2">
        <v>39392</v>
      </c>
      <c r="E2144">
        <v>7.75</v>
      </c>
      <c r="G2144" s="2">
        <v>39392</v>
      </c>
      <c r="H2144">
        <v>7.5110000000000001</v>
      </c>
      <c r="J2144" s="2">
        <v>39399</v>
      </c>
      <c r="K2144" s="3">
        <f t="shared" si="66"/>
        <v>7.75</v>
      </c>
      <c r="L2144" s="3">
        <f t="shared" si="67"/>
        <v>7.4119999999999999</v>
      </c>
    </row>
    <row r="2145" spans="1:12" x14ac:dyDescent="0.3">
      <c r="A2145" s="2">
        <v>38662</v>
      </c>
      <c r="B2145" t="s">
        <v>13</v>
      </c>
      <c r="D2145" s="2">
        <v>39393</v>
      </c>
      <c r="E2145">
        <v>7.75</v>
      </c>
      <c r="G2145" s="2">
        <v>39393</v>
      </c>
      <c r="H2145">
        <v>7.617</v>
      </c>
      <c r="J2145" s="2">
        <v>39400</v>
      </c>
      <c r="K2145" s="3">
        <f t="shared" si="66"/>
        <v>7.75</v>
      </c>
      <c r="L2145" s="3">
        <f t="shared" si="67"/>
        <v>7.5949999999999998</v>
      </c>
    </row>
    <row r="2146" spans="1:12" x14ac:dyDescent="0.3">
      <c r="A2146" s="2">
        <v>38663</v>
      </c>
      <c r="B2146" t="s">
        <v>13</v>
      </c>
      <c r="D2146" s="2">
        <v>39394</v>
      </c>
      <c r="E2146">
        <v>7.75</v>
      </c>
      <c r="G2146" s="2">
        <v>39394</v>
      </c>
      <c r="H2146">
        <v>7.5</v>
      </c>
      <c r="J2146" s="2">
        <v>39401</v>
      </c>
      <c r="K2146" s="3">
        <f t="shared" si="66"/>
        <v>7.75</v>
      </c>
      <c r="L2146" s="3">
        <f t="shared" si="67"/>
        <v>7.57</v>
      </c>
    </row>
    <row r="2147" spans="1:12" x14ac:dyDescent="0.3">
      <c r="A2147" s="2">
        <v>38664</v>
      </c>
      <c r="B2147" t="s">
        <v>13</v>
      </c>
      <c r="D2147" s="2">
        <v>39395</v>
      </c>
      <c r="E2147">
        <v>7.75</v>
      </c>
      <c r="G2147" s="2">
        <v>39395</v>
      </c>
      <c r="H2147">
        <v>7.5</v>
      </c>
      <c r="J2147" s="2">
        <v>39402</v>
      </c>
      <c r="K2147" s="3">
        <f t="shared" si="66"/>
        <v>7.75</v>
      </c>
      <c r="L2147" s="3">
        <f t="shared" si="67"/>
        <v>7.4950000000000001</v>
      </c>
    </row>
    <row r="2148" spans="1:12" x14ac:dyDescent="0.3">
      <c r="A2148" s="2">
        <v>38665</v>
      </c>
      <c r="B2148" t="s">
        <v>13</v>
      </c>
      <c r="D2148" s="2">
        <v>39396</v>
      </c>
      <c r="E2148">
        <v>7.75</v>
      </c>
      <c r="G2148" s="2">
        <v>39396</v>
      </c>
      <c r="H2148">
        <v>7.5</v>
      </c>
      <c r="J2148" s="2">
        <v>39403</v>
      </c>
      <c r="K2148" s="3">
        <f t="shared" si="66"/>
        <v>7.75</v>
      </c>
      <c r="L2148" s="3">
        <f t="shared" si="67"/>
        <v>7.4950000000000001</v>
      </c>
    </row>
    <row r="2149" spans="1:12" x14ac:dyDescent="0.3">
      <c r="A2149" s="2">
        <v>38666</v>
      </c>
      <c r="B2149" t="s">
        <v>13</v>
      </c>
      <c r="D2149" s="2">
        <v>39397</v>
      </c>
      <c r="E2149">
        <v>7.75</v>
      </c>
      <c r="G2149" s="2">
        <v>39397</v>
      </c>
      <c r="H2149">
        <v>7.5</v>
      </c>
      <c r="J2149" s="2">
        <v>39404</v>
      </c>
      <c r="K2149" s="3">
        <f t="shared" si="66"/>
        <v>7.75</v>
      </c>
      <c r="L2149" s="3">
        <f t="shared" si="67"/>
        <v>7.4950000000000001</v>
      </c>
    </row>
    <row r="2150" spans="1:12" x14ac:dyDescent="0.3">
      <c r="A2150" s="2">
        <v>38667</v>
      </c>
      <c r="B2150" t="s">
        <v>13</v>
      </c>
      <c r="D2150" s="2">
        <v>39398</v>
      </c>
      <c r="E2150">
        <v>7.75</v>
      </c>
      <c r="G2150" s="2">
        <v>39398</v>
      </c>
      <c r="H2150">
        <v>7.5419999999999998</v>
      </c>
      <c r="J2150" s="2">
        <v>39405</v>
      </c>
      <c r="K2150" s="3">
        <f t="shared" si="66"/>
        <v>7.75</v>
      </c>
      <c r="L2150" s="3">
        <f t="shared" si="67"/>
        <v>7.5709999999999997</v>
      </c>
    </row>
    <row r="2151" spans="1:12" x14ac:dyDescent="0.3">
      <c r="A2151" s="2">
        <v>38668</v>
      </c>
      <c r="B2151" t="s">
        <v>13</v>
      </c>
      <c r="D2151" s="2">
        <v>39399</v>
      </c>
      <c r="E2151">
        <v>7.75</v>
      </c>
      <c r="G2151" s="2">
        <v>39399</v>
      </c>
      <c r="H2151">
        <v>7.4119999999999999</v>
      </c>
      <c r="J2151" s="2">
        <v>39406</v>
      </c>
      <c r="K2151" s="3">
        <f t="shared" si="66"/>
        <v>7.75</v>
      </c>
      <c r="L2151" s="3">
        <f t="shared" si="67"/>
        <v>7.6029999999999998</v>
      </c>
    </row>
    <row r="2152" spans="1:12" x14ac:dyDescent="0.3">
      <c r="A2152" s="2">
        <v>38669</v>
      </c>
      <c r="B2152" t="s">
        <v>13</v>
      </c>
      <c r="D2152" s="2">
        <v>39400</v>
      </c>
      <c r="E2152">
        <v>7.75</v>
      </c>
      <c r="G2152" s="2">
        <v>39400</v>
      </c>
      <c r="H2152">
        <v>7.5949999999999998</v>
      </c>
      <c r="J2152" s="2">
        <v>39407</v>
      </c>
      <c r="K2152" s="3">
        <f t="shared" si="66"/>
        <v>7.75</v>
      </c>
      <c r="L2152" s="3">
        <f t="shared" si="67"/>
        <v>7.6040000000000001</v>
      </c>
    </row>
    <row r="2153" spans="1:12" x14ac:dyDescent="0.3">
      <c r="A2153" s="2">
        <v>38670</v>
      </c>
      <c r="B2153" t="s">
        <v>13</v>
      </c>
      <c r="D2153" s="2">
        <v>39401</v>
      </c>
      <c r="E2153">
        <v>7.75</v>
      </c>
      <c r="G2153" s="2">
        <v>39401</v>
      </c>
      <c r="H2153">
        <v>7.57</v>
      </c>
      <c r="J2153" s="2">
        <v>39408</v>
      </c>
      <c r="K2153" s="3">
        <f t="shared" si="66"/>
        <v>7.75</v>
      </c>
      <c r="L2153" s="3">
        <f t="shared" si="67"/>
        <v>7.5890000000000004</v>
      </c>
    </row>
    <row r="2154" spans="1:12" x14ac:dyDescent="0.3">
      <c r="A2154" s="2">
        <v>38671</v>
      </c>
      <c r="B2154" t="s">
        <v>13</v>
      </c>
      <c r="D2154" s="2">
        <v>39402</v>
      </c>
      <c r="E2154">
        <v>7.75</v>
      </c>
      <c r="G2154" s="2">
        <v>39402</v>
      </c>
      <c r="H2154">
        <v>7.4950000000000001</v>
      </c>
      <c r="J2154" s="2">
        <v>39409</v>
      </c>
      <c r="K2154" s="3">
        <f t="shared" si="66"/>
        <v>7.75</v>
      </c>
      <c r="L2154" s="3">
        <f t="shared" si="67"/>
        <v>7.5810000000000004</v>
      </c>
    </row>
    <row r="2155" spans="1:12" x14ac:dyDescent="0.3">
      <c r="A2155" s="2">
        <v>38672</v>
      </c>
      <c r="B2155" t="s">
        <v>13</v>
      </c>
      <c r="D2155" s="2">
        <v>39403</v>
      </c>
      <c r="E2155">
        <v>7.75</v>
      </c>
      <c r="G2155" s="2">
        <v>39403</v>
      </c>
      <c r="H2155">
        <v>7.4950000000000001</v>
      </c>
      <c r="J2155" s="2">
        <v>39410</v>
      </c>
      <c r="K2155" s="3">
        <f t="shared" si="66"/>
        <v>7.75</v>
      </c>
      <c r="L2155" s="3">
        <f t="shared" si="67"/>
        <v>7.5810000000000004</v>
      </c>
    </row>
    <row r="2156" spans="1:12" x14ac:dyDescent="0.3">
      <c r="A2156" s="2">
        <v>38673</v>
      </c>
      <c r="B2156" t="s">
        <v>13</v>
      </c>
      <c r="D2156" s="2">
        <v>39404</v>
      </c>
      <c r="E2156">
        <v>7.75</v>
      </c>
      <c r="G2156" s="2">
        <v>39404</v>
      </c>
      <c r="H2156">
        <v>7.4950000000000001</v>
      </c>
      <c r="J2156" s="2">
        <v>39411</v>
      </c>
      <c r="K2156" s="3">
        <f t="shared" si="66"/>
        <v>7.75</v>
      </c>
      <c r="L2156" s="3">
        <f t="shared" si="67"/>
        <v>7.5810000000000004</v>
      </c>
    </row>
    <row r="2157" spans="1:12" x14ac:dyDescent="0.3">
      <c r="A2157" s="2">
        <v>38674</v>
      </c>
      <c r="B2157" t="s">
        <v>13</v>
      </c>
      <c r="D2157" s="2">
        <v>39405</v>
      </c>
      <c r="E2157">
        <v>7.75</v>
      </c>
      <c r="G2157" s="2">
        <v>39405</v>
      </c>
      <c r="H2157">
        <v>7.5709999999999997</v>
      </c>
      <c r="J2157" s="2">
        <v>39412</v>
      </c>
      <c r="K2157" s="3">
        <f t="shared" si="66"/>
        <v>7.75</v>
      </c>
      <c r="L2157" s="3">
        <f t="shared" si="67"/>
        <v>7.4889999999999999</v>
      </c>
    </row>
    <row r="2158" spans="1:12" x14ac:dyDescent="0.3">
      <c r="A2158" s="2">
        <v>38675</v>
      </c>
      <c r="B2158" t="s">
        <v>13</v>
      </c>
      <c r="D2158" s="2">
        <v>39406</v>
      </c>
      <c r="E2158">
        <v>7.75</v>
      </c>
      <c r="G2158" s="2">
        <v>39406</v>
      </c>
      <c r="H2158">
        <v>7.6029999999999998</v>
      </c>
      <c r="J2158" s="2">
        <v>39413</v>
      </c>
      <c r="K2158" s="3">
        <f t="shared" si="66"/>
        <v>7.75</v>
      </c>
      <c r="L2158" s="3">
        <f t="shared" si="67"/>
        <v>7.6760000000000002</v>
      </c>
    </row>
    <row r="2159" spans="1:12" x14ac:dyDescent="0.3">
      <c r="A2159" s="2">
        <v>38676</v>
      </c>
      <c r="B2159" t="s">
        <v>13</v>
      </c>
      <c r="D2159" s="2">
        <v>39407</v>
      </c>
      <c r="E2159">
        <v>7.75</v>
      </c>
      <c r="G2159" s="2">
        <v>39407</v>
      </c>
      <c r="H2159">
        <v>7.6040000000000001</v>
      </c>
      <c r="J2159" s="2">
        <v>39414</v>
      </c>
      <c r="K2159" s="3">
        <f t="shared" si="66"/>
        <v>7.75</v>
      </c>
      <c r="L2159" s="3">
        <f t="shared" si="67"/>
        <v>7.6130000000000004</v>
      </c>
    </row>
    <row r="2160" spans="1:12" x14ac:dyDescent="0.3">
      <c r="A2160" s="2">
        <v>38677</v>
      </c>
      <c r="B2160" t="s">
        <v>13</v>
      </c>
      <c r="D2160" s="2">
        <v>39408</v>
      </c>
      <c r="E2160">
        <v>7.75</v>
      </c>
      <c r="G2160" s="2">
        <v>39408</v>
      </c>
      <c r="H2160">
        <v>7.5890000000000004</v>
      </c>
      <c r="J2160" s="2">
        <v>39415</v>
      </c>
      <c r="K2160" s="3">
        <f t="shared" si="66"/>
        <v>7.75</v>
      </c>
      <c r="L2160" s="3">
        <f t="shared" si="67"/>
        <v>7.7640000000000002</v>
      </c>
    </row>
    <row r="2161" spans="1:12" x14ac:dyDescent="0.3">
      <c r="A2161" s="2">
        <v>38678</v>
      </c>
      <c r="B2161" t="s">
        <v>13</v>
      </c>
      <c r="D2161" s="2">
        <v>39409</v>
      </c>
      <c r="E2161">
        <v>7.75</v>
      </c>
      <c r="G2161" s="2">
        <v>39409</v>
      </c>
      <c r="H2161">
        <v>7.5810000000000004</v>
      </c>
      <c r="J2161" s="2">
        <v>39416</v>
      </c>
      <c r="K2161" s="3">
        <f t="shared" si="66"/>
        <v>7.75</v>
      </c>
      <c r="L2161" s="3">
        <f t="shared" si="67"/>
        <v>7.7830000000000004</v>
      </c>
    </row>
    <row r="2162" spans="1:12" x14ac:dyDescent="0.3">
      <c r="A2162" s="2">
        <v>38679</v>
      </c>
      <c r="B2162" t="s">
        <v>13</v>
      </c>
      <c r="D2162" s="2">
        <v>39410</v>
      </c>
      <c r="E2162">
        <v>7.75</v>
      </c>
      <c r="G2162" s="2">
        <v>39410</v>
      </c>
      <c r="H2162">
        <v>7.5810000000000004</v>
      </c>
      <c r="J2162" s="2">
        <v>39417</v>
      </c>
      <c r="K2162" s="3">
        <f t="shared" si="66"/>
        <v>7.75</v>
      </c>
      <c r="L2162" s="3">
        <f t="shared" si="67"/>
        <v>7.7830000000000004</v>
      </c>
    </row>
    <row r="2163" spans="1:12" x14ac:dyDescent="0.3">
      <c r="A2163" s="2">
        <v>38680</v>
      </c>
      <c r="B2163" t="s">
        <v>13</v>
      </c>
      <c r="D2163" s="2">
        <v>39411</v>
      </c>
      <c r="E2163">
        <v>7.75</v>
      </c>
      <c r="G2163" s="2">
        <v>39411</v>
      </c>
      <c r="H2163">
        <v>7.5810000000000004</v>
      </c>
      <c r="J2163" s="2">
        <v>39418</v>
      </c>
      <c r="K2163" s="3">
        <f t="shared" si="66"/>
        <v>7.75</v>
      </c>
      <c r="L2163" s="3">
        <f t="shared" si="67"/>
        <v>7.7830000000000004</v>
      </c>
    </row>
    <row r="2164" spans="1:12" x14ac:dyDescent="0.3">
      <c r="A2164" s="2">
        <v>38681</v>
      </c>
      <c r="B2164" t="s">
        <v>13</v>
      </c>
      <c r="D2164" s="2">
        <v>39412</v>
      </c>
      <c r="E2164">
        <v>7.75</v>
      </c>
      <c r="G2164" s="2">
        <v>39412</v>
      </c>
      <c r="H2164">
        <v>7.4889999999999999</v>
      </c>
      <c r="J2164" s="2">
        <v>39419</v>
      </c>
      <c r="K2164" s="3">
        <f t="shared" si="66"/>
        <v>7.75</v>
      </c>
      <c r="L2164" s="3">
        <f t="shared" si="67"/>
        <v>7.6040000000000001</v>
      </c>
    </row>
    <row r="2165" spans="1:12" x14ac:dyDescent="0.3">
      <c r="A2165" s="2">
        <v>38682</v>
      </c>
      <c r="B2165" t="s">
        <v>13</v>
      </c>
      <c r="D2165" s="2">
        <v>39413</v>
      </c>
      <c r="E2165">
        <v>7.75</v>
      </c>
      <c r="G2165" s="2">
        <v>39413</v>
      </c>
      <c r="H2165">
        <v>7.6760000000000002</v>
      </c>
      <c r="J2165" s="2">
        <v>39420</v>
      </c>
      <c r="K2165" s="3">
        <f t="shared" si="66"/>
        <v>7.75</v>
      </c>
      <c r="L2165" s="3">
        <f t="shared" si="67"/>
        <v>7.6529999999999996</v>
      </c>
    </row>
    <row r="2166" spans="1:12" x14ac:dyDescent="0.3">
      <c r="A2166" s="2">
        <v>38683</v>
      </c>
      <c r="B2166" t="s">
        <v>13</v>
      </c>
      <c r="D2166" s="2">
        <v>39414</v>
      </c>
      <c r="E2166">
        <v>7.75</v>
      </c>
      <c r="G2166" s="2">
        <v>39414</v>
      </c>
      <c r="H2166">
        <v>7.6130000000000004</v>
      </c>
      <c r="J2166" s="2">
        <v>39421</v>
      </c>
      <c r="K2166" s="3">
        <f t="shared" si="66"/>
        <v>7.75</v>
      </c>
      <c r="L2166" s="3">
        <f t="shared" si="67"/>
        <v>7.6360000000000001</v>
      </c>
    </row>
    <row r="2167" spans="1:12" x14ac:dyDescent="0.3">
      <c r="A2167" s="2">
        <v>38684</v>
      </c>
      <c r="B2167" t="s">
        <v>13</v>
      </c>
      <c r="D2167" s="2">
        <v>39415</v>
      </c>
      <c r="E2167">
        <v>7.75</v>
      </c>
      <c r="G2167" s="2">
        <v>39415</v>
      </c>
      <c r="H2167">
        <v>7.7640000000000002</v>
      </c>
      <c r="J2167" s="2">
        <v>39422</v>
      </c>
      <c r="K2167" s="3">
        <f t="shared" si="66"/>
        <v>7.75</v>
      </c>
      <c r="L2167" s="3">
        <f t="shared" si="67"/>
        <v>7.5869999999999997</v>
      </c>
    </row>
    <row r="2168" spans="1:12" x14ac:dyDescent="0.3">
      <c r="A2168" s="2">
        <v>38685</v>
      </c>
      <c r="B2168" t="s">
        <v>13</v>
      </c>
      <c r="D2168" s="2">
        <v>39416</v>
      </c>
      <c r="E2168">
        <v>7.75</v>
      </c>
      <c r="G2168" s="2">
        <v>39416</v>
      </c>
      <c r="H2168">
        <v>7.7830000000000004</v>
      </c>
      <c r="J2168" s="2">
        <v>39423</v>
      </c>
      <c r="K2168" s="3">
        <f t="shared" si="66"/>
        <v>7.75</v>
      </c>
      <c r="L2168" s="3">
        <f t="shared" si="67"/>
        <v>7.5330000000000004</v>
      </c>
    </row>
    <row r="2169" spans="1:12" x14ac:dyDescent="0.3">
      <c r="A2169" s="2">
        <v>38686</v>
      </c>
      <c r="B2169" t="s">
        <v>13</v>
      </c>
      <c r="D2169" s="2">
        <v>39417</v>
      </c>
      <c r="E2169">
        <v>7.75</v>
      </c>
      <c r="G2169" s="2">
        <v>39417</v>
      </c>
      <c r="H2169">
        <v>7.7830000000000004</v>
      </c>
      <c r="J2169" s="2">
        <v>39424</v>
      </c>
      <c r="K2169" s="3">
        <f t="shared" si="66"/>
        <v>7.75</v>
      </c>
      <c r="L2169" s="3">
        <f t="shared" si="67"/>
        <v>7.5330000000000004</v>
      </c>
    </row>
    <row r="2170" spans="1:12" x14ac:dyDescent="0.3">
      <c r="A2170" s="2">
        <v>38687</v>
      </c>
      <c r="B2170" t="s">
        <v>13</v>
      </c>
      <c r="D2170" s="2">
        <v>39418</v>
      </c>
      <c r="E2170">
        <v>7.75</v>
      </c>
      <c r="G2170" s="2">
        <v>39418</v>
      </c>
      <c r="H2170">
        <v>7.7830000000000004</v>
      </c>
      <c r="J2170" s="2">
        <v>39425</v>
      </c>
      <c r="K2170" s="3">
        <f t="shared" si="66"/>
        <v>7.75</v>
      </c>
      <c r="L2170" s="3">
        <f t="shared" si="67"/>
        <v>7.5330000000000004</v>
      </c>
    </row>
    <row r="2171" spans="1:12" x14ac:dyDescent="0.3">
      <c r="A2171" s="2">
        <v>38688</v>
      </c>
      <c r="B2171" t="s">
        <v>13</v>
      </c>
      <c r="D2171" s="2">
        <v>39419</v>
      </c>
      <c r="E2171">
        <v>7.75</v>
      </c>
      <c r="G2171" s="2">
        <v>39419</v>
      </c>
      <c r="H2171">
        <v>7.6040000000000001</v>
      </c>
      <c r="J2171" s="2">
        <v>39426</v>
      </c>
      <c r="K2171" s="3">
        <f t="shared" si="66"/>
        <v>7.75</v>
      </c>
      <c r="L2171" s="3">
        <f t="shared" si="67"/>
        <v>7.5819999999999999</v>
      </c>
    </row>
    <row r="2172" spans="1:12" x14ac:dyDescent="0.3">
      <c r="A2172" s="2">
        <v>38689</v>
      </c>
      <c r="B2172" t="s">
        <v>13</v>
      </c>
      <c r="D2172" s="2">
        <v>39420</v>
      </c>
      <c r="E2172">
        <v>7.75</v>
      </c>
      <c r="G2172" s="2">
        <v>39420</v>
      </c>
      <c r="H2172">
        <v>7.6529999999999996</v>
      </c>
      <c r="J2172" s="2">
        <v>39427</v>
      </c>
      <c r="K2172" s="3">
        <f t="shared" si="66"/>
        <v>7.75</v>
      </c>
      <c r="L2172" s="3">
        <f t="shared" si="67"/>
        <v>7.64</v>
      </c>
    </row>
    <row r="2173" spans="1:12" x14ac:dyDescent="0.3">
      <c r="A2173" s="2">
        <v>38690</v>
      </c>
      <c r="B2173" t="s">
        <v>13</v>
      </c>
      <c r="D2173" s="2">
        <v>39421</v>
      </c>
      <c r="E2173">
        <v>7.75</v>
      </c>
      <c r="G2173" s="2">
        <v>39421</v>
      </c>
      <c r="H2173">
        <v>7.6360000000000001</v>
      </c>
      <c r="J2173" s="2">
        <v>39428</v>
      </c>
      <c r="K2173" s="3">
        <f t="shared" si="66"/>
        <v>7.75</v>
      </c>
      <c r="L2173" s="3">
        <f t="shared" si="67"/>
        <v>7.6390000000000002</v>
      </c>
    </row>
    <row r="2174" spans="1:12" x14ac:dyDescent="0.3">
      <c r="A2174" s="2">
        <v>38691</v>
      </c>
      <c r="B2174" t="s">
        <v>13</v>
      </c>
      <c r="D2174" s="2">
        <v>39422</v>
      </c>
      <c r="E2174">
        <v>7.75</v>
      </c>
      <c r="G2174" s="2">
        <v>39422</v>
      </c>
      <c r="H2174">
        <v>7.5869999999999997</v>
      </c>
      <c r="J2174" s="2">
        <v>39429</v>
      </c>
      <c r="K2174" s="3">
        <f t="shared" si="66"/>
        <v>7.75</v>
      </c>
      <c r="L2174" s="3">
        <f t="shared" si="67"/>
        <v>7.4480000000000004</v>
      </c>
    </row>
    <row r="2175" spans="1:12" x14ac:dyDescent="0.3">
      <c r="A2175" s="2">
        <v>38692</v>
      </c>
      <c r="B2175" t="s">
        <v>13</v>
      </c>
      <c r="D2175" s="2">
        <v>39423</v>
      </c>
      <c r="E2175">
        <v>7.75</v>
      </c>
      <c r="G2175" s="2">
        <v>39423</v>
      </c>
      <c r="H2175">
        <v>7.5330000000000004</v>
      </c>
      <c r="J2175" s="2">
        <v>39430</v>
      </c>
      <c r="K2175" s="3">
        <f t="shared" si="66"/>
        <v>7.75</v>
      </c>
      <c r="L2175" s="3">
        <f t="shared" si="67"/>
        <v>7.6289999999999996</v>
      </c>
    </row>
    <row r="2176" spans="1:12" x14ac:dyDescent="0.3">
      <c r="A2176" s="2">
        <v>38693</v>
      </c>
      <c r="B2176" t="s">
        <v>13</v>
      </c>
      <c r="D2176" s="2">
        <v>39424</v>
      </c>
      <c r="E2176">
        <v>7.75</v>
      </c>
      <c r="G2176" s="2">
        <v>39424</v>
      </c>
      <c r="H2176">
        <v>7.5330000000000004</v>
      </c>
      <c r="J2176" s="2">
        <v>39431</v>
      </c>
      <c r="K2176" s="3">
        <f t="shared" si="66"/>
        <v>7.75</v>
      </c>
      <c r="L2176" s="3">
        <f t="shared" si="67"/>
        <v>7.6289999999999996</v>
      </c>
    </row>
    <row r="2177" spans="1:12" x14ac:dyDescent="0.3">
      <c r="A2177" s="2">
        <v>38694</v>
      </c>
      <c r="B2177" t="s">
        <v>13</v>
      </c>
      <c r="D2177" s="2">
        <v>39425</v>
      </c>
      <c r="E2177">
        <v>7.75</v>
      </c>
      <c r="G2177" s="2">
        <v>39425</v>
      </c>
      <c r="H2177">
        <v>7.5330000000000004</v>
      </c>
      <c r="J2177" s="2">
        <v>39432</v>
      </c>
      <c r="K2177" s="3">
        <f t="shared" si="66"/>
        <v>7.75</v>
      </c>
      <c r="L2177" s="3">
        <f t="shared" si="67"/>
        <v>7.6289999999999996</v>
      </c>
    </row>
    <row r="2178" spans="1:12" x14ac:dyDescent="0.3">
      <c r="A2178" s="2">
        <v>38695</v>
      </c>
      <c r="B2178" t="s">
        <v>13</v>
      </c>
      <c r="D2178" s="2">
        <v>39426</v>
      </c>
      <c r="E2178">
        <v>7.75</v>
      </c>
      <c r="G2178" s="2">
        <v>39426</v>
      </c>
      <c r="H2178">
        <v>7.5819999999999999</v>
      </c>
      <c r="J2178" s="2">
        <v>39433</v>
      </c>
      <c r="K2178" s="3">
        <f t="shared" si="66"/>
        <v>7.75</v>
      </c>
      <c r="L2178" s="3">
        <f t="shared" si="67"/>
        <v>7.64</v>
      </c>
    </row>
    <row r="2179" spans="1:12" x14ac:dyDescent="0.3">
      <c r="A2179" s="2">
        <v>38696</v>
      </c>
      <c r="B2179" t="s">
        <v>13</v>
      </c>
      <c r="D2179" s="2">
        <v>39427</v>
      </c>
      <c r="E2179">
        <v>7.75</v>
      </c>
      <c r="G2179" s="2">
        <v>39427</v>
      </c>
      <c r="H2179">
        <v>7.64</v>
      </c>
      <c r="J2179" s="2">
        <v>39434</v>
      </c>
      <c r="K2179" s="3">
        <f t="shared" ref="K2179:K2242" si="68">E2186</f>
        <v>7.75</v>
      </c>
      <c r="L2179" s="3">
        <f t="shared" ref="L2179:L2242" si="69">H2186</f>
        <v>7.7</v>
      </c>
    </row>
    <row r="2180" spans="1:12" x14ac:dyDescent="0.3">
      <c r="A2180" s="2">
        <v>38697</v>
      </c>
      <c r="B2180" t="s">
        <v>13</v>
      </c>
      <c r="D2180" s="2">
        <v>39428</v>
      </c>
      <c r="E2180">
        <v>7.75</v>
      </c>
      <c r="G2180" s="2">
        <v>39428</v>
      </c>
      <c r="H2180">
        <v>7.6390000000000002</v>
      </c>
      <c r="J2180" s="2">
        <v>39435</v>
      </c>
      <c r="K2180" s="3">
        <f t="shared" si="68"/>
        <v>7.75</v>
      </c>
      <c r="L2180" s="3">
        <f t="shared" si="69"/>
        <v>7.6529999999999996</v>
      </c>
    </row>
    <row r="2181" spans="1:12" x14ac:dyDescent="0.3">
      <c r="A2181" s="2">
        <v>38698</v>
      </c>
      <c r="B2181" t="s">
        <v>13</v>
      </c>
      <c r="D2181" s="2">
        <v>39429</v>
      </c>
      <c r="E2181">
        <v>7.75</v>
      </c>
      <c r="G2181" s="2">
        <v>39429</v>
      </c>
      <c r="H2181">
        <v>7.4480000000000004</v>
      </c>
      <c r="J2181" s="2">
        <v>39436</v>
      </c>
      <c r="K2181" s="3">
        <f t="shared" si="68"/>
        <v>7.75</v>
      </c>
      <c r="L2181" s="3">
        <f t="shared" si="69"/>
        <v>7.657</v>
      </c>
    </row>
    <row r="2182" spans="1:12" x14ac:dyDescent="0.3">
      <c r="A2182" s="2">
        <v>38699</v>
      </c>
      <c r="B2182" t="s">
        <v>13</v>
      </c>
      <c r="D2182" s="2">
        <v>39430</v>
      </c>
      <c r="E2182">
        <v>7.75</v>
      </c>
      <c r="G2182" s="2">
        <v>39430</v>
      </c>
      <c r="H2182">
        <v>7.6289999999999996</v>
      </c>
      <c r="J2182" s="2">
        <v>39437</v>
      </c>
      <c r="K2182" s="3">
        <f t="shared" si="68"/>
        <v>7.75</v>
      </c>
      <c r="L2182" s="3">
        <f t="shared" si="69"/>
        <v>7.657</v>
      </c>
    </row>
    <row r="2183" spans="1:12" x14ac:dyDescent="0.3">
      <c r="A2183" s="2">
        <v>38700</v>
      </c>
      <c r="B2183" t="s">
        <v>13</v>
      </c>
      <c r="D2183" s="2">
        <v>39431</v>
      </c>
      <c r="E2183">
        <v>7.75</v>
      </c>
      <c r="G2183" s="2">
        <v>39431</v>
      </c>
      <c r="H2183">
        <v>7.6289999999999996</v>
      </c>
      <c r="J2183" s="2">
        <v>39438</v>
      </c>
      <c r="K2183" s="3">
        <f t="shared" si="68"/>
        <v>7.75</v>
      </c>
      <c r="L2183" s="3">
        <f t="shared" si="69"/>
        <v>7.657</v>
      </c>
    </row>
    <row r="2184" spans="1:12" x14ac:dyDescent="0.3">
      <c r="A2184" s="2">
        <v>38701</v>
      </c>
      <c r="B2184" t="s">
        <v>13</v>
      </c>
      <c r="D2184" s="2">
        <v>39432</v>
      </c>
      <c r="E2184">
        <v>7.75</v>
      </c>
      <c r="G2184" s="2">
        <v>39432</v>
      </c>
      <c r="H2184">
        <v>7.6289999999999996</v>
      </c>
      <c r="J2184" s="2">
        <v>39439</v>
      </c>
      <c r="K2184" s="3">
        <f t="shared" si="68"/>
        <v>7.75</v>
      </c>
      <c r="L2184" s="3">
        <f t="shared" si="69"/>
        <v>7.657</v>
      </c>
    </row>
    <row r="2185" spans="1:12" x14ac:dyDescent="0.3">
      <c r="A2185" s="2">
        <v>38702</v>
      </c>
      <c r="B2185" t="s">
        <v>13</v>
      </c>
      <c r="D2185" s="2">
        <v>39433</v>
      </c>
      <c r="E2185">
        <v>7.75</v>
      </c>
      <c r="G2185" s="2">
        <v>39433</v>
      </c>
      <c r="H2185">
        <v>7.64</v>
      </c>
      <c r="J2185" s="2">
        <v>39440</v>
      </c>
      <c r="K2185" s="3">
        <f t="shared" si="68"/>
        <v>7.75</v>
      </c>
      <c r="L2185" s="3">
        <f t="shared" si="69"/>
        <v>7.625</v>
      </c>
    </row>
    <row r="2186" spans="1:12" x14ac:dyDescent="0.3">
      <c r="A2186" s="2">
        <v>38703</v>
      </c>
      <c r="B2186" t="s">
        <v>13</v>
      </c>
      <c r="D2186" s="2">
        <v>39434</v>
      </c>
      <c r="E2186">
        <v>7.75</v>
      </c>
      <c r="G2186" s="2">
        <v>39434</v>
      </c>
      <c r="H2186">
        <v>7.7</v>
      </c>
      <c r="J2186" s="2">
        <v>39441</v>
      </c>
      <c r="K2186" s="3">
        <f t="shared" si="68"/>
        <v>7.75</v>
      </c>
      <c r="L2186" s="3">
        <f t="shared" si="69"/>
        <v>7.625</v>
      </c>
    </row>
    <row r="2187" spans="1:12" x14ac:dyDescent="0.3">
      <c r="A2187" s="2">
        <v>38704</v>
      </c>
      <c r="B2187" t="s">
        <v>13</v>
      </c>
      <c r="D2187" s="2">
        <v>39435</v>
      </c>
      <c r="E2187">
        <v>7.75</v>
      </c>
      <c r="G2187" s="2">
        <v>39435</v>
      </c>
      <c r="H2187">
        <v>7.6529999999999996</v>
      </c>
      <c r="J2187" s="2">
        <v>39442</v>
      </c>
      <c r="K2187" s="3">
        <f t="shared" si="68"/>
        <v>7.75</v>
      </c>
      <c r="L2187" s="3">
        <f t="shared" si="69"/>
        <v>7.6239999999999997</v>
      </c>
    </row>
    <row r="2188" spans="1:12" x14ac:dyDescent="0.3">
      <c r="A2188" s="2">
        <v>38705</v>
      </c>
      <c r="B2188" t="s">
        <v>13</v>
      </c>
      <c r="D2188" s="2">
        <v>39436</v>
      </c>
      <c r="E2188">
        <v>7.75</v>
      </c>
      <c r="G2188" s="2">
        <v>39436</v>
      </c>
      <c r="H2188">
        <v>7.657</v>
      </c>
      <c r="J2188" s="2">
        <v>39443</v>
      </c>
      <c r="K2188" s="3">
        <f t="shared" si="68"/>
        <v>7.75</v>
      </c>
      <c r="L2188" s="3">
        <f t="shared" si="69"/>
        <v>7.649</v>
      </c>
    </row>
    <row r="2189" spans="1:12" x14ac:dyDescent="0.3">
      <c r="A2189" s="2">
        <v>38706</v>
      </c>
      <c r="B2189" t="s">
        <v>13</v>
      </c>
      <c r="D2189" s="2">
        <v>39437</v>
      </c>
      <c r="E2189">
        <v>7.75</v>
      </c>
      <c r="G2189" s="2">
        <v>39437</v>
      </c>
      <c r="H2189">
        <v>7.657</v>
      </c>
      <c r="J2189" s="2">
        <v>39444</v>
      </c>
      <c r="K2189" s="3">
        <f t="shared" si="68"/>
        <v>7.75</v>
      </c>
      <c r="L2189" s="3">
        <f t="shared" si="69"/>
        <v>7.58</v>
      </c>
    </row>
    <row r="2190" spans="1:12" x14ac:dyDescent="0.3">
      <c r="A2190" s="2">
        <v>38707</v>
      </c>
      <c r="B2190" t="s">
        <v>13</v>
      </c>
      <c r="D2190" s="2">
        <v>39438</v>
      </c>
      <c r="E2190">
        <v>7.75</v>
      </c>
      <c r="G2190" s="2">
        <v>39438</v>
      </c>
      <c r="H2190">
        <v>7.657</v>
      </c>
      <c r="J2190" s="2">
        <v>39445</v>
      </c>
      <c r="K2190" s="3">
        <f t="shared" si="68"/>
        <v>7.75</v>
      </c>
      <c r="L2190" s="3">
        <f t="shared" si="69"/>
        <v>7.58</v>
      </c>
    </row>
    <row r="2191" spans="1:12" x14ac:dyDescent="0.3">
      <c r="A2191" s="2">
        <v>38708</v>
      </c>
      <c r="B2191" t="s">
        <v>13</v>
      </c>
      <c r="D2191" s="2">
        <v>39439</v>
      </c>
      <c r="E2191">
        <v>7.75</v>
      </c>
      <c r="G2191" s="2">
        <v>39439</v>
      </c>
      <c r="H2191">
        <v>7.657</v>
      </c>
      <c r="J2191" s="2">
        <v>39446</v>
      </c>
      <c r="K2191" s="3">
        <f t="shared" si="68"/>
        <v>7.75</v>
      </c>
      <c r="L2191" s="3">
        <f t="shared" si="69"/>
        <v>7.58</v>
      </c>
    </row>
    <row r="2192" spans="1:12" x14ac:dyDescent="0.3">
      <c r="A2192" s="2">
        <v>38709</v>
      </c>
      <c r="B2192" t="s">
        <v>13</v>
      </c>
      <c r="D2192" s="2">
        <v>39440</v>
      </c>
      <c r="E2192">
        <v>7.75</v>
      </c>
      <c r="G2192" s="2">
        <v>39440</v>
      </c>
      <c r="H2192">
        <v>7.625</v>
      </c>
      <c r="J2192" s="2">
        <v>39447</v>
      </c>
      <c r="K2192" s="3">
        <f t="shared" si="68"/>
        <v>7.75</v>
      </c>
      <c r="L2192" s="3">
        <f t="shared" si="69"/>
        <v>7.4489999999999998</v>
      </c>
    </row>
    <row r="2193" spans="1:12" x14ac:dyDescent="0.3">
      <c r="A2193" s="2">
        <v>38710</v>
      </c>
      <c r="B2193" t="s">
        <v>13</v>
      </c>
      <c r="D2193" s="2">
        <v>39441</v>
      </c>
      <c r="E2193">
        <v>7.75</v>
      </c>
      <c r="G2193" s="2">
        <v>39441</v>
      </c>
      <c r="H2193">
        <v>7.625</v>
      </c>
      <c r="J2193" s="2">
        <v>39448</v>
      </c>
      <c r="K2193" s="3">
        <f t="shared" si="68"/>
        <v>7.75</v>
      </c>
      <c r="L2193" s="3">
        <f t="shared" si="69"/>
        <v>7.42</v>
      </c>
    </row>
    <row r="2194" spans="1:12" x14ac:dyDescent="0.3">
      <c r="A2194" s="2">
        <v>38711</v>
      </c>
      <c r="B2194" t="s">
        <v>13</v>
      </c>
      <c r="D2194" s="2">
        <v>39442</v>
      </c>
      <c r="E2194">
        <v>7.75</v>
      </c>
      <c r="G2194" s="2">
        <v>39442</v>
      </c>
      <c r="H2194">
        <v>7.6239999999999997</v>
      </c>
      <c r="J2194" s="2">
        <v>39449</v>
      </c>
      <c r="K2194" s="3">
        <f t="shared" si="68"/>
        <v>7.75</v>
      </c>
      <c r="L2194" s="3">
        <f t="shared" si="69"/>
        <v>7.4</v>
      </c>
    </row>
    <row r="2195" spans="1:12" x14ac:dyDescent="0.3">
      <c r="A2195" s="2">
        <v>38712</v>
      </c>
      <c r="B2195" t="s">
        <v>13</v>
      </c>
      <c r="D2195" s="2">
        <v>39443</v>
      </c>
      <c r="E2195">
        <v>7.75</v>
      </c>
      <c r="G2195" s="2">
        <v>39443</v>
      </c>
      <c r="H2195">
        <v>7.649</v>
      </c>
      <c r="J2195" s="2">
        <v>39450</v>
      </c>
      <c r="K2195" s="3">
        <f t="shared" si="68"/>
        <v>7.75</v>
      </c>
      <c r="L2195" s="3">
        <f t="shared" si="69"/>
        <v>7.306</v>
      </c>
    </row>
    <row r="2196" spans="1:12" x14ac:dyDescent="0.3">
      <c r="A2196" s="2">
        <v>38713</v>
      </c>
      <c r="B2196" t="s">
        <v>13</v>
      </c>
      <c r="D2196" s="2">
        <v>39444</v>
      </c>
      <c r="E2196">
        <v>7.75</v>
      </c>
      <c r="G2196" s="2">
        <v>39444</v>
      </c>
      <c r="H2196">
        <v>7.58</v>
      </c>
      <c r="J2196" s="2">
        <v>39451</v>
      </c>
      <c r="K2196" s="3">
        <f t="shared" si="68"/>
        <v>7.75</v>
      </c>
      <c r="L2196" s="3">
        <f t="shared" si="69"/>
        <v>7.5039999999999996</v>
      </c>
    </row>
    <row r="2197" spans="1:12" x14ac:dyDescent="0.3">
      <c r="A2197" s="2">
        <v>38714</v>
      </c>
      <c r="B2197" t="s">
        <v>13</v>
      </c>
      <c r="D2197" s="2">
        <v>39445</v>
      </c>
      <c r="E2197">
        <v>7.75</v>
      </c>
      <c r="G2197" s="2">
        <v>39445</v>
      </c>
      <c r="H2197">
        <v>7.58</v>
      </c>
      <c r="J2197" s="2">
        <v>39452</v>
      </c>
      <c r="K2197" s="3">
        <f t="shared" si="68"/>
        <v>7.75</v>
      </c>
      <c r="L2197" s="3">
        <f t="shared" si="69"/>
        <v>7.5039999999999996</v>
      </c>
    </row>
    <row r="2198" spans="1:12" x14ac:dyDescent="0.3">
      <c r="A2198" s="2">
        <v>38715</v>
      </c>
      <c r="B2198" t="s">
        <v>13</v>
      </c>
      <c r="D2198" s="2">
        <v>39446</v>
      </c>
      <c r="E2198">
        <v>7.75</v>
      </c>
      <c r="G2198" s="2">
        <v>39446</v>
      </c>
      <c r="H2198">
        <v>7.58</v>
      </c>
      <c r="J2198" s="2">
        <v>39453</v>
      </c>
      <c r="K2198" s="3">
        <f t="shared" si="68"/>
        <v>7.75</v>
      </c>
      <c r="L2198" s="3">
        <f t="shared" si="69"/>
        <v>7.5039999999999996</v>
      </c>
    </row>
    <row r="2199" spans="1:12" x14ac:dyDescent="0.3">
      <c r="A2199" s="2">
        <v>38716</v>
      </c>
      <c r="B2199" t="s">
        <v>13</v>
      </c>
      <c r="D2199" s="2">
        <v>39447</v>
      </c>
      <c r="E2199">
        <v>7.75</v>
      </c>
      <c r="G2199" s="2">
        <v>39447</v>
      </c>
      <c r="H2199">
        <v>7.4489999999999998</v>
      </c>
      <c r="J2199" s="2">
        <v>39454</v>
      </c>
      <c r="K2199" s="3">
        <f t="shared" si="68"/>
        <v>7.75</v>
      </c>
      <c r="L2199" s="3">
        <f t="shared" si="69"/>
        <v>7.4379999999999997</v>
      </c>
    </row>
    <row r="2200" spans="1:12" x14ac:dyDescent="0.3">
      <c r="A2200" s="2">
        <v>38717</v>
      </c>
      <c r="B2200" t="s">
        <v>13</v>
      </c>
      <c r="D2200" s="2">
        <v>39448</v>
      </c>
      <c r="E2200">
        <v>7.75</v>
      </c>
      <c r="G2200" s="2">
        <v>39448</v>
      </c>
      <c r="H2200">
        <v>7.42</v>
      </c>
      <c r="J2200" s="2">
        <v>39455</v>
      </c>
      <c r="K2200" s="3">
        <f t="shared" si="68"/>
        <v>7.75</v>
      </c>
      <c r="L2200" s="3">
        <f t="shared" si="69"/>
        <v>7.48</v>
      </c>
    </row>
    <row r="2201" spans="1:12" x14ac:dyDescent="0.3">
      <c r="A2201" s="2">
        <v>38718</v>
      </c>
      <c r="B2201" t="s">
        <v>13</v>
      </c>
      <c r="D2201" s="2">
        <v>39449</v>
      </c>
      <c r="E2201">
        <v>7.75</v>
      </c>
      <c r="G2201" s="2">
        <v>39449</v>
      </c>
      <c r="H2201">
        <v>7.4</v>
      </c>
      <c r="J2201" s="2">
        <v>39456</v>
      </c>
      <c r="K2201" s="3">
        <f t="shared" si="68"/>
        <v>7.75</v>
      </c>
      <c r="L2201" s="3">
        <f t="shared" si="69"/>
        <v>7.4989999999999997</v>
      </c>
    </row>
    <row r="2202" spans="1:12" x14ac:dyDescent="0.3">
      <c r="A2202" s="2">
        <v>38719</v>
      </c>
      <c r="B2202" t="s">
        <v>13</v>
      </c>
      <c r="D2202" s="2">
        <v>39450</v>
      </c>
      <c r="E2202">
        <v>7.75</v>
      </c>
      <c r="G2202" s="2">
        <v>39450</v>
      </c>
      <c r="H2202">
        <v>7.306</v>
      </c>
      <c r="J2202" s="2">
        <v>39457</v>
      </c>
      <c r="K2202" s="3">
        <f t="shared" si="68"/>
        <v>7.75</v>
      </c>
      <c r="L2202" s="3">
        <f t="shared" si="69"/>
        <v>7.5270000000000001</v>
      </c>
    </row>
    <row r="2203" spans="1:12" x14ac:dyDescent="0.3">
      <c r="A2203" s="2">
        <v>38720</v>
      </c>
      <c r="B2203" t="s">
        <v>13</v>
      </c>
      <c r="D2203" s="2">
        <v>39451</v>
      </c>
      <c r="E2203">
        <v>7.75</v>
      </c>
      <c r="G2203" s="2">
        <v>39451</v>
      </c>
      <c r="H2203">
        <v>7.5039999999999996</v>
      </c>
      <c r="J2203" s="2">
        <v>39458</v>
      </c>
      <c r="K2203" s="3">
        <f t="shared" si="68"/>
        <v>7.75</v>
      </c>
      <c r="L2203" s="3">
        <f t="shared" si="69"/>
        <v>7.4749999999999996</v>
      </c>
    </row>
    <row r="2204" spans="1:12" x14ac:dyDescent="0.3">
      <c r="A2204" s="2">
        <v>38721</v>
      </c>
      <c r="B2204" t="s">
        <v>13</v>
      </c>
      <c r="D2204" s="2">
        <v>39452</v>
      </c>
      <c r="E2204">
        <v>7.75</v>
      </c>
      <c r="G2204" s="2">
        <v>39452</v>
      </c>
      <c r="H2204">
        <v>7.5039999999999996</v>
      </c>
      <c r="J2204" s="2">
        <v>39459</v>
      </c>
      <c r="K2204" s="3">
        <f t="shared" si="68"/>
        <v>7.75</v>
      </c>
      <c r="L2204" s="3">
        <f t="shared" si="69"/>
        <v>7.4749999999999996</v>
      </c>
    </row>
    <row r="2205" spans="1:12" x14ac:dyDescent="0.3">
      <c r="A2205" s="2">
        <v>38722</v>
      </c>
      <c r="B2205" t="s">
        <v>13</v>
      </c>
      <c r="D2205" s="2">
        <v>39453</v>
      </c>
      <c r="E2205">
        <v>7.75</v>
      </c>
      <c r="G2205" s="2">
        <v>39453</v>
      </c>
      <c r="H2205">
        <v>7.5039999999999996</v>
      </c>
      <c r="J2205" s="2">
        <v>39460</v>
      </c>
      <c r="K2205" s="3">
        <f t="shared" si="68"/>
        <v>7.75</v>
      </c>
      <c r="L2205" s="3">
        <f t="shared" si="69"/>
        <v>7.4749999999999996</v>
      </c>
    </row>
    <row r="2206" spans="1:12" x14ac:dyDescent="0.3">
      <c r="A2206" s="2">
        <v>38723</v>
      </c>
      <c r="B2206" t="s">
        <v>13</v>
      </c>
      <c r="D2206" s="2">
        <v>39454</v>
      </c>
      <c r="E2206">
        <v>7.75</v>
      </c>
      <c r="G2206" s="2">
        <v>39454</v>
      </c>
      <c r="H2206">
        <v>7.4379999999999997</v>
      </c>
      <c r="J2206" s="2">
        <v>39461</v>
      </c>
      <c r="K2206" s="3">
        <f t="shared" si="68"/>
        <v>7.75</v>
      </c>
      <c r="L2206" s="3">
        <f t="shared" si="69"/>
        <v>7.5170000000000003</v>
      </c>
    </row>
    <row r="2207" spans="1:12" x14ac:dyDescent="0.3">
      <c r="A2207" s="2">
        <v>38724</v>
      </c>
      <c r="B2207" t="s">
        <v>13</v>
      </c>
      <c r="D2207" s="2">
        <v>39455</v>
      </c>
      <c r="E2207">
        <v>7.75</v>
      </c>
      <c r="G2207" s="2">
        <v>39455</v>
      </c>
      <c r="H2207">
        <v>7.48</v>
      </c>
      <c r="J2207" s="2">
        <v>39462</v>
      </c>
      <c r="K2207" s="3">
        <f t="shared" si="68"/>
        <v>7.75</v>
      </c>
      <c r="L2207" s="3">
        <f t="shared" si="69"/>
        <v>7.4710000000000001</v>
      </c>
    </row>
    <row r="2208" spans="1:12" x14ac:dyDescent="0.3">
      <c r="A2208" s="2">
        <v>38725</v>
      </c>
      <c r="B2208" t="s">
        <v>13</v>
      </c>
      <c r="D2208" s="2">
        <v>39456</v>
      </c>
      <c r="E2208">
        <v>7.75</v>
      </c>
      <c r="G2208" s="2">
        <v>39456</v>
      </c>
      <c r="H2208">
        <v>7.4989999999999997</v>
      </c>
      <c r="J2208" s="2">
        <v>39463</v>
      </c>
      <c r="K2208" s="3">
        <f t="shared" si="68"/>
        <v>7.75</v>
      </c>
      <c r="L2208" s="3">
        <f t="shared" si="69"/>
        <v>7.4790000000000001</v>
      </c>
    </row>
    <row r="2209" spans="1:12" x14ac:dyDescent="0.3">
      <c r="A2209" s="2">
        <v>38726</v>
      </c>
      <c r="B2209" t="s">
        <v>13</v>
      </c>
      <c r="D2209" s="2">
        <v>39457</v>
      </c>
      <c r="E2209">
        <v>7.75</v>
      </c>
      <c r="G2209" s="2">
        <v>39457</v>
      </c>
      <c r="H2209">
        <v>7.5270000000000001</v>
      </c>
      <c r="J2209" s="2">
        <v>39464</v>
      </c>
      <c r="K2209" s="3">
        <f t="shared" si="68"/>
        <v>7.75</v>
      </c>
      <c r="L2209" s="3">
        <f t="shared" si="69"/>
        <v>7.5</v>
      </c>
    </row>
    <row r="2210" spans="1:12" x14ac:dyDescent="0.3">
      <c r="A2210" s="2">
        <v>38727</v>
      </c>
      <c r="B2210" t="s">
        <v>13</v>
      </c>
      <c r="D2210" s="2">
        <v>39458</v>
      </c>
      <c r="E2210">
        <v>7.75</v>
      </c>
      <c r="G2210" s="2">
        <v>39458</v>
      </c>
      <c r="H2210">
        <v>7.4749999999999996</v>
      </c>
      <c r="J2210" s="2">
        <v>39465</v>
      </c>
      <c r="K2210" s="3">
        <f t="shared" si="68"/>
        <v>7.75</v>
      </c>
      <c r="L2210" s="3">
        <f t="shared" si="69"/>
        <v>7.508</v>
      </c>
    </row>
    <row r="2211" spans="1:12" x14ac:dyDescent="0.3">
      <c r="A2211" s="2">
        <v>38728</v>
      </c>
      <c r="B2211" t="s">
        <v>13</v>
      </c>
      <c r="D2211" s="2">
        <v>39459</v>
      </c>
      <c r="E2211">
        <v>7.75</v>
      </c>
      <c r="G2211" s="2">
        <v>39459</v>
      </c>
      <c r="H2211">
        <v>7.4749999999999996</v>
      </c>
      <c r="J2211" s="2">
        <v>39466</v>
      </c>
      <c r="K2211" s="3">
        <f t="shared" si="68"/>
        <v>7.75</v>
      </c>
      <c r="L2211" s="3">
        <f t="shared" si="69"/>
        <v>7.508</v>
      </c>
    </row>
    <row r="2212" spans="1:12" x14ac:dyDescent="0.3">
      <c r="A2212" s="2">
        <v>38729</v>
      </c>
      <c r="B2212" t="s">
        <v>13</v>
      </c>
      <c r="D2212" s="2">
        <v>39460</v>
      </c>
      <c r="E2212">
        <v>7.75</v>
      </c>
      <c r="G2212" s="2">
        <v>39460</v>
      </c>
      <c r="H2212">
        <v>7.4749999999999996</v>
      </c>
      <c r="J2212" s="2">
        <v>39467</v>
      </c>
      <c r="K2212" s="3">
        <f t="shared" si="68"/>
        <v>7.75</v>
      </c>
      <c r="L2212" s="3">
        <f t="shared" si="69"/>
        <v>7.508</v>
      </c>
    </row>
    <row r="2213" spans="1:12" x14ac:dyDescent="0.3">
      <c r="A2213" s="2">
        <v>38730</v>
      </c>
      <c r="B2213" t="s">
        <v>13</v>
      </c>
      <c r="D2213" s="2">
        <v>39461</v>
      </c>
      <c r="E2213">
        <v>7.75</v>
      </c>
      <c r="G2213" s="2">
        <v>39461</v>
      </c>
      <c r="H2213">
        <v>7.5170000000000003</v>
      </c>
      <c r="J2213" s="2">
        <v>39468</v>
      </c>
      <c r="K2213" s="3">
        <f t="shared" si="68"/>
        <v>7.75</v>
      </c>
      <c r="L2213" s="3">
        <f t="shared" si="69"/>
        <v>7.5060000000000002</v>
      </c>
    </row>
    <row r="2214" spans="1:12" x14ac:dyDescent="0.3">
      <c r="A2214" s="2">
        <v>38731</v>
      </c>
      <c r="B2214" t="s">
        <v>13</v>
      </c>
      <c r="D2214" s="2">
        <v>39462</v>
      </c>
      <c r="E2214">
        <v>7.75</v>
      </c>
      <c r="G2214" s="2">
        <v>39462</v>
      </c>
      <c r="H2214">
        <v>7.4710000000000001</v>
      </c>
      <c r="J2214" s="2">
        <v>39469</v>
      </c>
      <c r="K2214" s="3">
        <f t="shared" si="68"/>
        <v>7.75</v>
      </c>
      <c r="L2214" s="3">
        <f t="shared" si="69"/>
        <v>7.4260000000000002</v>
      </c>
    </row>
    <row r="2215" spans="1:12" x14ac:dyDescent="0.3">
      <c r="A2215" s="2">
        <v>38732</v>
      </c>
      <c r="B2215" t="s">
        <v>13</v>
      </c>
      <c r="D2215" s="2">
        <v>39463</v>
      </c>
      <c r="E2215">
        <v>7.75</v>
      </c>
      <c r="G2215" s="2">
        <v>39463</v>
      </c>
      <c r="H2215">
        <v>7.4790000000000001</v>
      </c>
      <c r="J2215" s="2">
        <v>39470</v>
      </c>
      <c r="K2215" s="3">
        <f t="shared" si="68"/>
        <v>7.75</v>
      </c>
      <c r="L2215" s="3">
        <f t="shared" si="69"/>
        <v>7.3380000000000001</v>
      </c>
    </row>
    <row r="2216" spans="1:12" x14ac:dyDescent="0.3">
      <c r="A2216" s="2">
        <v>38733</v>
      </c>
      <c r="B2216" t="s">
        <v>13</v>
      </c>
      <c r="D2216" s="2">
        <v>39464</v>
      </c>
      <c r="E2216">
        <v>7.75</v>
      </c>
      <c r="G2216" s="2">
        <v>39464</v>
      </c>
      <c r="H2216">
        <v>7.5</v>
      </c>
      <c r="J2216" s="2">
        <v>39471</v>
      </c>
      <c r="K2216" s="3">
        <f t="shared" si="68"/>
        <v>7.75</v>
      </c>
      <c r="L2216" s="3">
        <f t="shared" si="69"/>
        <v>7.3689999999999998</v>
      </c>
    </row>
    <row r="2217" spans="1:12" x14ac:dyDescent="0.3">
      <c r="A2217" s="2">
        <v>38734</v>
      </c>
      <c r="B2217" t="s">
        <v>13</v>
      </c>
      <c r="D2217" s="2">
        <v>39465</v>
      </c>
      <c r="E2217">
        <v>7.75</v>
      </c>
      <c r="G2217" s="2">
        <v>39465</v>
      </c>
      <c r="H2217">
        <v>7.508</v>
      </c>
      <c r="J2217" s="2">
        <v>39472</v>
      </c>
      <c r="K2217" s="3">
        <f t="shared" si="68"/>
        <v>7.75</v>
      </c>
      <c r="L2217" s="3">
        <f t="shared" si="69"/>
        <v>7.3570000000000002</v>
      </c>
    </row>
    <row r="2218" spans="1:12" x14ac:dyDescent="0.3">
      <c r="A2218" s="2">
        <v>38735</v>
      </c>
      <c r="B2218" t="s">
        <v>13</v>
      </c>
      <c r="D2218" s="2">
        <v>39466</v>
      </c>
      <c r="E2218">
        <v>7.75</v>
      </c>
      <c r="G2218" s="2">
        <v>39466</v>
      </c>
      <c r="H2218">
        <v>7.508</v>
      </c>
      <c r="J2218" s="2">
        <v>39473</v>
      </c>
      <c r="K2218" s="3">
        <f t="shared" si="68"/>
        <v>7.75</v>
      </c>
      <c r="L2218" s="3">
        <f t="shared" si="69"/>
        <v>7.3570000000000002</v>
      </c>
    </row>
    <row r="2219" spans="1:12" x14ac:dyDescent="0.3">
      <c r="A2219" s="2">
        <v>38736</v>
      </c>
      <c r="B2219" t="s">
        <v>13</v>
      </c>
      <c r="D2219" s="2">
        <v>39467</v>
      </c>
      <c r="E2219">
        <v>7.75</v>
      </c>
      <c r="G2219" s="2">
        <v>39467</v>
      </c>
      <c r="H2219">
        <v>7.508</v>
      </c>
      <c r="J2219" s="2">
        <v>39474</v>
      </c>
      <c r="K2219" s="3">
        <f t="shared" si="68"/>
        <v>7.75</v>
      </c>
      <c r="L2219" s="3">
        <f t="shared" si="69"/>
        <v>7.3570000000000002</v>
      </c>
    </row>
    <row r="2220" spans="1:12" x14ac:dyDescent="0.3">
      <c r="A2220" s="2">
        <v>38737</v>
      </c>
      <c r="B2220" t="s">
        <v>13</v>
      </c>
      <c r="D2220" s="2">
        <v>39468</v>
      </c>
      <c r="E2220">
        <v>7.75</v>
      </c>
      <c r="G2220" s="2">
        <v>39468</v>
      </c>
      <c r="H2220">
        <v>7.5060000000000002</v>
      </c>
      <c r="J2220" s="2">
        <v>39475</v>
      </c>
      <c r="K2220" s="3">
        <f t="shared" si="68"/>
        <v>7.75</v>
      </c>
      <c r="L2220" s="3">
        <f t="shared" si="69"/>
        <v>7.4080000000000004</v>
      </c>
    </row>
    <row r="2221" spans="1:12" x14ac:dyDescent="0.3">
      <c r="A2221" s="2">
        <v>38738</v>
      </c>
      <c r="B2221" t="s">
        <v>13</v>
      </c>
      <c r="D2221" s="2">
        <v>39469</v>
      </c>
      <c r="E2221">
        <v>7.75</v>
      </c>
      <c r="G2221" s="2">
        <v>39469</v>
      </c>
      <c r="H2221">
        <v>7.4260000000000002</v>
      </c>
      <c r="J2221" s="2">
        <v>39476</v>
      </c>
      <c r="K2221" s="3">
        <f t="shared" si="68"/>
        <v>7.75</v>
      </c>
      <c r="L2221" s="3">
        <f t="shared" si="69"/>
        <v>7.4660000000000002</v>
      </c>
    </row>
    <row r="2222" spans="1:12" x14ac:dyDescent="0.3">
      <c r="A2222" s="2">
        <v>38739</v>
      </c>
      <c r="B2222" t="s">
        <v>13</v>
      </c>
      <c r="D2222" s="2">
        <v>39470</v>
      </c>
      <c r="E2222">
        <v>7.75</v>
      </c>
      <c r="G2222" s="2">
        <v>39470</v>
      </c>
      <c r="H2222">
        <v>7.3380000000000001</v>
      </c>
      <c r="J2222" s="2">
        <v>39477</v>
      </c>
      <c r="K2222" s="3">
        <f t="shared" si="68"/>
        <v>7.75</v>
      </c>
      <c r="L2222" s="3">
        <f t="shared" si="69"/>
        <v>7.4969999999999999</v>
      </c>
    </row>
    <row r="2223" spans="1:12" x14ac:dyDescent="0.3">
      <c r="A2223" s="2">
        <v>38740</v>
      </c>
      <c r="B2223" t="s">
        <v>13</v>
      </c>
      <c r="D2223" s="2">
        <v>39471</v>
      </c>
      <c r="E2223">
        <v>7.75</v>
      </c>
      <c r="G2223" s="2">
        <v>39471</v>
      </c>
      <c r="H2223">
        <v>7.3689999999999998</v>
      </c>
      <c r="J2223" s="2">
        <v>39478</v>
      </c>
      <c r="K2223" s="3">
        <f t="shared" si="68"/>
        <v>7.75</v>
      </c>
      <c r="L2223" s="3">
        <f t="shared" si="69"/>
        <v>7.5140000000000002</v>
      </c>
    </row>
    <row r="2224" spans="1:12" x14ac:dyDescent="0.3">
      <c r="A2224" s="2">
        <v>38741</v>
      </c>
      <c r="B2224" t="s">
        <v>13</v>
      </c>
      <c r="D2224" s="2">
        <v>39472</v>
      </c>
      <c r="E2224">
        <v>7.75</v>
      </c>
      <c r="G2224" s="2">
        <v>39472</v>
      </c>
      <c r="H2224">
        <v>7.3570000000000002</v>
      </c>
      <c r="J2224" s="2">
        <v>39479</v>
      </c>
      <c r="K2224" s="3">
        <f t="shared" si="68"/>
        <v>7.75</v>
      </c>
      <c r="L2224" s="3">
        <f t="shared" si="69"/>
        <v>7.4619999999999997</v>
      </c>
    </row>
    <row r="2225" spans="1:12" x14ac:dyDescent="0.3">
      <c r="A2225" s="2">
        <v>38742</v>
      </c>
      <c r="B2225" t="s">
        <v>13</v>
      </c>
      <c r="D2225" s="2">
        <v>39473</v>
      </c>
      <c r="E2225">
        <v>7.75</v>
      </c>
      <c r="G2225" s="2">
        <v>39473</v>
      </c>
      <c r="H2225">
        <v>7.3570000000000002</v>
      </c>
      <c r="J2225" s="2">
        <v>39480</v>
      </c>
      <c r="K2225" s="3">
        <f t="shared" si="68"/>
        <v>7.75</v>
      </c>
      <c r="L2225" s="3">
        <f t="shared" si="69"/>
        <v>7.4619999999999997</v>
      </c>
    </row>
    <row r="2226" spans="1:12" x14ac:dyDescent="0.3">
      <c r="A2226" s="2">
        <v>38743</v>
      </c>
      <c r="B2226" t="s">
        <v>13</v>
      </c>
      <c r="D2226" s="2">
        <v>39474</v>
      </c>
      <c r="E2226">
        <v>7.75</v>
      </c>
      <c r="G2226" s="2">
        <v>39474</v>
      </c>
      <c r="H2226">
        <v>7.3570000000000002</v>
      </c>
      <c r="J2226" s="2">
        <v>39481</v>
      </c>
      <c r="K2226" s="3">
        <f t="shared" si="68"/>
        <v>7.75</v>
      </c>
      <c r="L2226" s="3">
        <f t="shared" si="69"/>
        <v>7.4619999999999997</v>
      </c>
    </row>
    <row r="2227" spans="1:12" x14ac:dyDescent="0.3">
      <c r="A2227" s="2">
        <v>38744</v>
      </c>
      <c r="B2227" t="s">
        <v>13</v>
      </c>
      <c r="D2227" s="2">
        <v>39475</v>
      </c>
      <c r="E2227">
        <v>7.75</v>
      </c>
      <c r="G2227" s="2">
        <v>39475</v>
      </c>
      <c r="H2227">
        <v>7.4080000000000004</v>
      </c>
      <c r="J2227" s="2">
        <v>39482</v>
      </c>
      <c r="K2227" s="3">
        <f t="shared" si="68"/>
        <v>7.75</v>
      </c>
      <c r="L2227" s="3">
        <f t="shared" si="69"/>
        <v>7.4930000000000003</v>
      </c>
    </row>
    <row r="2228" spans="1:12" x14ac:dyDescent="0.3">
      <c r="A2228" s="2">
        <v>38745</v>
      </c>
      <c r="B2228" t="s">
        <v>13</v>
      </c>
      <c r="D2228" s="2">
        <v>39476</v>
      </c>
      <c r="E2228">
        <v>7.75</v>
      </c>
      <c r="G2228" s="2">
        <v>39476</v>
      </c>
      <c r="H2228">
        <v>7.4660000000000002</v>
      </c>
      <c r="J2228" s="2">
        <v>39483</v>
      </c>
      <c r="K2228" s="3">
        <f t="shared" si="68"/>
        <v>7.75</v>
      </c>
      <c r="L2228" s="3">
        <f t="shared" si="69"/>
        <v>7.4619999999999997</v>
      </c>
    </row>
    <row r="2229" spans="1:12" x14ac:dyDescent="0.3">
      <c r="A2229" s="2">
        <v>38746</v>
      </c>
      <c r="B2229" t="s">
        <v>13</v>
      </c>
      <c r="D2229" s="2">
        <v>39477</v>
      </c>
      <c r="E2229">
        <v>7.75</v>
      </c>
      <c r="G2229" s="2">
        <v>39477</v>
      </c>
      <c r="H2229">
        <v>7.4969999999999999</v>
      </c>
      <c r="J2229" s="2">
        <v>39484</v>
      </c>
      <c r="K2229" s="3">
        <f t="shared" si="68"/>
        <v>7.75</v>
      </c>
      <c r="L2229" s="3">
        <f t="shared" si="69"/>
        <v>7.4390000000000001</v>
      </c>
    </row>
    <row r="2230" spans="1:12" x14ac:dyDescent="0.3">
      <c r="A2230" s="2">
        <v>38747</v>
      </c>
      <c r="B2230" t="s">
        <v>13</v>
      </c>
      <c r="D2230" s="2">
        <v>39478</v>
      </c>
      <c r="E2230">
        <v>7.75</v>
      </c>
      <c r="G2230" s="2">
        <v>39478</v>
      </c>
      <c r="H2230">
        <v>7.5140000000000002</v>
      </c>
      <c r="J2230" s="2">
        <v>39485</v>
      </c>
      <c r="K2230" s="3">
        <f t="shared" si="68"/>
        <v>7.75</v>
      </c>
      <c r="L2230" s="3">
        <f t="shared" si="69"/>
        <v>7.4290000000000003</v>
      </c>
    </row>
    <row r="2231" spans="1:12" x14ac:dyDescent="0.3">
      <c r="A2231" s="2">
        <v>38748</v>
      </c>
      <c r="B2231" t="s">
        <v>13</v>
      </c>
      <c r="D2231" s="2">
        <v>39479</v>
      </c>
      <c r="E2231">
        <v>7.75</v>
      </c>
      <c r="G2231" s="2">
        <v>39479</v>
      </c>
      <c r="H2231">
        <v>7.4619999999999997</v>
      </c>
      <c r="J2231" s="2">
        <v>39486</v>
      </c>
      <c r="K2231" s="3">
        <f t="shared" si="68"/>
        <v>7.75</v>
      </c>
      <c r="L2231" s="3">
        <f t="shared" si="69"/>
        <v>7.4130000000000003</v>
      </c>
    </row>
    <row r="2232" spans="1:12" x14ac:dyDescent="0.3">
      <c r="A2232" s="2">
        <v>38749</v>
      </c>
      <c r="B2232" t="s">
        <v>13</v>
      </c>
      <c r="D2232" s="2">
        <v>39480</v>
      </c>
      <c r="E2232">
        <v>7.75</v>
      </c>
      <c r="G2232" s="2">
        <v>39480</v>
      </c>
      <c r="H2232">
        <v>7.4619999999999997</v>
      </c>
      <c r="J2232" s="2">
        <v>39487</v>
      </c>
      <c r="K2232" s="3">
        <f t="shared" si="68"/>
        <v>7.75</v>
      </c>
      <c r="L2232" s="3">
        <f t="shared" si="69"/>
        <v>7.4130000000000003</v>
      </c>
    </row>
    <row r="2233" spans="1:12" x14ac:dyDescent="0.3">
      <c r="A2233" s="2">
        <v>38750</v>
      </c>
      <c r="B2233" t="s">
        <v>13</v>
      </c>
      <c r="D2233" s="2">
        <v>39481</v>
      </c>
      <c r="E2233">
        <v>7.75</v>
      </c>
      <c r="G2233" s="2">
        <v>39481</v>
      </c>
      <c r="H2233">
        <v>7.4619999999999997</v>
      </c>
      <c r="J2233" s="2">
        <v>39488</v>
      </c>
      <c r="K2233" s="3">
        <f t="shared" si="68"/>
        <v>7.75</v>
      </c>
      <c r="L2233" s="3">
        <f t="shared" si="69"/>
        <v>7.4130000000000003</v>
      </c>
    </row>
    <row r="2234" spans="1:12" x14ac:dyDescent="0.3">
      <c r="A2234" s="2">
        <v>38751</v>
      </c>
      <c r="B2234" t="s">
        <v>13</v>
      </c>
      <c r="D2234" s="2">
        <v>39482</v>
      </c>
      <c r="E2234">
        <v>7.75</v>
      </c>
      <c r="G2234" s="2">
        <v>39482</v>
      </c>
      <c r="H2234">
        <v>7.4930000000000003</v>
      </c>
      <c r="J2234" s="2">
        <v>39489</v>
      </c>
      <c r="K2234" s="3">
        <f t="shared" si="68"/>
        <v>7.75</v>
      </c>
      <c r="L2234" s="3">
        <f t="shared" si="69"/>
        <v>7.4290000000000003</v>
      </c>
    </row>
    <row r="2235" spans="1:12" x14ac:dyDescent="0.3">
      <c r="A2235" s="2">
        <v>38752</v>
      </c>
      <c r="B2235" t="s">
        <v>13</v>
      </c>
      <c r="D2235" s="2">
        <v>39483</v>
      </c>
      <c r="E2235">
        <v>7.75</v>
      </c>
      <c r="G2235" s="2">
        <v>39483</v>
      </c>
      <c r="H2235">
        <v>7.4619999999999997</v>
      </c>
      <c r="J2235" s="2">
        <v>39490</v>
      </c>
      <c r="K2235" s="3">
        <f t="shared" si="68"/>
        <v>7.75</v>
      </c>
      <c r="L2235" s="3">
        <f t="shared" si="69"/>
        <v>7.4329999999999998</v>
      </c>
    </row>
    <row r="2236" spans="1:12" x14ac:dyDescent="0.3">
      <c r="A2236" s="2">
        <v>38753</v>
      </c>
      <c r="B2236" t="s">
        <v>13</v>
      </c>
      <c r="D2236" s="2">
        <v>39484</v>
      </c>
      <c r="E2236">
        <v>7.75</v>
      </c>
      <c r="G2236" s="2">
        <v>39484</v>
      </c>
      <c r="H2236">
        <v>7.4390000000000001</v>
      </c>
      <c r="J2236" s="2">
        <v>39491</v>
      </c>
      <c r="K2236" s="3">
        <f t="shared" si="68"/>
        <v>7.75</v>
      </c>
      <c r="L2236" s="3">
        <f t="shared" si="69"/>
        <v>7.468</v>
      </c>
    </row>
    <row r="2237" spans="1:12" x14ac:dyDescent="0.3">
      <c r="A2237" s="2">
        <v>38754</v>
      </c>
      <c r="B2237" t="s">
        <v>13</v>
      </c>
      <c r="D2237" s="2">
        <v>39485</v>
      </c>
      <c r="E2237">
        <v>7.75</v>
      </c>
      <c r="G2237" s="2">
        <v>39485</v>
      </c>
      <c r="H2237">
        <v>7.4290000000000003</v>
      </c>
      <c r="J2237" s="2">
        <v>39492</v>
      </c>
      <c r="K2237" s="3">
        <f t="shared" si="68"/>
        <v>7.75</v>
      </c>
      <c r="L2237" s="3">
        <f t="shared" si="69"/>
        <v>7.4969999999999999</v>
      </c>
    </row>
    <row r="2238" spans="1:12" x14ac:dyDescent="0.3">
      <c r="A2238" s="2">
        <v>38755</v>
      </c>
      <c r="B2238" t="s">
        <v>13</v>
      </c>
      <c r="D2238" s="2">
        <v>39486</v>
      </c>
      <c r="E2238">
        <v>7.75</v>
      </c>
      <c r="G2238" s="2">
        <v>39486</v>
      </c>
      <c r="H2238">
        <v>7.4130000000000003</v>
      </c>
      <c r="J2238" s="2">
        <v>39493</v>
      </c>
      <c r="K2238" s="3">
        <f t="shared" si="68"/>
        <v>7.75</v>
      </c>
      <c r="L2238" s="3">
        <f t="shared" si="69"/>
        <v>7.468</v>
      </c>
    </row>
    <row r="2239" spans="1:12" x14ac:dyDescent="0.3">
      <c r="A2239" s="2">
        <v>38756</v>
      </c>
      <c r="B2239" t="s">
        <v>13</v>
      </c>
      <c r="D2239" s="2">
        <v>39487</v>
      </c>
      <c r="E2239">
        <v>7.75</v>
      </c>
      <c r="G2239" s="2">
        <v>39487</v>
      </c>
      <c r="H2239">
        <v>7.4130000000000003</v>
      </c>
      <c r="J2239" s="2">
        <v>39494</v>
      </c>
      <c r="K2239" s="3">
        <f t="shared" si="68"/>
        <v>7.75</v>
      </c>
      <c r="L2239" s="3">
        <f t="shared" si="69"/>
        <v>7.468</v>
      </c>
    </row>
    <row r="2240" spans="1:12" x14ac:dyDescent="0.3">
      <c r="A2240" s="2">
        <v>38757</v>
      </c>
      <c r="B2240" t="s">
        <v>13</v>
      </c>
      <c r="D2240" s="2">
        <v>39488</v>
      </c>
      <c r="E2240">
        <v>7.75</v>
      </c>
      <c r="G2240" s="2">
        <v>39488</v>
      </c>
      <c r="H2240">
        <v>7.4130000000000003</v>
      </c>
      <c r="J2240" s="2">
        <v>39495</v>
      </c>
      <c r="K2240" s="3">
        <f t="shared" si="68"/>
        <v>7.75</v>
      </c>
      <c r="L2240" s="3">
        <f t="shared" si="69"/>
        <v>7.468</v>
      </c>
    </row>
    <row r="2241" spans="1:12" x14ac:dyDescent="0.3">
      <c r="A2241" s="2">
        <v>38758</v>
      </c>
      <c r="B2241" t="s">
        <v>13</v>
      </c>
      <c r="D2241" s="2">
        <v>39489</v>
      </c>
      <c r="E2241">
        <v>7.75</v>
      </c>
      <c r="G2241" s="2">
        <v>39489</v>
      </c>
      <c r="H2241">
        <v>7.4290000000000003</v>
      </c>
      <c r="J2241" s="2">
        <v>39496</v>
      </c>
      <c r="K2241" s="3">
        <f t="shared" si="68"/>
        <v>7.75</v>
      </c>
      <c r="L2241" s="3">
        <f t="shared" si="69"/>
        <v>7.5439999999999996</v>
      </c>
    </row>
    <row r="2242" spans="1:12" x14ac:dyDescent="0.3">
      <c r="A2242" s="2">
        <v>38759</v>
      </c>
      <c r="B2242" t="s">
        <v>13</v>
      </c>
      <c r="D2242" s="2">
        <v>39490</v>
      </c>
      <c r="E2242">
        <v>7.75</v>
      </c>
      <c r="G2242" s="2">
        <v>39490</v>
      </c>
      <c r="H2242">
        <v>7.4329999999999998</v>
      </c>
      <c r="J2242" s="2">
        <v>39497</v>
      </c>
      <c r="K2242" s="3">
        <f t="shared" si="68"/>
        <v>7.75</v>
      </c>
      <c r="L2242" s="3">
        <f t="shared" si="69"/>
        <v>7.577</v>
      </c>
    </row>
    <row r="2243" spans="1:12" x14ac:dyDescent="0.3">
      <c r="A2243" s="2">
        <v>38760</v>
      </c>
      <c r="B2243" t="s">
        <v>13</v>
      </c>
      <c r="D2243" s="2">
        <v>39491</v>
      </c>
      <c r="E2243">
        <v>7.75</v>
      </c>
      <c r="G2243" s="2">
        <v>39491</v>
      </c>
      <c r="H2243">
        <v>7.468</v>
      </c>
      <c r="J2243" s="2">
        <v>39498</v>
      </c>
      <c r="K2243" s="3">
        <f t="shared" ref="K2243:K2306" si="70">E2250</f>
        <v>7.75</v>
      </c>
      <c r="L2243" s="3">
        <f t="shared" ref="L2243:L2306" si="71">H2250</f>
        <v>7.5860000000000003</v>
      </c>
    </row>
    <row r="2244" spans="1:12" x14ac:dyDescent="0.3">
      <c r="A2244" s="2">
        <v>38761</v>
      </c>
      <c r="B2244" t="s">
        <v>13</v>
      </c>
      <c r="D2244" s="2">
        <v>39492</v>
      </c>
      <c r="E2244">
        <v>7.75</v>
      </c>
      <c r="G2244" s="2">
        <v>39492</v>
      </c>
      <c r="H2244">
        <v>7.4969999999999999</v>
      </c>
      <c r="J2244" s="2">
        <v>39499</v>
      </c>
      <c r="K2244" s="3">
        <f t="shared" si="70"/>
        <v>7.75</v>
      </c>
      <c r="L2244" s="3">
        <f t="shared" si="71"/>
        <v>7.6109999999999998</v>
      </c>
    </row>
    <row r="2245" spans="1:12" x14ac:dyDescent="0.3">
      <c r="A2245" s="2">
        <v>38762</v>
      </c>
      <c r="B2245" t="s">
        <v>13</v>
      </c>
      <c r="D2245" s="2">
        <v>39493</v>
      </c>
      <c r="E2245">
        <v>7.75</v>
      </c>
      <c r="G2245" s="2">
        <v>39493</v>
      </c>
      <c r="H2245">
        <v>7.468</v>
      </c>
      <c r="J2245" s="2">
        <v>39500</v>
      </c>
      <c r="K2245" s="3">
        <f t="shared" si="70"/>
        <v>7.75</v>
      </c>
      <c r="L2245" s="3">
        <f t="shared" si="71"/>
        <v>7.5709999999999997</v>
      </c>
    </row>
    <row r="2246" spans="1:12" x14ac:dyDescent="0.3">
      <c r="A2246" s="2">
        <v>38763</v>
      </c>
      <c r="B2246" t="s">
        <v>13</v>
      </c>
      <c r="D2246" s="2">
        <v>39494</v>
      </c>
      <c r="E2246">
        <v>7.75</v>
      </c>
      <c r="G2246" s="2">
        <v>39494</v>
      </c>
      <c r="H2246">
        <v>7.468</v>
      </c>
      <c r="J2246" s="2">
        <v>39501</v>
      </c>
      <c r="K2246" s="3">
        <f t="shared" si="70"/>
        <v>7.75</v>
      </c>
      <c r="L2246" s="3">
        <f t="shared" si="71"/>
        <v>7.5709999999999997</v>
      </c>
    </row>
    <row r="2247" spans="1:12" x14ac:dyDescent="0.3">
      <c r="A2247" s="2">
        <v>38764</v>
      </c>
      <c r="B2247" t="s">
        <v>13</v>
      </c>
      <c r="D2247" s="2">
        <v>39495</v>
      </c>
      <c r="E2247">
        <v>7.75</v>
      </c>
      <c r="G2247" s="2">
        <v>39495</v>
      </c>
      <c r="H2247">
        <v>7.468</v>
      </c>
      <c r="J2247" s="2">
        <v>39502</v>
      </c>
      <c r="K2247" s="3">
        <f t="shared" si="70"/>
        <v>7.75</v>
      </c>
      <c r="L2247" s="3">
        <f t="shared" si="71"/>
        <v>7.5709999999999997</v>
      </c>
    </row>
    <row r="2248" spans="1:12" x14ac:dyDescent="0.3">
      <c r="A2248" s="2">
        <v>38765</v>
      </c>
      <c r="B2248" t="s">
        <v>13</v>
      </c>
      <c r="D2248" s="2">
        <v>39496</v>
      </c>
      <c r="E2248">
        <v>7.75</v>
      </c>
      <c r="G2248" s="2">
        <v>39496</v>
      </c>
      <c r="H2248">
        <v>7.5439999999999996</v>
      </c>
      <c r="J2248" s="2">
        <v>39503</v>
      </c>
      <c r="K2248" s="3">
        <f t="shared" si="70"/>
        <v>7.75</v>
      </c>
      <c r="L2248" s="3">
        <f t="shared" si="71"/>
        <v>7.5940000000000003</v>
      </c>
    </row>
    <row r="2249" spans="1:12" x14ac:dyDescent="0.3">
      <c r="A2249" s="2">
        <v>38766</v>
      </c>
      <c r="B2249" t="s">
        <v>13</v>
      </c>
      <c r="D2249" s="2">
        <v>39497</v>
      </c>
      <c r="E2249">
        <v>7.75</v>
      </c>
      <c r="G2249" s="2">
        <v>39497</v>
      </c>
      <c r="H2249">
        <v>7.577</v>
      </c>
      <c r="J2249" s="2">
        <v>39504</v>
      </c>
      <c r="K2249" s="3">
        <f t="shared" si="70"/>
        <v>7.75</v>
      </c>
      <c r="L2249" s="3">
        <f t="shared" si="71"/>
        <v>7.5529999999999999</v>
      </c>
    </row>
    <row r="2250" spans="1:12" x14ac:dyDescent="0.3">
      <c r="A2250" s="2">
        <v>38767</v>
      </c>
      <c r="B2250" t="s">
        <v>13</v>
      </c>
      <c r="D2250" s="2">
        <v>39498</v>
      </c>
      <c r="E2250">
        <v>7.75</v>
      </c>
      <c r="G2250" s="2">
        <v>39498</v>
      </c>
      <c r="H2250">
        <v>7.5860000000000003</v>
      </c>
      <c r="J2250" s="2">
        <v>39505</v>
      </c>
      <c r="K2250" s="3">
        <f t="shared" si="70"/>
        <v>7.75</v>
      </c>
      <c r="L2250" s="3">
        <f t="shared" si="71"/>
        <v>7.5880000000000001</v>
      </c>
    </row>
    <row r="2251" spans="1:12" x14ac:dyDescent="0.3">
      <c r="A2251" s="2">
        <v>38768</v>
      </c>
      <c r="B2251" t="s">
        <v>13</v>
      </c>
      <c r="D2251" s="2">
        <v>39499</v>
      </c>
      <c r="E2251">
        <v>7.75</v>
      </c>
      <c r="G2251" s="2">
        <v>39499</v>
      </c>
      <c r="H2251">
        <v>7.6109999999999998</v>
      </c>
      <c r="J2251" s="2">
        <v>39506</v>
      </c>
      <c r="K2251" s="3">
        <f t="shared" si="70"/>
        <v>7.75</v>
      </c>
      <c r="L2251" s="3">
        <f t="shared" si="71"/>
        <v>7.5460000000000003</v>
      </c>
    </row>
    <row r="2252" spans="1:12" x14ac:dyDescent="0.3">
      <c r="A2252" s="2">
        <v>38769</v>
      </c>
      <c r="B2252" t="s">
        <v>13</v>
      </c>
      <c r="D2252" s="2">
        <v>39500</v>
      </c>
      <c r="E2252">
        <v>7.75</v>
      </c>
      <c r="G2252" s="2">
        <v>39500</v>
      </c>
      <c r="H2252">
        <v>7.5709999999999997</v>
      </c>
      <c r="J2252" s="2">
        <v>39507</v>
      </c>
      <c r="K2252" s="3">
        <f t="shared" si="70"/>
        <v>7.75</v>
      </c>
      <c r="L2252" s="3">
        <f t="shared" si="71"/>
        <v>7.5270000000000001</v>
      </c>
    </row>
    <row r="2253" spans="1:12" x14ac:dyDescent="0.3">
      <c r="A2253" s="2">
        <v>38770</v>
      </c>
      <c r="B2253" t="s">
        <v>13</v>
      </c>
      <c r="D2253" s="2">
        <v>39501</v>
      </c>
      <c r="E2253">
        <v>7.75</v>
      </c>
      <c r="G2253" s="2">
        <v>39501</v>
      </c>
      <c r="H2253">
        <v>7.5709999999999997</v>
      </c>
      <c r="J2253" s="2">
        <v>39508</v>
      </c>
      <c r="K2253" s="3">
        <f t="shared" si="70"/>
        <v>7.75</v>
      </c>
      <c r="L2253" s="3">
        <f t="shared" si="71"/>
        <v>7.5270000000000001</v>
      </c>
    </row>
    <row r="2254" spans="1:12" x14ac:dyDescent="0.3">
      <c r="A2254" s="2">
        <v>38771</v>
      </c>
      <c r="B2254" t="s">
        <v>13</v>
      </c>
      <c r="D2254" s="2">
        <v>39502</v>
      </c>
      <c r="E2254">
        <v>7.75</v>
      </c>
      <c r="G2254" s="2">
        <v>39502</v>
      </c>
      <c r="H2254">
        <v>7.5709999999999997</v>
      </c>
      <c r="J2254" s="2">
        <v>39509</v>
      </c>
      <c r="K2254" s="3">
        <f t="shared" si="70"/>
        <v>7.75</v>
      </c>
      <c r="L2254" s="3">
        <f t="shared" si="71"/>
        <v>7.5270000000000001</v>
      </c>
    </row>
    <row r="2255" spans="1:12" x14ac:dyDescent="0.3">
      <c r="A2255" s="2">
        <v>38772</v>
      </c>
      <c r="B2255" t="s">
        <v>13</v>
      </c>
      <c r="D2255" s="2">
        <v>39503</v>
      </c>
      <c r="E2255">
        <v>7.75</v>
      </c>
      <c r="G2255" s="2">
        <v>39503</v>
      </c>
      <c r="H2255">
        <v>7.5940000000000003</v>
      </c>
      <c r="J2255" s="2">
        <v>39510</v>
      </c>
      <c r="K2255" s="3">
        <f t="shared" si="70"/>
        <v>7.75</v>
      </c>
      <c r="L2255" s="3">
        <f t="shared" si="71"/>
        <v>7.5449999999999999</v>
      </c>
    </row>
    <row r="2256" spans="1:12" x14ac:dyDescent="0.3">
      <c r="A2256" s="2">
        <v>38773</v>
      </c>
      <c r="B2256" t="s">
        <v>13</v>
      </c>
      <c r="D2256" s="2">
        <v>39504</v>
      </c>
      <c r="E2256">
        <v>7.75</v>
      </c>
      <c r="G2256" s="2">
        <v>39504</v>
      </c>
      <c r="H2256">
        <v>7.5529999999999999</v>
      </c>
      <c r="J2256" s="2">
        <v>39511</v>
      </c>
      <c r="K2256" s="3">
        <f t="shared" si="70"/>
        <v>7.75</v>
      </c>
      <c r="L2256" s="3">
        <f t="shared" si="71"/>
        <v>7.5540000000000003</v>
      </c>
    </row>
    <row r="2257" spans="1:12" x14ac:dyDescent="0.3">
      <c r="A2257" s="2">
        <v>38774</v>
      </c>
      <c r="B2257" t="s">
        <v>13</v>
      </c>
      <c r="D2257" s="2">
        <v>39505</v>
      </c>
      <c r="E2257">
        <v>7.75</v>
      </c>
      <c r="G2257" s="2">
        <v>39505</v>
      </c>
      <c r="H2257">
        <v>7.5880000000000001</v>
      </c>
      <c r="J2257" s="2">
        <v>39512</v>
      </c>
      <c r="K2257" s="3">
        <f t="shared" si="70"/>
        <v>7.75</v>
      </c>
      <c r="L2257" s="3">
        <f t="shared" si="71"/>
        <v>7.5490000000000004</v>
      </c>
    </row>
    <row r="2258" spans="1:12" x14ac:dyDescent="0.3">
      <c r="A2258" s="2">
        <v>38775</v>
      </c>
      <c r="B2258" t="s">
        <v>13</v>
      </c>
      <c r="D2258" s="2">
        <v>39506</v>
      </c>
      <c r="E2258">
        <v>7.75</v>
      </c>
      <c r="G2258" s="2">
        <v>39506</v>
      </c>
      <c r="H2258">
        <v>7.5460000000000003</v>
      </c>
      <c r="J2258" s="2">
        <v>39513</v>
      </c>
      <c r="K2258" s="3">
        <f t="shared" si="70"/>
        <v>7.75</v>
      </c>
      <c r="L2258" s="3">
        <f t="shared" si="71"/>
        <v>7.5490000000000004</v>
      </c>
    </row>
    <row r="2259" spans="1:12" x14ac:dyDescent="0.3">
      <c r="A2259" s="2">
        <v>38776</v>
      </c>
      <c r="B2259" t="s">
        <v>13</v>
      </c>
      <c r="D2259" s="2">
        <v>39507</v>
      </c>
      <c r="E2259">
        <v>7.75</v>
      </c>
      <c r="G2259" s="2">
        <v>39507</v>
      </c>
      <c r="H2259">
        <v>7.5270000000000001</v>
      </c>
      <c r="J2259" s="2">
        <v>39514</v>
      </c>
      <c r="K2259" s="3">
        <f t="shared" si="70"/>
        <v>7.75</v>
      </c>
      <c r="L2259" s="3">
        <f t="shared" si="71"/>
        <v>7.577</v>
      </c>
    </row>
    <row r="2260" spans="1:12" x14ac:dyDescent="0.3">
      <c r="A2260" s="2">
        <v>38777</v>
      </c>
      <c r="B2260" t="s">
        <v>13</v>
      </c>
      <c r="D2260" s="2">
        <v>39508</v>
      </c>
      <c r="E2260">
        <v>7.75</v>
      </c>
      <c r="G2260" s="2">
        <v>39508</v>
      </c>
      <c r="H2260">
        <v>7.5270000000000001</v>
      </c>
      <c r="J2260" s="2">
        <v>39515</v>
      </c>
      <c r="K2260" s="3">
        <f t="shared" si="70"/>
        <v>7.75</v>
      </c>
      <c r="L2260" s="3">
        <f t="shared" si="71"/>
        <v>7.577</v>
      </c>
    </row>
    <row r="2261" spans="1:12" x14ac:dyDescent="0.3">
      <c r="A2261" s="2">
        <v>38778</v>
      </c>
      <c r="B2261" t="s">
        <v>13</v>
      </c>
      <c r="D2261" s="2">
        <v>39509</v>
      </c>
      <c r="E2261">
        <v>7.75</v>
      </c>
      <c r="G2261" s="2">
        <v>39509</v>
      </c>
      <c r="H2261">
        <v>7.5270000000000001</v>
      </c>
      <c r="J2261" s="2">
        <v>39516</v>
      </c>
      <c r="K2261" s="3">
        <f t="shared" si="70"/>
        <v>7.75</v>
      </c>
      <c r="L2261" s="3">
        <f t="shared" si="71"/>
        <v>7.577</v>
      </c>
    </row>
    <row r="2262" spans="1:12" x14ac:dyDescent="0.3">
      <c r="A2262" s="2">
        <v>38779</v>
      </c>
      <c r="B2262" t="s">
        <v>13</v>
      </c>
      <c r="D2262" s="2">
        <v>39510</v>
      </c>
      <c r="E2262">
        <v>7.75</v>
      </c>
      <c r="G2262" s="2">
        <v>39510</v>
      </c>
      <c r="H2262">
        <v>7.5449999999999999</v>
      </c>
      <c r="J2262" s="2">
        <v>39517</v>
      </c>
      <c r="K2262" s="3">
        <f t="shared" si="70"/>
        <v>7.75</v>
      </c>
      <c r="L2262" s="3">
        <f t="shared" si="71"/>
        <v>7.5910000000000002</v>
      </c>
    </row>
    <row r="2263" spans="1:12" x14ac:dyDescent="0.3">
      <c r="A2263" s="2">
        <v>38780</v>
      </c>
      <c r="B2263" t="s">
        <v>13</v>
      </c>
      <c r="D2263" s="2">
        <v>39511</v>
      </c>
      <c r="E2263">
        <v>7.75</v>
      </c>
      <c r="G2263" s="2">
        <v>39511</v>
      </c>
      <c r="H2263">
        <v>7.5540000000000003</v>
      </c>
      <c r="J2263" s="2">
        <v>39518</v>
      </c>
      <c r="K2263" s="3">
        <f t="shared" si="70"/>
        <v>7.75</v>
      </c>
      <c r="L2263" s="3">
        <f t="shared" si="71"/>
        <v>7.5780000000000003</v>
      </c>
    </row>
    <row r="2264" spans="1:12" x14ac:dyDescent="0.3">
      <c r="A2264" s="2">
        <v>38781</v>
      </c>
      <c r="B2264" t="s">
        <v>13</v>
      </c>
      <c r="D2264" s="2">
        <v>39512</v>
      </c>
      <c r="E2264">
        <v>7.75</v>
      </c>
      <c r="G2264" s="2">
        <v>39512</v>
      </c>
      <c r="H2264">
        <v>7.5490000000000004</v>
      </c>
      <c r="J2264" s="2">
        <v>39519</v>
      </c>
      <c r="K2264" s="3">
        <f t="shared" si="70"/>
        <v>7.75</v>
      </c>
      <c r="L2264" s="3">
        <f t="shared" si="71"/>
        <v>7.5759999999999996</v>
      </c>
    </row>
    <row r="2265" spans="1:12" x14ac:dyDescent="0.3">
      <c r="A2265" s="2">
        <v>38782</v>
      </c>
      <c r="B2265" t="s">
        <v>13</v>
      </c>
      <c r="D2265" s="2">
        <v>39513</v>
      </c>
      <c r="E2265">
        <v>7.75</v>
      </c>
      <c r="G2265" s="2">
        <v>39513</v>
      </c>
      <c r="H2265">
        <v>7.5490000000000004</v>
      </c>
      <c r="J2265" s="2">
        <v>39520</v>
      </c>
      <c r="K2265" s="3">
        <f t="shared" si="70"/>
        <v>7.75</v>
      </c>
      <c r="L2265" s="3">
        <f t="shared" si="71"/>
        <v>7.524</v>
      </c>
    </row>
    <row r="2266" spans="1:12" x14ac:dyDescent="0.3">
      <c r="A2266" s="2">
        <v>38783</v>
      </c>
      <c r="B2266" t="s">
        <v>13</v>
      </c>
      <c r="D2266" s="2">
        <v>39514</v>
      </c>
      <c r="E2266">
        <v>7.75</v>
      </c>
      <c r="G2266" s="2">
        <v>39514</v>
      </c>
      <c r="H2266">
        <v>7.577</v>
      </c>
      <c r="J2266" s="2">
        <v>39521</v>
      </c>
      <c r="K2266" s="3">
        <f t="shared" si="70"/>
        <v>7.75</v>
      </c>
      <c r="L2266" s="3">
        <f t="shared" si="71"/>
        <v>7.5780000000000003</v>
      </c>
    </row>
    <row r="2267" spans="1:12" x14ac:dyDescent="0.3">
      <c r="A2267" s="2">
        <v>38784</v>
      </c>
      <c r="B2267" t="s">
        <v>13</v>
      </c>
      <c r="D2267" s="2">
        <v>39515</v>
      </c>
      <c r="E2267">
        <v>7.75</v>
      </c>
      <c r="G2267" s="2">
        <v>39515</v>
      </c>
      <c r="H2267">
        <v>7.577</v>
      </c>
      <c r="J2267" s="2">
        <v>39522</v>
      </c>
      <c r="K2267" s="3">
        <f t="shared" si="70"/>
        <v>7.75</v>
      </c>
      <c r="L2267" s="3">
        <f t="shared" si="71"/>
        <v>7.5780000000000003</v>
      </c>
    </row>
    <row r="2268" spans="1:12" x14ac:dyDescent="0.3">
      <c r="A2268" s="2">
        <v>38785</v>
      </c>
      <c r="B2268" t="s">
        <v>13</v>
      </c>
      <c r="D2268" s="2">
        <v>39516</v>
      </c>
      <c r="E2268">
        <v>7.75</v>
      </c>
      <c r="G2268" s="2">
        <v>39516</v>
      </c>
      <c r="H2268">
        <v>7.577</v>
      </c>
      <c r="J2268" s="2">
        <v>39523</v>
      </c>
      <c r="K2268" s="3">
        <f t="shared" si="70"/>
        <v>7.75</v>
      </c>
      <c r="L2268" s="3">
        <f t="shared" si="71"/>
        <v>7.5780000000000003</v>
      </c>
    </row>
    <row r="2269" spans="1:12" x14ac:dyDescent="0.3">
      <c r="A2269" s="2">
        <v>38786</v>
      </c>
      <c r="B2269" t="s">
        <v>13</v>
      </c>
      <c r="D2269" s="2">
        <v>39517</v>
      </c>
      <c r="E2269">
        <v>7.75</v>
      </c>
      <c r="G2269" s="2">
        <v>39517</v>
      </c>
      <c r="H2269">
        <v>7.5910000000000002</v>
      </c>
      <c r="J2269" s="2">
        <v>39524</v>
      </c>
      <c r="K2269" s="3">
        <f t="shared" si="70"/>
        <v>7.75</v>
      </c>
      <c r="L2269" s="3">
        <f t="shared" si="71"/>
        <v>7.5590000000000002</v>
      </c>
    </row>
    <row r="2270" spans="1:12" x14ac:dyDescent="0.3">
      <c r="A2270" s="2">
        <v>38787</v>
      </c>
      <c r="B2270" t="s">
        <v>13</v>
      </c>
      <c r="D2270" s="2">
        <v>39518</v>
      </c>
      <c r="E2270">
        <v>7.75</v>
      </c>
      <c r="G2270" s="2">
        <v>39518</v>
      </c>
      <c r="H2270">
        <v>7.5780000000000003</v>
      </c>
      <c r="J2270" s="2">
        <v>39525</v>
      </c>
      <c r="K2270" s="3">
        <f t="shared" si="70"/>
        <v>7.75</v>
      </c>
      <c r="L2270" s="3">
        <f t="shared" si="71"/>
        <v>7.53</v>
      </c>
    </row>
    <row r="2271" spans="1:12" x14ac:dyDescent="0.3">
      <c r="A2271" s="2">
        <v>38788</v>
      </c>
      <c r="B2271" t="s">
        <v>13</v>
      </c>
      <c r="D2271" s="2">
        <v>39519</v>
      </c>
      <c r="E2271">
        <v>7.75</v>
      </c>
      <c r="G2271" s="2">
        <v>39519</v>
      </c>
      <c r="H2271">
        <v>7.5759999999999996</v>
      </c>
      <c r="J2271" s="2">
        <v>39526</v>
      </c>
      <c r="K2271" s="3">
        <f t="shared" si="70"/>
        <v>7.75</v>
      </c>
      <c r="L2271" s="3">
        <f t="shared" si="71"/>
        <v>7.5170000000000003</v>
      </c>
    </row>
    <row r="2272" spans="1:12" x14ac:dyDescent="0.3">
      <c r="A2272" s="2">
        <v>38789</v>
      </c>
      <c r="B2272" t="s">
        <v>13</v>
      </c>
      <c r="D2272" s="2">
        <v>39520</v>
      </c>
      <c r="E2272">
        <v>7.75</v>
      </c>
      <c r="G2272" s="2">
        <v>39520</v>
      </c>
      <c r="H2272">
        <v>7.524</v>
      </c>
      <c r="J2272" s="2">
        <v>39527</v>
      </c>
      <c r="K2272" s="3">
        <f t="shared" si="70"/>
        <v>7.75</v>
      </c>
      <c r="L2272" s="3">
        <f t="shared" si="71"/>
        <v>7.5170000000000003</v>
      </c>
    </row>
    <row r="2273" spans="1:12" x14ac:dyDescent="0.3">
      <c r="A2273" s="2">
        <v>38790</v>
      </c>
      <c r="B2273" t="s">
        <v>13</v>
      </c>
      <c r="D2273" s="2">
        <v>39521</v>
      </c>
      <c r="E2273">
        <v>7.75</v>
      </c>
      <c r="G2273" s="2">
        <v>39521</v>
      </c>
      <c r="H2273">
        <v>7.5780000000000003</v>
      </c>
      <c r="J2273" s="2">
        <v>39528</v>
      </c>
      <c r="K2273" s="3">
        <f t="shared" si="70"/>
        <v>7.75</v>
      </c>
      <c r="L2273" s="3">
        <f t="shared" si="71"/>
        <v>7.5170000000000003</v>
      </c>
    </row>
    <row r="2274" spans="1:12" x14ac:dyDescent="0.3">
      <c r="A2274" s="2">
        <v>38791</v>
      </c>
      <c r="B2274" t="s">
        <v>13</v>
      </c>
      <c r="D2274" s="2">
        <v>39522</v>
      </c>
      <c r="E2274">
        <v>7.75</v>
      </c>
      <c r="G2274" s="2">
        <v>39522</v>
      </c>
      <c r="H2274">
        <v>7.5780000000000003</v>
      </c>
      <c r="J2274" s="2">
        <v>39529</v>
      </c>
      <c r="K2274" s="3">
        <f t="shared" si="70"/>
        <v>7.75</v>
      </c>
      <c r="L2274" s="3">
        <f t="shared" si="71"/>
        <v>7.5170000000000003</v>
      </c>
    </row>
    <row r="2275" spans="1:12" x14ac:dyDescent="0.3">
      <c r="A2275" s="2">
        <v>38792</v>
      </c>
      <c r="B2275" t="s">
        <v>13</v>
      </c>
      <c r="D2275" s="2">
        <v>39523</v>
      </c>
      <c r="E2275">
        <v>7.75</v>
      </c>
      <c r="G2275" s="2">
        <v>39523</v>
      </c>
      <c r="H2275">
        <v>7.5780000000000003</v>
      </c>
      <c r="J2275" s="2">
        <v>39530</v>
      </c>
      <c r="K2275" s="3">
        <f t="shared" si="70"/>
        <v>7.75</v>
      </c>
      <c r="L2275" s="3">
        <f t="shared" si="71"/>
        <v>7.5170000000000003</v>
      </c>
    </row>
    <row r="2276" spans="1:12" x14ac:dyDescent="0.3">
      <c r="A2276" s="2">
        <v>38793</v>
      </c>
      <c r="B2276" t="s">
        <v>13</v>
      </c>
      <c r="D2276" s="2">
        <v>39524</v>
      </c>
      <c r="E2276">
        <v>7.75</v>
      </c>
      <c r="G2276" s="2">
        <v>39524</v>
      </c>
      <c r="H2276">
        <v>7.5590000000000002</v>
      </c>
      <c r="J2276" s="2">
        <v>39531</v>
      </c>
      <c r="K2276" s="3">
        <f t="shared" si="70"/>
        <v>7.75</v>
      </c>
      <c r="L2276" s="3">
        <f t="shared" si="71"/>
        <v>7.5410000000000004</v>
      </c>
    </row>
    <row r="2277" spans="1:12" x14ac:dyDescent="0.3">
      <c r="A2277" s="2">
        <v>38794</v>
      </c>
      <c r="B2277" t="s">
        <v>13</v>
      </c>
      <c r="D2277" s="2">
        <v>39525</v>
      </c>
      <c r="E2277">
        <v>7.75</v>
      </c>
      <c r="G2277" s="2">
        <v>39525</v>
      </c>
      <c r="H2277">
        <v>7.53</v>
      </c>
      <c r="J2277" s="2">
        <v>39532</v>
      </c>
      <c r="K2277" s="3">
        <f t="shared" si="70"/>
        <v>7.75</v>
      </c>
      <c r="L2277" s="3">
        <f t="shared" si="71"/>
        <v>7.5549999999999997</v>
      </c>
    </row>
    <row r="2278" spans="1:12" x14ac:dyDescent="0.3">
      <c r="A2278" s="2">
        <v>38795</v>
      </c>
      <c r="B2278" t="s">
        <v>13</v>
      </c>
      <c r="D2278" s="2">
        <v>39526</v>
      </c>
      <c r="E2278">
        <v>7.75</v>
      </c>
      <c r="G2278" s="2">
        <v>39526</v>
      </c>
      <c r="H2278">
        <v>7.5170000000000003</v>
      </c>
      <c r="J2278" s="2">
        <v>39533</v>
      </c>
      <c r="K2278" s="3">
        <f t="shared" si="70"/>
        <v>7.75</v>
      </c>
      <c r="L2278" s="3">
        <f t="shared" si="71"/>
        <v>7.4909999999999997</v>
      </c>
    </row>
    <row r="2279" spans="1:12" x14ac:dyDescent="0.3">
      <c r="A2279" s="2">
        <v>38796</v>
      </c>
      <c r="B2279" t="s">
        <v>13</v>
      </c>
      <c r="D2279" s="2">
        <v>39527</v>
      </c>
      <c r="E2279">
        <v>7.75</v>
      </c>
      <c r="G2279" s="2">
        <v>39527</v>
      </c>
      <c r="H2279">
        <v>7.5170000000000003</v>
      </c>
      <c r="J2279" s="2">
        <v>39534</v>
      </c>
      <c r="K2279" s="3">
        <f t="shared" si="70"/>
        <v>7.75</v>
      </c>
      <c r="L2279" s="3">
        <f t="shared" si="71"/>
        <v>7.4340000000000002</v>
      </c>
    </row>
    <row r="2280" spans="1:12" x14ac:dyDescent="0.3">
      <c r="A2280" s="2">
        <v>38797</v>
      </c>
      <c r="B2280" t="s">
        <v>13</v>
      </c>
      <c r="D2280" s="2">
        <v>39528</v>
      </c>
      <c r="E2280">
        <v>7.75</v>
      </c>
      <c r="G2280" s="2">
        <v>39528</v>
      </c>
      <c r="H2280">
        <v>7.5170000000000003</v>
      </c>
      <c r="J2280" s="2">
        <v>39535</v>
      </c>
      <c r="K2280" s="3">
        <f t="shared" si="70"/>
        <v>7.75</v>
      </c>
      <c r="L2280" s="3">
        <f t="shared" si="71"/>
        <v>7.5609999999999999</v>
      </c>
    </row>
    <row r="2281" spans="1:12" x14ac:dyDescent="0.3">
      <c r="A2281" s="2">
        <v>38798</v>
      </c>
      <c r="B2281" t="s">
        <v>13</v>
      </c>
      <c r="D2281" s="2">
        <v>39529</v>
      </c>
      <c r="E2281">
        <v>7.75</v>
      </c>
      <c r="G2281" s="2">
        <v>39529</v>
      </c>
      <c r="H2281">
        <v>7.5170000000000003</v>
      </c>
      <c r="J2281" s="2">
        <v>39536</v>
      </c>
      <c r="K2281" s="3">
        <f t="shared" si="70"/>
        <v>7.75</v>
      </c>
      <c r="L2281" s="3">
        <f t="shared" si="71"/>
        <v>7.5609999999999999</v>
      </c>
    </row>
    <row r="2282" spans="1:12" x14ac:dyDescent="0.3">
      <c r="A2282" s="2">
        <v>38799</v>
      </c>
      <c r="B2282" t="s">
        <v>13</v>
      </c>
      <c r="D2282" s="2">
        <v>39530</v>
      </c>
      <c r="E2282">
        <v>7.75</v>
      </c>
      <c r="G2282" s="2">
        <v>39530</v>
      </c>
      <c r="H2282">
        <v>7.5170000000000003</v>
      </c>
      <c r="J2282" s="2">
        <v>39537</v>
      </c>
      <c r="K2282" s="3">
        <f t="shared" si="70"/>
        <v>7.75</v>
      </c>
      <c r="L2282" s="3">
        <f t="shared" si="71"/>
        <v>7.5609999999999999</v>
      </c>
    </row>
    <row r="2283" spans="1:12" x14ac:dyDescent="0.3">
      <c r="A2283" s="2">
        <v>38800</v>
      </c>
      <c r="B2283" t="s">
        <v>13</v>
      </c>
      <c r="D2283" s="2">
        <v>39531</v>
      </c>
      <c r="E2283">
        <v>7.75</v>
      </c>
      <c r="G2283" s="2">
        <v>39531</v>
      </c>
      <c r="H2283">
        <v>7.5410000000000004</v>
      </c>
      <c r="J2283" s="2">
        <v>39538</v>
      </c>
      <c r="K2283" s="3">
        <f t="shared" si="70"/>
        <v>7.75</v>
      </c>
      <c r="L2283" s="3">
        <f t="shared" si="71"/>
        <v>7.5570000000000004</v>
      </c>
    </row>
    <row r="2284" spans="1:12" x14ac:dyDescent="0.3">
      <c r="A2284" s="2">
        <v>38801</v>
      </c>
      <c r="B2284" t="s">
        <v>13</v>
      </c>
      <c r="D2284" s="2">
        <v>39532</v>
      </c>
      <c r="E2284">
        <v>7.75</v>
      </c>
      <c r="G2284" s="2">
        <v>39532</v>
      </c>
      <c r="H2284">
        <v>7.5549999999999997</v>
      </c>
      <c r="J2284" s="2">
        <v>39539</v>
      </c>
      <c r="K2284" s="3">
        <f t="shared" si="70"/>
        <v>7.75</v>
      </c>
      <c r="L2284" s="3">
        <f t="shared" si="71"/>
        <v>7.5570000000000004</v>
      </c>
    </row>
    <row r="2285" spans="1:12" x14ac:dyDescent="0.3">
      <c r="A2285" s="2">
        <v>38802</v>
      </c>
      <c r="B2285" t="s">
        <v>13</v>
      </c>
      <c r="D2285" s="2">
        <v>39533</v>
      </c>
      <c r="E2285">
        <v>7.75</v>
      </c>
      <c r="G2285" s="2">
        <v>39533</v>
      </c>
      <c r="H2285">
        <v>7.4909999999999997</v>
      </c>
      <c r="J2285" s="2">
        <v>39540</v>
      </c>
      <c r="K2285" s="3">
        <f t="shared" si="70"/>
        <v>7.75</v>
      </c>
      <c r="L2285" s="3">
        <f t="shared" si="71"/>
        <v>7.585</v>
      </c>
    </row>
    <row r="2286" spans="1:12" x14ac:dyDescent="0.3">
      <c r="A2286" s="2">
        <v>38803</v>
      </c>
      <c r="B2286" t="s">
        <v>13</v>
      </c>
      <c r="D2286" s="2">
        <v>39534</v>
      </c>
      <c r="E2286">
        <v>7.75</v>
      </c>
      <c r="G2286" s="2">
        <v>39534</v>
      </c>
      <c r="H2286">
        <v>7.4340000000000002</v>
      </c>
      <c r="J2286" s="2">
        <v>39541</v>
      </c>
      <c r="K2286" s="3">
        <f t="shared" si="70"/>
        <v>7.75</v>
      </c>
      <c r="L2286" s="3">
        <f t="shared" si="71"/>
        <v>7.4550000000000001</v>
      </c>
    </row>
    <row r="2287" spans="1:12" x14ac:dyDescent="0.3">
      <c r="A2287" s="2">
        <v>38804</v>
      </c>
      <c r="B2287" t="s">
        <v>13</v>
      </c>
      <c r="D2287" s="2">
        <v>39535</v>
      </c>
      <c r="E2287">
        <v>7.75</v>
      </c>
      <c r="G2287" s="2">
        <v>39535</v>
      </c>
      <c r="H2287">
        <v>7.5609999999999999</v>
      </c>
      <c r="J2287" s="2">
        <v>39542</v>
      </c>
      <c r="K2287" s="3">
        <f t="shared" si="70"/>
        <v>7.75</v>
      </c>
      <c r="L2287" s="3">
        <f t="shared" si="71"/>
        <v>7.59</v>
      </c>
    </row>
    <row r="2288" spans="1:12" x14ac:dyDescent="0.3">
      <c r="A2288" s="2">
        <v>38805</v>
      </c>
      <c r="B2288" t="s">
        <v>13</v>
      </c>
      <c r="D2288" s="2">
        <v>39536</v>
      </c>
      <c r="E2288">
        <v>7.75</v>
      </c>
      <c r="G2288" s="2">
        <v>39536</v>
      </c>
      <c r="H2288">
        <v>7.5609999999999999</v>
      </c>
      <c r="J2288" s="2">
        <v>39543</v>
      </c>
      <c r="K2288" s="3">
        <f t="shared" si="70"/>
        <v>7.75</v>
      </c>
      <c r="L2288" s="3">
        <f t="shared" si="71"/>
        <v>7.59</v>
      </c>
    </row>
    <row r="2289" spans="1:12" x14ac:dyDescent="0.3">
      <c r="A2289" s="2">
        <v>38806</v>
      </c>
      <c r="B2289" t="s">
        <v>13</v>
      </c>
      <c r="D2289" s="2">
        <v>39537</v>
      </c>
      <c r="E2289">
        <v>7.75</v>
      </c>
      <c r="G2289" s="2">
        <v>39537</v>
      </c>
      <c r="H2289">
        <v>7.5609999999999999</v>
      </c>
      <c r="J2289" s="2">
        <v>39544</v>
      </c>
      <c r="K2289" s="3">
        <f t="shared" si="70"/>
        <v>7.75</v>
      </c>
      <c r="L2289" s="3">
        <f t="shared" si="71"/>
        <v>7.59</v>
      </c>
    </row>
    <row r="2290" spans="1:12" x14ac:dyDescent="0.3">
      <c r="A2290" s="2">
        <v>38807</v>
      </c>
      <c r="B2290" t="s">
        <v>13</v>
      </c>
      <c r="D2290" s="2">
        <v>39538</v>
      </c>
      <c r="E2290">
        <v>7.75</v>
      </c>
      <c r="G2290" s="2">
        <v>39538</v>
      </c>
      <c r="H2290">
        <v>7.5570000000000004</v>
      </c>
      <c r="J2290" s="2">
        <v>39545</v>
      </c>
      <c r="K2290" s="3">
        <f t="shared" si="70"/>
        <v>7.75</v>
      </c>
      <c r="L2290" s="3">
        <f t="shared" si="71"/>
        <v>7.6070000000000002</v>
      </c>
    </row>
    <row r="2291" spans="1:12" x14ac:dyDescent="0.3">
      <c r="A2291" s="2">
        <v>38808</v>
      </c>
      <c r="B2291" t="s">
        <v>13</v>
      </c>
      <c r="D2291" s="2">
        <v>39539</v>
      </c>
      <c r="E2291">
        <v>7.75</v>
      </c>
      <c r="G2291" s="2">
        <v>39539</v>
      </c>
      <c r="H2291">
        <v>7.5570000000000004</v>
      </c>
      <c r="J2291" s="2">
        <v>39546</v>
      </c>
      <c r="K2291" s="3">
        <f t="shared" si="70"/>
        <v>7.75</v>
      </c>
      <c r="L2291" s="3">
        <f t="shared" si="71"/>
        <v>7.6420000000000003</v>
      </c>
    </row>
    <row r="2292" spans="1:12" x14ac:dyDescent="0.3">
      <c r="A2292" s="2">
        <v>38809</v>
      </c>
      <c r="B2292" t="s">
        <v>13</v>
      </c>
      <c r="D2292" s="2">
        <v>39540</v>
      </c>
      <c r="E2292">
        <v>7.75</v>
      </c>
      <c r="G2292" s="2">
        <v>39540</v>
      </c>
      <c r="H2292">
        <v>7.585</v>
      </c>
      <c r="J2292" s="2">
        <v>39547</v>
      </c>
      <c r="K2292" s="3">
        <f t="shared" si="70"/>
        <v>7.75</v>
      </c>
      <c r="L2292" s="3">
        <f t="shared" si="71"/>
        <v>7.5890000000000004</v>
      </c>
    </row>
    <row r="2293" spans="1:12" x14ac:dyDescent="0.3">
      <c r="A2293" s="2">
        <v>38810</v>
      </c>
      <c r="B2293" t="s">
        <v>13</v>
      </c>
      <c r="D2293" s="2">
        <v>39541</v>
      </c>
      <c r="E2293">
        <v>7.75</v>
      </c>
      <c r="G2293" s="2">
        <v>39541</v>
      </c>
      <c r="H2293">
        <v>7.4550000000000001</v>
      </c>
      <c r="J2293" s="2">
        <v>39548</v>
      </c>
      <c r="K2293" s="3">
        <f t="shared" si="70"/>
        <v>7.75</v>
      </c>
      <c r="L2293" s="3">
        <f t="shared" si="71"/>
        <v>7.6719999999999997</v>
      </c>
    </row>
    <row r="2294" spans="1:12" x14ac:dyDescent="0.3">
      <c r="A2294" s="2">
        <v>38811</v>
      </c>
      <c r="B2294" t="s">
        <v>13</v>
      </c>
      <c r="D2294" s="2">
        <v>39542</v>
      </c>
      <c r="E2294">
        <v>7.75</v>
      </c>
      <c r="G2294" s="2">
        <v>39542</v>
      </c>
      <c r="H2294">
        <v>7.59</v>
      </c>
      <c r="J2294" s="2">
        <v>39549</v>
      </c>
      <c r="K2294" s="3">
        <f t="shared" si="70"/>
        <v>7.75</v>
      </c>
      <c r="L2294" s="3">
        <f t="shared" si="71"/>
        <v>7.8529999999999998</v>
      </c>
    </row>
    <row r="2295" spans="1:12" x14ac:dyDescent="0.3">
      <c r="A2295" s="2">
        <v>38812</v>
      </c>
      <c r="B2295" t="s">
        <v>13</v>
      </c>
      <c r="D2295" s="2">
        <v>39543</v>
      </c>
      <c r="E2295">
        <v>7.75</v>
      </c>
      <c r="G2295" s="2">
        <v>39543</v>
      </c>
      <c r="H2295">
        <v>7.59</v>
      </c>
      <c r="J2295" s="2">
        <v>39550</v>
      </c>
      <c r="K2295" s="3">
        <f t="shared" si="70"/>
        <v>7.75</v>
      </c>
      <c r="L2295" s="3">
        <f t="shared" si="71"/>
        <v>7.8529999999999998</v>
      </c>
    </row>
    <row r="2296" spans="1:12" x14ac:dyDescent="0.3">
      <c r="A2296" s="2">
        <v>38813</v>
      </c>
      <c r="B2296" t="s">
        <v>13</v>
      </c>
      <c r="D2296" s="2">
        <v>39544</v>
      </c>
      <c r="E2296">
        <v>7.75</v>
      </c>
      <c r="G2296" s="2">
        <v>39544</v>
      </c>
      <c r="H2296">
        <v>7.59</v>
      </c>
      <c r="J2296" s="2">
        <v>39551</v>
      </c>
      <c r="K2296" s="3">
        <f t="shared" si="70"/>
        <v>7.75</v>
      </c>
      <c r="L2296" s="3">
        <f t="shared" si="71"/>
        <v>7.8529999999999998</v>
      </c>
    </row>
    <row r="2297" spans="1:12" x14ac:dyDescent="0.3">
      <c r="A2297" s="2">
        <v>38814</v>
      </c>
      <c r="B2297" t="s">
        <v>13</v>
      </c>
      <c r="D2297" s="2">
        <v>39545</v>
      </c>
      <c r="E2297">
        <v>7.75</v>
      </c>
      <c r="G2297" s="2">
        <v>39545</v>
      </c>
      <c r="H2297">
        <v>7.6070000000000002</v>
      </c>
      <c r="J2297" s="2">
        <v>39552</v>
      </c>
      <c r="K2297" s="3">
        <f t="shared" si="70"/>
        <v>7.75</v>
      </c>
      <c r="L2297" s="3">
        <f t="shared" si="71"/>
        <v>7.8529999999999998</v>
      </c>
    </row>
    <row r="2298" spans="1:12" x14ac:dyDescent="0.3">
      <c r="A2298" s="2">
        <v>38815</v>
      </c>
      <c r="B2298" t="s">
        <v>13</v>
      </c>
      <c r="D2298" s="2">
        <v>39546</v>
      </c>
      <c r="E2298">
        <v>7.75</v>
      </c>
      <c r="G2298" s="2">
        <v>39546</v>
      </c>
      <c r="H2298">
        <v>7.6420000000000003</v>
      </c>
      <c r="J2298" s="2">
        <v>39553</v>
      </c>
      <c r="K2298" s="3">
        <f t="shared" si="70"/>
        <v>7.75</v>
      </c>
      <c r="L2298" s="3">
        <f t="shared" si="71"/>
        <v>7.806</v>
      </c>
    </row>
    <row r="2299" spans="1:12" x14ac:dyDescent="0.3">
      <c r="A2299" s="2">
        <v>38816</v>
      </c>
      <c r="B2299" t="s">
        <v>13</v>
      </c>
      <c r="D2299" s="2">
        <v>39547</v>
      </c>
      <c r="E2299">
        <v>7.75</v>
      </c>
      <c r="G2299" s="2">
        <v>39547</v>
      </c>
      <c r="H2299">
        <v>7.5890000000000004</v>
      </c>
      <c r="J2299" s="2">
        <v>39554</v>
      </c>
      <c r="K2299" s="3">
        <f t="shared" si="70"/>
        <v>7.75</v>
      </c>
      <c r="L2299" s="3">
        <f t="shared" si="71"/>
        <v>7.9009999999999998</v>
      </c>
    </row>
    <row r="2300" spans="1:12" x14ac:dyDescent="0.3">
      <c r="A2300" s="2">
        <v>38817</v>
      </c>
      <c r="B2300" t="s">
        <v>13</v>
      </c>
      <c r="D2300" s="2">
        <v>39548</v>
      </c>
      <c r="E2300">
        <v>7.75</v>
      </c>
      <c r="G2300" s="2">
        <v>39548</v>
      </c>
      <c r="H2300">
        <v>7.6719999999999997</v>
      </c>
      <c r="J2300" s="2">
        <v>39555</v>
      </c>
      <c r="K2300" s="3">
        <f t="shared" si="70"/>
        <v>7.75</v>
      </c>
      <c r="L2300" s="3">
        <f t="shared" si="71"/>
        <v>7.931</v>
      </c>
    </row>
    <row r="2301" spans="1:12" x14ac:dyDescent="0.3">
      <c r="A2301" s="2">
        <v>38818</v>
      </c>
      <c r="B2301" t="s">
        <v>13</v>
      </c>
      <c r="D2301" s="2">
        <v>39549</v>
      </c>
      <c r="E2301">
        <v>7.75</v>
      </c>
      <c r="G2301" s="2">
        <v>39549</v>
      </c>
      <c r="H2301">
        <v>7.8529999999999998</v>
      </c>
      <c r="J2301" s="2">
        <v>39556</v>
      </c>
      <c r="K2301" s="3">
        <f t="shared" si="70"/>
        <v>7.75</v>
      </c>
      <c r="L2301" s="3">
        <f t="shared" si="71"/>
        <v>7.931</v>
      </c>
    </row>
    <row r="2302" spans="1:12" x14ac:dyDescent="0.3">
      <c r="A2302" s="2">
        <v>38819</v>
      </c>
      <c r="B2302" t="s">
        <v>13</v>
      </c>
      <c r="D2302" s="2">
        <v>39550</v>
      </c>
      <c r="E2302">
        <v>7.75</v>
      </c>
      <c r="G2302" s="2">
        <v>39550</v>
      </c>
      <c r="H2302">
        <v>7.8529999999999998</v>
      </c>
      <c r="J2302" s="2">
        <v>39557</v>
      </c>
      <c r="K2302" s="3">
        <f t="shared" si="70"/>
        <v>7.75</v>
      </c>
      <c r="L2302" s="3">
        <f t="shared" si="71"/>
        <v>7.931</v>
      </c>
    </row>
    <row r="2303" spans="1:12" x14ac:dyDescent="0.3">
      <c r="A2303" s="2">
        <v>38820</v>
      </c>
      <c r="B2303" t="s">
        <v>13</v>
      </c>
      <c r="D2303" s="2">
        <v>39551</v>
      </c>
      <c r="E2303">
        <v>7.75</v>
      </c>
      <c r="G2303" s="2">
        <v>39551</v>
      </c>
      <c r="H2303">
        <v>7.8529999999999998</v>
      </c>
      <c r="J2303" s="2">
        <v>39558</v>
      </c>
      <c r="K2303" s="3">
        <f t="shared" si="70"/>
        <v>7.75</v>
      </c>
      <c r="L2303" s="3">
        <f t="shared" si="71"/>
        <v>7.931</v>
      </c>
    </row>
    <row r="2304" spans="1:12" x14ac:dyDescent="0.3">
      <c r="A2304" s="2">
        <v>38821</v>
      </c>
      <c r="B2304" t="s">
        <v>13</v>
      </c>
      <c r="D2304" s="2">
        <v>39552</v>
      </c>
      <c r="E2304">
        <v>7.75</v>
      </c>
      <c r="G2304" s="2">
        <v>39552</v>
      </c>
      <c r="H2304">
        <v>7.8529999999999998</v>
      </c>
      <c r="J2304" s="2">
        <v>39559</v>
      </c>
      <c r="K2304" s="3">
        <f t="shared" si="70"/>
        <v>7.75</v>
      </c>
      <c r="L2304" s="3">
        <f t="shared" si="71"/>
        <v>7.9020000000000001</v>
      </c>
    </row>
    <row r="2305" spans="1:12" x14ac:dyDescent="0.3">
      <c r="A2305" s="2">
        <v>38822</v>
      </c>
      <c r="B2305" t="s">
        <v>13</v>
      </c>
      <c r="D2305" s="2">
        <v>39553</v>
      </c>
      <c r="E2305">
        <v>7.75</v>
      </c>
      <c r="G2305" s="2">
        <v>39553</v>
      </c>
      <c r="H2305">
        <v>7.806</v>
      </c>
      <c r="J2305" s="2">
        <v>39560</v>
      </c>
      <c r="K2305" s="3">
        <f t="shared" si="70"/>
        <v>7.75</v>
      </c>
      <c r="L2305" s="3">
        <f t="shared" si="71"/>
        <v>7.867</v>
      </c>
    </row>
    <row r="2306" spans="1:12" x14ac:dyDescent="0.3">
      <c r="A2306" s="2">
        <v>38823</v>
      </c>
      <c r="B2306" t="s">
        <v>13</v>
      </c>
      <c r="D2306" s="2">
        <v>39554</v>
      </c>
      <c r="E2306">
        <v>7.75</v>
      </c>
      <c r="G2306" s="2">
        <v>39554</v>
      </c>
      <c r="H2306">
        <v>7.9009999999999998</v>
      </c>
      <c r="J2306" s="2">
        <v>39561</v>
      </c>
      <c r="K2306" s="3">
        <f t="shared" si="70"/>
        <v>7.75</v>
      </c>
      <c r="L2306" s="3">
        <f t="shared" si="71"/>
        <v>7.8250000000000002</v>
      </c>
    </row>
    <row r="2307" spans="1:12" x14ac:dyDescent="0.3">
      <c r="A2307" s="2">
        <v>38824</v>
      </c>
      <c r="B2307" t="s">
        <v>13</v>
      </c>
      <c r="D2307" s="2">
        <v>39555</v>
      </c>
      <c r="E2307">
        <v>7.75</v>
      </c>
      <c r="G2307" s="2">
        <v>39555</v>
      </c>
      <c r="H2307">
        <v>7.931</v>
      </c>
      <c r="J2307" s="2">
        <v>39562</v>
      </c>
      <c r="K2307" s="3">
        <f t="shared" ref="K2307:K2370" si="72">E2314</f>
        <v>7.75</v>
      </c>
      <c r="L2307" s="3">
        <f t="shared" ref="L2307:L2370" si="73">H2314</f>
        <v>7.81</v>
      </c>
    </row>
    <row r="2308" spans="1:12" x14ac:dyDescent="0.3">
      <c r="A2308" s="2">
        <v>38825</v>
      </c>
      <c r="B2308" t="s">
        <v>13</v>
      </c>
      <c r="D2308" s="2">
        <v>39556</v>
      </c>
      <c r="E2308">
        <v>7.75</v>
      </c>
      <c r="G2308" s="2">
        <v>39556</v>
      </c>
      <c r="H2308">
        <v>7.931</v>
      </c>
      <c r="J2308" s="2">
        <v>39563</v>
      </c>
      <c r="K2308" s="3">
        <f t="shared" si="72"/>
        <v>7.75</v>
      </c>
      <c r="L2308" s="3">
        <f t="shared" si="73"/>
        <v>7.835</v>
      </c>
    </row>
    <row r="2309" spans="1:12" x14ac:dyDescent="0.3">
      <c r="A2309" s="2">
        <v>38826</v>
      </c>
      <c r="B2309" t="s">
        <v>13</v>
      </c>
      <c r="D2309" s="2">
        <v>39557</v>
      </c>
      <c r="E2309">
        <v>7.75</v>
      </c>
      <c r="G2309" s="2">
        <v>39557</v>
      </c>
      <c r="H2309">
        <v>7.931</v>
      </c>
      <c r="J2309" s="2">
        <v>39564</v>
      </c>
      <c r="K2309" s="3">
        <f t="shared" si="72"/>
        <v>7.75</v>
      </c>
      <c r="L2309" s="3">
        <f t="shared" si="73"/>
        <v>7.835</v>
      </c>
    </row>
    <row r="2310" spans="1:12" x14ac:dyDescent="0.3">
      <c r="A2310" s="2">
        <v>38827</v>
      </c>
      <c r="B2310" t="s">
        <v>13</v>
      </c>
      <c r="D2310" s="2">
        <v>39558</v>
      </c>
      <c r="E2310">
        <v>7.75</v>
      </c>
      <c r="G2310" s="2">
        <v>39558</v>
      </c>
      <c r="H2310">
        <v>7.931</v>
      </c>
      <c r="J2310" s="2">
        <v>39565</v>
      </c>
      <c r="K2310" s="3">
        <f t="shared" si="72"/>
        <v>7.75</v>
      </c>
      <c r="L2310" s="3">
        <f t="shared" si="73"/>
        <v>7.835</v>
      </c>
    </row>
    <row r="2311" spans="1:12" x14ac:dyDescent="0.3">
      <c r="A2311" s="2">
        <v>38828</v>
      </c>
      <c r="B2311" t="s">
        <v>13</v>
      </c>
      <c r="D2311" s="2">
        <v>39559</v>
      </c>
      <c r="E2311">
        <v>7.75</v>
      </c>
      <c r="G2311" s="2">
        <v>39559</v>
      </c>
      <c r="H2311">
        <v>7.9020000000000001</v>
      </c>
      <c r="J2311" s="2">
        <v>39566</v>
      </c>
      <c r="K2311" s="3">
        <f t="shared" si="72"/>
        <v>7.75</v>
      </c>
      <c r="L2311" s="3">
        <f t="shared" si="73"/>
        <v>7.7759999999999998</v>
      </c>
    </row>
    <row r="2312" spans="1:12" x14ac:dyDescent="0.3">
      <c r="A2312" s="2">
        <v>38829</v>
      </c>
      <c r="B2312" t="s">
        <v>13</v>
      </c>
      <c r="D2312" s="2">
        <v>39560</v>
      </c>
      <c r="E2312">
        <v>7.75</v>
      </c>
      <c r="G2312" s="2">
        <v>39560</v>
      </c>
      <c r="H2312">
        <v>7.867</v>
      </c>
      <c r="J2312" s="2">
        <v>39567</v>
      </c>
      <c r="K2312" s="3">
        <f t="shared" si="72"/>
        <v>7.75</v>
      </c>
      <c r="L2312" s="3">
        <f t="shared" si="73"/>
        <v>7.7629999999999999</v>
      </c>
    </row>
    <row r="2313" spans="1:12" x14ac:dyDescent="0.3">
      <c r="A2313" s="2">
        <v>38830</v>
      </c>
      <c r="B2313" t="s">
        <v>13</v>
      </c>
      <c r="D2313" s="2">
        <v>39561</v>
      </c>
      <c r="E2313">
        <v>7.75</v>
      </c>
      <c r="G2313" s="2">
        <v>39561</v>
      </c>
      <c r="H2313">
        <v>7.8250000000000002</v>
      </c>
      <c r="J2313" s="2">
        <v>39568</v>
      </c>
      <c r="K2313" s="3">
        <f t="shared" si="72"/>
        <v>7.75</v>
      </c>
      <c r="L2313" s="3">
        <f t="shared" si="73"/>
        <v>7.7460000000000004</v>
      </c>
    </row>
    <row r="2314" spans="1:12" x14ac:dyDescent="0.3">
      <c r="A2314" s="2">
        <v>38831</v>
      </c>
      <c r="B2314" t="s">
        <v>13</v>
      </c>
      <c r="D2314" s="2">
        <v>39562</v>
      </c>
      <c r="E2314">
        <v>7.75</v>
      </c>
      <c r="G2314" s="2">
        <v>39562</v>
      </c>
      <c r="H2314">
        <v>7.81</v>
      </c>
      <c r="J2314" s="2">
        <v>39569</v>
      </c>
      <c r="K2314" s="3">
        <f t="shared" si="72"/>
        <v>7.75</v>
      </c>
      <c r="L2314" s="3">
        <f t="shared" si="73"/>
        <v>7.7460000000000004</v>
      </c>
    </row>
    <row r="2315" spans="1:12" x14ac:dyDescent="0.3">
      <c r="A2315" s="2">
        <v>38832</v>
      </c>
      <c r="B2315" t="s">
        <v>13</v>
      </c>
      <c r="D2315" s="2">
        <v>39563</v>
      </c>
      <c r="E2315">
        <v>7.75</v>
      </c>
      <c r="G2315" s="2">
        <v>39563</v>
      </c>
      <c r="H2315">
        <v>7.835</v>
      </c>
      <c r="J2315" s="2">
        <v>39570</v>
      </c>
      <c r="K2315" s="3">
        <f t="shared" si="72"/>
        <v>7.75</v>
      </c>
      <c r="L2315" s="3">
        <f t="shared" si="73"/>
        <v>7.7640000000000002</v>
      </c>
    </row>
    <row r="2316" spans="1:12" x14ac:dyDescent="0.3">
      <c r="A2316" s="2">
        <v>38833</v>
      </c>
      <c r="B2316" t="s">
        <v>13</v>
      </c>
      <c r="D2316" s="2">
        <v>39564</v>
      </c>
      <c r="E2316">
        <v>7.75</v>
      </c>
      <c r="G2316" s="2">
        <v>39564</v>
      </c>
      <c r="H2316">
        <v>7.835</v>
      </c>
      <c r="J2316" s="2">
        <v>39571</v>
      </c>
      <c r="K2316" s="3">
        <f t="shared" si="72"/>
        <v>7.75</v>
      </c>
      <c r="L2316" s="3">
        <f t="shared" si="73"/>
        <v>7.7640000000000002</v>
      </c>
    </row>
    <row r="2317" spans="1:12" x14ac:dyDescent="0.3">
      <c r="A2317" s="2">
        <v>38834</v>
      </c>
      <c r="B2317" t="s">
        <v>13</v>
      </c>
      <c r="D2317" s="2">
        <v>39565</v>
      </c>
      <c r="E2317">
        <v>7.75</v>
      </c>
      <c r="G2317" s="2">
        <v>39565</v>
      </c>
      <c r="H2317">
        <v>7.835</v>
      </c>
      <c r="J2317" s="2">
        <v>39572</v>
      </c>
      <c r="K2317" s="3">
        <f t="shared" si="72"/>
        <v>7.75</v>
      </c>
      <c r="L2317" s="3">
        <f t="shared" si="73"/>
        <v>7.7640000000000002</v>
      </c>
    </row>
    <row r="2318" spans="1:12" x14ac:dyDescent="0.3">
      <c r="A2318" s="2">
        <v>38835</v>
      </c>
      <c r="B2318" t="s">
        <v>13</v>
      </c>
      <c r="D2318" s="2">
        <v>39566</v>
      </c>
      <c r="E2318">
        <v>7.75</v>
      </c>
      <c r="G2318" s="2">
        <v>39566</v>
      </c>
      <c r="H2318">
        <v>7.7759999999999998</v>
      </c>
      <c r="J2318" s="2">
        <v>39573</v>
      </c>
      <c r="K2318" s="3">
        <f t="shared" si="72"/>
        <v>7.75</v>
      </c>
      <c r="L2318" s="3">
        <f t="shared" si="73"/>
        <v>7.6929999999999996</v>
      </c>
    </row>
    <row r="2319" spans="1:12" x14ac:dyDescent="0.3">
      <c r="A2319" s="2">
        <v>38836</v>
      </c>
      <c r="B2319" t="s">
        <v>13</v>
      </c>
      <c r="D2319" s="2">
        <v>39567</v>
      </c>
      <c r="E2319">
        <v>7.75</v>
      </c>
      <c r="G2319" s="2">
        <v>39567</v>
      </c>
      <c r="H2319">
        <v>7.7629999999999999</v>
      </c>
      <c r="J2319" s="2">
        <v>39574</v>
      </c>
      <c r="K2319" s="3">
        <f t="shared" si="72"/>
        <v>7.75</v>
      </c>
      <c r="L2319" s="3">
        <f t="shared" si="73"/>
        <v>7.6740000000000004</v>
      </c>
    </row>
    <row r="2320" spans="1:12" x14ac:dyDescent="0.3">
      <c r="A2320" s="2">
        <v>38837</v>
      </c>
      <c r="B2320" t="s">
        <v>13</v>
      </c>
      <c r="D2320" s="2">
        <v>39568</v>
      </c>
      <c r="E2320">
        <v>7.75</v>
      </c>
      <c r="G2320" s="2">
        <v>39568</v>
      </c>
      <c r="H2320">
        <v>7.7460000000000004</v>
      </c>
      <c r="J2320" s="2">
        <v>39575</v>
      </c>
      <c r="K2320" s="3">
        <f t="shared" si="72"/>
        <v>7.75</v>
      </c>
      <c r="L2320" s="3">
        <f t="shared" si="73"/>
        <v>7.6550000000000002</v>
      </c>
    </row>
    <row r="2321" spans="1:12" x14ac:dyDescent="0.3">
      <c r="A2321" s="2">
        <v>38838</v>
      </c>
      <c r="B2321" t="s">
        <v>13</v>
      </c>
      <c r="D2321" s="2">
        <v>39569</v>
      </c>
      <c r="E2321">
        <v>7.75</v>
      </c>
      <c r="G2321" s="2">
        <v>39569</v>
      </c>
      <c r="H2321">
        <v>7.7460000000000004</v>
      </c>
      <c r="J2321" s="2">
        <v>39576</v>
      </c>
      <c r="K2321" s="3">
        <f t="shared" si="72"/>
        <v>7.75</v>
      </c>
      <c r="L2321" s="3">
        <f t="shared" si="73"/>
        <v>7.6740000000000004</v>
      </c>
    </row>
    <row r="2322" spans="1:12" x14ac:dyDescent="0.3">
      <c r="A2322" s="2">
        <v>38839</v>
      </c>
      <c r="B2322" t="s">
        <v>13</v>
      </c>
      <c r="D2322" s="2">
        <v>39570</v>
      </c>
      <c r="E2322">
        <v>7.75</v>
      </c>
      <c r="G2322" s="2">
        <v>39570</v>
      </c>
      <c r="H2322">
        <v>7.7640000000000002</v>
      </c>
      <c r="J2322" s="2">
        <v>39577</v>
      </c>
      <c r="K2322" s="3">
        <f t="shared" si="72"/>
        <v>7.75</v>
      </c>
      <c r="L2322" s="3">
        <f t="shared" si="73"/>
        <v>7.6790000000000003</v>
      </c>
    </row>
    <row r="2323" spans="1:12" x14ac:dyDescent="0.3">
      <c r="A2323" s="2">
        <v>38840</v>
      </c>
      <c r="B2323" t="s">
        <v>13</v>
      </c>
      <c r="D2323" s="2">
        <v>39571</v>
      </c>
      <c r="E2323">
        <v>7.75</v>
      </c>
      <c r="G2323" s="2">
        <v>39571</v>
      </c>
      <c r="H2323">
        <v>7.7640000000000002</v>
      </c>
      <c r="J2323" s="2">
        <v>39578</v>
      </c>
      <c r="K2323" s="3">
        <f t="shared" si="72"/>
        <v>7.75</v>
      </c>
      <c r="L2323" s="3">
        <f t="shared" si="73"/>
        <v>7.6790000000000003</v>
      </c>
    </row>
    <row r="2324" spans="1:12" x14ac:dyDescent="0.3">
      <c r="A2324" s="2">
        <v>38841</v>
      </c>
      <c r="B2324" t="s">
        <v>13</v>
      </c>
      <c r="D2324" s="2">
        <v>39572</v>
      </c>
      <c r="E2324">
        <v>7.75</v>
      </c>
      <c r="G2324" s="2">
        <v>39572</v>
      </c>
      <c r="H2324">
        <v>7.7640000000000002</v>
      </c>
      <c r="J2324" s="2">
        <v>39579</v>
      </c>
      <c r="K2324" s="3">
        <f t="shared" si="72"/>
        <v>7.75</v>
      </c>
      <c r="L2324" s="3">
        <f t="shared" si="73"/>
        <v>7.6790000000000003</v>
      </c>
    </row>
    <row r="2325" spans="1:12" x14ac:dyDescent="0.3">
      <c r="A2325" s="2">
        <v>38842</v>
      </c>
      <c r="B2325" t="s">
        <v>13</v>
      </c>
      <c r="D2325" s="2">
        <v>39573</v>
      </c>
      <c r="E2325">
        <v>7.75</v>
      </c>
      <c r="G2325" s="2">
        <v>39573</v>
      </c>
      <c r="H2325">
        <v>7.6929999999999996</v>
      </c>
      <c r="J2325" s="2">
        <v>39580</v>
      </c>
      <c r="K2325" s="3">
        <f t="shared" si="72"/>
        <v>7.75</v>
      </c>
      <c r="L2325" s="3">
        <f t="shared" si="73"/>
        <v>7.681</v>
      </c>
    </row>
    <row r="2326" spans="1:12" x14ac:dyDescent="0.3">
      <c r="A2326" s="2">
        <v>38843</v>
      </c>
      <c r="B2326" t="s">
        <v>13</v>
      </c>
      <c r="D2326" s="2">
        <v>39574</v>
      </c>
      <c r="E2326">
        <v>7.75</v>
      </c>
      <c r="G2326" s="2">
        <v>39574</v>
      </c>
      <c r="H2326">
        <v>7.6740000000000004</v>
      </c>
      <c r="J2326" s="2">
        <v>39581</v>
      </c>
      <c r="K2326" s="3">
        <f t="shared" si="72"/>
        <v>7.75</v>
      </c>
      <c r="L2326" s="3">
        <f t="shared" si="73"/>
        <v>7.6520000000000001</v>
      </c>
    </row>
    <row r="2327" spans="1:12" x14ac:dyDescent="0.3">
      <c r="A2327" s="2">
        <v>38844</v>
      </c>
      <c r="B2327" t="s">
        <v>13</v>
      </c>
      <c r="D2327" s="2">
        <v>39575</v>
      </c>
      <c r="E2327">
        <v>7.75</v>
      </c>
      <c r="G2327" s="2">
        <v>39575</v>
      </c>
      <c r="H2327">
        <v>7.6550000000000002</v>
      </c>
      <c r="J2327" s="2">
        <v>39582</v>
      </c>
      <c r="K2327" s="3">
        <f t="shared" si="72"/>
        <v>7.75</v>
      </c>
      <c r="L2327" s="3">
        <f t="shared" si="73"/>
        <v>7.72</v>
      </c>
    </row>
    <row r="2328" spans="1:12" x14ac:dyDescent="0.3">
      <c r="A2328" s="2">
        <v>38845</v>
      </c>
      <c r="B2328" t="s">
        <v>13</v>
      </c>
      <c r="D2328" s="2">
        <v>39576</v>
      </c>
      <c r="E2328">
        <v>7.75</v>
      </c>
      <c r="G2328" s="2">
        <v>39576</v>
      </c>
      <c r="H2328">
        <v>7.6740000000000004</v>
      </c>
      <c r="J2328" s="2">
        <v>39583</v>
      </c>
      <c r="K2328" s="3">
        <f t="shared" si="72"/>
        <v>7.75</v>
      </c>
      <c r="L2328" s="3">
        <f t="shared" si="73"/>
        <v>7.77</v>
      </c>
    </row>
    <row r="2329" spans="1:12" x14ac:dyDescent="0.3">
      <c r="A2329" s="2">
        <v>38846</v>
      </c>
      <c r="B2329" t="s">
        <v>13</v>
      </c>
      <c r="D2329" s="2">
        <v>39577</v>
      </c>
      <c r="E2329">
        <v>7.75</v>
      </c>
      <c r="G2329" s="2">
        <v>39577</v>
      </c>
      <c r="H2329">
        <v>7.6790000000000003</v>
      </c>
      <c r="J2329" s="2">
        <v>39584</v>
      </c>
      <c r="K2329" s="3">
        <f t="shared" si="72"/>
        <v>7.75</v>
      </c>
      <c r="L2329" s="3">
        <f t="shared" si="73"/>
        <v>7.8150000000000004</v>
      </c>
    </row>
    <row r="2330" spans="1:12" x14ac:dyDescent="0.3">
      <c r="A2330" s="2">
        <v>38847</v>
      </c>
      <c r="B2330" t="s">
        <v>13</v>
      </c>
      <c r="D2330" s="2">
        <v>39578</v>
      </c>
      <c r="E2330">
        <v>7.75</v>
      </c>
      <c r="G2330" s="2">
        <v>39578</v>
      </c>
      <c r="H2330">
        <v>7.6790000000000003</v>
      </c>
      <c r="J2330" s="2">
        <v>39585</v>
      </c>
      <c r="K2330" s="3">
        <f t="shared" si="72"/>
        <v>7.75</v>
      </c>
      <c r="L2330" s="3">
        <f t="shared" si="73"/>
        <v>7.8150000000000004</v>
      </c>
    </row>
    <row r="2331" spans="1:12" x14ac:dyDescent="0.3">
      <c r="A2331" s="2">
        <v>38848</v>
      </c>
      <c r="B2331" t="s">
        <v>13</v>
      </c>
      <c r="D2331" s="2">
        <v>39579</v>
      </c>
      <c r="E2331">
        <v>7.75</v>
      </c>
      <c r="G2331" s="2">
        <v>39579</v>
      </c>
      <c r="H2331">
        <v>7.6790000000000003</v>
      </c>
      <c r="J2331" s="2">
        <v>39586</v>
      </c>
      <c r="K2331" s="3">
        <f t="shared" si="72"/>
        <v>7.75</v>
      </c>
      <c r="L2331" s="3">
        <f t="shared" si="73"/>
        <v>7.8150000000000004</v>
      </c>
    </row>
    <row r="2332" spans="1:12" x14ac:dyDescent="0.3">
      <c r="A2332" s="2">
        <v>38849</v>
      </c>
      <c r="B2332" t="s">
        <v>13</v>
      </c>
      <c r="D2332" s="2">
        <v>39580</v>
      </c>
      <c r="E2332">
        <v>7.75</v>
      </c>
      <c r="G2332" s="2">
        <v>39580</v>
      </c>
      <c r="H2332">
        <v>7.681</v>
      </c>
      <c r="J2332" s="2">
        <v>39587</v>
      </c>
      <c r="K2332" s="3">
        <f t="shared" si="72"/>
        <v>7.75</v>
      </c>
      <c r="L2332" s="3">
        <f t="shared" si="73"/>
        <v>7.8150000000000004</v>
      </c>
    </row>
    <row r="2333" spans="1:12" x14ac:dyDescent="0.3">
      <c r="A2333" s="2">
        <v>38850</v>
      </c>
      <c r="B2333" t="s">
        <v>13</v>
      </c>
      <c r="D2333" s="2">
        <v>39581</v>
      </c>
      <c r="E2333">
        <v>7.75</v>
      </c>
      <c r="G2333" s="2">
        <v>39581</v>
      </c>
      <c r="H2333">
        <v>7.6520000000000001</v>
      </c>
      <c r="J2333" s="2">
        <v>39588</v>
      </c>
      <c r="K2333" s="3">
        <f t="shared" si="72"/>
        <v>7.75</v>
      </c>
      <c r="L2333" s="3">
        <f t="shared" si="73"/>
        <v>7.835</v>
      </c>
    </row>
    <row r="2334" spans="1:12" x14ac:dyDescent="0.3">
      <c r="A2334" s="2">
        <v>38851</v>
      </c>
      <c r="B2334" t="s">
        <v>13</v>
      </c>
      <c r="D2334" s="2">
        <v>39582</v>
      </c>
      <c r="E2334">
        <v>7.75</v>
      </c>
      <c r="G2334" s="2">
        <v>39582</v>
      </c>
      <c r="H2334">
        <v>7.72</v>
      </c>
      <c r="J2334" s="2">
        <v>39589</v>
      </c>
      <c r="K2334" s="3">
        <f t="shared" si="72"/>
        <v>7.75</v>
      </c>
      <c r="L2334" s="3">
        <f t="shared" si="73"/>
        <v>7.7789999999999999</v>
      </c>
    </row>
    <row r="2335" spans="1:12" x14ac:dyDescent="0.3">
      <c r="A2335" s="2">
        <v>38852</v>
      </c>
      <c r="B2335" t="s">
        <v>13</v>
      </c>
      <c r="D2335" s="2">
        <v>39583</v>
      </c>
      <c r="E2335">
        <v>7.75</v>
      </c>
      <c r="G2335" s="2">
        <v>39583</v>
      </c>
      <c r="H2335">
        <v>7.77</v>
      </c>
      <c r="J2335" s="2">
        <v>39590</v>
      </c>
      <c r="K2335" s="3">
        <f t="shared" si="72"/>
        <v>7.75</v>
      </c>
      <c r="L2335" s="3">
        <f t="shared" si="73"/>
        <v>7.923</v>
      </c>
    </row>
    <row r="2336" spans="1:12" x14ac:dyDescent="0.3">
      <c r="A2336" s="2">
        <v>38853</v>
      </c>
      <c r="B2336" t="s">
        <v>13</v>
      </c>
      <c r="D2336" s="2">
        <v>39584</v>
      </c>
      <c r="E2336">
        <v>7.75</v>
      </c>
      <c r="G2336" s="2">
        <v>39584</v>
      </c>
      <c r="H2336">
        <v>7.8150000000000004</v>
      </c>
      <c r="J2336" s="2">
        <v>39591</v>
      </c>
      <c r="K2336" s="3">
        <f t="shared" si="72"/>
        <v>7.75</v>
      </c>
      <c r="L2336" s="3">
        <f t="shared" si="73"/>
        <v>7.8239999999999998</v>
      </c>
    </row>
    <row r="2337" spans="1:12" x14ac:dyDescent="0.3">
      <c r="A2337" s="2">
        <v>38854</v>
      </c>
      <c r="B2337" t="s">
        <v>13</v>
      </c>
      <c r="D2337" s="2">
        <v>39585</v>
      </c>
      <c r="E2337">
        <v>7.75</v>
      </c>
      <c r="G2337" s="2">
        <v>39585</v>
      </c>
      <c r="H2337">
        <v>7.8150000000000004</v>
      </c>
      <c r="J2337" s="2">
        <v>39592</v>
      </c>
      <c r="K2337" s="3">
        <f t="shared" si="72"/>
        <v>7.75</v>
      </c>
      <c r="L2337" s="3">
        <f t="shared" si="73"/>
        <v>7.8239999999999998</v>
      </c>
    </row>
    <row r="2338" spans="1:12" x14ac:dyDescent="0.3">
      <c r="A2338" s="2">
        <v>38855</v>
      </c>
      <c r="B2338" t="s">
        <v>13</v>
      </c>
      <c r="D2338" s="2">
        <v>39586</v>
      </c>
      <c r="E2338">
        <v>7.75</v>
      </c>
      <c r="G2338" s="2">
        <v>39586</v>
      </c>
      <c r="H2338">
        <v>7.8150000000000004</v>
      </c>
      <c r="J2338" s="2">
        <v>39593</v>
      </c>
      <c r="K2338" s="3">
        <f t="shared" si="72"/>
        <v>7.75</v>
      </c>
      <c r="L2338" s="3">
        <f t="shared" si="73"/>
        <v>7.8239999999999998</v>
      </c>
    </row>
    <row r="2339" spans="1:12" x14ac:dyDescent="0.3">
      <c r="A2339" s="2">
        <v>38856</v>
      </c>
      <c r="B2339" t="s">
        <v>13</v>
      </c>
      <c r="D2339" s="2">
        <v>39587</v>
      </c>
      <c r="E2339">
        <v>7.75</v>
      </c>
      <c r="G2339" s="2">
        <v>39587</v>
      </c>
      <c r="H2339">
        <v>7.8150000000000004</v>
      </c>
      <c r="J2339" s="2">
        <v>39594</v>
      </c>
      <c r="K2339" s="3">
        <f t="shared" si="72"/>
        <v>7.75</v>
      </c>
      <c r="L2339" s="3">
        <f t="shared" si="73"/>
        <v>7.851</v>
      </c>
    </row>
    <row r="2340" spans="1:12" x14ac:dyDescent="0.3">
      <c r="A2340" s="2">
        <v>38857</v>
      </c>
      <c r="B2340" t="s">
        <v>13</v>
      </c>
      <c r="D2340" s="2">
        <v>39588</v>
      </c>
      <c r="E2340">
        <v>7.75</v>
      </c>
      <c r="G2340" s="2">
        <v>39588</v>
      </c>
      <c r="H2340">
        <v>7.835</v>
      </c>
      <c r="J2340" s="2">
        <v>39595</v>
      </c>
      <c r="K2340" s="3">
        <f t="shared" si="72"/>
        <v>7.75</v>
      </c>
      <c r="L2340" s="3">
        <f t="shared" si="73"/>
        <v>7.8310000000000004</v>
      </c>
    </row>
    <row r="2341" spans="1:12" x14ac:dyDescent="0.3">
      <c r="A2341" s="2">
        <v>38858</v>
      </c>
      <c r="B2341" t="s">
        <v>13</v>
      </c>
      <c r="D2341" s="2">
        <v>39589</v>
      </c>
      <c r="E2341">
        <v>7.75</v>
      </c>
      <c r="G2341" s="2">
        <v>39589</v>
      </c>
      <c r="H2341">
        <v>7.7789999999999999</v>
      </c>
      <c r="J2341" s="2">
        <v>39596</v>
      </c>
      <c r="K2341" s="3">
        <f t="shared" si="72"/>
        <v>7.75</v>
      </c>
      <c r="L2341" s="3">
        <f t="shared" si="73"/>
        <v>7.8289999999999997</v>
      </c>
    </row>
    <row r="2342" spans="1:12" x14ac:dyDescent="0.3">
      <c r="A2342" s="2">
        <v>38859</v>
      </c>
      <c r="B2342" t="s">
        <v>13</v>
      </c>
      <c r="D2342" s="2">
        <v>39590</v>
      </c>
      <c r="E2342">
        <v>7.75</v>
      </c>
      <c r="G2342" s="2">
        <v>39590</v>
      </c>
      <c r="H2342">
        <v>7.923</v>
      </c>
      <c r="J2342" s="2">
        <v>39597</v>
      </c>
      <c r="K2342" s="3">
        <f t="shared" si="72"/>
        <v>7.75</v>
      </c>
      <c r="L2342" s="3">
        <f t="shared" si="73"/>
        <v>7.8449999999999998</v>
      </c>
    </row>
    <row r="2343" spans="1:12" x14ac:dyDescent="0.3">
      <c r="A2343" s="2">
        <v>38860</v>
      </c>
      <c r="B2343" t="s">
        <v>13</v>
      </c>
      <c r="D2343" s="2">
        <v>39591</v>
      </c>
      <c r="E2343">
        <v>7.75</v>
      </c>
      <c r="G2343" s="2">
        <v>39591</v>
      </c>
      <c r="H2343">
        <v>7.8239999999999998</v>
      </c>
      <c r="J2343" s="2">
        <v>39598</v>
      </c>
      <c r="K2343" s="3">
        <f t="shared" si="72"/>
        <v>7.75</v>
      </c>
      <c r="L2343" s="3">
        <f t="shared" si="73"/>
        <v>7.8780000000000001</v>
      </c>
    </row>
    <row r="2344" spans="1:12" x14ac:dyDescent="0.3">
      <c r="A2344" s="2">
        <v>38861</v>
      </c>
      <c r="B2344" t="s">
        <v>13</v>
      </c>
      <c r="D2344" s="2">
        <v>39592</v>
      </c>
      <c r="E2344">
        <v>7.75</v>
      </c>
      <c r="G2344" s="2">
        <v>39592</v>
      </c>
      <c r="H2344">
        <v>7.8239999999999998</v>
      </c>
      <c r="J2344" s="2">
        <v>39599</v>
      </c>
      <c r="K2344" s="3">
        <f t="shared" si="72"/>
        <v>7.75</v>
      </c>
      <c r="L2344" s="3">
        <f t="shared" si="73"/>
        <v>7.8780000000000001</v>
      </c>
    </row>
    <row r="2345" spans="1:12" x14ac:dyDescent="0.3">
      <c r="A2345" s="2">
        <v>38862</v>
      </c>
      <c r="B2345" t="s">
        <v>13</v>
      </c>
      <c r="D2345" s="2">
        <v>39593</v>
      </c>
      <c r="E2345">
        <v>7.75</v>
      </c>
      <c r="G2345" s="2">
        <v>39593</v>
      </c>
      <c r="H2345">
        <v>7.8239999999999998</v>
      </c>
      <c r="J2345" s="2">
        <v>39600</v>
      </c>
      <c r="K2345" s="3">
        <f t="shared" si="72"/>
        <v>7.75</v>
      </c>
      <c r="L2345" s="3">
        <f t="shared" si="73"/>
        <v>7.8780000000000001</v>
      </c>
    </row>
    <row r="2346" spans="1:12" x14ac:dyDescent="0.3">
      <c r="A2346" s="2">
        <v>38863</v>
      </c>
      <c r="B2346" t="s">
        <v>13</v>
      </c>
      <c r="D2346" s="2">
        <v>39594</v>
      </c>
      <c r="E2346">
        <v>7.75</v>
      </c>
      <c r="G2346" s="2">
        <v>39594</v>
      </c>
      <c r="H2346">
        <v>7.851</v>
      </c>
      <c r="J2346" s="2">
        <v>39601</v>
      </c>
      <c r="K2346" s="3">
        <f t="shared" si="72"/>
        <v>7.75</v>
      </c>
      <c r="L2346" s="3">
        <f t="shared" si="73"/>
        <v>7.8650000000000002</v>
      </c>
    </row>
    <row r="2347" spans="1:12" x14ac:dyDescent="0.3">
      <c r="A2347" s="2">
        <v>38864</v>
      </c>
      <c r="B2347" t="s">
        <v>13</v>
      </c>
      <c r="D2347" s="2">
        <v>39595</v>
      </c>
      <c r="E2347">
        <v>7.75</v>
      </c>
      <c r="G2347" s="2">
        <v>39595</v>
      </c>
      <c r="H2347">
        <v>7.8310000000000004</v>
      </c>
      <c r="J2347" s="2">
        <v>39602</v>
      </c>
      <c r="K2347" s="3">
        <f t="shared" si="72"/>
        <v>7.75</v>
      </c>
      <c r="L2347" s="3">
        <f t="shared" si="73"/>
        <v>7.8879999999999999</v>
      </c>
    </row>
    <row r="2348" spans="1:12" x14ac:dyDescent="0.3">
      <c r="A2348" s="2">
        <v>38865</v>
      </c>
      <c r="B2348" t="s">
        <v>13</v>
      </c>
      <c r="D2348" s="2">
        <v>39596</v>
      </c>
      <c r="E2348">
        <v>7.75</v>
      </c>
      <c r="G2348" s="2">
        <v>39596</v>
      </c>
      <c r="H2348">
        <v>7.8289999999999997</v>
      </c>
      <c r="J2348" s="2">
        <v>39603</v>
      </c>
      <c r="K2348" s="3">
        <f t="shared" si="72"/>
        <v>7.75</v>
      </c>
      <c r="L2348" s="3">
        <f t="shared" si="73"/>
        <v>7.9039999999999999</v>
      </c>
    </row>
    <row r="2349" spans="1:12" x14ac:dyDescent="0.3">
      <c r="A2349" s="2">
        <v>38866</v>
      </c>
      <c r="B2349" t="s">
        <v>13</v>
      </c>
      <c r="D2349" s="2">
        <v>39597</v>
      </c>
      <c r="E2349">
        <v>7.75</v>
      </c>
      <c r="G2349" s="2">
        <v>39597</v>
      </c>
      <c r="H2349">
        <v>7.8449999999999998</v>
      </c>
      <c r="J2349" s="2">
        <v>39604</v>
      </c>
      <c r="K2349" s="3">
        <f t="shared" si="72"/>
        <v>7.75</v>
      </c>
      <c r="L2349" s="3">
        <f t="shared" si="73"/>
        <v>7.9320000000000004</v>
      </c>
    </row>
    <row r="2350" spans="1:12" x14ac:dyDescent="0.3">
      <c r="A2350" s="2">
        <v>38867</v>
      </c>
      <c r="B2350" t="s">
        <v>13</v>
      </c>
      <c r="D2350" s="2">
        <v>39598</v>
      </c>
      <c r="E2350">
        <v>7.75</v>
      </c>
      <c r="G2350" s="2">
        <v>39598</v>
      </c>
      <c r="H2350">
        <v>7.8780000000000001</v>
      </c>
      <c r="J2350" s="2">
        <v>39605</v>
      </c>
      <c r="K2350" s="3">
        <f t="shared" si="72"/>
        <v>7.75</v>
      </c>
      <c r="L2350" s="3">
        <f t="shared" si="73"/>
        <v>7.9779999999999998</v>
      </c>
    </row>
    <row r="2351" spans="1:12" x14ac:dyDescent="0.3">
      <c r="A2351" s="2">
        <v>38868</v>
      </c>
      <c r="B2351" t="s">
        <v>13</v>
      </c>
      <c r="D2351" s="2">
        <v>39599</v>
      </c>
      <c r="E2351">
        <v>7.75</v>
      </c>
      <c r="G2351" s="2">
        <v>39599</v>
      </c>
      <c r="H2351">
        <v>7.8780000000000001</v>
      </c>
      <c r="J2351" s="2">
        <v>39606</v>
      </c>
      <c r="K2351" s="3">
        <f t="shared" si="72"/>
        <v>7.75</v>
      </c>
      <c r="L2351" s="3">
        <f t="shared" si="73"/>
        <v>7.9779999999999998</v>
      </c>
    </row>
    <row r="2352" spans="1:12" x14ac:dyDescent="0.3">
      <c r="A2352" s="2">
        <v>38869</v>
      </c>
      <c r="B2352" t="s">
        <v>13</v>
      </c>
      <c r="D2352" s="2">
        <v>39600</v>
      </c>
      <c r="E2352">
        <v>7.75</v>
      </c>
      <c r="G2352" s="2">
        <v>39600</v>
      </c>
      <c r="H2352">
        <v>7.8780000000000001</v>
      </c>
      <c r="J2352" s="2">
        <v>39607</v>
      </c>
      <c r="K2352" s="3">
        <f t="shared" si="72"/>
        <v>7.75</v>
      </c>
      <c r="L2352" s="3">
        <f t="shared" si="73"/>
        <v>7.9779999999999998</v>
      </c>
    </row>
    <row r="2353" spans="1:12" x14ac:dyDescent="0.3">
      <c r="A2353" s="2">
        <v>38870</v>
      </c>
      <c r="B2353" t="s">
        <v>13</v>
      </c>
      <c r="D2353" s="2">
        <v>39601</v>
      </c>
      <c r="E2353">
        <v>7.75</v>
      </c>
      <c r="G2353" s="2">
        <v>39601</v>
      </c>
      <c r="H2353">
        <v>7.8650000000000002</v>
      </c>
      <c r="J2353" s="2">
        <v>39608</v>
      </c>
      <c r="K2353" s="3">
        <f t="shared" si="72"/>
        <v>7.75</v>
      </c>
      <c r="L2353" s="3">
        <f t="shared" si="73"/>
        <v>8.0169999999999995</v>
      </c>
    </row>
    <row r="2354" spans="1:12" x14ac:dyDescent="0.3">
      <c r="A2354" s="2">
        <v>38871</v>
      </c>
      <c r="B2354" t="s">
        <v>13</v>
      </c>
      <c r="D2354" s="2">
        <v>39602</v>
      </c>
      <c r="E2354">
        <v>7.75</v>
      </c>
      <c r="G2354" s="2">
        <v>39602</v>
      </c>
      <c r="H2354">
        <v>7.8879999999999999</v>
      </c>
      <c r="J2354" s="2">
        <v>39609</v>
      </c>
      <c r="K2354" s="3">
        <f t="shared" si="72"/>
        <v>7.75</v>
      </c>
      <c r="L2354" s="3">
        <f t="shared" si="73"/>
        <v>8.0459999999999994</v>
      </c>
    </row>
    <row r="2355" spans="1:12" x14ac:dyDescent="0.3">
      <c r="A2355" s="2">
        <v>38872</v>
      </c>
      <c r="B2355" t="s">
        <v>13</v>
      </c>
      <c r="D2355" s="2">
        <v>39603</v>
      </c>
      <c r="E2355">
        <v>7.75</v>
      </c>
      <c r="G2355" s="2">
        <v>39603</v>
      </c>
      <c r="H2355">
        <v>7.9039999999999999</v>
      </c>
      <c r="J2355" s="2">
        <v>39610</v>
      </c>
      <c r="K2355" s="3">
        <f t="shared" si="72"/>
        <v>8</v>
      </c>
      <c r="L2355" s="3">
        <f t="shared" si="73"/>
        <v>7.9610000000000003</v>
      </c>
    </row>
    <row r="2356" spans="1:12" x14ac:dyDescent="0.3">
      <c r="A2356" s="2">
        <v>38873</v>
      </c>
      <c r="B2356" t="s">
        <v>13</v>
      </c>
      <c r="D2356" s="2">
        <v>39604</v>
      </c>
      <c r="E2356">
        <v>7.75</v>
      </c>
      <c r="G2356" s="2">
        <v>39604</v>
      </c>
      <c r="H2356">
        <v>7.9320000000000004</v>
      </c>
      <c r="J2356" s="2">
        <v>39611</v>
      </c>
      <c r="K2356" s="3">
        <f t="shared" si="72"/>
        <v>8</v>
      </c>
      <c r="L2356" s="3">
        <f t="shared" si="73"/>
        <v>8.1020000000000003</v>
      </c>
    </row>
    <row r="2357" spans="1:12" x14ac:dyDescent="0.3">
      <c r="A2357" s="2">
        <v>38874</v>
      </c>
      <c r="B2357" t="s">
        <v>13</v>
      </c>
      <c r="D2357" s="2">
        <v>39605</v>
      </c>
      <c r="E2357">
        <v>7.75</v>
      </c>
      <c r="G2357" s="2">
        <v>39605</v>
      </c>
      <c r="H2357">
        <v>7.9779999999999998</v>
      </c>
      <c r="J2357" s="2">
        <v>39612</v>
      </c>
      <c r="K2357" s="3">
        <f t="shared" si="72"/>
        <v>8</v>
      </c>
      <c r="L2357" s="3">
        <f t="shared" si="73"/>
        <v>8.26</v>
      </c>
    </row>
    <row r="2358" spans="1:12" x14ac:dyDescent="0.3">
      <c r="A2358" s="2">
        <v>38875</v>
      </c>
      <c r="B2358" t="s">
        <v>13</v>
      </c>
      <c r="D2358" s="2">
        <v>39606</v>
      </c>
      <c r="E2358">
        <v>7.75</v>
      </c>
      <c r="G2358" s="2">
        <v>39606</v>
      </c>
      <c r="H2358">
        <v>7.9779999999999998</v>
      </c>
      <c r="J2358" s="2">
        <v>39613</v>
      </c>
      <c r="K2358" s="3">
        <f t="shared" si="72"/>
        <v>8</v>
      </c>
      <c r="L2358" s="3">
        <f t="shared" si="73"/>
        <v>8.26</v>
      </c>
    </row>
    <row r="2359" spans="1:12" x14ac:dyDescent="0.3">
      <c r="A2359" s="2">
        <v>38876</v>
      </c>
      <c r="B2359" t="s">
        <v>13</v>
      </c>
      <c r="D2359" s="2">
        <v>39607</v>
      </c>
      <c r="E2359">
        <v>7.75</v>
      </c>
      <c r="G2359" s="2">
        <v>39607</v>
      </c>
      <c r="H2359">
        <v>7.9779999999999998</v>
      </c>
      <c r="J2359" s="2">
        <v>39614</v>
      </c>
      <c r="K2359" s="3">
        <f t="shared" si="72"/>
        <v>8</v>
      </c>
      <c r="L2359" s="3">
        <f t="shared" si="73"/>
        <v>8.26</v>
      </c>
    </row>
    <row r="2360" spans="1:12" x14ac:dyDescent="0.3">
      <c r="A2360" s="2">
        <v>38877</v>
      </c>
      <c r="B2360" t="s">
        <v>13</v>
      </c>
      <c r="D2360" s="2">
        <v>39608</v>
      </c>
      <c r="E2360">
        <v>7.75</v>
      </c>
      <c r="G2360" s="2">
        <v>39608</v>
      </c>
      <c r="H2360">
        <v>8.0169999999999995</v>
      </c>
      <c r="J2360" s="2">
        <v>39615</v>
      </c>
      <c r="K2360" s="3">
        <f t="shared" si="72"/>
        <v>8</v>
      </c>
      <c r="L2360" s="3">
        <f t="shared" si="73"/>
        <v>8.1609999999999996</v>
      </c>
    </row>
    <row r="2361" spans="1:12" x14ac:dyDescent="0.3">
      <c r="A2361" s="2">
        <v>38878</v>
      </c>
      <c r="B2361" t="s">
        <v>13</v>
      </c>
      <c r="D2361" s="2">
        <v>39609</v>
      </c>
      <c r="E2361">
        <v>7.75</v>
      </c>
      <c r="G2361" s="2">
        <v>39609</v>
      </c>
      <c r="H2361">
        <v>8.0459999999999994</v>
      </c>
      <c r="J2361" s="2">
        <v>39616</v>
      </c>
      <c r="K2361" s="3">
        <f t="shared" si="72"/>
        <v>8</v>
      </c>
      <c r="L2361" s="3">
        <f t="shared" si="73"/>
        <v>8.1379999999999999</v>
      </c>
    </row>
    <row r="2362" spans="1:12" x14ac:dyDescent="0.3">
      <c r="A2362" s="2">
        <v>38879</v>
      </c>
      <c r="B2362" t="s">
        <v>13</v>
      </c>
      <c r="D2362" s="2">
        <v>39610</v>
      </c>
      <c r="E2362">
        <v>8</v>
      </c>
      <c r="G2362" s="2">
        <v>39610</v>
      </c>
      <c r="H2362">
        <v>7.9610000000000003</v>
      </c>
      <c r="J2362" s="2">
        <v>39617</v>
      </c>
      <c r="K2362" s="3">
        <f t="shared" si="72"/>
        <v>8</v>
      </c>
      <c r="L2362" s="3">
        <f t="shared" si="73"/>
        <v>8.1769999999999996</v>
      </c>
    </row>
    <row r="2363" spans="1:12" x14ac:dyDescent="0.3">
      <c r="A2363" s="2">
        <v>38880</v>
      </c>
      <c r="B2363" t="s">
        <v>13</v>
      </c>
      <c r="D2363" s="2">
        <v>39611</v>
      </c>
      <c r="E2363">
        <v>8</v>
      </c>
      <c r="G2363" s="2">
        <v>39611</v>
      </c>
      <c r="H2363">
        <v>8.1020000000000003</v>
      </c>
      <c r="J2363" s="2">
        <v>39618</v>
      </c>
      <c r="K2363" s="3">
        <f t="shared" si="72"/>
        <v>8</v>
      </c>
      <c r="L2363" s="3">
        <f t="shared" si="73"/>
        <v>8.359</v>
      </c>
    </row>
    <row r="2364" spans="1:12" x14ac:dyDescent="0.3">
      <c r="A2364" s="2">
        <v>38881</v>
      </c>
      <c r="B2364" t="s">
        <v>13</v>
      </c>
      <c r="D2364" s="2">
        <v>39612</v>
      </c>
      <c r="E2364">
        <v>8</v>
      </c>
      <c r="G2364" s="2">
        <v>39612</v>
      </c>
      <c r="H2364">
        <v>8.26</v>
      </c>
      <c r="J2364" s="2">
        <v>39619</v>
      </c>
      <c r="K2364" s="3">
        <f t="shared" si="72"/>
        <v>8</v>
      </c>
      <c r="L2364" s="3">
        <f t="shared" si="73"/>
        <v>8.3640000000000008</v>
      </c>
    </row>
    <row r="2365" spans="1:12" x14ac:dyDescent="0.3">
      <c r="A2365" s="2">
        <v>38882</v>
      </c>
      <c r="B2365" t="s">
        <v>13</v>
      </c>
      <c r="D2365" s="2">
        <v>39613</v>
      </c>
      <c r="E2365">
        <v>8</v>
      </c>
      <c r="G2365" s="2">
        <v>39613</v>
      </c>
      <c r="H2365">
        <v>8.26</v>
      </c>
      <c r="J2365" s="2">
        <v>39620</v>
      </c>
      <c r="K2365" s="3">
        <f t="shared" si="72"/>
        <v>8</v>
      </c>
      <c r="L2365" s="3">
        <f t="shared" si="73"/>
        <v>8.3640000000000008</v>
      </c>
    </row>
    <row r="2366" spans="1:12" x14ac:dyDescent="0.3">
      <c r="A2366" s="2">
        <v>38883</v>
      </c>
      <c r="B2366" t="s">
        <v>13</v>
      </c>
      <c r="D2366" s="2">
        <v>39614</v>
      </c>
      <c r="E2366">
        <v>8</v>
      </c>
      <c r="G2366" s="2">
        <v>39614</v>
      </c>
      <c r="H2366">
        <v>8.26</v>
      </c>
      <c r="J2366" s="2">
        <v>39621</v>
      </c>
      <c r="K2366" s="3">
        <f t="shared" si="72"/>
        <v>8</v>
      </c>
      <c r="L2366" s="3">
        <f t="shared" si="73"/>
        <v>8.3640000000000008</v>
      </c>
    </row>
    <row r="2367" spans="1:12" x14ac:dyDescent="0.3">
      <c r="A2367" s="2">
        <v>38884</v>
      </c>
      <c r="B2367" t="s">
        <v>13</v>
      </c>
      <c r="D2367" s="2">
        <v>39615</v>
      </c>
      <c r="E2367">
        <v>8</v>
      </c>
      <c r="G2367" s="2">
        <v>39615</v>
      </c>
      <c r="H2367">
        <v>8.1609999999999996</v>
      </c>
      <c r="J2367" s="2">
        <v>39622</v>
      </c>
      <c r="K2367" s="3">
        <f t="shared" si="72"/>
        <v>8</v>
      </c>
      <c r="L2367" s="3">
        <f t="shared" si="73"/>
        <v>8.8070000000000004</v>
      </c>
    </row>
    <row r="2368" spans="1:12" x14ac:dyDescent="0.3">
      <c r="A2368" s="2">
        <v>38885</v>
      </c>
      <c r="B2368" t="s">
        <v>13</v>
      </c>
      <c r="D2368" s="2">
        <v>39616</v>
      </c>
      <c r="E2368">
        <v>8</v>
      </c>
      <c r="G2368" s="2">
        <v>39616</v>
      </c>
      <c r="H2368">
        <v>8.1379999999999999</v>
      </c>
      <c r="J2368" s="2">
        <v>39623</v>
      </c>
      <c r="K2368" s="3">
        <f t="shared" si="72"/>
        <v>8.5</v>
      </c>
      <c r="L2368" s="3">
        <f t="shared" si="73"/>
        <v>8.9130000000000003</v>
      </c>
    </row>
    <row r="2369" spans="1:12" x14ac:dyDescent="0.3">
      <c r="A2369" s="2">
        <v>38886</v>
      </c>
      <c r="B2369" t="s">
        <v>13</v>
      </c>
      <c r="D2369" s="2">
        <v>39617</v>
      </c>
      <c r="E2369">
        <v>8</v>
      </c>
      <c r="G2369" s="2">
        <v>39617</v>
      </c>
      <c r="H2369">
        <v>8.1769999999999996</v>
      </c>
      <c r="J2369" s="2">
        <v>39624</v>
      </c>
      <c r="K2369" s="3">
        <f t="shared" si="72"/>
        <v>8.5</v>
      </c>
      <c r="L2369" s="3">
        <f t="shared" si="73"/>
        <v>9.2270000000000003</v>
      </c>
    </row>
    <row r="2370" spans="1:12" x14ac:dyDescent="0.3">
      <c r="A2370" s="2">
        <v>38887</v>
      </c>
      <c r="B2370" t="s">
        <v>13</v>
      </c>
      <c r="D2370" s="2">
        <v>39618</v>
      </c>
      <c r="E2370">
        <v>8</v>
      </c>
      <c r="G2370" s="2">
        <v>39618</v>
      </c>
      <c r="H2370">
        <v>8.359</v>
      </c>
      <c r="J2370" s="2">
        <v>39625</v>
      </c>
      <c r="K2370" s="3">
        <f t="shared" si="72"/>
        <v>8.5</v>
      </c>
      <c r="L2370" s="3">
        <f t="shared" si="73"/>
        <v>9.1300000000000008</v>
      </c>
    </row>
    <row r="2371" spans="1:12" x14ac:dyDescent="0.3">
      <c r="A2371" s="2">
        <v>38888</v>
      </c>
      <c r="B2371" t="s">
        <v>13</v>
      </c>
      <c r="D2371" s="2">
        <v>39619</v>
      </c>
      <c r="E2371">
        <v>8</v>
      </c>
      <c r="G2371" s="2">
        <v>39619</v>
      </c>
      <c r="H2371">
        <v>8.3640000000000008</v>
      </c>
      <c r="J2371" s="2">
        <v>39626</v>
      </c>
      <c r="K2371" s="3">
        <f t="shared" ref="K2371:K2434" si="74">E2378</f>
        <v>8.5</v>
      </c>
      <c r="L2371" s="3">
        <f t="shared" ref="L2371:L2434" si="75">H2378</f>
        <v>9.2110000000000003</v>
      </c>
    </row>
    <row r="2372" spans="1:12" x14ac:dyDescent="0.3">
      <c r="A2372" s="2">
        <v>38889</v>
      </c>
      <c r="B2372" t="s">
        <v>13</v>
      </c>
      <c r="D2372" s="2">
        <v>39620</v>
      </c>
      <c r="E2372">
        <v>8</v>
      </c>
      <c r="G2372" s="2">
        <v>39620</v>
      </c>
      <c r="H2372">
        <v>8.3640000000000008</v>
      </c>
      <c r="J2372" s="2">
        <v>39627</v>
      </c>
      <c r="K2372" s="3">
        <f t="shared" si="74"/>
        <v>8.5</v>
      </c>
      <c r="L2372" s="3">
        <f t="shared" si="75"/>
        <v>9.2110000000000003</v>
      </c>
    </row>
    <row r="2373" spans="1:12" x14ac:dyDescent="0.3">
      <c r="A2373" s="2">
        <v>38890</v>
      </c>
      <c r="B2373" t="s">
        <v>13</v>
      </c>
      <c r="D2373" s="2">
        <v>39621</v>
      </c>
      <c r="E2373">
        <v>8</v>
      </c>
      <c r="G2373" s="2">
        <v>39621</v>
      </c>
      <c r="H2373">
        <v>8.3640000000000008</v>
      </c>
      <c r="J2373" s="2">
        <v>39628</v>
      </c>
      <c r="K2373" s="3">
        <f t="shared" si="74"/>
        <v>8.5</v>
      </c>
      <c r="L2373" s="3">
        <f t="shared" si="75"/>
        <v>9.2110000000000003</v>
      </c>
    </row>
    <row r="2374" spans="1:12" x14ac:dyDescent="0.3">
      <c r="A2374" s="2">
        <v>38891</v>
      </c>
      <c r="B2374" t="s">
        <v>13</v>
      </c>
      <c r="D2374" s="2">
        <v>39622</v>
      </c>
      <c r="E2374">
        <v>8</v>
      </c>
      <c r="G2374" s="2">
        <v>39622</v>
      </c>
      <c r="H2374">
        <v>8.8070000000000004</v>
      </c>
      <c r="J2374" s="2">
        <v>39629</v>
      </c>
      <c r="K2374" s="3">
        <f t="shared" si="74"/>
        <v>8.5</v>
      </c>
      <c r="L2374" s="3">
        <f t="shared" si="75"/>
        <v>9.2349999999999994</v>
      </c>
    </row>
    <row r="2375" spans="1:12" x14ac:dyDescent="0.3">
      <c r="A2375" s="2">
        <v>38892</v>
      </c>
      <c r="B2375" t="s">
        <v>13</v>
      </c>
      <c r="D2375" s="2">
        <v>39623</v>
      </c>
      <c r="E2375">
        <v>8.5</v>
      </c>
      <c r="G2375" s="2">
        <v>39623</v>
      </c>
      <c r="H2375">
        <v>8.9130000000000003</v>
      </c>
      <c r="J2375" s="2">
        <v>39630</v>
      </c>
      <c r="K2375" s="3">
        <f t="shared" si="74"/>
        <v>8.5</v>
      </c>
      <c r="L2375" s="3">
        <f t="shared" si="75"/>
        <v>9.327</v>
      </c>
    </row>
    <row r="2376" spans="1:12" x14ac:dyDescent="0.3">
      <c r="A2376" s="2">
        <v>38893</v>
      </c>
      <c r="B2376" t="s">
        <v>13</v>
      </c>
      <c r="D2376" s="2">
        <v>39624</v>
      </c>
      <c r="E2376">
        <v>8.5</v>
      </c>
      <c r="G2376" s="2">
        <v>39624</v>
      </c>
      <c r="H2376">
        <v>9.2270000000000003</v>
      </c>
      <c r="J2376" s="2">
        <v>39631</v>
      </c>
      <c r="K2376" s="3">
        <f t="shared" si="74"/>
        <v>8.5</v>
      </c>
      <c r="L2376" s="3">
        <f t="shared" si="75"/>
        <v>9.2929999999999993</v>
      </c>
    </row>
    <row r="2377" spans="1:12" x14ac:dyDescent="0.3">
      <c r="A2377" s="2">
        <v>38894</v>
      </c>
      <c r="B2377" t="s">
        <v>13</v>
      </c>
      <c r="D2377" s="2">
        <v>39625</v>
      </c>
      <c r="E2377">
        <v>8.5</v>
      </c>
      <c r="G2377" s="2">
        <v>39625</v>
      </c>
      <c r="H2377">
        <v>9.1300000000000008</v>
      </c>
      <c r="J2377" s="2">
        <v>39632</v>
      </c>
      <c r="K2377" s="3">
        <f t="shared" si="74"/>
        <v>8.5</v>
      </c>
      <c r="L2377" s="3">
        <f t="shared" si="75"/>
        <v>9.2460000000000004</v>
      </c>
    </row>
    <row r="2378" spans="1:12" x14ac:dyDescent="0.3">
      <c r="A2378" s="2">
        <v>38895</v>
      </c>
      <c r="B2378" t="s">
        <v>13</v>
      </c>
      <c r="D2378" s="2">
        <v>39626</v>
      </c>
      <c r="E2378">
        <v>8.5</v>
      </c>
      <c r="G2378" s="2">
        <v>39626</v>
      </c>
      <c r="H2378">
        <v>9.2110000000000003</v>
      </c>
      <c r="J2378" s="2">
        <v>39633</v>
      </c>
      <c r="K2378" s="3">
        <f t="shared" si="74"/>
        <v>8.5</v>
      </c>
      <c r="L2378" s="3">
        <f t="shared" si="75"/>
        <v>9.0719999999999992</v>
      </c>
    </row>
    <row r="2379" spans="1:12" x14ac:dyDescent="0.3">
      <c r="A2379" s="2">
        <v>38896</v>
      </c>
      <c r="B2379" t="s">
        <v>13</v>
      </c>
      <c r="D2379" s="2">
        <v>39627</v>
      </c>
      <c r="E2379">
        <v>8.5</v>
      </c>
      <c r="G2379" s="2">
        <v>39627</v>
      </c>
      <c r="H2379">
        <v>9.2110000000000003</v>
      </c>
      <c r="J2379" s="2">
        <v>39634</v>
      </c>
      <c r="K2379" s="3">
        <f t="shared" si="74"/>
        <v>8.5</v>
      </c>
      <c r="L2379" s="3">
        <f t="shared" si="75"/>
        <v>9.0719999999999992</v>
      </c>
    </row>
    <row r="2380" spans="1:12" x14ac:dyDescent="0.3">
      <c r="A2380" s="2">
        <v>38897</v>
      </c>
      <c r="B2380" t="s">
        <v>13</v>
      </c>
      <c r="D2380" s="2">
        <v>39628</v>
      </c>
      <c r="E2380">
        <v>8.5</v>
      </c>
      <c r="G2380" s="2">
        <v>39628</v>
      </c>
      <c r="H2380">
        <v>9.2110000000000003</v>
      </c>
      <c r="J2380" s="2">
        <v>39635</v>
      </c>
      <c r="K2380" s="3">
        <f t="shared" si="74"/>
        <v>8.5</v>
      </c>
      <c r="L2380" s="3">
        <f t="shared" si="75"/>
        <v>9.0719999999999992</v>
      </c>
    </row>
    <row r="2381" spans="1:12" x14ac:dyDescent="0.3">
      <c r="A2381" s="2">
        <v>38898</v>
      </c>
      <c r="B2381" t="s">
        <v>13</v>
      </c>
      <c r="D2381" s="2">
        <v>39629</v>
      </c>
      <c r="E2381">
        <v>8.5</v>
      </c>
      <c r="G2381" s="2">
        <v>39629</v>
      </c>
      <c r="H2381">
        <v>9.2349999999999994</v>
      </c>
      <c r="J2381" s="2">
        <v>39636</v>
      </c>
      <c r="K2381" s="3">
        <f t="shared" si="74"/>
        <v>8.5</v>
      </c>
      <c r="L2381" s="3">
        <f t="shared" si="75"/>
        <v>9.1370000000000005</v>
      </c>
    </row>
    <row r="2382" spans="1:12" x14ac:dyDescent="0.3">
      <c r="A2382" s="2">
        <v>38899</v>
      </c>
      <c r="B2382" t="s">
        <v>13</v>
      </c>
      <c r="D2382" s="2">
        <v>39630</v>
      </c>
      <c r="E2382">
        <v>8.5</v>
      </c>
      <c r="G2382" s="2">
        <v>39630</v>
      </c>
      <c r="H2382">
        <v>9.327</v>
      </c>
      <c r="J2382" s="2">
        <v>39637</v>
      </c>
      <c r="K2382" s="3">
        <f t="shared" si="74"/>
        <v>8.5</v>
      </c>
      <c r="L2382" s="3">
        <f t="shared" si="75"/>
        <v>9.1820000000000004</v>
      </c>
    </row>
    <row r="2383" spans="1:12" x14ac:dyDescent="0.3">
      <c r="A2383" s="2">
        <v>38900</v>
      </c>
      <c r="B2383" t="s">
        <v>13</v>
      </c>
      <c r="D2383" s="2">
        <v>39631</v>
      </c>
      <c r="E2383">
        <v>8.5</v>
      </c>
      <c r="G2383" s="2">
        <v>39631</v>
      </c>
      <c r="H2383">
        <v>9.2929999999999993</v>
      </c>
      <c r="J2383" s="2">
        <v>39638</v>
      </c>
      <c r="K2383" s="3">
        <f t="shared" si="74"/>
        <v>8.5</v>
      </c>
      <c r="L2383" s="3">
        <f t="shared" si="75"/>
        <v>9.2379999999999995</v>
      </c>
    </row>
    <row r="2384" spans="1:12" x14ac:dyDescent="0.3">
      <c r="A2384" s="2">
        <v>38901</v>
      </c>
      <c r="B2384" t="s">
        <v>13</v>
      </c>
      <c r="D2384" s="2">
        <v>39632</v>
      </c>
      <c r="E2384">
        <v>8.5</v>
      </c>
      <c r="G2384" s="2">
        <v>39632</v>
      </c>
      <c r="H2384">
        <v>9.2460000000000004</v>
      </c>
      <c r="J2384" s="2">
        <v>39639</v>
      </c>
      <c r="K2384" s="3">
        <f t="shared" si="74"/>
        <v>8.5</v>
      </c>
      <c r="L2384" s="3">
        <f t="shared" si="75"/>
        <v>9.2319999999999993</v>
      </c>
    </row>
    <row r="2385" spans="1:12" x14ac:dyDescent="0.3">
      <c r="A2385" s="2">
        <v>38902</v>
      </c>
      <c r="B2385" t="s">
        <v>13</v>
      </c>
      <c r="D2385" s="2">
        <v>39633</v>
      </c>
      <c r="E2385">
        <v>8.5</v>
      </c>
      <c r="G2385" s="2">
        <v>39633</v>
      </c>
      <c r="H2385">
        <v>9.0719999999999992</v>
      </c>
      <c r="J2385" s="2">
        <v>39640</v>
      </c>
      <c r="K2385" s="3">
        <f t="shared" si="74"/>
        <v>8.5</v>
      </c>
      <c r="L2385" s="3">
        <f t="shared" si="75"/>
        <v>9.3710000000000004</v>
      </c>
    </row>
    <row r="2386" spans="1:12" x14ac:dyDescent="0.3">
      <c r="A2386" s="2">
        <v>38903</v>
      </c>
      <c r="B2386" t="s">
        <v>13</v>
      </c>
      <c r="D2386" s="2">
        <v>39634</v>
      </c>
      <c r="E2386">
        <v>8.5</v>
      </c>
      <c r="G2386" s="2">
        <v>39634</v>
      </c>
      <c r="H2386">
        <v>9.0719999999999992</v>
      </c>
      <c r="J2386" s="2">
        <v>39641</v>
      </c>
      <c r="K2386" s="3">
        <f t="shared" si="74"/>
        <v>8.5</v>
      </c>
      <c r="L2386" s="3">
        <f t="shared" si="75"/>
        <v>9.3710000000000004</v>
      </c>
    </row>
    <row r="2387" spans="1:12" x14ac:dyDescent="0.3">
      <c r="A2387" s="2">
        <v>38904</v>
      </c>
      <c r="B2387" t="s">
        <v>13</v>
      </c>
      <c r="D2387" s="2">
        <v>39635</v>
      </c>
      <c r="E2387">
        <v>8.5</v>
      </c>
      <c r="G2387" s="2">
        <v>39635</v>
      </c>
      <c r="H2387">
        <v>9.0719999999999992</v>
      </c>
      <c r="J2387" s="2">
        <v>39642</v>
      </c>
      <c r="K2387" s="3">
        <f t="shared" si="74"/>
        <v>8.5</v>
      </c>
      <c r="L2387" s="3">
        <f t="shared" si="75"/>
        <v>9.3710000000000004</v>
      </c>
    </row>
    <row r="2388" spans="1:12" x14ac:dyDescent="0.3">
      <c r="A2388" s="2">
        <v>38905</v>
      </c>
      <c r="B2388" t="s">
        <v>13</v>
      </c>
      <c r="D2388" s="2">
        <v>39636</v>
      </c>
      <c r="E2388">
        <v>8.5</v>
      </c>
      <c r="G2388" s="2">
        <v>39636</v>
      </c>
      <c r="H2388">
        <v>9.1370000000000005</v>
      </c>
      <c r="J2388" s="2">
        <v>39643</v>
      </c>
      <c r="K2388" s="3">
        <f t="shared" si="74"/>
        <v>8.5</v>
      </c>
      <c r="L2388" s="3">
        <f t="shared" si="75"/>
        <v>9.4239999999999995</v>
      </c>
    </row>
    <row r="2389" spans="1:12" x14ac:dyDescent="0.3">
      <c r="A2389" s="2">
        <v>38906</v>
      </c>
      <c r="B2389" t="s">
        <v>13</v>
      </c>
      <c r="D2389" s="2">
        <v>39637</v>
      </c>
      <c r="E2389">
        <v>8.5</v>
      </c>
      <c r="G2389" s="2">
        <v>39637</v>
      </c>
      <c r="H2389">
        <v>9.1820000000000004</v>
      </c>
      <c r="J2389" s="2">
        <v>39644</v>
      </c>
      <c r="K2389" s="3">
        <f t="shared" si="74"/>
        <v>8.5</v>
      </c>
      <c r="L2389" s="3">
        <f t="shared" si="75"/>
        <v>9.4779999999999998</v>
      </c>
    </row>
    <row r="2390" spans="1:12" x14ac:dyDescent="0.3">
      <c r="A2390" s="2">
        <v>38907</v>
      </c>
      <c r="B2390" t="s">
        <v>13</v>
      </c>
      <c r="D2390" s="2">
        <v>39638</v>
      </c>
      <c r="E2390">
        <v>8.5</v>
      </c>
      <c r="G2390" s="2">
        <v>39638</v>
      </c>
      <c r="H2390">
        <v>9.2379999999999995</v>
      </c>
      <c r="J2390" s="2">
        <v>39645</v>
      </c>
      <c r="K2390" s="3">
        <f t="shared" si="74"/>
        <v>8.5</v>
      </c>
      <c r="L2390" s="3">
        <f t="shared" si="75"/>
        <v>9.4960000000000004</v>
      </c>
    </row>
    <row r="2391" spans="1:12" x14ac:dyDescent="0.3">
      <c r="A2391" s="2">
        <v>38908</v>
      </c>
      <c r="B2391" t="s">
        <v>13</v>
      </c>
      <c r="D2391" s="2">
        <v>39639</v>
      </c>
      <c r="E2391">
        <v>8.5</v>
      </c>
      <c r="G2391" s="2">
        <v>39639</v>
      </c>
      <c r="H2391">
        <v>9.2319999999999993</v>
      </c>
      <c r="J2391" s="2">
        <v>39646</v>
      </c>
      <c r="K2391" s="3">
        <f t="shared" si="74"/>
        <v>8.5</v>
      </c>
      <c r="L2391" s="3">
        <f t="shared" si="75"/>
        <v>9.4049999999999994</v>
      </c>
    </row>
    <row r="2392" spans="1:12" x14ac:dyDescent="0.3">
      <c r="A2392" s="2">
        <v>38909</v>
      </c>
      <c r="B2392" t="s">
        <v>13</v>
      </c>
      <c r="D2392" s="2">
        <v>39640</v>
      </c>
      <c r="E2392">
        <v>8.5</v>
      </c>
      <c r="G2392" s="2">
        <v>39640</v>
      </c>
      <c r="H2392">
        <v>9.3710000000000004</v>
      </c>
      <c r="J2392" s="2">
        <v>39647</v>
      </c>
      <c r="K2392" s="3">
        <f t="shared" si="74"/>
        <v>8.5</v>
      </c>
      <c r="L2392" s="3">
        <f t="shared" si="75"/>
        <v>9.2579999999999991</v>
      </c>
    </row>
    <row r="2393" spans="1:12" x14ac:dyDescent="0.3">
      <c r="A2393" s="2">
        <v>38910</v>
      </c>
      <c r="B2393" t="s">
        <v>13</v>
      </c>
      <c r="D2393" s="2">
        <v>39641</v>
      </c>
      <c r="E2393">
        <v>8.5</v>
      </c>
      <c r="G2393" s="2">
        <v>39641</v>
      </c>
      <c r="H2393">
        <v>9.3710000000000004</v>
      </c>
      <c r="J2393" s="2">
        <v>39648</v>
      </c>
      <c r="K2393" s="3">
        <f t="shared" si="74"/>
        <v>8.5</v>
      </c>
      <c r="L2393" s="3">
        <f t="shared" si="75"/>
        <v>9.2579999999999991</v>
      </c>
    </row>
    <row r="2394" spans="1:12" x14ac:dyDescent="0.3">
      <c r="A2394" s="2">
        <v>38911</v>
      </c>
      <c r="B2394" t="s">
        <v>13</v>
      </c>
      <c r="D2394" s="2">
        <v>39642</v>
      </c>
      <c r="E2394">
        <v>8.5</v>
      </c>
      <c r="G2394" s="2">
        <v>39642</v>
      </c>
      <c r="H2394">
        <v>9.3710000000000004</v>
      </c>
      <c r="J2394" s="2">
        <v>39649</v>
      </c>
      <c r="K2394" s="3">
        <f t="shared" si="74"/>
        <v>8.5</v>
      </c>
      <c r="L2394" s="3">
        <f t="shared" si="75"/>
        <v>9.2579999999999991</v>
      </c>
    </row>
    <row r="2395" spans="1:12" x14ac:dyDescent="0.3">
      <c r="A2395" s="2">
        <v>38912</v>
      </c>
      <c r="B2395" t="s">
        <v>13</v>
      </c>
      <c r="D2395" s="2">
        <v>39643</v>
      </c>
      <c r="E2395">
        <v>8.5</v>
      </c>
      <c r="G2395" s="2">
        <v>39643</v>
      </c>
      <c r="H2395">
        <v>9.4239999999999995</v>
      </c>
      <c r="J2395" s="2">
        <v>39650</v>
      </c>
      <c r="K2395" s="3">
        <f t="shared" si="74"/>
        <v>8.5</v>
      </c>
      <c r="L2395" s="3">
        <f t="shared" si="75"/>
        <v>9.1389999999999993</v>
      </c>
    </row>
    <row r="2396" spans="1:12" x14ac:dyDescent="0.3">
      <c r="A2396" s="2">
        <v>38913</v>
      </c>
      <c r="B2396" t="s">
        <v>13</v>
      </c>
      <c r="D2396" s="2">
        <v>39644</v>
      </c>
      <c r="E2396">
        <v>8.5</v>
      </c>
      <c r="G2396" s="2">
        <v>39644</v>
      </c>
      <c r="H2396">
        <v>9.4779999999999998</v>
      </c>
      <c r="J2396" s="2">
        <v>39651</v>
      </c>
      <c r="K2396" s="3">
        <f t="shared" si="74"/>
        <v>8.5</v>
      </c>
      <c r="L2396" s="3">
        <f t="shared" si="75"/>
        <v>9.2430000000000003</v>
      </c>
    </row>
    <row r="2397" spans="1:12" x14ac:dyDescent="0.3">
      <c r="A2397" s="2">
        <v>38914</v>
      </c>
      <c r="B2397" t="s">
        <v>13</v>
      </c>
      <c r="D2397" s="2">
        <v>39645</v>
      </c>
      <c r="E2397">
        <v>8.5</v>
      </c>
      <c r="G2397" s="2">
        <v>39645</v>
      </c>
      <c r="H2397">
        <v>9.4960000000000004</v>
      </c>
      <c r="J2397" s="2">
        <v>39652</v>
      </c>
      <c r="K2397" s="3">
        <f t="shared" si="74"/>
        <v>8.5</v>
      </c>
      <c r="L2397" s="3">
        <f t="shared" si="75"/>
        <v>9.1890000000000001</v>
      </c>
    </row>
    <row r="2398" spans="1:12" x14ac:dyDescent="0.3">
      <c r="A2398" s="2">
        <v>38915</v>
      </c>
      <c r="B2398" t="s">
        <v>13</v>
      </c>
      <c r="D2398" s="2">
        <v>39646</v>
      </c>
      <c r="E2398">
        <v>8.5</v>
      </c>
      <c r="G2398" s="2">
        <v>39646</v>
      </c>
      <c r="H2398">
        <v>9.4049999999999994</v>
      </c>
      <c r="J2398" s="2">
        <v>39653</v>
      </c>
      <c r="K2398" s="3">
        <f t="shared" si="74"/>
        <v>8.5</v>
      </c>
      <c r="L2398" s="3">
        <f t="shared" si="75"/>
        <v>9.2690000000000001</v>
      </c>
    </row>
    <row r="2399" spans="1:12" x14ac:dyDescent="0.3">
      <c r="A2399" s="2">
        <v>38916</v>
      </c>
      <c r="B2399" t="s">
        <v>13</v>
      </c>
      <c r="D2399" s="2">
        <v>39647</v>
      </c>
      <c r="E2399">
        <v>8.5</v>
      </c>
      <c r="G2399" s="2">
        <v>39647</v>
      </c>
      <c r="H2399">
        <v>9.2579999999999991</v>
      </c>
      <c r="J2399" s="2">
        <v>39654</v>
      </c>
      <c r="K2399" s="3">
        <f t="shared" si="74"/>
        <v>8.5</v>
      </c>
      <c r="L2399" s="3">
        <f t="shared" si="75"/>
        <v>9.2840000000000007</v>
      </c>
    </row>
    <row r="2400" spans="1:12" x14ac:dyDescent="0.3">
      <c r="A2400" s="2">
        <v>38917</v>
      </c>
      <c r="B2400" t="s">
        <v>13</v>
      </c>
      <c r="D2400" s="2">
        <v>39648</v>
      </c>
      <c r="E2400">
        <v>8.5</v>
      </c>
      <c r="G2400" s="2">
        <v>39648</v>
      </c>
      <c r="H2400">
        <v>9.2579999999999991</v>
      </c>
      <c r="J2400" s="2">
        <v>39655</v>
      </c>
      <c r="K2400" s="3">
        <f t="shared" si="74"/>
        <v>8.5</v>
      </c>
      <c r="L2400" s="3">
        <f t="shared" si="75"/>
        <v>9.2840000000000007</v>
      </c>
    </row>
    <row r="2401" spans="1:12" x14ac:dyDescent="0.3">
      <c r="A2401" s="2">
        <v>38918</v>
      </c>
      <c r="B2401" t="s">
        <v>13</v>
      </c>
      <c r="D2401" s="2">
        <v>39649</v>
      </c>
      <c r="E2401">
        <v>8.5</v>
      </c>
      <c r="G2401" s="2">
        <v>39649</v>
      </c>
      <c r="H2401">
        <v>9.2579999999999991</v>
      </c>
      <c r="J2401" s="2">
        <v>39656</v>
      </c>
      <c r="K2401" s="3">
        <f t="shared" si="74"/>
        <v>8.5</v>
      </c>
      <c r="L2401" s="3">
        <f t="shared" si="75"/>
        <v>9.2840000000000007</v>
      </c>
    </row>
    <row r="2402" spans="1:12" x14ac:dyDescent="0.3">
      <c r="A2402" s="2">
        <v>38919</v>
      </c>
      <c r="B2402" t="s">
        <v>13</v>
      </c>
      <c r="D2402" s="2">
        <v>39650</v>
      </c>
      <c r="E2402">
        <v>8.5</v>
      </c>
      <c r="G2402" s="2">
        <v>39650</v>
      </c>
      <c r="H2402">
        <v>9.1389999999999993</v>
      </c>
      <c r="J2402" s="2">
        <v>39657</v>
      </c>
      <c r="K2402" s="3">
        <f t="shared" si="74"/>
        <v>8.5</v>
      </c>
      <c r="L2402" s="3">
        <f t="shared" si="75"/>
        <v>9.3040000000000003</v>
      </c>
    </row>
    <row r="2403" spans="1:12" x14ac:dyDescent="0.3">
      <c r="A2403" s="2">
        <v>38920</v>
      </c>
      <c r="B2403" t="s">
        <v>13</v>
      </c>
      <c r="D2403" s="2">
        <v>39651</v>
      </c>
      <c r="E2403">
        <v>8.5</v>
      </c>
      <c r="G2403" s="2">
        <v>39651</v>
      </c>
      <c r="H2403">
        <v>9.2430000000000003</v>
      </c>
      <c r="J2403" s="2">
        <v>39658</v>
      </c>
      <c r="K2403" s="3">
        <f t="shared" si="74"/>
        <v>9</v>
      </c>
      <c r="L2403" s="3">
        <f t="shared" si="75"/>
        <v>9.4550000000000001</v>
      </c>
    </row>
    <row r="2404" spans="1:12" x14ac:dyDescent="0.3">
      <c r="A2404" s="2">
        <v>38921</v>
      </c>
      <c r="B2404" t="s">
        <v>13</v>
      </c>
      <c r="D2404" s="2">
        <v>39652</v>
      </c>
      <c r="E2404">
        <v>8.5</v>
      </c>
      <c r="G2404" s="2">
        <v>39652</v>
      </c>
      <c r="H2404">
        <v>9.1890000000000001</v>
      </c>
      <c r="J2404" s="2">
        <v>39659</v>
      </c>
      <c r="K2404" s="3">
        <f t="shared" si="74"/>
        <v>9</v>
      </c>
      <c r="L2404" s="3">
        <f t="shared" si="75"/>
        <v>9.4369999999999994</v>
      </c>
    </row>
    <row r="2405" spans="1:12" x14ac:dyDescent="0.3">
      <c r="A2405" s="2">
        <v>38922</v>
      </c>
      <c r="B2405" t="s">
        <v>13</v>
      </c>
      <c r="D2405" s="2">
        <v>39653</v>
      </c>
      <c r="E2405">
        <v>8.5</v>
      </c>
      <c r="G2405" s="2">
        <v>39653</v>
      </c>
      <c r="H2405">
        <v>9.2690000000000001</v>
      </c>
      <c r="J2405" s="2">
        <v>39660</v>
      </c>
      <c r="K2405" s="3">
        <f t="shared" si="74"/>
        <v>9</v>
      </c>
      <c r="L2405" s="3">
        <f t="shared" si="75"/>
        <v>9.3930000000000007</v>
      </c>
    </row>
    <row r="2406" spans="1:12" x14ac:dyDescent="0.3">
      <c r="A2406" s="2">
        <v>38923</v>
      </c>
      <c r="B2406" t="s">
        <v>13</v>
      </c>
      <c r="D2406" s="2">
        <v>39654</v>
      </c>
      <c r="E2406">
        <v>8.5</v>
      </c>
      <c r="G2406" s="2">
        <v>39654</v>
      </c>
      <c r="H2406">
        <v>9.2840000000000007</v>
      </c>
      <c r="J2406" s="2">
        <v>39661</v>
      </c>
      <c r="K2406" s="3">
        <f t="shared" si="74"/>
        <v>9</v>
      </c>
      <c r="L2406" s="3">
        <f t="shared" si="75"/>
        <v>9.359</v>
      </c>
    </row>
    <row r="2407" spans="1:12" x14ac:dyDescent="0.3">
      <c r="A2407" s="2">
        <v>38924</v>
      </c>
      <c r="B2407" t="s">
        <v>13</v>
      </c>
      <c r="D2407" s="2">
        <v>39655</v>
      </c>
      <c r="E2407">
        <v>8.5</v>
      </c>
      <c r="G2407" s="2">
        <v>39655</v>
      </c>
      <c r="H2407">
        <v>9.2840000000000007</v>
      </c>
      <c r="J2407" s="2">
        <v>39662</v>
      </c>
      <c r="K2407" s="3">
        <f t="shared" si="74"/>
        <v>9</v>
      </c>
      <c r="L2407" s="3">
        <f t="shared" si="75"/>
        <v>9.359</v>
      </c>
    </row>
    <row r="2408" spans="1:12" x14ac:dyDescent="0.3">
      <c r="A2408" s="2">
        <v>38925</v>
      </c>
      <c r="B2408" t="s">
        <v>13</v>
      </c>
      <c r="D2408" s="2">
        <v>39656</v>
      </c>
      <c r="E2408">
        <v>8.5</v>
      </c>
      <c r="G2408" s="2">
        <v>39656</v>
      </c>
      <c r="H2408">
        <v>9.2840000000000007</v>
      </c>
      <c r="J2408" s="2">
        <v>39663</v>
      </c>
      <c r="K2408" s="3">
        <f t="shared" si="74"/>
        <v>9</v>
      </c>
      <c r="L2408" s="3">
        <f t="shared" si="75"/>
        <v>9.359</v>
      </c>
    </row>
    <row r="2409" spans="1:12" x14ac:dyDescent="0.3">
      <c r="A2409" s="2">
        <v>38926</v>
      </c>
      <c r="B2409" t="s">
        <v>13</v>
      </c>
      <c r="D2409" s="2">
        <v>39657</v>
      </c>
      <c r="E2409">
        <v>8.5</v>
      </c>
      <c r="G2409" s="2">
        <v>39657</v>
      </c>
      <c r="H2409">
        <v>9.3040000000000003</v>
      </c>
      <c r="J2409" s="2">
        <v>39664</v>
      </c>
      <c r="K2409" s="3">
        <f t="shared" si="74"/>
        <v>9</v>
      </c>
      <c r="L2409" s="3">
        <f t="shared" si="75"/>
        <v>9.3520000000000003</v>
      </c>
    </row>
    <row r="2410" spans="1:12" x14ac:dyDescent="0.3">
      <c r="A2410" s="2">
        <v>38927</v>
      </c>
      <c r="B2410" t="s">
        <v>13</v>
      </c>
      <c r="D2410" s="2">
        <v>39658</v>
      </c>
      <c r="E2410">
        <v>9</v>
      </c>
      <c r="G2410" s="2">
        <v>39658</v>
      </c>
      <c r="H2410">
        <v>9.4550000000000001</v>
      </c>
      <c r="J2410" s="2">
        <v>39665</v>
      </c>
      <c r="K2410" s="3">
        <f t="shared" si="74"/>
        <v>9</v>
      </c>
      <c r="L2410" s="3">
        <f t="shared" si="75"/>
        <v>9.1750000000000007</v>
      </c>
    </row>
    <row r="2411" spans="1:12" x14ac:dyDescent="0.3">
      <c r="A2411" s="2">
        <v>38928</v>
      </c>
      <c r="B2411" t="s">
        <v>13</v>
      </c>
      <c r="D2411" s="2">
        <v>39659</v>
      </c>
      <c r="E2411">
        <v>9</v>
      </c>
      <c r="G2411" s="2">
        <v>39659</v>
      </c>
      <c r="H2411">
        <v>9.4369999999999994</v>
      </c>
      <c r="J2411" s="2">
        <v>39666</v>
      </c>
      <c r="K2411" s="3">
        <f t="shared" si="74"/>
        <v>9</v>
      </c>
      <c r="L2411" s="3">
        <f t="shared" si="75"/>
        <v>9.2110000000000003</v>
      </c>
    </row>
    <row r="2412" spans="1:12" x14ac:dyDescent="0.3">
      <c r="A2412" s="2">
        <v>38929</v>
      </c>
      <c r="B2412" t="s">
        <v>13</v>
      </c>
      <c r="D2412" s="2">
        <v>39660</v>
      </c>
      <c r="E2412">
        <v>9</v>
      </c>
      <c r="G2412" s="2">
        <v>39660</v>
      </c>
      <c r="H2412">
        <v>9.3930000000000007</v>
      </c>
      <c r="J2412" s="2">
        <v>39667</v>
      </c>
      <c r="K2412" s="3">
        <f t="shared" si="74"/>
        <v>9</v>
      </c>
      <c r="L2412" s="3">
        <f t="shared" si="75"/>
        <v>9.2690000000000001</v>
      </c>
    </row>
    <row r="2413" spans="1:12" x14ac:dyDescent="0.3">
      <c r="A2413" s="2">
        <v>38930</v>
      </c>
      <c r="B2413" t="s">
        <v>13</v>
      </c>
      <c r="D2413" s="2">
        <v>39661</v>
      </c>
      <c r="E2413">
        <v>9</v>
      </c>
      <c r="G2413" s="2">
        <v>39661</v>
      </c>
      <c r="H2413">
        <v>9.359</v>
      </c>
      <c r="J2413" s="2">
        <v>39668</v>
      </c>
      <c r="K2413" s="3">
        <f t="shared" si="74"/>
        <v>9</v>
      </c>
      <c r="L2413" s="3">
        <f t="shared" si="75"/>
        <v>9.2390000000000008</v>
      </c>
    </row>
    <row r="2414" spans="1:12" x14ac:dyDescent="0.3">
      <c r="A2414" s="2">
        <v>38931</v>
      </c>
      <c r="B2414" t="s">
        <v>13</v>
      </c>
      <c r="D2414" s="2">
        <v>39662</v>
      </c>
      <c r="E2414">
        <v>9</v>
      </c>
      <c r="G2414" s="2">
        <v>39662</v>
      </c>
      <c r="H2414">
        <v>9.359</v>
      </c>
      <c r="J2414" s="2">
        <v>39669</v>
      </c>
      <c r="K2414" s="3">
        <f t="shared" si="74"/>
        <v>9</v>
      </c>
      <c r="L2414" s="3">
        <f t="shared" si="75"/>
        <v>9.2390000000000008</v>
      </c>
    </row>
    <row r="2415" spans="1:12" x14ac:dyDescent="0.3">
      <c r="A2415" s="2">
        <v>38932</v>
      </c>
      <c r="B2415" t="s">
        <v>13</v>
      </c>
      <c r="D2415" s="2">
        <v>39663</v>
      </c>
      <c r="E2415">
        <v>9</v>
      </c>
      <c r="G2415" s="2">
        <v>39663</v>
      </c>
      <c r="H2415">
        <v>9.359</v>
      </c>
      <c r="J2415" s="2">
        <v>39670</v>
      </c>
      <c r="K2415" s="3">
        <f t="shared" si="74"/>
        <v>9</v>
      </c>
      <c r="L2415" s="3">
        <f t="shared" si="75"/>
        <v>9.2390000000000008</v>
      </c>
    </row>
    <row r="2416" spans="1:12" x14ac:dyDescent="0.3">
      <c r="A2416" s="2">
        <v>38933</v>
      </c>
      <c r="B2416" t="s">
        <v>13</v>
      </c>
      <c r="D2416" s="2">
        <v>39664</v>
      </c>
      <c r="E2416">
        <v>9</v>
      </c>
      <c r="G2416" s="2">
        <v>39664</v>
      </c>
      <c r="H2416">
        <v>9.3520000000000003</v>
      </c>
      <c r="J2416" s="2">
        <v>39671</v>
      </c>
      <c r="K2416" s="3">
        <f t="shared" si="74"/>
        <v>9</v>
      </c>
      <c r="L2416" s="3">
        <f t="shared" si="75"/>
        <v>9.1050000000000004</v>
      </c>
    </row>
    <row r="2417" spans="1:12" x14ac:dyDescent="0.3">
      <c r="A2417" s="2">
        <v>38934</v>
      </c>
      <c r="B2417" t="s">
        <v>13</v>
      </c>
      <c r="D2417" s="2">
        <v>39665</v>
      </c>
      <c r="E2417">
        <v>9</v>
      </c>
      <c r="G2417" s="2">
        <v>39665</v>
      </c>
      <c r="H2417">
        <v>9.1750000000000007</v>
      </c>
      <c r="J2417" s="2">
        <v>39672</v>
      </c>
      <c r="K2417" s="3">
        <f t="shared" si="74"/>
        <v>9</v>
      </c>
      <c r="L2417" s="3">
        <f t="shared" si="75"/>
        <v>9.1639999999999997</v>
      </c>
    </row>
    <row r="2418" spans="1:12" x14ac:dyDescent="0.3">
      <c r="A2418" s="2">
        <v>38935</v>
      </c>
      <c r="B2418" t="s">
        <v>13</v>
      </c>
      <c r="D2418" s="2">
        <v>39666</v>
      </c>
      <c r="E2418">
        <v>9</v>
      </c>
      <c r="G2418" s="2">
        <v>39666</v>
      </c>
      <c r="H2418">
        <v>9.2110000000000003</v>
      </c>
      <c r="J2418" s="2">
        <v>39673</v>
      </c>
      <c r="K2418" s="3">
        <f t="shared" si="74"/>
        <v>9</v>
      </c>
      <c r="L2418" s="3">
        <f t="shared" si="75"/>
        <v>9.2289999999999992</v>
      </c>
    </row>
    <row r="2419" spans="1:12" x14ac:dyDescent="0.3">
      <c r="A2419" s="2">
        <v>38936</v>
      </c>
      <c r="B2419" t="s">
        <v>13</v>
      </c>
      <c r="D2419" s="2">
        <v>39667</v>
      </c>
      <c r="E2419">
        <v>9</v>
      </c>
      <c r="G2419" s="2">
        <v>39667</v>
      </c>
      <c r="H2419">
        <v>9.2690000000000001</v>
      </c>
      <c r="J2419" s="2">
        <v>39674</v>
      </c>
      <c r="K2419" s="3">
        <f t="shared" si="74"/>
        <v>9</v>
      </c>
      <c r="L2419" s="3">
        <f t="shared" si="75"/>
        <v>9.2629999999999999</v>
      </c>
    </row>
    <row r="2420" spans="1:12" x14ac:dyDescent="0.3">
      <c r="A2420" s="2">
        <v>38937</v>
      </c>
      <c r="B2420" t="s">
        <v>13</v>
      </c>
      <c r="D2420" s="2">
        <v>39668</v>
      </c>
      <c r="E2420">
        <v>9</v>
      </c>
      <c r="G2420" s="2">
        <v>39668</v>
      </c>
      <c r="H2420">
        <v>9.2390000000000008</v>
      </c>
      <c r="J2420" s="2">
        <v>39675</v>
      </c>
      <c r="K2420" s="3">
        <f t="shared" si="74"/>
        <v>9</v>
      </c>
      <c r="L2420" s="3">
        <f t="shared" si="75"/>
        <v>9.2629999999999999</v>
      </c>
    </row>
    <row r="2421" spans="1:12" x14ac:dyDescent="0.3">
      <c r="A2421" s="2">
        <v>38938</v>
      </c>
      <c r="B2421" t="s">
        <v>13</v>
      </c>
      <c r="D2421" s="2">
        <v>39669</v>
      </c>
      <c r="E2421">
        <v>9</v>
      </c>
      <c r="G2421" s="2">
        <v>39669</v>
      </c>
      <c r="H2421">
        <v>9.2390000000000008</v>
      </c>
      <c r="J2421" s="2">
        <v>39676</v>
      </c>
      <c r="K2421" s="3">
        <f t="shared" si="74"/>
        <v>9</v>
      </c>
      <c r="L2421" s="3">
        <f t="shared" si="75"/>
        <v>9.2629999999999999</v>
      </c>
    </row>
    <row r="2422" spans="1:12" x14ac:dyDescent="0.3">
      <c r="A2422" s="2">
        <v>38939</v>
      </c>
      <c r="B2422" t="s">
        <v>13</v>
      </c>
      <c r="D2422" s="2">
        <v>39670</v>
      </c>
      <c r="E2422">
        <v>9</v>
      </c>
      <c r="G2422" s="2">
        <v>39670</v>
      </c>
      <c r="H2422">
        <v>9.2390000000000008</v>
      </c>
      <c r="J2422" s="2">
        <v>39677</v>
      </c>
      <c r="K2422" s="3">
        <f t="shared" si="74"/>
        <v>9</v>
      </c>
      <c r="L2422" s="3">
        <f t="shared" si="75"/>
        <v>9.2629999999999999</v>
      </c>
    </row>
    <row r="2423" spans="1:12" x14ac:dyDescent="0.3">
      <c r="A2423" s="2">
        <v>38940</v>
      </c>
      <c r="B2423" t="s">
        <v>13</v>
      </c>
      <c r="D2423" s="2">
        <v>39671</v>
      </c>
      <c r="E2423">
        <v>9</v>
      </c>
      <c r="G2423" s="2">
        <v>39671</v>
      </c>
      <c r="H2423">
        <v>9.1050000000000004</v>
      </c>
      <c r="J2423" s="2">
        <v>39678</v>
      </c>
      <c r="K2423" s="3">
        <f t="shared" si="74"/>
        <v>9</v>
      </c>
      <c r="L2423" s="3">
        <f t="shared" si="75"/>
        <v>9.3079999999999998</v>
      </c>
    </row>
    <row r="2424" spans="1:12" x14ac:dyDescent="0.3">
      <c r="A2424" s="2">
        <v>38941</v>
      </c>
      <c r="B2424" t="s">
        <v>13</v>
      </c>
      <c r="D2424" s="2">
        <v>39672</v>
      </c>
      <c r="E2424">
        <v>9</v>
      </c>
      <c r="G2424" s="2">
        <v>39672</v>
      </c>
      <c r="H2424">
        <v>9.1639999999999997</v>
      </c>
      <c r="J2424" s="2">
        <v>39679</v>
      </c>
      <c r="K2424" s="3">
        <f t="shared" si="74"/>
        <v>9</v>
      </c>
      <c r="L2424" s="3">
        <f t="shared" si="75"/>
        <v>9.3079999999999998</v>
      </c>
    </row>
    <row r="2425" spans="1:12" x14ac:dyDescent="0.3">
      <c r="A2425" s="2">
        <v>38942</v>
      </c>
      <c r="B2425" t="s">
        <v>13</v>
      </c>
      <c r="D2425" s="2">
        <v>39673</v>
      </c>
      <c r="E2425">
        <v>9</v>
      </c>
      <c r="G2425" s="2">
        <v>39673</v>
      </c>
      <c r="H2425">
        <v>9.2289999999999992</v>
      </c>
      <c r="J2425" s="2">
        <v>39680</v>
      </c>
      <c r="K2425" s="3">
        <f t="shared" si="74"/>
        <v>9</v>
      </c>
      <c r="L2425" s="3">
        <f t="shared" si="75"/>
        <v>9.2430000000000003</v>
      </c>
    </row>
    <row r="2426" spans="1:12" x14ac:dyDescent="0.3">
      <c r="A2426" s="2">
        <v>38943</v>
      </c>
      <c r="B2426" t="s">
        <v>13</v>
      </c>
      <c r="D2426" s="2">
        <v>39674</v>
      </c>
      <c r="E2426">
        <v>9</v>
      </c>
      <c r="G2426" s="2">
        <v>39674</v>
      </c>
      <c r="H2426">
        <v>9.2629999999999999</v>
      </c>
      <c r="J2426" s="2">
        <v>39681</v>
      </c>
      <c r="K2426" s="3">
        <f t="shared" si="74"/>
        <v>9</v>
      </c>
      <c r="L2426" s="3">
        <f t="shared" si="75"/>
        <v>9.2889999999999997</v>
      </c>
    </row>
    <row r="2427" spans="1:12" x14ac:dyDescent="0.3">
      <c r="A2427" s="2">
        <v>38944</v>
      </c>
      <c r="B2427" t="s">
        <v>13</v>
      </c>
      <c r="D2427" s="2">
        <v>39675</v>
      </c>
      <c r="E2427">
        <v>9</v>
      </c>
      <c r="G2427" s="2">
        <v>39675</v>
      </c>
      <c r="H2427">
        <v>9.2629999999999999</v>
      </c>
      <c r="J2427" s="2">
        <v>39682</v>
      </c>
      <c r="K2427" s="3">
        <f t="shared" si="74"/>
        <v>9</v>
      </c>
      <c r="L2427" s="3">
        <f t="shared" si="75"/>
        <v>9.2870000000000008</v>
      </c>
    </row>
    <row r="2428" spans="1:12" x14ac:dyDescent="0.3">
      <c r="A2428" s="2">
        <v>38945</v>
      </c>
      <c r="B2428" t="s">
        <v>13</v>
      </c>
      <c r="D2428" s="2">
        <v>39676</v>
      </c>
      <c r="E2428">
        <v>9</v>
      </c>
      <c r="G2428" s="2">
        <v>39676</v>
      </c>
      <c r="H2428">
        <v>9.2629999999999999</v>
      </c>
      <c r="J2428" s="2">
        <v>39683</v>
      </c>
      <c r="K2428" s="3">
        <f t="shared" si="74"/>
        <v>9</v>
      </c>
      <c r="L2428" s="3">
        <f t="shared" si="75"/>
        <v>9.2870000000000008</v>
      </c>
    </row>
    <row r="2429" spans="1:12" x14ac:dyDescent="0.3">
      <c r="A2429" s="2">
        <v>38946</v>
      </c>
      <c r="B2429" t="s">
        <v>13</v>
      </c>
      <c r="D2429" s="2">
        <v>39677</v>
      </c>
      <c r="E2429">
        <v>9</v>
      </c>
      <c r="G2429" s="2">
        <v>39677</v>
      </c>
      <c r="H2429">
        <v>9.2629999999999999</v>
      </c>
      <c r="J2429" s="2">
        <v>39684</v>
      </c>
      <c r="K2429" s="3">
        <f t="shared" si="74"/>
        <v>9</v>
      </c>
      <c r="L2429" s="3">
        <f t="shared" si="75"/>
        <v>9.2870000000000008</v>
      </c>
    </row>
    <row r="2430" spans="1:12" x14ac:dyDescent="0.3">
      <c r="A2430" s="2">
        <v>38947</v>
      </c>
      <c r="B2430" t="s">
        <v>13</v>
      </c>
      <c r="D2430" s="2">
        <v>39678</v>
      </c>
      <c r="E2430">
        <v>9</v>
      </c>
      <c r="G2430" s="2">
        <v>39678</v>
      </c>
      <c r="H2430">
        <v>9.3079999999999998</v>
      </c>
      <c r="J2430" s="2">
        <v>39685</v>
      </c>
      <c r="K2430" s="3">
        <f t="shared" si="74"/>
        <v>9</v>
      </c>
      <c r="L2430" s="3">
        <f t="shared" si="75"/>
        <v>9.2579999999999991</v>
      </c>
    </row>
    <row r="2431" spans="1:12" x14ac:dyDescent="0.3">
      <c r="A2431" s="2">
        <v>38948</v>
      </c>
      <c r="B2431" t="s">
        <v>13</v>
      </c>
      <c r="D2431" s="2">
        <v>39679</v>
      </c>
      <c r="E2431">
        <v>9</v>
      </c>
      <c r="G2431" s="2">
        <v>39679</v>
      </c>
      <c r="H2431">
        <v>9.3079999999999998</v>
      </c>
      <c r="J2431" s="2">
        <v>39686</v>
      </c>
      <c r="K2431" s="3">
        <f t="shared" si="74"/>
        <v>9</v>
      </c>
      <c r="L2431" s="3">
        <f t="shared" si="75"/>
        <v>9.2420000000000009</v>
      </c>
    </row>
    <row r="2432" spans="1:12" x14ac:dyDescent="0.3">
      <c r="A2432" s="2">
        <v>38949</v>
      </c>
      <c r="B2432" t="s">
        <v>13</v>
      </c>
      <c r="D2432" s="2">
        <v>39680</v>
      </c>
      <c r="E2432">
        <v>9</v>
      </c>
      <c r="G2432" s="2">
        <v>39680</v>
      </c>
      <c r="H2432">
        <v>9.2430000000000003</v>
      </c>
      <c r="J2432" s="2">
        <v>39687</v>
      </c>
      <c r="K2432" s="3">
        <f t="shared" si="74"/>
        <v>9</v>
      </c>
      <c r="L2432" s="3">
        <f t="shared" si="75"/>
        <v>9.2100000000000009</v>
      </c>
    </row>
    <row r="2433" spans="1:12" x14ac:dyDescent="0.3">
      <c r="A2433" s="2">
        <v>38950</v>
      </c>
      <c r="B2433" t="s">
        <v>13</v>
      </c>
      <c r="D2433" s="2">
        <v>39681</v>
      </c>
      <c r="E2433">
        <v>9</v>
      </c>
      <c r="G2433" s="2">
        <v>39681</v>
      </c>
      <c r="H2433">
        <v>9.2889999999999997</v>
      </c>
      <c r="J2433" s="2">
        <v>39688</v>
      </c>
      <c r="K2433" s="3">
        <f t="shared" si="74"/>
        <v>9</v>
      </c>
      <c r="L2433" s="3">
        <f t="shared" si="75"/>
        <v>9.1859999999999999</v>
      </c>
    </row>
    <row r="2434" spans="1:12" x14ac:dyDescent="0.3">
      <c r="A2434" s="2">
        <v>38951</v>
      </c>
      <c r="B2434" t="s">
        <v>13</v>
      </c>
      <c r="D2434" s="2">
        <v>39682</v>
      </c>
      <c r="E2434">
        <v>9</v>
      </c>
      <c r="G2434" s="2">
        <v>39682</v>
      </c>
      <c r="H2434">
        <v>9.2870000000000008</v>
      </c>
      <c r="J2434" s="2">
        <v>39689</v>
      </c>
      <c r="K2434" s="3">
        <f t="shared" si="74"/>
        <v>9</v>
      </c>
      <c r="L2434" s="3">
        <f t="shared" si="75"/>
        <v>9.1760000000000002</v>
      </c>
    </row>
    <row r="2435" spans="1:12" x14ac:dyDescent="0.3">
      <c r="A2435" s="2">
        <v>38952</v>
      </c>
      <c r="B2435" t="s">
        <v>13</v>
      </c>
      <c r="D2435" s="2">
        <v>39683</v>
      </c>
      <c r="E2435">
        <v>9</v>
      </c>
      <c r="G2435" s="2">
        <v>39683</v>
      </c>
      <c r="H2435">
        <v>9.2870000000000008</v>
      </c>
      <c r="J2435" s="2">
        <v>39690</v>
      </c>
      <c r="K2435" s="3">
        <f t="shared" ref="K2435:K2498" si="76">E2442</f>
        <v>9</v>
      </c>
      <c r="L2435" s="3">
        <f t="shared" ref="L2435:L2498" si="77">H2442</f>
        <v>9.1760000000000002</v>
      </c>
    </row>
    <row r="2436" spans="1:12" x14ac:dyDescent="0.3">
      <c r="A2436" s="2">
        <v>38953</v>
      </c>
      <c r="B2436" t="s">
        <v>13</v>
      </c>
      <c r="D2436" s="2">
        <v>39684</v>
      </c>
      <c r="E2436">
        <v>9</v>
      </c>
      <c r="G2436" s="2">
        <v>39684</v>
      </c>
      <c r="H2436">
        <v>9.2870000000000008</v>
      </c>
      <c r="J2436" s="2">
        <v>39691</v>
      </c>
      <c r="K2436" s="3">
        <f t="shared" si="76"/>
        <v>9</v>
      </c>
      <c r="L2436" s="3">
        <f t="shared" si="77"/>
        <v>9.1760000000000002</v>
      </c>
    </row>
    <row r="2437" spans="1:12" x14ac:dyDescent="0.3">
      <c r="A2437" s="2">
        <v>38954</v>
      </c>
      <c r="B2437" t="s">
        <v>13</v>
      </c>
      <c r="D2437" s="2">
        <v>39685</v>
      </c>
      <c r="E2437">
        <v>9</v>
      </c>
      <c r="G2437" s="2">
        <v>39685</v>
      </c>
      <c r="H2437">
        <v>9.2579999999999991</v>
      </c>
      <c r="J2437" s="2">
        <v>39692</v>
      </c>
      <c r="K2437" s="3">
        <f t="shared" si="76"/>
        <v>9</v>
      </c>
      <c r="L2437" s="3">
        <f t="shared" si="77"/>
        <v>9.1609999999999996</v>
      </c>
    </row>
    <row r="2438" spans="1:12" x14ac:dyDescent="0.3">
      <c r="A2438" s="2">
        <v>38955</v>
      </c>
      <c r="B2438" t="s">
        <v>13</v>
      </c>
      <c r="D2438" s="2">
        <v>39686</v>
      </c>
      <c r="E2438">
        <v>9</v>
      </c>
      <c r="G2438" s="2">
        <v>39686</v>
      </c>
      <c r="H2438">
        <v>9.2420000000000009</v>
      </c>
      <c r="J2438" s="2">
        <v>39693</v>
      </c>
      <c r="K2438" s="3">
        <f t="shared" si="76"/>
        <v>9</v>
      </c>
      <c r="L2438" s="3">
        <f t="shared" si="77"/>
        <v>9.0570000000000004</v>
      </c>
    </row>
    <row r="2439" spans="1:12" x14ac:dyDescent="0.3">
      <c r="A2439" s="2">
        <v>38956</v>
      </c>
      <c r="B2439" t="s">
        <v>13</v>
      </c>
      <c r="D2439" s="2">
        <v>39687</v>
      </c>
      <c r="E2439">
        <v>9</v>
      </c>
      <c r="G2439" s="2">
        <v>39687</v>
      </c>
      <c r="H2439">
        <v>9.2100000000000009</v>
      </c>
      <c r="J2439" s="2">
        <v>39694</v>
      </c>
      <c r="K2439" s="3">
        <f t="shared" si="76"/>
        <v>9</v>
      </c>
      <c r="L2439" s="3">
        <f t="shared" si="77"/>
        <v>9.0570000000000004</v>
      </c>
    </row>
    <row r="2440" spans="1:12" x14ac:dyDescent="0.3">
      <c r="A2440" s="2">
        <v>38957</v>
      </c>
      <c r="B2440" t="s">
        <v>13</v>
      </c>
      <c r="D2440" s="2">
        <v>39688</v>
      </c>
      <c r="E2440">
        <v>9</v>
      </c>
      <c r="G2440" s="2">
        <v>39688</v>
      </c>
      <c r="H2440">
        <v>9.1859999999999999</v>
      </c>
      <c r="J2440" s="2">
        <v>39695</v>
      </c>
      <c r="K2440" s="3">
        <f t="shared" si="76"/>
        <v>9</v>
      </c>
      <c r="L2440" s="3">
        <f t="shared" si="77"/>
        <v>8.9939999999999998</v>
      </c>
    </row>
    <row r="2441" spans="1:12" x14ac:dyDescent="0.3">
      <c r="A2441" s="2">
        <v>38958</v>
      </c>
      <c r="B2441" t="s">
        <v>13</v>
      </c>
      <c r="D2441" s="2">
        <v>39689</v>
      </c>
      <c r="E2441">
        <v>9</v>
      </c>
      <c r="G2441" s="2">
        <v>39689</v>
      </c>
      <c r="H2441">
        <v>9.1760000000000002</v>
      </c>
      <c r="J2441" s="2">
        <v>39696</v>
      </c>
      <c r="K2441" s="3">
        <f t="shared" si="76"/>
        <v>9</v>
      </c>
      <c r="L2441" s="3">
        <f t="shared" si="77"/>
        <v>9.0020000000000007</v>
      </c>
    </row>
    <row r="2442" spans="1:12" x14ac:dyDescent="0.3">
      <c r="A2442" s="2">
        <v>38959</v>
      </c>
      <c r="B2442" t="s">
        <v>13</v>
      </c>
      <c r="D2442" s="2">
        <v>39690</v>
      </c>
      <c r="E2442">
        <v>9</v>
      </c>
      <c r="G2442" s="2">
        <v>39690</v>
      </c>
      <c r="H2442">
        <v>9.1760000000000002</v>
      </c>
      <c r="J2442" s="2">
        <v>39697</v>
      </c>
      <c r="K2442" s="3">
        <f t="shared" si="76"/>
        <v>9</v>
      </c>
      <c r="L2442" s="3">
        <f t="shared" si="77"/>
        <v>9.0020000000000007</v>
      </c>
    </row>
    <row r="2443" spans="1:12" x14ac:dyDescent="0.3">
      <c r="A2443" s="2">
        <v>38960</v>
      </c>
      <c r="B2443" t="s">
        <v>13</v>
      </c>
      <c r="D2443" s="2">
        <v>39691</v>
      </c>
      <c r="E2443">
        <v>9</v>
      </c>
      <c r="G2443" s="2">
        <v>39691</v>
      </c>
      <c r="H2443">
        <v>9.1760000000000002</v>
      </c>
      <c r="J2443" s="2">
        <v>39698</v>
      </c>
      <c r="K2443" s="3">
        <f t="shared" si="76"/>
        <v>9</v>
      </c>
      <c r="L2443" s="3">
        <f t="shared" si="77"/>
        <v>9.0020000000000007</v>
      </c>
    </row>
    <row r="2444" spans="1:12" x14ac:dyDescent="0.3">
      <c r="A2444" s="2">
        <v>38961</v>
      </c>
      <c r="B2444" t="s">
        <v>13</v>
      </c>
      <c r="D2444" s="2">
        <v>39692</v>
      </c>
      <c r="E2444">
        <v>9</v>
      </c>
      <c r="G2444" s="2">
        <v>39692</v>
      </c>
      <c r="H2444">
        <v>9.1609999999999996</v>
      </c>
      <c r="J2444" s="2">
        <v>39699</v>
      </c>
      <c r="K2444" s="3">
        <f t="shared" si="76"/>
        <v>9</v>
      </c>
      <c r="L2444" s="3">
        <f t="shared" si="77"/>
        <v>8.8699999999999992</v>
      </c>
    </row>
    <row r="2445" spans="1:12" x14ac:dyDescent="0.3">
      <c r="A2445" s="2">
        <v>38962</v>
      </c>
      <c r="B2445" t="s">
        <v>13</v>
      </c>
      <c r="D2445" s="2">
        <v>39693</v>
      </c>
      <c r="E2445">
        <v>9</v>
      </c>
      <c r="G2445" s="2">
        <v>39693</v>
      </c>
      <c r="H2445">
        <v>9.0570000000000004</v>
      </c>
      <c r="J2445" s="2">
        <v>39700</v>
      </c>
      <c r="K2445" s="3">
        <f t="shared" si="76"/>
        <v>9</v>
      </c>
      <c r="L2445" s="3">
        <f t="shared" si="77"/>
        <v>8.8480000000000008</v>
      </c>
    </row>
    <row r="2446" spans="1:12" x14ac:dyDescent="0.3">
      <c r="A2446" s="2">
        <v>38963</v>
      </c>
      <c r="B2446" t="s">
        <v>13</v>
      </c>
      <c r="D2446" s="2">
        <v>39694</v>
      </c>
      <c r="E2446">
        <v>9</v>
      </c>
      <c r="G2446" s="2">
        <v>39694</v>
      </c>
      <c r="H2446">
        <v>9.0570000000000004</v>
      </c>
      <c r="J2446" s="2">
        <v>39701</v>
      </c>
      <c r="K2446" s="3">
        <f t="shared" si="76"/>
        <v>9</v>
      </c>
      <c r="L2446" s="3">
        <f t="shared" si="77"/>
        <v>8.84</v>
      </c>
    </row>
    <row r="2447" spans="1:12" x14ac:dyDescent="0.3">
      <c r="A2447" s="2">
        <v>38964</v>
      </c>
      <c r="B2447" t="s">
        <v>13</v>
      </c>
      <c r="D2447" s="2">
        <v>39695</v>
      </c>
      <c r="E2447">
        <v>9</v>
      </c>
      <c r="G2447" s="2">
        <v>39695</v>
      </c>
      <c r="H2447">
        <v>8.9939999999999998</v>
      </c>
      <c r="J2447" s="2">
        <v>39702</v>
      </c>
      <c r="K2447" s="3">
        <f t="shared" si="76"/>
        <v>9</v>
      </c>
      <c r="L2447" s="3">
        <f t="shared" si="77"/>
        <v>8.7750000000000004</v>
      </c>
    </row>
    <row r="2448" spans="1:12" x14ac:dyDescent="0.3">
      <c r="A2448" s="2">
        <v>38965</v>
      </c>
      <c r="B2448" t="s">
        <v>13</v>
      </c>
      <c r="D2448" s="2">
        <v>39696</v>
      </c>
      <c r="E2448">
        <v>9</v>
      </c>
      <c r="G2448" s="2">
        <v>39696</v>
      </c>
      <c r="H2448">
        <v>9.0020000000000007</v>
      </c>
      <c r="J2448" s="2">
        <v>39703</v>
      </c>
      <c r="K2448" s="3">
        <f t="shared" si="76"/>
        <v>9</v>
      </c>
      <c r="L2448" s="3">
        <f t="shared" si="77"/>
        <v>8.7050000000000001</v>
      </c>
    </row>
    <row r="2449" spans="1:12" x14ac:dyDescent="0.3">
      <c r="A2449" s="2">
        <v>38966</v>
      </c>
      <c r="B2449" t="s">
        <v>13</v>
      </c>
      <c r="D2449" s="2">
        <v>39697</v>
      </c>
      <c r="E2449">
        <v>9</v>
      </c>
      <c r="G2449" s="2">
        <v>39697</v>
      </c>
      <c r="H2449">
        <v>9.0020000000000007</v>
      </c>
      <c r="J2449" s="2">
        <v>39704</v>
      </c>
      <c r="K2449" s="3">
        <f t="shared" si="76"/>
        <v>9</v>
      </c>
      <c r="L2449" s="3">
        <f t="shared" si="77"/>
        <v>8.7050000000000001</v>
      </c>
    </row>
    <row r="2450" spans="1:12" x14ac:dyDescent="0.3">
      <c r="A2450" s="2">
        <v>38967</v>
      </c>
      <c r="B2450" t="s">
        <v>13</v>
      </c>
      <c r="D2450" s="2">
        <v>39698</v>
      </c>
      <c r="E2450">
        <v>9</v>
      </c>
      <c r="G2450" s="2">
        <v>39698</v>
      </c>
      <c r="H2450">
        <v>9.0020000000000007</v>
      </c>
      <c r="J2450" s="2">
        <v>39705</v>
      </c>
      <c r="K2450" s="3">
        <f t="shared" si="76"/>
        <v>9</v>
      </c>
      <c r="L2450" s="3">
        <f t="shared" si="77"/>
        <v>8.7050000000000001</v>
      </c>
    </row>
    <row r="2451" spans="1:12" x14ac:dyDescent="0.3">
      <c r="A2451" s="2">
        <v>38968</v>
      </c>
      <c r="B2451" t="s">
        <v>13</v>
      </c>
      <c r="D2451" s="2">
        <v>39699</v>
      </c>
      <c r="E2451">
        <v>9</v>
      </c>
      <c r="G2451" s="2">
        <v>39699</v>
      </c>
      <c r="H2451">
        <v>8.8699999999999992</v>
      </c>
      <c r="J2451" s="2">
        <v>39706</v>
      </c>
      <c r="K2451" s="3">
        <f t="shared" si="76"/>
        <v>9</v>
      </c>
      <c r="L2451" s="3">
        <f t="shared" si="77"/>
        <v>8.7360000000000007</v>
      </c>
    </row>
    <row r="2452" spans="1:12" x14ac:dyDescent="0.3">
      <c r="A2452" s="2">
        <v>38969</v>
      </c>
      <c r="B2452" t="s">
        <v>13</v>
      </c>
      <c r="D2452" s="2">
        <v>39700</v>
      </c>
      <c r="E2452">
        <v>9</v>
      </c>
      <c r="G2452" s="2">
        <v>39700</v>
      </c>
      <c r="H2452">
        <v>8.8480000000000008</v>
      </c>
      <c r="J2452" s="2">
        <v>39707</v>
      </c>
      <c r="K2452" s="3">
        <f t="shared" si="76"/>
        <v>9</v>
      </c>
      <c r="L2452" s="3">
        <f t="shared" si="77"/>
        <v>8.6080000000000005</v>
      </c>
    </row>
    <row r="2453" spans="1:12" x14ac:dyDescent="0.3">
      <c r="A2453" s="2">
        <v>38970</v>
      </c>
      <c r="B2453" t="s">
        <v>13</v>
      </c>
      <c r="D2453" s="2">
        <v>39701</v>
      </c>
      <c r="E2453">
        <v>9</v>
      </c>
      <c r="G2453" s="2">
        <v>39701</v>
      </c>
      <c r="H2453">
        <v>8.84</v>
      </c>
      <c r="J2453" s="2">
        <v>39708</v>
      </c>
      <c r="K2453" s="3">
        <f t="shared" si="76"/>
        <v>9</v>
      </c>
      <c r="L2453" s="3">
        <f t="shared" si="77"/>
        <v>8.5510000000000002</v>
      </c>
    </row>
    <row r="2454" spans="1:12" x14ac:dyDescent="0.3">
      <c r="A2454" s="2">
        <v>38971</v>
      </c>
      <c r="B2454" t="s">
        <v>13</v>
      </c>
      <c r="D2454" s="2">
        <v>39702</v>
      </c>
      <c r="E2454">
        <v>9</v>
      </c>
      <c r="G2454" s="2">
        <v>39702</v>
      </c>
      <c r="H2454">
        <v>8.7750000000000004</v>
      </c>
      <c r="J2454" s="2">
        <v>39709</v>
      </c>
      <c r="K2454" s="3">
        <f t="shared" si="76"/>
        <v>9</v>
      </c>
      <c r="L2454" s="3">
        <f t="shared" si="77"/>
        <v>8.734</v>
      </c>
    </row>
    <row r="2455" spans="1:12" x14ac:dyDescent="0.3">
      <c r="A2455" s="2">
        <v>38972</v>
      </c>
      <c r="B2455" t="s">
        <v>13</v>
      </c>
      <c r="D2455" s="2">
        <v>39703</v>
      </c>
      <c r="E2455">
        <v>9</v>
      </c>
      <c r="G2455" s="2">
        <v>39703</v>
      </c>
      <c r="H2455">
        <v>8.7050000000000001</v>
      </c>
      <c r="J2455" s="2">
        <v>39710</v>
      </c>
      <c r="K2455" s="3">
        <f t="shared" si="76"/>
        <v>9</v>
      </c>
      <c r="L2455" s="3">
        <f t="shared" si="77"/>
        <v>8.8520000000000003</v>
      </c>
    </row>
    <row r="2456" spans="1:12" x14ac:dyDescent="0.3">
      <c r="A2456" s="2">
        <v>38973</v>
      </c>
      <c r="B2456" t="s">
        <v>13</v>
      </c>
      <c r="D2456" s="2">
        <v>39704</v>
      </c>
      <c r="E2456">
        <v>9</v>
      </c>
      <c r="G2456" s="2">
        <v>39704</v>
      </c>
      <c r="H2456">
        <v>8.7050000000000001</v>
      </c>
      <c r="J2456" s="2">
        <v>39711</v>
      </c>
      <c r="K2456" s="3">
        <f t="shared" si="76"/>
        <v>9</v>
      </c>
      <c r="L2456" s="3">
        <f t="shared" si="77"/>
        <v>8.8520000000000003</v>
      </c>
    </row>
    <row r="2457" spans="1:12" x14ac:dyDescent="0.3">
      <c r="A2457" s="2">
        <v>38974</v>
      </c>
      <c r="B2457" t="s">
        <v>13</v>
      </c>
      <c r="D2457" s="2">
        <v>39705</v>
      </c>
      <c r="E2457">
        <v>9</v>
      </c>
      <c r="G2457" s="2">
        <v>39705</v>
      </c>
      <c r="H2457">
        <v>8.7050000000000001</v>
      </c>
      <c r="J2457" s="2">
        <v>39712</v>
      </c>
      <c r="K2457" s="3">
        <f t="shared" si="76"/>
        <v>9</v>
      </c>
      <c r="L2457" s="3">
        <f t="shared" si="77"/>
        <v>8.8520000000000003</v>
      </c>
    </row>
    <row r="2458" spans="1:12" x14ac:dyDescent="0.3">
      <c r="A2458" s="2">
        <v>38975</v>
      </c>
      <c r="B2458" t="s">
        <v>13</v>
      </c>
      <c r="D2458" s="2">
        <v>39706</v>
      </c>
      <c r="E2458">
        <v>9</v>
      </c>
      <c r="G2458" s="2">
        <v>39706</v>
      </c>
      <c r="H2458">
        <v>8.7360000000000007</v>
      </c>
      <c r="J2458" s="2">
        <v>39713</v>
      </c>
      <c r="K2458" s="3">
        <f t="shared" si="76"/>
        <v>9</v>
      </c>
      <c r="L2458" s="3">
        <f t="shared" si="77"/>
        <v>8.8640000000000008</v>
      </c>
    </row>
    <row r="2459" spans="1:12" x14ac:dyDescent="0.3">
      <c r="A2459" s="2">
        <v>38976</v>
      </c>
      <c r="B2459" t="s">
        <v>13</v>
      </c>
      <c r="D2459" s="2">
        <v>39707</v>
      </c>
      <c r="E2459">
        <v>9</v>
      </c>
      <c r="G2459" s="2">
        <v>39707</v>
      </c>
      <c r="H2459">
        <v>8.6080000000000005</v>
      </c>
      <c r="J2459" s="2">
        <v>39714</v>
      </c>
      <c r="K2459" s="3">
        <f t="shared" si="76"/>
        <v>9</v>
      </c>
      <c r="L2459" s="3">
        <f t="shared" si="77"/>
        <v>8.7959999999999994</v>
      </c>
    </row>
    <row r="2460" spans="1:12" x14ac:dyDescent="0.3">
      <c r="A2460" s="2">
        <v>38977</v>
      </c>
      <c r="B2460" t="s">
        <v>13</v>
      </c>
      <c r="D2460" s="2">
        <v>39708</v>
      </c>
      <c r="E2460">
        <v>9</v>
      </c>
      <c r="G2460" s="2">
        <v>39708</v>
      </c>
      <c r="H2460">
        <v>8.5510000000000002</v>
      </c>
      <c r="J2460" s="2">
        <v>39715</v>
      </c>
      <c r="K2460" s="3">
        <f t="shared" si="76"/>
        <v>9</v>
      </c>
      <c r="L2460" s="3">
        <f t="shared" si="77"/>
        <v>8.8420000000000005</v>
      </c>
    </row>
    <row r="2461" spans="1:12" x14ac:dyDescent="0.3">
      <c r="A2461" s="2">
        <v>38978</v>
      </c>
      <c r="B2461" t="s">
        <v>13</v>
      </c>
      <c r="D2461" s="2">
        <v>39709</v>
      </c>
      <c r="E2461">
        <v>9</v>
      </c>
      <c r="G2461" s="2">
        <v>39709</v>
      </c>
      <c r="H2461">
        <v>8.734</v>
      </c>
      <c r="J2461" s="2">
        <v>39716</v>
      </c>
      <c r="K2461" s="3">
        <f t="shared" si="76"/>
        <v>9</v>
      </c>
      <c r="L2461" s="3">
        <f t="shared" si="77"/>
        <v>8.7200000000000006</v>
      </c>
    </row>
    <row r="2462" spans="1:12" x14ac:dyDescent="0.3">
      <c r="A2462" s="2">
        <v>38979</v>
      </c>
      <c r="B2462" t="s">
        <v>13</v>
      </c>
      <c r="D2462" s="2">
        <v>39710</v>
      </c>
      <c r="E2462">
        <v>9</v>
      </c>
      <c r="G2462" s="2">
        <v>39710</v>
      </c>
      <c r="H2462">
        <v>8.8520000000000003</v>
      </c>
      <c r="J2462" s="2">
        <v>39717</v>
      </c>
      <c r="K2462" s="3">
        <f t="shared" si="76"/>
        <v>9</v>
      </c>
      <c r="L2462" s="3">
        <f t="shared" si="77"/>
        <v>8.7219999999999995</v>
      </c>
    </row>
    <row r="2463" spans="1:12" x14ac:dyDescent="0.3">
      <c r="A2463" s="2">
        <v>38980</v>
      </c>
      <c r="B2463" t="s">
        <v>13</v>
      </c>
      <c r="D2463" s="2">
        <v>39711</v>
      </c>
      <c r="E2463">
        <v>9</v>
      </c>
      <c r="G2463" s="2">
        <v>39711</v>
      </c>
      <c r="H2463">
        <v>8.8520000000000003</v>
      </c>
      <c r="J2463" s="2">
        <v>39718</v>
      </c>
      <c r="K2463" s="3">
        <f t="shared" si="76"/>
        <v>9</v>
      </c>
      <c r="L2463" s="3">
        <f t="shared" si="77"/>
        <v>8.7219999999999995</v>
      </c>
    </row>
    <row r="2464" spans="1:12" x14ac:dyDescent="0.3">
      <c r="A2464" s="2">
        <v>38981</v>
      </c>
      <c r="B2464" t="s">
        <v>13</v>
      </c>
      <c r="D2464" s="2">
        <v>39712</v>
      </c>
      <c r="E2464">
        <v>9</v>
      </c>
      <c r="G2464" s="2">
        <v>39712</v>
      </c>
      <c r="H2464">
        <v>8.8520000000000003</v>
      </c>
      <c r="J2464" s="2">
        <v>39719</v>
      </c>
      <c r="K2464" s="3">
        <f t="shared" si="76"/>
        <v>9</v>
      </c>
      <c r="L2464" s="3">
        <f t="shared" si="77"/>
        <v>8.7219999999999995</v>
      </c>
    </row>
    <row r="2465" spans="1:12" x14ac:dyDescent="0.3">
      <c r="A2465" s="2">
        <v>38982</v>
      </c>
      <c r="B2465" t="s">
        <v>13</v>
      </c>
      <c r="D2465" s="2">
        <v>39713</v>
      </c>
      <c r="E2465">
        <v>9</v>
      </c>
      <c r="G2465" s="2">
        <v>39713</v>
      </c>
      <c r="H2465">
        <v>8.8640000000000008</v>
      </c>
      <c r="J2465" s="2">
        <v>39720</v>
      </c>
      <c r="K2465" s="3">
        <f t="shared" si="76"/>
        <v>9</v>
      </c>
      <c r="L2465" s="3">
        <f t="shared" si="77"/>
        <v>8.7230000000000008</v>
      </c>
    </row>
    <row r="2466" spans="1:12" x14ac:dyDescent="0.3">
      <c r="A2466" s="2">
        <v>38983</v>
      </c>
      <c r="B2466" t="s">
        <v>13</v>
      </c>
      <c r="D2466" s="2">
        <v>39714</v>
      </c>
      <c r="E2466">
        <v>9</v>
      </c>
      <c r="G2466" s="2">
        <v>39714</v>
      </c>
      <c r="H2466">
        <v>8.7959999999999994</v>
      </c>
      <c r="J2466" s="2">
        <v>39721</v>
      </c>
      <c r="K2466" s="3">
        <f t="shared" si="76"/>
        <v>9</v>
      </c>
      <c r="L2466" s="3">
        <f t="shared" si="77"/>
        <v>8.7230000000000008</v>
      </c>
    </row>
    <row r="2467" spans="1:12" x14ac:dyDescent="0.3">
      <c r="A2467" s="2">
        <v>38984</v>
      </c>
      <c r="B2467" t="s">
        <v>13</v>
      </c>
      <c r="D2467" s="2">
        <v>39715</v>
      </c>
      <c r="E2467">
        <v>9</v>
      </c>
      <c r="G2467" s="2">
        <v>39715</v>
      </c>
      <c r="H2467">
        <v>8.8420000000000005</v>
      </c>
      <c r="J2467" s="2">
        <v>39722</v>
      </c>
      <c r="K2467" s="3">
        <f t="shared" si="76"/>
        <v>9</v>
      </c>
      <c r="L2467" s="3">
        <f t="shared" si="77"/>
        <v>9.0540000000000003</v>
      </c>
    </row>
    <row r="2468" spans="1:12" x14ac:dyDescent="0.3">
      <c r="A2468" s="2">
        <v>38985</v>
      </c>
      <c r="B2468" t="s">
        <v>13</v>
      </c>
      <c r="D2468" s="2">
        <v>39716</v>
      </c>
      <c r="E2468">
        <v>9</v>
      </c>
      <c r="G2468" s="2">
        <v>39716</v>
      </c>
      <c r="H2468">
        <v>8.7200000000000006</v>
      </c>
      <c r="J2468" s="2">
        <v>39723</v>
      </c>
      <c r="K2468" s="3">
        <f t="shared" si="76"/>
        <v>9</v>
      </c>
      <c r="L2468" s="3">
        <f t="shared" si="77"/>
        <v>9.0540000000000003</v>
      </c>
    </row>
    <row r="2469" spans="1:12" x14ac:dyDescent="0.3">
      <c r="A2469" s="2">
        <v>38986</v>
      </c>
      <c r="B2469" t="s">
        <v>13</v>
      </c>
      <c r="D2469" s="2">
        <v>39717</v>
      </c>
      <c r="E2469">
        <v>9</v>
      </c>
      <c r="G2469" s="2">
        <v>39717</v>
      </c>
      <c r="H2469">
        <v>8.7219999999999995</v>
      </c>
      <c r="J2469" s="2">
        <v>39724</v>
      </c>
      <c r="K2469" s="3">
        <f t="shared" si="76"/>
        <v>9</v>
      </c>
      <c r="L2469" s="3">
        <f t="shared" si="77"/>
        <v>8.7680000000000007</v>
      </c>
    </row>
    <row r="2470" spans="1:12" x14ac:dyDescent="0.3">
      <c r="A2470" s="2">
        <v>38987</v>
      </c>
      <c r="B2470" t="s">
        <v>13</v>
      </c>
      <c r="D2470" s="2">
        <v>39718</v>
      </c>
      <c r="E2470">
        <v>9</v>
      </c>
      <c r="G2470" s="2">
        <v>39718</v>
      </c>
      <c r="H2470">
        <v>8.7219999999999995</v>
      </c>
      <c r="J2470" s="2">
        <v>39725</v>
      </c>
      <c r="K2470" s="3">
        <f t="shared" si="76"/>
        <v>9</v>
      </c>
      <c r="L2470" s="3">
        <f t="shared" si="77"/>
        <v>8.7680000000000007</v>
      </c>
    </row>
    <row r="2471" spans="1:12" x14ac:dyDescent="0.3">
      <c r="A2471" s="2">
        <v>38988</v>
      </c>
      <c r="B2471" t="s">
        <v>13</v>
      </c>
      <c r="D2471" s="2">
        <v>39719</v>
      </c>
      <c r="E2471">
        <v>9</v>
      </c>
      <c r="G2471" s="2">
        <v>39719</v>
      </c>
      <c r="H2471">
        <v>8.7219999999999995</v>
      </c>
      <c r="J2471" s="2">
        <v>39726</v>
      </c>
      <c r="K2471" s="3">
        <f t="shared" si="76"/>
        <v>9</v>
      </c>
      <c r="L2471" s="3">
        <f t="shared" si="77"/>
        <v>8.7680000000000007</v>
      </c>
    </row>
    <row r="2472" spans="1:12" x14ac:dyDescent="0.3">
      <c r="A2472" s="2">
        <v>38989</v>
      </c>
      <c r="B2472" t="s">
        <v>13</v>
      </c>
      <c r="D2472" s="2">
        <v>39720</v>
      </c>
      <c r="E2472">
        <v>9</v>
      </c>
      <c r="G2472" s="2">
        <v>39720</v>
      </c>
      <c r="H2472">
        <v>8.7230000000000008</v>
      </c>
      <c r="J2472" s="2">
        <v>39727</v>
      </c>
      <c r="K2472" s="3">
        <f t="shared" si="76"/>
        <v>9</v>
      </c>
      <c r="L2472" s="3">
        <f t="shared" si="77"/>
        <v>8.5299999999999994</v>
      </c>
    </row>
    <row r="2473" spans="1:12" x14ac:dyDescent="0.3">
      <c r="A2473" s="2">
        <v>38990</v>
      </c>
      <c r="B2473" t="s">
        <v>13</v>
      </c>
      <c r="D2473" s="2">
        <v>39721</v>
      </c>
      <c r="E2473">
        <v>9</v>
      </c>
      <c r="G2473" s="2">
        <v>39721</v>
      </c>
      <c r="H2473">
        <v>8.7230000000000008</v>
      </c>
      <c r="J2473" s="2">
        <v>39728</v>
      </c>
      <c r="K2473" s="3">
        <f t="shared" si="76"/>
        <v>9</v>
      </c>
      <c r="L2473" s="3">
        <f t="shared" si="77"/>
        <v>8.2949999999999999</v>
      </c>
    </row>
    <row r="2474" spans="1:12" x14ac:dyDescent="0.3">
      <c r="A2474" s="2">
        <v>38991</v>
      </c>
      <c r="B2474" t="s">
        <v>13</v>
      </c>
      <c r="D2474" s="2">
        <v>39722</v>
      </c>
      <c r="E2474">
        <v>9</v>
      </c>
      <c r="G2474" s="2">
        <v>39722</v>
      </c>
      <c r="H2474">
        <v>9.0540000000000003</v>
      </c>
      <c r="J2474" s="2">
        <v>39729</v>
      </c>
      <c r="K2474" s="3">
        <f t="shared" si="76"/>
        <v>9</v>
      </c>
      <c r="L2474" s="3">
        <f t="shared" si="77"/>
        <v>8.2859999999999996</v>
      </c>
    </row>
    <row r="2475" spans="1:12" x14ac:dyDescent="0.3">
      <c r="A2475" s="2">
        <v>38992</v>
      </c>
      <c r="B2475" t="s">
        <v>13</v>
      </c>
      <c r="D2475" s="2">
        <v>39723</v>
      </c>
      <c r="E2475">
        <v>9</v>
      </c>
      <c r="G2475" s="2">
        <v>39723</v>
      </c>
      <c r="H2475">
        <v>9.0540000000000003</v>
      </c>
      <c r="J2475" s="2">
        <v>39730</v>
      </c>
      <c r="K2475" s="3">
        <f t="shared" si="76"/>
        <v>9</v>
      </c>
      <c r="L2475" s="3">
        <f t="shared" si="77"/>
        <v>8.2859999999999996</v>
      </c>
    </row>
    <row r="2476" spans="1:12" x14ac:dyDescent="0.3">
      <c r="A2476" s="2">
        <v>38993</v>
      </c>
      <c r="B2476" t="s">
        <v>13</v>
      </c>
      <c r="D2476" s="2">
        <v>39724</v>
      </c>
      <c r="E2476">
        <v>9</v>
      </c>
      <c r="G2476" s="2">
        <v>39724</v>
      </c>
      <c r="H2476">
        <v>8.7680000000000007</v>
      </c>
      <c r="J2476" s="2">
        <v>39731</v>
      </c>
      <c r="K2476" s="3">
        <f t="shared" si="76"/>
        <v>9</v>
      </c>
      <c r="L2476" s="3">
        <f t="shared" si="77"/>
        <v>7.9359999999999999</v>
      </c>
    </row>
    <row r="2477" spans="1:12" x14ac:dyDescent="0.3">
      <c r="A2477" s="2">
        <v>38994</v>
      </c>
      <c r="B2477" t="s">
        <v>13</v>
      </c>
      <c r="D2477" s="2">
        <v>39725</v>
      </c>
      <c r="E2477">
        <v>9</v>
      </c>
      <c r="G2477" s="2">
        <v>39725</v>
      </c>
      <c r="H2477">
        <v>8.7680000000000007</v>
      </c>
      <c r="J2477" s="2">
        <v>39732</v>
      </c>
      <c r="K2477" s="3">
        <f t="shared" si="76"/>
        <v>9</v>
      </c>
      <c r="L2477" s="3">
        <f t="shared" si="77"/>
        <v>7.9359999999999999</v>
      </c>
    </row>
    <row r="2478" spans="1:12" x14ac:dyDescent="0.3">
      <c r="A2478" s="2">
        <v>38995</v>
      </c>
      <c r="B2478" t="s">
        <v>13</v>
      </c>
      <c r="D2478" s="2">
        <v>39726</v>
      </c>
      <c r="E2478">
        <v>9</v>
      </c>
      <c r="G2478" s="2">
        <v>39726</v>
      </c>
      <c r="H2478">
        <v>8.7680000000000007</v>
      </c>
      <c r="J2478" s="2">
        <v>39733</v>
      </c>
      <c r="K2478" s="3">
        <f t="shared" si="76"/>
        <v>9</v>
      </c>
      <c r="L2478" s="3">
        <f t="shared" si="77"/>
        <v>7.9359999999999999</v>
      </c>
    </row>
    <row r="2479" spans="1:12" x14ac:dyDescent="0.3">
      <c r="A2479" s="2">
        <v>38996</v>
      </c>
      <c r="B2479" t="s">
        <v>13</v>
      </c>
      <c r="D2479" s="2">
        <v>39727</v>
      </c>
      <c r="E2479">
        <v>9</v>
      </c>
      <c r="G2479" s="2">
        <v>39727</v>
      </c>
      <c r="H2479">
        <v>8.5299999999999994</v>
      </c>
      <c r="J2479" s="2">
        <v>39734</v>
      </c>
      <c r="K2479" s="3">
        <f t="shared" si="76"/>
        <v>9</v>
      </c>
      <c r="L2479" s="3">
        <f t="shared" si="77"/>
        <v>7.7389999999999999</v>
      </c>
    </row>
    <row r="2480" spans="1:12" x14ac:dyDescent="0.3">
      <c r="A2480" s="2">
        <v>38997</v>
      </c>
      <c r="B2480" t="s">
        <v>13</v>
      </c>
      <c r="D2480" s="2">
        <v>39728</v>
      </c>
      <c r="E2480">
        <v>9</v>
      </c>
      <c r="G2480" s="2">
        <v>39728</v>
      </c>
      <c r="H2480">
        <v>8.2949999999999999</v>
      </c>
      <c r="J2480" s="2">
        <v>39735</v>
      </c>
      <c r="K2480" s="3">
        <f t="shared" si="76"/>
        <v>9</v>
      </c>
      <c r="L2480" s="3">
        <f t="shared" si="77"/>
        <v>8.1739999999999995</v>
      </c>
    </row>
    <row r="2481" spans="1:12" x14ac:dyDescent="0.3">
      <c r="A2481" s="2">
        <v>38998</v>
      </c>
      <c r="B2481" t="s">
        <v>13</v>
      </c>
      <c r="D2481" s="2">
        <v>39729</v>
      </c>
      <c r="E2481">
        <v>9</v>
      </c>
      <c r="G2481" s="2">
        <v>39729</v>
      </c>
      <c r="H2481">
        <v>8.2859999999999996</v>
      </c>
      <c r="J2481" s="2">
        <v>39736</v>
      </c>
      <c r="K2481" s="3">
        <f t="shared" si="76"/>
        <v>9</v>
      </c>
      <c r="L2481" s="3">
        <f t="shared" si="77"/>
        <v>8.1080000000000005</v>
      </c>
    </row>
    <row r="2482" spans="1:12" x14ac:dyDescent="0.3">
      <c r="A2482" s="2">
        <v>38999</v>
      </c>
      <c r="B2482" t="s">
        <v>13</v>
      </c>
      <c r="D2482" s="2">
        <v>39730</v>
      </c>
      <c r="E2482">
        <v>9</v>
      </c>
      <c r="G2482" s="2">
        <v>39730</v>
      </c>
      <c r="H2482">
        <v>8.2859999999999996</v>
      </c>
      <c r="J2482" s="2">
        <v>39737</v>
      </c>
      <c r="K2482" s="3">
        <f t="shared" si="76"/>
        <v>9</v>
      </c>
      <c r="L2482" s="3">
        <f t="shared" si="77"/>
        <v>7.6689999999999996</v>
      </c>
    </row>
    <row r="2483" spans="1:12" x14ac:dyDescent="0.3">
      <c r="A2483" s="2">
        <v>39000</v>
      </c>
      <c r="B2483" t="s">
        <v>13</v>
      </c>
      <c r="D2483" s="2">
        <v>39731</v>
      </c>
      <c r="E2483">
        <v>9</v>
      </c>
      <c r="G2483" s="2">
        <v>39731</v>
      </c>
      <c r="H2483">
        <v>7.9359999999999999</v>
      </c>
      <c r="J2483" s="2">
        <v>39738</v>
      </c>
      <c r="K2483" s="3">
        <f t="shared" si="76"/>
        <v>9</v>
      </c>
      <c r="L2483" s="3">
        <f t="shared" si="77"/>
        <v>7.6550000000000002</v>
      </c>
    </row>
    <row r="2484" spans="1:12" x14ac:dyDescent="0.3">
      <c r="A2484" s="2">
        <v>39001</v>
      </c>
      <c r="B2484" t="s">
        <v>13</v>
      </c>
      <c r="D2484" s="2">
        <v>39732</v>
      </c>
      <c r="E2484">
        <v>9</v>
      </c>
      <c r="G2484" s="2">
        <v>39732</v>
      </c>
      <c r="H2484">
        <v>7.9359999999999999</v>
      </c>
      <c r="J2484" s="2">
        <v>39739</v>
      </c>
      <c r="K2484" s="3">
        <f t="shared" si="76"/>
        <v>9</v>
      </c>
      <c r="L2484" s="3">
        <f t="shared" si="77"/>
        <v>7.6550000000000002</v>
      </c>
    </row>
    <row r="2485" spans="1:12" x14ac:dyDescent="0.3">
      <c r="A2485" s="2">
        <v>39002</v>
      </c>
      <c r="B2485" t="s">
        <v>13</v>
      </c>
      <c r="D2485" s="2">
        <v>39733</v>
      </c>
      <c r="E2485">
        <v>9</v>
      </c>
      <c r="G2485" s="2">
        <v>39733</v>
      </c>
      <c r="H2485">
        <v>7.9359999999999999</v>
      </c>
      <c r="J2485" s="2">
        <v>39740</v>
      </c>
      <c r="K2485" s="3">
        <f t="shared" si="76"/>
        <v>9</v>
      </c>
      <c r="L2485" s="3">
        <f t="shared" si="77"/>
        <v>7.6550000000000002</v>
      </c>
    </row>
    <row r="2486" spans="1:12" x14ac:dyDescent="0.3">
      <c r="A2486" s="2">
        <v>39003</v>
      </c>
      <c r="B2486" t="s">
        <v>13</v>
      </c>
      <c r="D2486" s="2">
        <v>39734</v>
      </c>
      <c r="E2486">
        <v>9</v>
      </c>
      <c r="G2486" s="2">
        <v>39734</v>
      </c>
      <c r="H2486">
        <v>7.7389999999999999</v>
      </c>
      <c r="J2486" s="2">
        <v>39741</v>
      </c>
      <c r="K2486" s="3">
        <f t="shared" si="76"/>
        <v>8</v>
      </c>
      <c r="L2486" s="3">
        <f t="shared" si="77"/>
        <v>7.4619999999999997</v>
      </c>
    </row>
    <row r="2487" spans="1:12" x14ac:dyDescent="0.3">
      <c r="A2487" s="2">
        <v>39004</v>
      </c>
      <c r="B2487" t="s">
        <v>13</v>
      </c>
      <c r="D2487" s="2">
        <v>39735</v>
      </c>
      <c r="E2487">
        <v>9</v>
      </c>
      <c r="G2487" s="2">
        <v>39735</v>
      </c>
      <c r="H2487">
        <v>8.1739999999999995</v>
      </c>
      <c r="J2487" s="2">
        <v>39742</v>
      </c>
      <c r="K2487" s="3">
        <f t="shared" si="76"/>
        <v>8</v>
      </c>
      <c r="L2487" s="3">
        <f t="shared" si="77"/>
        <v>7.4619999999999997</v>
      </c>
    </row>
    <row r="2488" spans="1:12" x14ac:dyDescent="0.3">
      <c r="A2488" s="2">
        <v>39005</v>
      </c>
      <c r="B2488" t="s">
        <v>13</v>
      </c>
      <c r="D2488" s="2">
        <v>39736</v>
      </c>
      <c r="E2488">
        <v>9</v>
      </c>
      <c r="G2488" s="2">
        <v>39736</v>
      </c>
      <c r="H2488">
        <v>8.1080000000000005</v>
      </c>
      <c r="J2488" s="2">
        <v>39743</v>
      </c>
      <c r="K2488" s="3">
        <f t="shared" si="76"/>
        <v>8</v>
      </c>
      <c r="L2488" s="3">
        <f t="shared" si="77"/>
        <v>7.4219999999999997</v>
      </c>
    </row>
    <row r="2489" spans="1:12" x14ac:dyDescent="0.3">
      <c r="A2489" s="2">
        <v>39006</v>
      </c>
      <c r="B2489" t="s">
        <v>13</v>
      </c>
      <c r="D2489" s="2">
        <v>39737</v>
      </c>
      <c r="E2489">
        <v>9</v>
      </c>
      <c r="G2489" s="2">
        <v>39737</v>
      </c>
      <c r="H2489">
        <v>7.6689999999999996</v>
      </c>
      <c r="J2489" s="2">
        <v>39744</v>
      </c>
      <c r="K2489" s="3">
        <f t="shared" si="76"/>
        <v>8</v>
      </c>
      <c r="L2489" s="3">
        <f t="shared" si="77"/>
        <v>7.2720000000000002</v>
      </c>
    </row>
    <row r="2490" spans="1:12" x14ac:dyDescent="0.3">
      <c r="A2490" s="2">
        <v>39007</v>
      </c>
      <c r="B2490" t="s">
        <v>13</v>
      </c>
      <c r="D2490" s="2">
        <v>39738</v>
      </c>
      <c r="E2490">
        <v>9</v>
      </c>
      <c r="G2490" s="2">
        <v>39738</v>
      </c>
      <c r="H2490">
        <v>7.6550000000000002</v>
      </c>
      <c r="J2490" s="2">
        <v>39745</v>
      </c>
      <c r="K2490" s="3">
        <f t="shared" si="76"/>
        <v>8</v>
      </c>
      <c r="L2490" s="3">
        <f t="shared" si="77"/>
        <v>7.367</v>
      </c>
    </row>
    <row r="2491" spans="1:12" x14ac:dyDescent="0.3">
      <c r="A2491" s="2">
        <v>39008</v>
      </c>
      <c r="B2491" t="s">
        <v>13</v>
      </c>
      <c r="D2491" s="2">
        <v>39739</v>
      </c>
      <c r="E2491">
        <v>9</v>
      </c>
      <c r="G2491" s="2">
        <v>39739</v>
      </c>
      <c r="H2491">
        <v>7.6550000000000002</v>
      </c>
      <c r="J2491" s="2">
        <v>39746</v>
      </c>
      <c r="K2491" s="3">
        <f t="shared" si="76"/>
        <v>8</v>
      </c>
      <c r="L2491" s="3">
        <f t="shared" si="77"/>
        <v>7.367</v>
      </c>
    </row>
    <row r="2492" spans="1:12" x14ac:dyDescent="0.3">
      <c r="A2492" s="2">
        <v>39009</v>
      </c>
      <c r="B2492" t="s">
        <v>13</v>
      </c>
      <c r="D2492" s="2">
        <v>39740</v>
      </c>
      <c r="E2492">
        <v>9</v>
      </c>
      <c r="G2492" s="2">
        <v>39740</v>
      </c>
      <c r="H2492">
        <v>7.6550000000000002</v>
      </c>
      <c r="J2492" s="2">
        <v>39747</v>
      </c>
      <c r="K2492" s="3">
        <f t="shared" si="76"/>
        <v>8</v>
      </c>
      <c r="L2492" s="3">
        <f t="shared" si="77"/>
        <v>7.367</v>
      </c>
    </row>
    <row r="2493" spans="1:12" x14ac:dyDescent="0.3">
      <c r="A2493" s="2">
        <v>39010</v>
      </c>
      <c r="B2493" t="s">
        <v>13</v>
      </c>
      <c r="D2493" s="2">
        <v>39741</v>
      </c>
      <c r="E2493">
        <v>8</v>
      </c>
      <c r="G2493" s="2">
        <v>39741</v>
      </c>
      <c r="H2493">
        <v>7.4619999999999997</v>
      </c>
      <c r="J2493" s="2">
        <v>39748</v>
      </c>
      <c r="K2493" s="3">
        <f t="shared" si="76"/>
        <v>8</v>
      </c>
      <c r="L2493" s="3">
        <f t="shared" si="77"/>
        <v>7.335</v>
      </c>
    </row>
    <row r="2494" spans="1:12" x14ac:dyDescent="0.3">
      <c r="A2494" s="2">
        <v>39011</v>
      </c>
      <c r="B2494" t="s">
        <v>13</v>
      </c>
      <c r="D2494" s="2">
        <v>39742</v>
      </c>
      <c r="E2494">
        <v>8</v>
      </c>
      <c r="G2494" s="2">
        <v>39742</v>
      </c>
      <c r="H2494">
        <v>7.4619999999999997</v>
      </c>
      <c r="J2494" s="2">
        <v>39749</v>
      </c>
      <c r="K2494" s="3">
        <f t="shared" si="76"/>
        <v>8</v>
      </c>
      <c r="L2494" s="3">
        <f t="shared" si="77"/>
        <v>7.335</v>
      </c>
    </row>
    <row r="2495" spans="1:12" x14ac:dyDescent="0.3">
      <c r="A2495" s="2">
        <v>39012</v>
      </c>
      <c r="B2495" t="s">
        <v>13</v>
      </c>
      <c r="D2495" s="2">
        <v>39743</v>
      </c>
      <c r="E2495">
        <v>8</v>
      </c>
      <c r="G2495" s="2">
        <v>39743</v>
      </c>
      <c r="H2495">
        <v>7.4219999999999997</v>
      </c>
      <c r="J2495" s="2">
        <v>39750</v>
      </c>
      <c r="K2495" s="3">
        <f t="shared" si="76"/>
        <v>8</v>
      </c>
      <c r="L2495" s="3">
        <f t="shared" si="77"/>
        <v>7.31</v>
      </c>
    </row>
    <row r="2496" spans="1:12" x14ac:dyDescent="0.3">
      <c r="A2496" s="2">
        <v>39013</v>
      </c>
      <c r="B2496" t="s">
        <v>13</v>
      </c>
      <c r="D2496" s="2">
        <v>39744</v>
      </c>
      <c r="E2496">
        <v>8</v>
      </c>
      <c r="G2496" s="2">
        <v>39744</v>
      </c>
      <c r="H2496">
        <v>7.2720000000000002</v>
      </c>
      <c r="J2496" s="2">
        <v>39751</v>
      </c>
      <c r="K2496" s="3">
        <f t="shared" si="76"/>
        <v>8</v>
      </c>
      <c r="L2496" s="3">
        <f t="shared" si="77"/>
        <v>7.31</v>
      </c>
    </row>
    <row r="2497" spans="1:12" x14ac:dyDescent="0.3">
      <c r="A2497" s="2">
        <v>39014</v>
      </c>
      <c r="B2497" t="s">
        <v>13</v>
      </c>
      <c r="D2497" s="2">
        <v>39745</v>
      </c>
      <c r="E2497">
        <v>8</v>
      </c>
      <c r="G2497" s="2">
        <v>39745</v>
      </c>
      <c r="H2497">
        <v>7.367</v>
      </c>
      <c r="J2497" s="2">
        <v>39752</v>
      </c>
      <c r="K2497" s="3">
        <f t="shared" si="76"/>
        <v>8</v>
      </c>
      <c r="L2497" s="3">
        <f t="shared" si="77"/>
        <v>7.274</v>
      </c>
    </row>
    <row r="2498" spans="1:12" x14ac:dyDescent="0.3">
      <c r="A2498" s="2">
        <v>39015</v>
      </c>
      <c r="B2498" t="s">
        <v>13</v>
      </c>
      <c r="D2498" s="2">
        <v>39746</v>
      </c>
      <c r="E2498">
        <v>8</v>
      </c>
      <c r="G2498" s="2">
        <v>39746</v>
      </c>
      <c r="H2498">
        <v>7.367</v>
      </c>
      <c r="J2498" s="2">
        <v>39753</v>
      </c>
      <c r="K2498" s="3">
        <f t="shared" si="76"/>
        <v>8</v>
      </c>
      <c r="L2498" s="3">
        <f t="shared" si="77"/>
        <v>7.274</v>
      </c>
    </row>
    <row r="2499" spans="1:12" x14ac:dyDescent="0.3">
      <c r="A2499" s="2">
        <v>39016</v>
      </c>
      <c r="B2499" t="s">
        <v>13</v>
      </c>
      <c r="D2499" s="2">
        <v>39747</v>
      </c>
      <c r="E2499">
        <v>8</v>
      </c>
      <c r="G2499" s="2">
        <v>39747</v>
      </c>
      <c r="H2499">
        <v>7.367</v>
      </c>
      <c r="J2499" s="2">
        <v>39754</v>
      </c>
      <c r="K2499" s="3">
        <f t="shared" ref="K2499:K2562" si="78">E2506</f>
        <v>8</v>
      </c>
      <c r="L2499" s="3">
        <f t="shared" ref="L2499:L2562" si="79">H2506</f>
        <v>7.274</v>
      </c>
    </row>
    <row r="2500" spans="1:12" x14ac:dyDescent="0.3">
      <c r="A2500" s="2">
        <v>39017</v>
      </c>
      <c r="B2500" t="s">
        <v>13</v>
      </c>
      <c r="D2500" s="2">
        <v>39748</v>
      </c>
      <c r="E2500">
        <v>8</v>
      </c>
      <c r="G2500" s="2">
        <v>39748</v>
      </c>
      <c r="H2500">
        <v>7.335</v>
      </c>
      <c r="J2500" s="2">
        <v>39755</v>
      </c>
      <c r="K2500" s="3">
        <f t="shared" si="78"/>
        <v>7.5</v>
      </c>
      <c r="L2500" s="3">
        <f t="shared" si="79"/>
        <v>7.3470000000000004</v>
      </c>
    </row>
    <row r="2501" spans="1:12" x14ac:dyDescent="0.3">
      <c r="A2501" s="2">
        <v>39018</v>
      </c>
      <c r="B2501" t="s">
        <v>13</v>
      </c>
      <c r="D2501" s="2">
        <v>39749</v>
      </c>
      <c r="E2501">
        <v>8</v>
      </c>
      <c r="G2501" s="2">
        <v>39749</v>
      </c>
      <c r="H2501">
        <v>7.335</v>
      </c>
      <c r="J2501" s="2">
        <v>39756</v>
      </c>
      <c r="K2501" s="3">
        <f t="shared" si="78"/>
        <v>7.5</v>
      </c>
      <c r="L2501" s="3">
        <f t="shared" si="79"/>
        <v>7.1630000000000003</v>
      </c>
    </row>
    <row r="2502" spans="1:12" x14ac:dyDescent="0.3">
      <c r="A2502" s="2">
        <v>39019</v>
      </c>
      <c r="B2502" t="s">
        <v>13</v>
      </c>
      <c r="D2502" s="2">
        <v>39750</v>
      </c>
      <c r="E2502">
        <v>8</v>
      </c>
      <c r="G2502" s="2">
        <v>39750</v>
      </c>
      <c r="H2502">
        <v>7.31</v>
      </c>
      <c r="J2502" s="2">
        <v>39757</v>
      </c>
      <c r="K2502" s="3">
        <f t="shared" si="78"/>
        <v>7.5</v>
      </c>
      <c r="L2502" s="3">
        <f t="shared" si="79"/>
        <v>7.1539999999999999</v>
      </c>
    </row>
    <row r="2503" spans="1:12" x14ac:dyDescent="0.3">
      <c r="A2503" s="2">
        <v>39020</v>
      </c>
      <c r="B2503" t="s">
        <v>13</v>
      </c>
      <c r="D2503" s="2">
        <v>39751</v>
      </c>
      <c r="E2503">
        <v>8</v>
      </c>
      <c r="G2503" s="2">
        <v>39751</v>
      </c>
      <c r="H2503">
        <v>7.31</v>
      </c>
      <c r="J2503" s="2">
        <v>39758</v>
      </c>
      <c r="K2503" s="3">
        <f t="shared" si="78"/>
        <v>7.5</v>
      </c>
      <c r="L2503" s="3">
        <f t="shared" si="79"/>
        <v>7.0919999999999996</v>
      </c>
    </row>
    <row r="2504" spans="1:12" x14ac:dyDescent="0.3">
      <c r="A2504" s="2">
        <v>39021</v>
      </c>
      <c r="B2504" t="s">
        <v>13</v>
      </c>
      <c r="D2504" s="2">
        <v>39752</v>
      </c>
      <c r="E2504">
        <v>8</v>
      </c>
      <c r="G2504" s="2">
        <v>39752</v>
      </c>
      <c r="H2504">
        <v>7.274</v>
      </c>
      <c r="J2504" s="2">
        <v>39759</v>
      </c>
      <c r="K2504" s="3">
        <f t="shared" si="78"/>
        <v>7.5</v>
      </c>
      <c r="L2504" s="3">
        <f t="shared" si="79"/>
        <v>7.0019999999999998</v>
      </c>
    </row>
    <row r="2505" spans="1:12" x14ac:dyDescent="0.3">
      <c r="A2505" s="2">
        <v>39022</v>
      </c>
      <c r="B2505" t="s">
        <v>13</v>
      </c>
      <c r="D2505" s="2">
        <v>39753</v>
      </c>
      <c r="E2505">
        <v>8</v>
      </c>
      <c r="G2505" s="2">
        <v>39753</v>
      </c>
      <c r="H2505">
        <v>7.274</v>
      </c>
      <c r="J2505" s="2">
        <v>39760</v>
      </c>
      <c r="K2505" s="3">
        <f t="shared" si="78"/>
        <v>7.5</v>
      </c>
      <c r="L2505" s="3">
        <f t="shared" si="79"/>
        <v>7.0019999999999998</v>
      </c>
    </row>
    <row r="2506" spans="1:12" x14ac:dyDescent="0.3">
      <c r="A2506" s="2">
        <v>39023</v>
      </c>
      <c r="B2506" t="s">
        <v>13</v>
      </c>
      <c r="D2506" s="2">
        <v>39754</v>
      </c>
      <c r="E2506">
        <v>8</v>
      </c>
      <c r="G2506" s="2">
        <v>39754</v>
      </c>
      <c r="H2506">
        <v>7.274</v>
      </c>
      <c r="J2506" s="2">
        <v>39761</v>
      </c>
      <c r="K2506" s="3">
        <f t="shared" si="78"/>
        <v>7.5</v>
      </c>
      <c r="L2506" s="3">
        <f t="shared" si="79"/>
        <v>7.0019999999999998</v>
      </c>
    </row>
    <row r="2507" spans="1:12" x14ac:dyDescent="0.3">
      <c r="A2507" s="2">
        <v>39024</v>
      </c>
      <c r="B2507" t="s">
        <v>13</v>
      </c>
      <c r="D2507" s="2">
        <v>39755</v>
      </c>
      <c r="E2507">
        <v>7.5</v>
      </c>
      <c r="G2507" s="2">
        <v>39755</v>
      </c>
      <c r="H2507">
        <v>7.3470000000000004</v>
      </c>
      <c r="J2507" s="2">
        <v>39762</v>
      </c>
      <c r="K2507" s="3">
        <f t="shared" si="78"/>
        <v>7.5</v>
      </c>
      <c r="L2507" s="3">
        <f t="shared" si="79"/>
        <v>7.0919999999999996</v>
      </c>
    </row>
    <row r="2508" spans="1:12" x14ac:dyDescent="0.3">
      <c r="A2508" s="2">
        <v>39025</v>
      </c>
      <c r="B2508" t="s">
        <v>13</v>
      </c>
      <c r="D2508" s="2">
        <v>39756</v>
      </c>
      <c r="E2508">
        <v>7.5</v>
      </c>
      <c r="G2508" s="2">
        <v>39756</v>
      </c>
      <c r="H2508">
        <v>7.1630000000000003</v>
      </c>
      <c r="J2508" s="2">
        <v>39763</v>
      </c>
      <c r="K2508" s="3">
        <f t="shared" si="78"/>
        <v>7.5</v>
      </c>
      <c r="L2508" s="3">
        <f t="shared" si="79"/>
        <v>6.9560000000000004</v>
      </c>
    </row>
    <row r="2509" spans="1:12" x14ac:dyDescent="0.3">
      <c r="A2509" s="2">
        <v>39026</v>
      </c>
      <c r="B2509" t="s">
        <v>13</v>
      </c>
      <c r="D2509" s="2">
        <v>39757</v>
      </c>
      <c r="E2509">
        <v>7.5</v>
      </c>
      <c r="G2509" s="2">
        <v>39757</v>
      </c>
      <c r="H2509">
        <v>7.1539999999999999</v>
      </c>
      <c r="J2509" s="2">
        <v>39764</v>
      </c>
      <c r="K2509" s="3">
        <f t="shared" si="78"/>
        <v>7.5</v>
      </c>
      <c r="L2509" s="3">
        <f t="shared" si="79"/>
        <v>6.9720000000000004</v>
      </c>
    </row>
    <row r="2510" spans="1:12" x14ac:dyDescent="0.3">
      <c r="A2510" s="2">
        <v>39027</v>
      </c>
      <c r="B2510" t="s">
        <v>13</v>
      </c>
      <c r="D2510" s="2">
        <v>39758</v>
      </c>
      <c r="E2510">
        <v>7.5</v>
      </c>
      <c r="G2510" s="2">
        <v>39758</v>
      </c>
      <c r="H2510">
        <v>7.0919999999999996</v>
      </c>
      <c r="J2510" s="2">
        <v>39765</v>
      </c>
      <c r="K2510" s="3">
        <f t="shared" si="78"/>
        <v>7.5</v>
      </c>
      <c r="L2510" s="3">
        <f t="shared" si="79"/>
        <v>6.9720000000000004</v>
      </c>
    </row>
    <row r="2511" spans="1:12" x14ac:dyDescent="0.3">
      <c r="A2511" s="2">
        <v>39028</v>
      </c>
      <c r="B2511" t="s">
        <v>13</v>
      </c>
      <c r="D2511" s="2">
        <v>39759</v>
      </c>
      <c r="E2511">
        <v>7.5</v>
      </c>
      <c r="G2511" s="2">
        <v>39759</v>
      </c>
      <c r="H2511">
        <v>7.0019999999999998</v>
      </c>
      <c r="J2511" s="2">
        <v>39766</v>
      </c>
      <c r="K2511" s="3">
        <f t="shared" si="78"/>
        <v>7.5</v>
      </c>
      <c r="L2511" s="3">
        <f t="shared" si="79"/>
        <v>6.9050000000000002</v>
      </c>
    </row>
    <row r="2512" spans="1:12" x14ac:dyDescent="0.3">
      <c r="A2512" s="2">
        <v>39029</v>
      </c>
      <c r="B2512" t="s">
        <v>13</v>
      </c>
      <c r="D2512" s="2">
        <v>39760</v>
      </c>
      <c r="E2512">
        <v>7.5</v>
      </c>
      <c r="G2512" s="2">
        <v>39760</v>
      </c>
      <c r="H2512">
        <v>7.0019999999999998</v>
      </c>
      <c r="J2512" s="2">
        <v>39767</v>
      </c>
      <c r="K2512" s="3">
        <f t="shared" si="78"/>
        <v>7.5</v>
      </c>
      <c r="L2512" s="3">
        <f t="shared" si="79"/>
        <v>6.9050000000000002</v>
      </c>
    </row>
    <row r="2513" spans="1:12" x14ac:dyDescent="0.3">
      <c r="A2513" s="2">
        <v>39030</v>
      </c>
      <c r="B2513" t="s">
        <v>13</v>
      </c>
      <c r="D2513" s="2">
        <v>39761</v>
      </c>
      <c r="E2513">
        <v>7.5</v>
      </c>
      <c r="G2513" s="2">
        <v>39761</v>
      </c>
      <c r="H2513">
        <v>7.0019999999999998</v>
      </c>
      <c r="J2513" s="2">
        <v>39768</v>
      </c>
      <c r="K2513" s="3">
        <f t="shared" si="78"/>
        <v>7.5</v>
      </c>
      <c r="L2513" s="3">
        <f t="shared" si="79"/>
        <v>6.9050000000000002</v>
      </c>
    </row>
    <row r="2514" spans="1:12" x14ac:dyDescent="0.3">
      <c r="A2514" s="2">
        <v>39031</v>
      </c>
      <c r="B2514" t="s">
        <v>13</v>
      </c>
      <c r="D2514" s="2">
        <v>39762</v>
      </c>
      <c r="E2514">
        <v>7.5</v>
      </c>
      <c r="G2514" s="2">
        <v>39762</v>
      </c>
      <c r="H2514">
        <v>7.0919999999999996</v>
      </c>
      <c r="J2514" s="2">
        <v>39769</v>
      </c>
      <c r="K2514" s="3">
        <f t="shared" si="78"/>
        <v>7.5</v>
      </c>
      <c r="L2514" s="3">
        <f t="shared" si="79"/>
        <v>7.01</v>
      </c>
    </row>
    <row r="2515" spans="1:12" x14ac:dyDescent="0.3">
      <c r="A2515" s="2">
        <v>39032</v>
      </c>
      <c r="B2515" t="s">
        <v>13</v>
      </c>
      <c r="D2515" s="2">
        <v>39763</v>
      </c>
      <c r="E2515">
        <v>7.5</v>
      </c>
      <c r="G2515" s="2">
        <v>39763</v>
      </c>
      <c r="H2515">
        <v>6.9560000000000004</v>
      </c>
      <c r="J2515" s="2">
        <v>39770</v>
      </c>
      <c r="K2515" s="3">
        <f t="shared" si="78"/>
        <v>7.5</v>
      </c>
      <c r="L2515" s="3">
        <f t="shared" si="79"/>
        <v>7.0030000000000001</v>
      </c>
    </row>
    <row r="2516" spans="1:12" x14ac:dyDescent="0.3">
      <c r="A2516" s="2">
        <v>39033</v>
      </c>
      <c r="B2516" t="s">
        <v>13</v>
      </c>
      <c r="D2516" s="2">
        <v>39764</v>
      </c>
      <c r="E2516">
        <v>7.5</v>
      </c>
      <c r="G2516" s="2">
        <v>39764</v>
      </c>
      <c r="H2516">
        <v>6.9720000000000004</v>
      </c>
      <c r="J2516" s="2">
        <v>39771</v>
      </c>
      <c r="K2516" s="3">
        <f t="shared" si="78"/>
        <v>7.5</v>
      </c>
      <c r="L2516" s="3">
        <f t="shared" si="79"/>
        <v>6.9770000000000003</v>
      </c>
    </row>
    <row r="2517" spans="1:12" x14ac:dyDescent="0.3">
      <c r="A2517" s="2">
        <v>39034</v>
      </c>
      <c r="B2517" t="s">
        <v>13</v>
      </c>
      <c r="D2517" s="2">
        <v>39765</v>
      </c>
      <c r="E2517">
        <v>7.5</v>
      </c>
      <c r="G2517" s="2">
        <v>39765</v>
      </c>
      <c r="H2517">
        <v>6.9720000000000004</v>
      </c>
      <c r="J2517" s="2">
        <v>39772</v>
      </c>
      <c r="K2517" s="3">
        <f t="shared" si="78"/>
        <v>7.5</v>
      </c>
      <c r="L2517" s="3">
        <f t="shared" si="79"/>
        <v>6.883</v>
      </c>
    </row>
    <row r="2518" spans="1:12" x14ac:dyDescent="0.3">
      <c r="A2518" s="2">
        <v>39035</v>
      </c>
      <c r="B2518" t="s">
        <v>13</v>
      </c>
      <c r="D2518" s="2">
        <v>39766</v>
      </c>
      <c r="E2518">
        <v>7.5</v>
      </c>
      <c r="G2518" s="2">
        <v>39766</v>
      </c>
      <c r="H2518">
        <v>6.9050000000000002</v>
      </c>
      <c r="J2518" s="2">
        <v>39773</v>
      </c>
      <c r="K2518" s="3">
        <f t="shared" si="78"/>
        <v>7.5</v>
      </c>
      <c r="L2518" s="3">
        <f t="shared" si="79"/>
        <v>6.8540000000000001</v>
      </c>
    </row>
    <row r="2519" spans="1:12" x14ac:dyDescent="0.3">
      <c r="A2519" s="2">
        <v>39036</v>
      </c>
      <c r="B2519" t="s">
        <v>13</v>
      </c>
      <c r="D2519" s="2">
        <v>39767</v>
      </c>
      <c r="E2519">
        <v>7.5</v>
      </c>
      <c r="G2519" s="2">
        <v>39767</v>
      </c>
      <c r="H2519">
        <v>6.9050000000000002</v>
      </c>
      <c r="J2519" s="2">
        <v>39774</v>
      </c>
      <c r="K2519" s="3">
        <f t="shared" si="78"/>
        <v>7.5</v>
      </c>
      <c r="L2519" s="3">
        <f t="shared" si="79"/>
        <v>6.8540000000000001</v>
      </c>
    </row>
    <row r="2520" spans="1:12" x14ac:dyDescent="0.3">
      <c r="A2520" s="2">
        <v>39037</v>
      </c>
      <c r="B2520" t="s">
        <v>13</v>
      </c>
      <c r="D2520" s="2">
        <v>39768</v>
      </c>
      <c r="E2520">
        <v>7.5</v>
      </c>
      <c r="G2520" s="2">
        <v>39768</v>
      </c>
      <c r="H2520">
        <v>6.9050000000000002</v>
      </c>
      <c r="J2520" s="2">
        <v>39775</v>
      </c>
      <c r="K2520" s="3">
        <f t="shared" si="78"/>
        <v>7.5</v>
      </c>
      <c r="L2520" s="3">
        <f t="shared" si="79"/>
        <v>6.8540000000000001</v>
      </c>
    </row>
    <row r="2521" spans="1:12" x14ac:dyDescent="0.3">
      <c r="A2521" s="2">
        <v>39038</v>
      </c>
      <c r="B2521" t="s">
        <v>13</v>
      </c>
      <c r="D2521" s="2">
        <v>39769</v>
      </c>
      <c r="E2521">
        <v>7.5</v>
      </c>
      <c r="G2521" s="2">
        <v>39769</v>
      </c>
      <c r="H2521">
        <v>7.01</v>
      </c>
      <c r="J2521" s="2">
        <v>39776</v>
      </c>
      <c r="K2521" s="3">
        <f t="shared" si="78"/>
        <v>7.5</v>
      </c>
      <c r="L2521" s="3">
        <f t="shared" si="79"/>
        <v>6.9139999999999997</v>
      </c>
    </row>
    <row r="2522" spans="1:12" x14ac:dyDescent="0.3">
      <c r="A2522" s="2">
        <v>39039</v>
      </c>
      <c r="B2522" t="s">
        <v>13</v>
      </c>
      <c r="D2522" s="2">
        <v>39770</v>
      </c>
      <c r="E2522">
        <v>7.5</v>
      </c>
      <c r="G2522" s="2">
        <v>39770</v>
      </c>
      <c r="H2522">
        <v>7.0030000000000001</v>
      </c>
      <c r="J2522" s="2">
        <v>39777</v>
      </c>
      <c r="K2522" s="3">
        <f t="shared" si="78"/>
        <v>7.5</v>
      </c>
      <c r="L2522" s="3">
        <f t="shared" si="79"/>
        <v>6.9660000000000002</v>
      </c>
    </row>
    <row r="2523" spans="1:12" x14ac:dyDescent="0.3">
      <c r="A2523" s="2">
        <v>39040</v>
      </c>
      <c r="B2523" t="s">
        <v>13</v>
      </c>
      <c r="D2523" s="2">
        <v>39771</v>
      </c>
      <c r="E2523">
        <v>7.5</v>
      </c>
      <c r="G2523" s="2">
        <v>39771</v>
      </c>
      <c r="H2523">
        <v>6.9770000000000003</v>
      </c>
      <c r="J2523" s="2">
        <v>39778</v>
      </c>
      <c r="K2523" s="3">
        <f t="shared" si="78"/>
        <v>7.5</v>
      </c>
      <c r="L2523" s="3">
        <f t="shared" si="79"/>
        <v>7.0549999999999997</v>
      </c>
    </row>
    <row r="2524" spans="1:12" x14ac:dyDescent="0.3">
      <c r="A2524" s="2">
        <v>39041</v>
      </c>
      <c r="B2524" t="s">
        <v>13</v>
      </c>
      <c r="D2524" s="2">
        <v>39772</v>
      </c>
      <c r="E2524">
        <v>7.5</v>
      </c>
      <c r="G2524" s="2">
        <v>39772</v>
      </c>
      <c r="H2524">
        <v>6.883</v>
      </c>
      <c r="J2524" s="2">
        <v>39779</v>
      </c>
      <c r="K2524" s="3">
        <f t="shared" si="78"/>
        <v>7.5</v>
      </c>
      <c r="L2524" s="3">
        <f t="shared" si="79"/>
        <v>7.0549999999999997</v>
      </c>
    </row>
    <row r="2525" spans="1:12" x14ac:dyDescent="0.3">
      <c r="A2525" s="2">
        <v>39042</v>
      </c>
      <c r="B2525" t="s">
        <v>13</v>
      </c>
      <c r="D2525" s="2">
        <v>39773</v>
      </c>
      <c r="E2525">
        <v>7.5</v>
      </c>
      <c r="G2525" s="2">
        <v>39773</v>
      </c>
      <c r="H2525">
        <v>6.8540000000000001</v>
      </c>
      <c r="J2525" s="2">
        <v>39780</v>
      </c>
      <c r="K2525" s="3">
        <f t="shared" si="78"/>
        <v>7.5</v>
      </c>
      <c r="L2525" s="3">
        <f t="shared" si="79"/>
        <v>7.093</v>
      </c>
    </row>
    <row r="2526" spans="1:12" x14ac:dyDescent="0.3">
      <c r="A2526" s="2">
        <v>39043</v>
      </c>
      <c r="B2526" t="s">
        <v>13</v>
      </c>
      <c r="D2526" s="2">
        <v>39774</v>
      </c>
      <c r="E2526">
        <v>7.5</v>
      </c>
      <c r="G2526" s="2">
        <v>39774</v>
      </c>
      <c r="H2526">
        <v>6.8540000000000001</v>
      </c>
      <c r="J2526" s="2">
        <v>39781</v>
      </c>
      <c r="K2526" s="3">
        <f t="shared" si="78"/>
        <v>7.5</v>
      </c>
      <c r="L2526" s="3">
        <f t="shared" si="79"/>
        <v>7.093</v>
      </c>
    </row>
    <row r="2527" spans="1:12" x14ac:dyDescent="0.3">
      <c r="A2527" s="2">
        <v>39044</v>
      </c>
      <c r="B2527" t="s">
        <v>13</v>
      </c>
      <c r="D2527" s="2">
        <v>39775</v>
      </c>
      <c r="E2527">
        <v>7.5</v>
      </c>
      <c r="G2527" s="2">
        <v>39775</v>
      </c>
      <c r="H2527">
        <v>6.8540000000000001</v>
      </c>
      <c r="J2527" s="2">
        <v>39782</v>
      </c>
      <c r="K2527" s="3">
        <f t="shared" si="78"/>
        <v>7.5</v>
      </c>
      <c r="L2527" s="3">
        <f t="shared" si="79"/>
        <v>7.093</v>
      </c>
    </row>
    <row r="2528" spans="1:12" x14ac:dyDescent="0.3">
      <c r="A2528" s="2">
        <v>39045</v>
      </c>
      <c r="B2528" t="s">
        <v>13</v>
      </c>
      <c r="D2528" s="2">
        <v>39776</v>
      </c>
      <c r="E2528">
        <v>7.5</v>
      </c>
      <c r="G2528" s="2">
        <v>39776</v>
      </c>
      <c r="H2528">
        <v>6.9139999999999997</v>
      </c>
      <c r="J2528" s="2">
        <v>39783</v>
      </c>
      <c r="K2528" s="3">
        <f t="shared" si="78"/>
        <v>7.5</v>
      </c>
      <c r="L2528" s="3">
        <f t="shared" si="79"/>
        <v>7.0670000000000002</v>
      </c>
    </row>
    <row r="2529" spans="1:12" x14ac:dyDescent="0.3">
      <c r="A2529" s="2">
        <v>39046</v>
      </c>
      <c r="B2529" t="s">
        <v>13</v>
      </c>
      <c r="D2529" s="2">
        <v>39777</v>
      </c>
      <c r="E2529">
        <v>7.5</v>
      </c>
      <c r="G2529" s="2">
        <v>39777</v>
      </c>
      <c r="H2529">
        <v>6.9660000000000002</v>
      </c>
      <c r="J2529" s="2">
        <v>39784</v>
      </c>
      <c r="K2529" s="3">
        <f t="shared" si="78"/>
        <v>7.5</v>
      </c>
      <c r="L2529" s="3">
        <f t="shared" si="79"/>
        <v>6.9379999999999997</v>
      </c>
    </row>
    <row r="2530" spans="1:12" x14ac:dyDescent="0.3">
      <c r="A2530" s="2">
        <v>39047</v>
      </c>
      <c r="B2530" t="s">
        <v>13</v>
      </c>
      <c r="D2530" s="2">
        <v>39778</v>
      </c>
      <c r="E2530">
        <v>7.5</v>
      </c>
      <c r="G2530" s="2">
        <v>39778</v>
      </c>
      <c r="H2530">
        <v>7.0549999999999997</v>
      </c>
      <c r="J2530" s="2">
        <v>39785</v>
      </c>
      <c r="K2530" s="3">
        <f t="shared" si="78"/>
        <v>7.5</v>
      </c>
      <c r="L2530" s="3">
        <f t="shared" si="79"/>
        <v>6.6340000000000003</v>
      </c>
    </row>
    <row r="2531" spans="1:12" x14ac:dyDescent="0.3">
      <c r="A2531" s="2">
        <v>39048</v>
      </c>
      <c r="B2531" t="s">
        <v>13</v>
      </c>
      <c r="D2531" s="2">
        <v>39779</v>
      </c>
      <c r="E2531">
        <v>7.5</v>
      </c>
      <c r="G2531" s="2">
        <v>39779</v>
      </c>
      <c r="H2531">
        <v>7.0549999999999997</v>
      </c>
      <c r="J2531" s="2">
        <v>39786</v>
      </c>
      <c r="K2531" s="3">
        <f t="shared" si="78"/>
        <v>7.5</v>
      </c>
      <c r="L2531" s="3">
        <f t="shared" si="79"/>
        <v>6.516</v>
      </c>
    </row>
    <row r="2532" spans="1:12" x14ac:dyDescent="0.3">
      <c r="A2532" s="2">
        <v>39049</v>
      </c>
      <c r="B2532" t="s">
        <v>13</v>
      </c>
      <c r="D2532" s="2">
        <v>39780</v>
      </c>
      <c r="E2532">
        <v>7.5</v>
      </c>
      <c r="G2532" s="2">
        <v>39780</v>
      </c>
      <c r="H2532">
        <v>7.093</v>
      </c>
      <c r="J2532" s="2">
        <v>39787</v>
      </c>
      <c r="K2532" s="3">
        <f t="shared" si="78"/>
        <v>7.5</v>
      </c>
      <c r="L2532" s="3">
        <f t="shared" si="79"/>
        <v>6.4029999999999996</v>
      </c>
    </row>
    <row r="2533" spans="1:12" x14ac:dyDescent="0.3">
      <c r="A2533" s="2">
        <v>39050</v>
      </c>
      <c r="B2533" t="s">
        <v>13</v>
      </c>
      <c r="D2533" s="2">
        <v>39781</v>
      </c>
      <c r="E2533">
        <v>7.5</v>
      </c>
      <c r="G2533" s="2">
        <v>39781</v>
      </c>
      <c r="H2533">
        <v>7.093</v>
      </c>
      <c r="J2533" s="2">
        <v>39788</v>
      </c>
      <c r="K2533" s="3">
        <f t="shared" si="78"/>
        <v>7.5</v>
      </c>
      <c r="L2533" s="3">
        <f t="shared" si="79"/>
        <v>6.4029999999999996</v>
      </c>
    </row>
    <row r="2534" spans="1:12" x14ac:dyDescent="0.3">
      <c r="A2534" s="2">
        <v>39051</v>
      </c>
      <c r="B2534" t="s">
        <v>13</v>
      </c>
      <c r="D2534" s="2">
        <v>39782</v>
      </c>
      <c r="E2534">
        <v>7.5</v>
      </c>
      <c r="G2534" s="2">
        <v>39782</v>
      </c>
      <c r="H2534">
        <v>7.093</v>
      </c>
      <c r="J2534" s="2">
        <v>39789</v>
      </c>
      <c r="K2534" s="3">
        <f t="shared" si="78"/>
        <v>7.5</v>
      </c>
      <c r="L2534" s="3">
        <f t="shared" si="79"/>
        <v>6.4029999999999996</v>
      </c>
    </row>
    <row r="2535" spans="1:12" x14ac:dyDescent="0.3">
      <c r="A2535" s="2">
        <v>39052</v>
      </c>
      <c r="B2535" t="s">
        <v>13</v>
      </c>
      <c r="D2535" s="2">
        <v>39783</v>
      </c>
      <c r="E2535">
        <v>7.5</v>
      </c>
      <c r="G2535" s="2">
        <v>39783</v>
      </c>
      <c r="H2535">
        <v>7.0670000000000002</v>
      </c>
      <c r="J2535" s="2">
        <v>39790</v>
      </c>
      <c r="K2535" s="3">
        <f t="shared" si="78"/>
        <v>6.5</v>
      </c>
      <c r="L2535" s="3">
        <f t="shared" si="79"/>
        <v>6.085</v>
      </c>
    </row>
    <row r="2536" spans="1:12" x14ac:dyDescent="0.3">
      <c r="A2536" s="2">
        <v>39053</v>
      </c>
      <c r="B2536" t="s">
        <v>13</v>
      </c>
      <c r="D2536" s="2">
        <v>39784</v>
      </c>
      <c r="E2536">
        <v>7.5</v>
      </c>
      <c r="G2536" s="2">
        <v>39784</v>
      </c>
      <c r="H2536">
        <v>6.9379999999999997</v>
      </c>
      <c r="J2536" s="2">
        <v>39791</v>
      </c>
      <c r="K2536" s="3">
        <f t="shared" si="78"/>
        <v>6.5</v>
      </c>
      <c r="L2536" s="3">
        <f t="shared" si="79"/>
        <v>6.085</v>
      </c>
    </row>
    <row r="2537" spans="1:12" x14ac:dyDescent="0.3">
      <c r="A2537" s="2">
        <v>39054</v>
      </c>
      <c r="B2537" t="s">
        <v>13</v>
      </c>
      <c r="D2537" s="2">
        <v>39785</v>
      </c>
      <c r="E2537">
        <v>7.5</v>
      </c>
      <c r="G2537" s="2">
        <v>39785</v>
      </c>
      <c r="H2537">
        <v>6.6340000000000003</v>
      </c>
      <c r="J2537" s="2">
        <v>39792</v>
      </c>
      <c r="K2537" s="3">
        <f t="shared" si="78"/>
        <v>6.5</v>
      </c>
      <c r="L2537" s="3">
        <f t="shared" si="79"/>
        <v>5.8070000000000004</v>
      </c>
    </row>
    <row r="2538" spans="1:12" x14ac:dyDescent="0.3">
      <c r="A2538" s="2">
        <v>39055</v>
      </c>
      <c r="B2538" t="s">
        <v>13</v>
      </c>
      <c r="D2538" s="2">
        <v>39786</v>
      </c>
      <c r="E2538">
        <v>7.5</v>
      </c>
      <c r="G2538" s="2">
        <v>39786</v>
      </c>
      <c r="H2538">
        <v>6.516</v>
      </c>
      <c r="J2538" s="2">
        <v>39793</v>
      </c>
      <c r="K2538" s="3">
        <f t="shared" si="78"/>
        <v>6.5</v>
      </c>
      <c r="L2538" s="3">
        <f t="shared" si="79"/>
        <v>5.657</v>
      </c>
    </row>
    <row r="2539" spans="1:12" x14ac:dyDescent="0.3">
      <c r="A2539" s="2">
        <v>39056</v>
      </c>
      <c r="B2539" t="s">
        <v>13</v>
      </c>
      <c r="D2539" s="2">
        <v>39787</v>
      </c>
      <c r="E2539">
        <v>7.5</v>
      </c>
      <c r="G2539" s="2">
        <v>39787</v>
      </c>
      <c r="H2539">
        <v>6.4029999999999996</v>
      </c>
      <c r="J2539" s="2">
        <v>39794</v>
      </c>
      <c r="K2539" s="3">
        <f t="shared" si="78"/>
        <v>6.5</v>
      </c>
      <c r="L2539" s="3">
        <f t="shared" si="79"/>
        <v>5.3819999999999997</v>
      </c>
    </row>
    <row r="2540" spans="1:12" x14ac:dyDescent="0.3">
      <c r="A2540" s="2">
        <v>39057</v>
      </c>
      <c r="B2540" t="s">
        <v>13</v>
      </c>
      <c r="D2540" s="2">
        <v>39788</v>
      </c>
      <c r="E2540">
        <v>7.5</v>
      </c>
      <c r="G2540" s="2">
        <v>39788</v>
      </c>
      <c r="H2540">
        <v>6.4029999999999996</v>
      </c>
      <c r="J2540" s="2">
        <v>39795</v>
      </c>
      <c r="K2540" s="3">
        <f t="shared" si="78"/>
        <v>6.5</v>
      </c>
      <c r="L2540" s="3">
        <f t="shared" si="79"/>
        <v>5.3819999999999997</v>
      </c>
    </row>
    <row r="2541" spans="1:12" x14ac:dyDescent="0.3">
      <c r="A2541" s="2">
        <v>39058</v>
      </c>
      <c r="B2541" t="s">
        <v>13</v>
      </c>
      <c r="D2541" s="2">
        <v>39789</v>
      </c>
      <c r="E2541">
        <v>7.5</v>
      </c>
      <c r="G2541" s="2">
        <v>39789</v>
      </c>
      <c r="H2541">
        <v>6.4029999999999996</v>
      </c>
      <c r="J2541" s="2">
        <v>39796</v>
      </c>
      <c r="K2541" s="3">
        <f t="shared" si="78"/>
        <v>6.5</v>
      </c>
      <c r="L2541" s="3">
        <f t="shared" si="79"/>
        <v>5.3819999999999997</v>
      </c>
    </row>
    <row r="2542" spans="1:12" x14ac:dyDescent="0.3">
      <c r="A2542" s="2">
        <v>39059</v>
      </c>
      <c r="B2542" t="s">
        <v>13</v>
      </c>
      <c r="D2542" s="2">
        <v>39790</v>
      </c>
      <c r="E2542">
        <v>6.5</v>
      </c>
      <c r="G2542" s="2">
        <v>39790</v>
      </c>
      <c r="H2542">
        <v>6.085</v>
      </c>
      <c r="J2542" s="2">
        <v>39797</v>
      </c>
      <c r="K2542" s="3">
        <f t="shared" si="78"/>
        <v>6.5</v>
      </c>
      <c r="L2542" s="3">
        <f t="shared" si="79"/>
        <v>5.5209999999999999</v>
      </c>
    </row>
    <row r="2543" spans="1:12" x14ac:dyDescent="0.3">
      <c r="A2543" s="2">
        <v>39060</v>
      </c>
      <c r="B2543" t="s">
        <v>13</v>
      </c>
      <c r="D2543" s="2">
        <v>39791</v>
      </c>
      <c r="E2543">
        <v>6.5</v>
      </c>
      <c r="G2543" s="2">
        <v>39791</v>
      </c>
      <c r="H2543">
        <v>6.085</v>
      </c>
      <c r="J2543" s="2">
        <v>39798</v>
      </c>
      <c r="K2543" s="3">
        <f t="shared" si="78"/>
        <v>6.5</v>
      </c>
      <c r="L2543" s="3">
        <f t="shared" si="79"/>
        <v>5.4859999999999998</v>
      </c>
    </row>
    <row r="2544" spans="1:12" x14ac:dyDescent="0.3">
      <c r="A2544" s="2">
        <v>39061</v>
      </c>
      <c r="B2544" t="s">
        <v>13</v>
      </c>
      <c r="D2544" s="2">
        <v>39792</v>
      </c>
      <c r="E2544">
        <v>6.5</v>
      </c>
      <c r="G2544" s="2">
        <v>39792</v>
      </c>
      <c r="H2544">
        <v>5.8070000000000004</v>
      </c>
      <c r="J2544" s="2">
        <v>39799</v>
      </c>
      <c r="K2544" s="3">
        <f t="shared" si="78"/>
        <v>6.5</v>
      </c>
      <c r="L2544" s="3">
        <f t="shared" si="79"/>
        <v>5.4690000000000003</v>
      </c>
    </row>
    <row r="2545" spans="1:12" x14ac:dyDescent="0.3">
      <c r="A2545" s="2">
        <v>39062</v>
      </c>
      <c r="B2545" t="s">
        <v>13</v>
      </c>
      <c r="D2545" s="2">
        <v>39793</v>
      </c>
      <c r="E2545">
        <v>6.5</v>
      </c>
      <c r="G2545" s="2">
        <v>39793</v>
      </c>
      <c r="H2545">
        <v>5.657</v>
      </c>
      <c r="J2545" s="2">
        <v>39800</v>
      </c>
      <c r="K2545" s="3">
        <f t="shared" si="78"/>
        <v>6.5</v>
      </c>
      <c r="L2545" s="3">
        <f t="shared" si="79"/>
        <v>5.3949999999999996</v>
      </c>
    </row>
    <row r="2546" spans="1:12" x14ac:dyDescent="0.3">
      <c r="A2546" s="2">
        <v>39063</v>
      </c>
      <c r="B2546" t="s">
        <v>13</v>
      </c>
      <c r="D2546" s="2">
        <v>39794</v>
      </c>
      <c r="E2546">
        <v>6.5</v>
      </c>
      <c r="G2546" s="2">
        <v>39794</v>
      </c>
      <c r="H2546">
        <v>5.3819999999999997</v>
      </c>
      <c r="J2546" s="2">
        <v>39801</v>
      </c>
      <c r="K2546" s="3">
        <f t="shared" si="78"/>
        <v>6.5</v>
      </c>
      <c r="L2546" s="3">
        <f t="shared" si="79"/>
        <v>5.3179999999999996</v>
      </c>
    </row>
    <row r="2547" spans="1:12" x14ac:dyDescent="0.3">
      <c r="A2547" s="2">
        <v>39064</v>
      </c>
      <c r="B2547" t="s">
        <v>13</v>
      </c>
      <c r="D2547" s="2">
        <v>39795</v>
      </c>
      <c r="E2547">
        <v>6.5</v>
      </c>
      <c r="G2547" s="2">
        <v>39795</v>
      </c>
      <c r="H2547">
        <v>5.3819999999999997</v>
      </c>
      <c r="J2547" s="2">
        <v>39802</v>
      </c>
      <c r="K2547" s="3">
        <f t="shared" si="78"/>
        <v>6.5</v>
      </c>
      <c r="L2547" s="3">
        <f t="shared" si="79"/>
        <v>5.3179999999999996</v>
      </c>
    </row>
    <row r="2548" spans="1:12" x14ac:dyDescent="0.3">
      <c r="A2548" s="2">
        <v>39065</v>
      </c>
      <c r="B2548" t="s">
        <v>13</v>
      </c>
      <c r="D2548" s="2">
        <v>39796</v>
      </c>
      <c r="E2548">
        <v>6.5</v>
      </c>
      <c r="G2548" s="2">
        <v>39796</v>
      </c>
      <c r="H2548">
        <v>5.3819999999999997</v>
      </c>
      <c r="J2548" s="2">
        <v>39803</v>
      </c>
      <c r="K2548" s="3">
        <f t="shared" si="78"/>
        <v>6.5</v>
      </c>
      <c r="L2548" s="3">
        <f t="shared" si="79"/>
        <v>5.3179999999999996</v>
      </c>
    </row>
    <row r="2549" spans="1:12" x14ac:dyDescent="0.3">
      <c r="A2549" s="2">
        <v>39066</v>
      </c>
      <c r="B2549" t="s">
        <v>13</v>
      </c>
      <c r="D2549" s="2">
        <v>39797</v>
      </c>
      <c r="E2549">
        <v>6.5</v>
      </c>
      <c r="G2549" s="2">
        <v>39797</v>
      </c>
      <c r="H2549">
        <v>5.5209999999999999</v>
      </c>
      <c r="J2549" s="2">
        <v>39804</v>
      </c>
      <c r="K2549" s="3">
        <f t="shared" si="78"/>
        <v>6.5</v>
      </c>
      <c r="L2549" s="3">
        <f t="shared" si="79"/>
        <v>5.3710000000000004</v>
      </c>
    </row>
    <row r="2550" spans="1:12" x14ac:dyDescent="0.3">
      <c r="A2550" s="2">
        <v>39067</v>
      </c>
      <c r="B2550" t="s">
        <v>13</v>
      </c>
      <c r="D2550" s="2">
        <v>39798</v>
      </c>
      <c r="E2550">
        <v>6.5</v>
      </c>
      <c r="G2550" s="2">
        <v>39798</v>
      </c>
      <c r="H2550">
        <v>5.4859999999999998</v>
      </c>
      <c r="J2550" s="2">
        <v>39805</v>
      </c>
      <c r="K2550" s="3">
        <f t="shared" si="78"/>
        <v>6.5</v>
      </c>
      <c r="L2550" s="3">
        <f t="shared" si="79"/>
        <v>6.383</v>
      </c>
    </row>
    <row r="2551" spans="1:12" x14ac:dyDescent="0.3">
      <c r="A2551" s="2">
        <v>39068</v>
      </c>
      <c r="B2551" t="s">
        <v>13</v>
      </c>
      <c r="D2551" s="2">
        <v>39799</v>
      </c>
      <c r="E2551">
        <v>6.5</v>
      </c>
      <c r="G2551" s="2">
        <v>39799</v>
      </c>
      <c r="H2551">
        <v>5.4690000000000003</v>
      </c>
      <c r="J2551" s="2">
        <v>39806</v>
      </c>
      <c r="K2551" s="3">
        <f t="shared" si="78"/>
        <v>6.5</v>
      </c>
      <c r="L2551" s="3">
        <f t="shared" si="79"/>
        <v>5.44</v>
      </c>
    </row>
    <row r="2552" spans="1:12" x14ac:dyDescent="0.3">
      <c r="A2552" s="2">
        <v>39069</v>
      </c>
      <c r="B2552" t="s">
        <v>13</v>
      </c>
      <c r="D2552" s="2">
        <v>39800</v>
      </c>
      <c r="E2552">
        <v>6.5</v>
      </c>
      <c r="G2552" s="2">
        <v>39800</v>
      </c>
      <c r="H2552">
        <v>5.3949999999999996</v>
      </c>
      <c r="J2552" s="2">
        <v>39807</v>
      </c>
      <c r="K2552" s="3">
        <f t="shared" si="78"/>
        <v>6.5</v>
      </c>
      <c r="L2552" s="3">
        <f t="shared" si="79"/>
        <v>5.44</v>
      </c>
    </row>
    <row r="2553" spans="1:12" x14ac:dyDescent="0.3">
      <c r="A2553" s="2">
        <v>39070</v>
      </c>
      <c r="B2553" t="s">
        <v>13</v>
      </c>
      <c r="D2553" s="2">
        <v>39801</v>
      </c>
      <c r="E2553">
        <v>6.5</v>
      </c>
      <c r="G2553" s="2">
        <v>39801</v>
      </c>
      <c r="H2553">
        <v>5.3179999999999996</v>
      </c>
      <c r="J2553" s="2">
        <v>39808</v>
      </c>
      <c r="K2553" s="3">
        <f t="shared" si="78"/>
        <v>6.5</v>
      </c>
      <c r="L2553" s="3">
        <f t="shared" si="79"/>
        <v>5.258</v>
      </c>
    </row>
    <row r="2554" spans="1:12" x14ac:dyDescent="0.3">
      <c r="A2554" s="2">
        <v>39071</v>
      </c>
      <c r="B2554" t="s">
        <v>13</v>
      </c>
      <c r="D2554" s="2">
        <v>39802</v>
      </c>
      <c r="E2554">
        <v>6.5</v>
      </c>
      <c r="G2554" s="2">
        <v>39802</v>
      </c>
      <c r="H2554">
        <v>5.3179999999999996</v>
      </c>
      <c r="J2554" s="2">
        <v>39809</v>
      </c>
      <c r="K2554" s="3">
        <f t="shared" si="78"/>
        <v>6.5</v>
      </c>
      <c r="L2554" s="3">
        <f t="shared" si="79"/>
        <v>5.258</v>
      </c>
    </row>
    <row r="2555" spans="1:12" x14ac:dyDescent="0.3">
      <c r="A2555" s="2">
        <v>39072</v>
      </c>
      <c r="B2555" t="s">
        <v>13</v>
      </c>
      <c r="D2555" s="2">
        <v>39803</v>
      </c>
      <c r="E2555">
        <v>6.5</v>
      </c>
      <c r="G2555" s="2">
        <v>39803</v>
      </c>
      <c r="H2555">
        <v>5.3179999999999996</v>
      </c>
      <c r="J2555" s="2">
        <v>39810</v>
      </c>
      <c r="K2555" s="3">
        <f t="shared" si="78"/>
        <v>6.5</v>
      </c>
      <c r="L2555" s="3">
        <f t="shared" si="79"/>
        <v>5.258</v>
      </c>
    </row>
    <row r="2556" spans="1:12" x14ac:dyDescent="0.3">
      <c r="A2556" s="2">
        <v>39073</v>
      </c>
      <c r="B2556" t="s">
        <v>13</v>
      </c>
      <c r="D2556" s="2">
        <v>39804</v>
      </c>
      <c r="E2556">
        <v>6.5</v>
      </c>
      <c r="G2556" s="2">
        <v>39804</v>
      </c>
      <c r="H2556">
        <v>5.3710000000000004</v>
      </c>
      <c r="J2556" s="2">
        <v>39811</v>
      </c>
      <c r="K2556" s="3">
        <f t="shared" si="78"/>
        <v>6.5</v>
      </c>
      <c r="L2556" s="3">
        <f t="shared" si="79"/>
        <v>5.0609999999999999</v>
      </c>
    </row>
    <row r="2557" spans="1:12" x14ac:dyDescent="0.3">
      <c r="A2557" s="2">
        <v>39074</v>
      </c>
      <c r="B2557" t="s">
        <v>13</v>
      </c>
      <c r="D2557" s="2">
        <v>39805</v>
      </c>
      <c r="E2557">
        <v>6.5</v>
      </c>
      <c r="G2557" s="2">
        <v>39805</v>
      </c>
      <c r="H2557">
        <v>6.383</v>
      </c>
      <c r="J2557" s="2">
        <v>39812</v>
      </c>
      <c r="K2557" s="3">
        <f t="shared" si="78"/>
        <v>6.5</v>
      </c>
      <c r="L2557" s="3">
        <f t="shared" si="79"/>
        <v>5.0890000000000004</v>
      </c>
    </row>
    <row r="2558" spans="1:12" x14ac:dyDescent="0.3">
      <c r="A2558" s="2">
        <v>39075</v>
      </c>
      <c r="B2558" t="s">
        <v>13</v>
      </c>
      <c r="D2558" s="2">
        <v>39806</v>
      </c>
      <c r="E2558">
        <v>6.5</v>
      </c>
      <c r="G2558" s="2">
        <v>39806</v>
      </c>
      <c r="H2558">
        <v>5.44</v>
      </c>
      <c r="J2558" s="2">
        <v>39813</v>
      </c>
      <c r="K2558" s="3">
        <f t="shared" si="78"/>
        <v>6.5</v>
      </c>
      <c r="L2558" s="3">
        <f t="shared" si="79"/>
        <v>5.0149999999999997</v>
      </c>
    </row>
    <row r="2559" spans="1:12" x14ac:dyDescent="0.3">
      <c r="A2559" s="2">
        <v>39076</v>
      </c>
      <c r="B2559" t="s">
        <v>13</v>
      </c>
      <c r="D2559" s="2">
        <v>39807</v>
      </c>
      <c r="E2559">
        <v>6.5</v>
      </c>
      <c r="G2559" s="2">
        <v>39807</v>
      </c>
      <c r="H2559">
        <v>5.44</v>
      </c>
      <c r="J2559" s="2">
        <v>39814</v>
      </c>
      <c r="K2559" s="3">
        <f t="shared" si="78"/>
        <v>6.5</v>
      </c>
      <c r="L2559" s="3">
        <f t="shared" si="79"/>
        <v>4.7949999999999999</v>
      </c>
    </row>
    <row r="2560" spans="1:12" x14ac:dyDescent="0.3">
      <c r="A2560" s="2">
        <v>39077</v>
      </c>
      <c r="B2560" t="s">
        <v>13</v>
      </c>
      <c r="D2560" s="2">
        <v>39808</v>
      </c>
      <c r="E2560">
        <v>6.5</v>
      </c>
      <c r="G2560" s="2">
        <v>39808</v>
      </c>
      <c r="H2560">
        <v>5.258</v>
      </c>
      <c r="J2560" s="2">
        <v>39815</v>
      </c>
      <c r="K2560" s="3">
        <f t="shared" si="78"/>
        <v>5.5</v>
      </c>
      <c r="L2560" s="3">
        <f t="shared" si="79"/>
        <v>4.7519999999999998</v>
      </c>
    </row>
    <row r="2561" spans="1:12" x14ac:dyDescent="0.3">
      <c r="A2561" s="2">
        <v>39078</v>
      </c>
      <c r="B2561" t="s">
        <v>13</v>
      </c>
      <c r="D2561" s="2">
        <v>39809</v>
      </c>
      <c r="E2561">
        <v>6.5</v>
      </c>
      <c r="G2561" s="2">
        <v>39809</v>
      </c>
      <c r="H2561">
        <v>5.258</v>
      </c>
      <c r="J2561" s="2">
        <v>39816</v>
      </c>
      <c r="K2561" s="3">
        <f t="shared" si="78"/>
        <v>5.5</v>
      </c>
      <c r="L2561" s="3">
        <f t="shared" si="79"/>
        <v>4.7519999999999998</v>
      </c>
    </row>
    <row r="2562" spans="1:12" x14ac:dyDescent="0.3">
      <c r="A2562" s="2">
        <v>39079</v>
      </c>
      <c r="B2562" t="s">
        <v>13</v>
      </c>
      <c r="D2562" s="2">
        <v>39810</v>
      </c>
      <c r="E2562">
        <v>6.5</v>
      </c>
      <c r="G2562" s="2">
        <v>39810</v>
      </c>
      <c r="H2562">
        <v>5.258</v>
      </c>
      <c r="J2562" s="2">
        <v>39817</v>
      </c>
      <c r="K2562" s="3">
        <f t="shared" si="78"/>
        <v>5.5</v>
      </c>
      <c r="L2562" s="3">
        <f t="shared" si="79"/>
        <v>4.7519999999999998</v>
      </c>
    </row>
    <row r="2563" spans="1:12" x14ac:dyDescent="0.3">
      <c r="A2563" s="2">
        <v>39080</v>
      </c>
      <c r="B2563" t="s">
        <v>13</v>
      </c>
      <c r="D2563" s="2">
        <v>39811</v>
      </c>
      <c r="E2563">
        <v>6.5</v>
      </c>
      <c r="G2563" s="2">
        <v>39811</v>
      </c>
      <c r="H2563">
        <v>5.0609999999999999</v>
      </c>
      <c r="J2563" s="2">
        <v>39818</v>
      </c>
      <c r="K2563" s="3">
        <f t="shared" ref="K2563:K2626" si="80">E2570</f>
        <v>5.5</v>
      </c>
      <c r="L2563" s="3">
        <f t="shared" ref="L2563:L2626" si="81">H2570</f>
        <v>4.4580000000000002</v>
      </c>
    </row>
    <row r="2564" spans="1:12" x14ac:dyDescent="0.3">
      <c r="A2564" s="2">
        <v>39081</v>
      </c>
      <c r="B2564" t="s">
        <v>13</v>
      </c>
      <c r="D2564" s="2">
        <v>39812</v>
      </c>
      <c r="E2564">
        <v>6.5</v>
      </c>
      <c r="G2564" s="2">
        <v>39812</v>
      </c>
      <c r="H2564">
        <v>5.0890000000000004</v>
      </c>
      <c r="J2564" s="2">
        <v>39819</v>
      </c>
      <c r="K2564" s="3">
        <f t="shared" si="80"/>
        <v>5.5</v>
      </c>
      <c r="L2564" s="3">
        <f t="shared" si="81"/>
        <v>4.4379999999999997</v>
      </c>
    </row>
    <row r="2565" spans="1:12" x14ac:dyDescent="0.3">
      <c r="A2565" s="2">
        <v>39082</v>
      </c>
      <c r="B2565" t="s">
        <v>13</v>
      </c>
      <c r="D2565" s="2">
        <v>39813</v>
      </c>
      <c r="E2565">
        <v>6.5</v>
      </c>
      <c r="G2565" s="2">
        <v>39813</v>
      </c>
      <c r="H2565">
        <v>5.0149999999999997</v>
      </c>
      <c r="J2565" s="2">
        <v>39820</v>
      </c>
      <c r="K2565" s="3">
        <f t="shared" si="80"/>
        <v>5.5</v>
      </c>
      <c r="L2565" s="3">
        <f t="shared" si="81"/>
        <v>4.5209999999999999</v>
      </c>
    </row>
    <row r="2566" spans="1:12" x14ac:dyDescent="0.3">
      <c r="A2566" s="2">
        <v>39083</v>
      </c>
      <c r="B2566" t="s">
        <v>13</v>
      </c>
      <c r="D2566" s="2">
        <v>39814</v>
      </c>
      <c r="E2566">
        <v>6.5</v>
      </c>
      <c r="G2566" s="2">
        <v>39814</v>
      </c>
      <c r="H2566">
        <v>4.7949999999999999</v>
      </c>
      <c r="J2566" s="2">
        <v>39821</v>
      </c>
      <c r="K2566" s="3">
        <f t="shared" si="80"/>
        <v>5.5</v>
      </c>
      <c r="L2566" s="3">
        <f t="shared" si="81"/>
        <v>4.5209999999999999</v>
      </c>
    </row>
    <row r="2567" spans="1:12" x14ac:dyDescent="0.3">
      <c r="A2567" s="2">
        <v>39084</v>
      </c>
      <c r="B2567" t="s">
        <v>13</v>
      </c>
      <c r="D2567" s="2">
        <v>39815</v>
      </c>
      <c r="E2567">
        <v>5.5</v>
      </c>
      <c r="G2567" s="2">
        <v>39815</v>
      </c>
      <c r="H2567">
        <v>4.7519999999999998</v>
      </c>
      <c r="J2567" s="2">
        <v>39822</v>
      </c>
      <c r="K2567" s="3">
        <f t="shared" si="80"/>
        <v>5.5</v>
      </c>
      <c r="L2567" s="3">
        <f t="shared" si="81"/>
        <v>4.6340000000000003</v>
      </c>
    </row>
    <row r="2568" spans="1:12" x14ac:dyDescent="0.3">
      <c r="A2568" s="2">
        <v>39085</v>
      </c>
      <c r="B2568" t="s">
        <v>13</v>
      </c>
      <c r="D2568" s="2">
        <v>39816</v>
      </c>
      <c r="E2568">
        <v>5.5</v>
      </c>
      <c r="G2568" s="2">
        <v>39816</v>
      </c>
      <c r="H2568">
        <v>4.7519999999999998</v>
      </c>
      <c r="J2568" s="2">
        <v>39823</v>
      </c>
      <c r="K2568" s="3">
        <f t="shared" si="80"/>
        <v>5.5</v>
      </c>
      <c r="L2568" s="3">
        <f t="shared" si="81"/>
        <v>4.6340000000000003</v>
      </c>
    </row>
    <row r="2569" spans="1:12" x14ac:dyDescent="0.3">
      <c r="A2569" s="2">
        <v>39086</v>
      </c>
      <c r="B2569" t="s">
        <v>13</v>
      </c>
      <c r="D2569" s="2">
        <v>39817</v>
      </c>
      <c r="E2569">
        <v>5.5</v>
      </c>
      <c r="G2569" s="2">
        <v>39817</v>
      </c>
      <c r="H2569">
        <v>4.7519999999999998</v>
      </c>
      <c r="J2569" s="2">
        <v>39824</v>
      </c>
      <c r="K2569" s="3">
        <f t="shared" si="80"/>
        <v>5.5</v>
      </c>
      <c r="L2569" s="3">
        <f t="shared" si="81"/>
        <v>4.6340000000000003</v>
      </c>
    </row>
    <row r="2570" spans="1:12" x14ac:dyDescent="0.3">
      <c r="A2570" s="2">
        <v>39087</v>
      </c>
      <c r="B2570" t="s">
        <v>13</v>
      </c>
      <c r="D2570" s="2">
        <v>39818</v>
      </c>
      <c r="E2570">
        <v>5.5</v>
      </c>
      <c r="G2570" s="2">
        <v>39818</v>
      </c>
      <c r="H2570">
        <v>4.4580000000000002</v>
      </c>
      <c r="J2570" s="2">
        <v>39825</v>
      </c>
      <c r="K2570" s="3">
        <f t="shared" si="80"/>
        <v>5.5</v>
      </c>
      <c r="L2570" s="3">
        <f t="shared" si="81"/>
        <v>4.7050000000000001</v>
      </c>
    </row>
    <row r="2571" spans="1:12" x14ac:dyDescent="0.3">
      <c r="A2571" s="2">
        <v>39088</v>
      </c>
      <c r="B2571" t="s">
        <v>13</v>
      </c>
      <c r="D2571" s="2">
        <v>39819</v>
      </c>
      <c r="E2571">
        <v>5.5</v>
      </c>
      <c r="G2571" s="2">
        <v>39819</v>
      </c>
      <c r="H2571">
        <v>4.4379999999999997</v>
      </c>
      <c r="J2571" s="2">
        <v>39826</v>
      </c>
      <c r="K2571" s="3">
        <f t="shared" si="80"/>
        <v>5.5</v>
      </c>
      <c r="L2571" s="3">
        <f t="shared" si="81"/>
        <v>4.6269999999999998</v>
      </c>
    </row>
    <row r="2572" spans="1:12" x14ac:dyDescent="0.3">
      <c r="A2572" s="2">
        <v>39089</v>
      </c>
      <c r="B2572" t="s">
        <v>13</v>
      </c>
      <c r="D2572" s="2">
        <v>39820</v>
      </c>
      <c r="E2572">
        <v>5.5</v>
      </c>
      <c r="G2572" s="2">
        <v>39820</v>
      </c>
      <c r="H2572">
        <v>4.5209999999999999</v>
      </c>
      <c r="J2572" s="2">
        <v>39827</v>
      </c>
      <c r="K2572" s="3">
        <f t="shared" si="80"/>
        <v>5.5</v>
      </c>
      <c r="L2572" s="3">
        <f t="shared" si="81"/>
        <v>4.5469999999999997</v>
      </c>
    </row>
    <row r="2573" spans="1:12" x14ac:dyDescent="0.3">
      <c r="A2573" s="2">
        <v>39090</v>
      </c>
      <c r="B2573" t="s">
        <v>13</v>
      </c>
      <c r="D2573" s="2">
        <v>39821</v>
      </c>
      <c r="E2573">
        <v>5.5</v>
      </c>
      <c r="G2573" s="2">
        <v>39821</v>
      </c>
      <c r="H2573">
        <v>4.5209999999999999</v>
      </c>
      <c r="J2573" s="2">
        <v>39828</v>
      </c>
      <c r="K2573" s="3">
        <f t="shared" si="80"/>
        <v>5.5</v>
      </c>
      <c r="L2573" s="3">
        <f t="shared" si="81"/>
        <v>4.59</v>
      </c>
    </row>
    <row r="2574" spans="1:12" x14ac:dyDescent="0.3">
      <c r="A2574" s="2">
        <v>39091</v>
      </c>
      <c r="B2574" t="s">
        <v>13</v>
      </c>
      <c r="D2574" s="2">
        <v>39822</v>
      </c>
      <c r="E2574">
        <v>5.5</v>
      </c>
      <c r="G2574" s="2">
        <v>39822</v>
      </c>
      <c r="H2574">
        <v>4.6340000000000003</v>
      </c>
      <c r="J2574" s="2">
        <v>39829</v>
      </c>
      <c r="K2574" s="3">
        <f t="shared" si="80"/>
        <v>5.5</v>
      </c>
      <c r="L2574" s="3">
        <f t="shared" si="81"/>
        <v>4.5780000000000003</v>
      </c>
    </row>
    <row r="2575" spans="1:12" x14ac:dyDescent="0.3">
      <c r="A2575" s="2">
        <v>39092</v>
      </c>
      <c r="B2575" t="s">
        <v>13</v>
      </c>
      <c r="D2575" s="2">
        <v>39823</v>
      </c>
      <c r="E2575">
        <v>5.5</v>
      </c>
      <c r="G2575" s="2">
        <v>39823</v>
      </c>
      <c r="H2575">
        <v>4.6340000000000003</v>
      </c>
      <c r="J2575" s="2">
        <v>39830</v>
      </c>
      <c r="K2575" s="3">
        <f t="shared" si="80"/>
        <v>5.5</v>
      </c>
      <c r="L2575" s="3">
        <f t="shared" si="81"/>
        <v>4.5780000000000003</v>
      </c>
    </row>
    <row r="2576" spans="1:12" x14ac:dyDescent="0.3">
      <c r="A2576" s="2">
        <v>39093</v>
      </c>
      <c r="B2576" t="s">
        <v>13</v>
      </c>
      <c r="D2576" s="2">
        <v>39824</v>
      </c>
      <c r="E2576">
        <v>5.5</v>
      </c>
      <c r="G2576" s="2">
        <v>39824</v>
      </c>
      <c r="H2576">
        <v>4.6340000000000003</v>
      </c>
      <c r="J2576" s="2">
        <v>39831</v>
      </c>
      <c r="K2576" s="3">
        <f t="shared" si="80"/>
        <v>5.5</v>
      </c>
      <c r="L2576" s="3">
        <f t="shared" si="81"/>
        <v>4.5780000000000003</v>
      </c>
    </row>
    <row r="2577" spans="1:12" x14ac:dyDescent="0.3">
      <c r="A2577" s="2">
        <v>39094</v>
      </c>
      <c r="B2577" t="s">
        <v>13</v>
      </c>
      <c r="D2577" s="2">
        <v>39825</v>
      </c>
      <c r="E2577">
        <v>5.5</v>
      </c>
      <c r="G2577" s="2">
        <v>39825</v>
      </c>
      <c r="H2577">
        <v>4.7050000000000001</v>
      </c>
      <c r="J2577" s="2">
        <v>39832</v>
      </c>
      <c r="K2577" s="3">
        <f t="shared" si="80"/>
        <v>5.5</v>
      </c>
      <c r="L2577" s="3">
        <f t="shared" si="81"/>
        <v>4.5510000000000002</v>
      </c>
    </row>
    <row r="2578" spans="1:12" x14ac:dyDescent="0.3">
      <c r="A2578" s="2">
        <v>39095</v>
      </c>
      <c r="B2578" t="s">
        <v>13</v>
      </c>
      <c r="D2578" s="2">
        <v>39826</v>
      </c>
      <c r="E2578">
        <v>5.5</v>
      </c>
      <c r="G2578" s="2">
        <v>39826</v>
      </c>
      <c r="H2578">
        <v>4.6269999999999998</v>
      </c>
      <c r="J2578" s="2">
        <v>39833</v>
      </c>
      <c r="K2578" s="3">
        <f t="shared" si="80"/>
        <v>5.5</v>
      </c>
      <c r="L2578" s="3">
        <f t="shared" si="81"/>
        <v>4.5579999999999998</v>
      </c>
    </row>
    <row r="2579" spans="1:12" x14ac:dyDescent="0.3">
      <c r="A2579" s="2">
        <v>39096</v>
      </c>
      <c r="B2579" t="s">
        <v>13</v>
      </c>
      <c r="D2579" s="2">
        <v>39827</v>
      </c>
      <c r="E2579">
        <v>5.5</v>
      </c>
      <c r="G2579" s="2">
        <v>39827</v>
      </c>
      <c r="H2579">
        <v>4.5469999999999997</v>
      </c>
      <c r="J2579" s="2">
        <v>39834</v>
      </c>
      <c r="K2579" s="3">
        <f t="shared" si="80"/>
        <v>5.5</v>
      </c>
      <c r="L2579" s="3">
        <f t="shared" si="81"/>
        <v>4.6449999999999996</v>
      </c>
    </row>
    <row r="2580" spans="1:12" x14ac:dyDescent="0.3">
      <c r="A2580" s="2">
        <v>39097</v>
      </c>
      <c r="B2580" t="s">
        <v>13</v>
      </c>
      <c r="D2580" s="2">
        <v>39828</v>
      </c>
      <c r="E2580">
        <v>5.5</v>
      </c>
      <c r="G2580" s="2">
        <v>39828</v>
      </c>
      <c r="H2580">
        <v>4.59</v>
      </c>
      <c r="J2580" s="2">
        <v>39835</v>
      </c>
      <c r="K2580" s="3">
        <f t="shared" si="80"/>
        <v>5.5</v>
      </c>
      <c r="L2580" s="3">
        <f t="shared" si="81"/>
        <v>4.7140000000000004</v>
      </c>
    </row>
    <row r="2581" spans="1:12" x14ac:dyDescent="0.3">
      <c r="A2581" s="2">
        <v>39098</v>
      </c>
      <c r="B2581" t="s">
        <v>13</v>
      </c>
      <c r="D2581" s="2">
        <v>39829</v>
      </c>
      <c r="E2581">
        <v>5.5</v>
      </c>
      <c r="G2581" s="2">
        <v>39829</v>
      </c>
      <c r="H2581">
        <v>4.5780000000000003</v>
      </c>
      <c r="J2581" s="2">
        <v>39836</v>
      </c>
      <c r="K2581" s="3">
        <f t="shared" si="80"/>
        <v>5.5</v>
      </c>
      <c r="L2581" s="3">
        <f t="shared" si="81"/>
        <v>4.6609999999999996</v>
      </c>
    </row>
    <row r="2582" spans="1:12" x14ac:dyDescent="0.3">
      <c r="A2582" s="2">
        <v>39099</v>
      </c>
      <c r="B2582" t="s">
        <v>13</v>
      </c>
      <c r="D2582" s="2">
        <v>39830</v>
      </c>
      <c r="E2582">
        <v>5.5</v>
      </c>
      <c r="G2582" s="2">
        <v>39830</v>
      </c>
      <c r="H2582">
        <v>4.5780000000000003</v>
      </c>
      <c r="J2582" s="2">
        <v>39837</v>
      </c>
      <c r="K2582" s="3">
        <f t="shared" si="80"/>
        <v>5.5</v>
      </c>
      <c r="L2582" s="3">
        <f t="shared" si="81"/>
        <v>4.6609999999999996</v>
      </c>
    </row>
    <row r="2583" spans="1:12" x14ac:dyDescent="0.3">
      <c r="A2583" s="2">
        <v>39100</v>
      </c>
      <c r="B2583" t="s">
        <v>13</v>
      </c>
      <c r="D2583" s="2">
        <v>39831</v>
      </c>
      <c r="E2583">
        <v>5.5</v>
      </c>
      <c r="G2583" s="2">
        <v>39831</v>
      </c>
      <c r="H2583">
        <v>4.5780000000000003</v>
      </c>
      <c r="J2583" s="2">
        <v>39838</v>
      </c>
      <c r="K2583" s="3">
        <f t="shared" si="80"/>
        <v>5.5</v>
      </c>
      <c r="L2583" s="3">
        <f t="shared" si="81"/>
        <v>4.6609999999999996</v>
      </c>
    </row>
    <row r="2584" spans="1:12" x14ac:dyDescent="0.3">
      <c r="A2584" s="2">
        <v>39101</v>
      </c>
      <c r="B2584" t="s">
        <v>13</v>
      </c>
      <c r="D2584" s="2">
        <v>39832</v>
      </c>
      <c r="E2584">
        <v>5.5</v>
      </c>
      <c r="G2584" s="2">
        <v>39832</v>
      </c>
      <c r="H2584">
        <v>4.5510000000000002</v>
      </c>
      <c r="J2584" s="2">
        <v>39839</v>
      </c>
      <c r="K2584" s="3">
        <f t="shared" si="80"/>
        <v>5.5</v>
      </c>
      <c r="L2584" s="3">
        <f t="shared" si="81"/>
        <v>4.6609999999999996</v>
      </c>
    </row>
    <row r="2585" spans="1:12" x14ac:dyDescent="0.3">
      <c r="A2585" s="2">
        <v>39102</v>
      </c>
      <c r="B2585" t="s">
        <v>13</v>
      </c>
      <c r="D2585" s="2">
        <v>39833</v>
      </c>
      <c r="E2585">
        <v>5.5</v>
      </c>
      <c r="G2585" s="2">
        <v>39833</v>
      </c>
      <c r="H2585">
        <v>4.5579999999999998</v>
      </c>
      <c r="J2585" s="2">
        <v>39840</v>
      </c>
      <c r="K2585" s="3">
        <f t="shared" si="80"/>
        <v>5.5</v>
      </c>
      <c r="L2585" s="3">
        <f t="shared" si="81"/>
        <v>4.5620000000000003</v>
      </c>
    </row>
    <row r="2586" spans="1:12" x14ac:dyDescent="0.3">
      <c r="A2586" s="2">
        <v>39103</v>
      </c>
      <c r="B2586" t="s">
        <v>13</v>
      </c>
      <c r="D2586" s="2">
        <v>39834</v>
      </c>
      <c r="E2586">
        <v>5.5</v>
      </c>
      <c r="G2586" s="2">
        <v>39834</v>
      </c>
      <c r="H2586">
        <v>4.6449999999999996</v>
      </c>
      <c r="J2586" s="2">
        <v>39841</v>
      </c>
      <c r="K2586" s="3">
        <f t="shared" si="80"/>
        <v>5.5</v>
      </c>
      <c r="L2586" s="3">
        <f t="shared" si="81"/>
        <v>4.4850000000000003</v>
      </c>
    </row>
    <row r="2587" spans="1:12" x14ac:dyDescent="0.3">
      <c r="A2587" s="2">
        <v>39104</v>
      </c>
      <c r="B2587" t="s">
        <v>13</v>
      </c>
      <c r="D2587" s="2">
        <v>39835</v>
      </c>
      <c r="E2587">
        <v>5.5</v>
      </c>
      <c r="G2587" s="2">
        <v>39835</v>
      </c>
      <c r="H2587">
        <v>4.7140000000000004</v>
      </c>
      <c r="J2587" s="2">
        <v>39842</v>
      </c>
      <c r="K2587" s="3">
        <f t="shared" si="80"/>
        <v>5.5</v>
      </c>
      <c r="L2587" s="3">
        <f t="shared" si="81"/>
        <v>4.681</v>
      </c>
    </row>
    <row r="2588" spans="1:12" x14ac:dyDescent="0.3">
      <c r="A2588" s="2">
        <v>39105</v>
      </c>
      <c r="B2588" t="s">
        <v>13</v>
      </c>
      <c r="D2588" s="2">
        <v>39836</v>
      </c>
      <c r="E2588">
        <v>5.5</v>
      </c>
      <c r="G2588" s="2">
        <v>39836</v>
      </c>
      <c r="H2588">
        <v>4.6609999999999996</v>
      </c>
      <c r="J2588" s="2">
        <v>39843</v>
      </c>
      <c r="K2588" s="3">
        <f t="shared" si="80"/>
        <v>5.5</v>
      </c>
      <c r="L2588" s="3">
        <f t="shared" si="81"/>
        <v>4.6029999999999998</v>
      </c>
    </row>
    <row r="2589" spans="1:12" x14ac:dyDescent="0.3">
      <c r="A2589" s="2">
        <v>39106</v>
      </c>
      <c r="B2589" t="s">
        <v>13</v>
      </c>
      <c r="D2589" s="2">
        <v>39837</v>
      </c>
      <c r="E2589">
        <v>5.5</v>
      </c>
      <c r="G2589" s="2">
        <v>39837</v>
      </c>
      <c r="H2589">
        <v>4.6609999999999996</v>
      </c>
      <c r="J2589" s="2">
        <v>39844</v>
      </c>
      <c r="K2589" s="3">
        <f t="shared" si="80"/>
        <v>5.5</v>
      </c>
      <c r="L2589" s="3">
        <f t="shared" si="81"/>
        <v>4.6029999999999998</v>
      </c>
    </row>
    <row r="2590" spans="1:12" x14ac:dyDescent="0.3">
      <c r="A2590" s="2">
        <v>39107</v>
      </c>
      <c r="B2590" t="s">
        <v>13</v>
      </c>
      <c r="D2590" s="2">
        <v>39838</v>
      </c>
      <c r="E2590">
        <v>5.5</v>
      </c>
      <c r="G2590" s="2">
        <v>39838</v>
      </c>
      <c r="H2590">
        <v>4.6609999999999996</v>
      </c>
      <c r="J2590" s="2">
        <v>39845</v>
      </c>
      <c r="K2590" s="3">
        <f t="shared" si="80"/>
        <v>5.5</v>
      </c>
      <c r="L2590" s="3">
        <f t="shared" si="81"/>
        <v>4.6029999999999998</v>
      </c>
    </row>
    <row r="2591" spans="1:12" x14ac:dyDescent="0.3">
      <c r="A2591" s="2">
        <v>39108</v>
      </c>
      <c r="B2591" t="s">
        <v>13</v>
      </c>
      <c r="D2591" s="2">
        <v>39839</v>
      </c>
      <c r="E2591">
        <v>5.5</v>
      </c>
      <c r="G2591" s="2">
        <v>39839</v>
      </c>
      <c r="H2591">
        <v>4.6609999999999996</v>
      </c>
      <c r="J2591" s="2">
        <v>39846</v>
      </c>
      <c r="K2591" s="3">
        <f t="shared" si="80"/>
        <v>5.5</v>
      </c>
      <c r="L2591" s="3">
        <f t="shared" si="81"/>
        <v>4.609</v>
      </c>
    </row>
    <row r="2592" spans="1:12" x14ac:dyDescent="0.3">
      <c r="A2592" s="2">
        <v>39109</v>
      </c>
      <c r="B2592" t="s">
        <v>13</v>
      </c>
      <c r="D2592" s="2">
        <v>39840</v>
      </c>
      <c r="E2592">
        <v>5.5</v>
      </c>
      <c r="G2592" s="2">
        <v>39840</v>
      </c>
      <c r="H2592">
        <v>4.5620000000000003</v>
      </c>
      <c r="J2592" s="2">
        <v>39847</v>
      </c>
      <c r="K2592" s="3">
        <f t="shared" si="80"/>
        <v>5.5</v>
      </c>
      <c r="L2592" s="3">
        <f t="shared" si="81"/>
        <v>4.5919999999999996</v>
      </c>
    </row>
    <row r="2593" spans="1:12" x14ac:dyDescent="0.3">
      <c r="A2593" s="2">
        <v>39110</v>
      </c>
      <c r="B2593" t="s">
        <v>13</v>
      </c>
      <c r="D2593" s="2">
        <v>39841</v>
      </c>
      <c r="E2593">
        <v>5.5</v>
      </c>
      <c r="G2593" s="2">
        <v>39841</v>
      </c>
      <c r="H2593">
        <v>4.4850000000000003</v>
      </c>
      <c r="J2593" s="2">
        <v>39848</v>
      </c>
      <c r="K2593" s="3">
        <f t="shared" si="80"/>
        <v>5.5</v>
      </c>
      <c r="L2593" s="3">
        <f t="shared" si="81"/>
        <v>4.5860000000000003</v>
      </c>
    </row>
    <row r="2594" spans="1:12" x14ac:dyDescent="0.3">
      <c r="A2594" s="2">
        <v>39111</v>
      </c>
      <c r="B2594" t="s">
        <v>13</v>
      </c>
      <c r="D2594" s="2">
        <v>39842</v>
      </c>
      <c r="E2594">
        <v>5.5</v>
      </c>
      <c r="G2594" s="2">
        <v>39842</v>
      </c>
      <c r="H2594">
        <v>4.681</v>
      </c>
      <c r="J2594" s="2">
        <v>39849</v>
      </c>
      <c r="K2594" s="3">
        <f t="shared" si="80"/>
        <v>5.5</v>
      </c>
      <c r="L2594" s="3">
        <f t="shared" si="81"/>
        <v>4.5860000000000003</v>
      </c>
    </row>
    <row r="2595" spans="1:12" x14ac:dyDescent="0.3">
      <c r="A2595" s="2">
        <v>39112</v>
      </c>
      <c r="B2595" t="s">
        <v>13</v>
      </c>
      <c r="D2595" s="2">
        <v>39843</v>
      </c>
      <c r="E2595">
        <v>5.5</v>
      </c>
      <c r="G2595" s="2">
        <v>39843</v>
      </c>
      <c r="H2595">
        <v>4.6029999999999998</v>
      </c>
      <c r="J2595" s="2">
        <v>39850</v>
      </c>
      <c r="K2595" s="3">
        <f t="shared" si="80"/>
        <v>5.5</v>
      </c>
      <c r="L2595" s="3">
        <f t="shared" si="81"/>
        <v>4.5570000000000004</v>
      </c>
    </row>
    <row r="2596" spans="1:12" x14ac:dyDescent="0.3">
      <c r="A2596" s="2">
        <v>39113</v>
      </c>
      <c r="B2596" t="s">
        <v>13</v>
      </c>
      <c r="D2596" s="2">
        <v>39844</v>
      </c>
      <c r="E2596">
        <v>5.5</v>
      </c>
      <c r="G2596" s="2">
        <v>39844</v>
      </c>
      <c r="H2596">
        <v>4.6029999999999998</v>
      </c>
      <c r="J2596" s="2">
        <v>39851</v>
      </c>
      <c r="K2596" s="3">
        <f t="shared" si="80"/>
        <v>5.5</v>
      </c>
      <c r="L2596" s="3">
        <f t="shared" si="81"/>
        <v>4.5570000000000004</v>
      </c>
    </row>
    <row r="2597" spans="1:12" x14ac:dyDescent="0.3">
      <c r="A2597" s="2">
        <v>39114</v>
      </c>
      <c r="B2597" t="s">
        <v>13</v>
      </c>
      <c r="D2597" s="2">
        <v>39845</v>
      </c>
      <c r="E2597">
        <v>5.5</v>
      </c>
      <c r="G2597" s="2">
        <v>39845</v>
      </c>
      <c r="H2597">
        <v>4.6029999999999998</v>
      </c>
      <c r="J2597" s="2">
        <v>39852</v>
      </c>
      <c r="K2597" s="3">
        <f t="shared" si="80"/>
        <v>5.5</v>
      </c>
      <c r="L2597" s="3">
        <f t="shared" si="81"/>
        <v>4.5570000000000004</v>
      </c>
    </row>
    <row r="2598" spans="1:12" x14ac:dyDescent="0.3">
      <c r="A2598" s="2">
        <v>39115</v>
      </c>
      <c r="B2598" t="s">
        <v>13</v>
      </c>
      <c r="D2598" s="2">
        <v>39846</v>
      </c>
      <c r="E2598">
        <v>5.5</v>
      </c>
      <c r="G2598" s="2">
        <v>39846</v>
      </c>
      <c r="H2598">
        <v>4.609</v>
      </c>
      <c r="J2598" s="2">
        <v>39853</v>
      </c>
      <c r="K2598" s="3">
        <f t="shared" si="80"/>
        <v>5.5</v>
      </c>
      <c r="L2598" s="3">
        <f t="shared" si="81"/>
        <v>4.5570000000000004</v>
      </c>
    </row>
    <row r="2599" spans="1:12" x14ac:dyDescent="0.3">
      <c r="A2599" s="2">
        <v>39116</v>
      </c>
      <c r="B2599" t="s">
        <v>13</v>
      </c>
      <c r="D2599" s="2">
        <v>39847</v>
      </c>
      <c r="E2599">
        <v>5.5</v>
      </c>
      <c r="G2599" s="2">
        <v>39847</v>
      </c>
      <c r="H2599">
        <v>4.5919999999999996</v>
      </c>
      <c r="J2599" s="2">
        <v>39854</v>
      </c>
      <c r="K2599" s="3">
        <f t="shared" si="80"/>
        <v>5.5</v>
      </c>
      <c r="L2599" s="3">
        <f t="shared" si="81"/>
        <v>4.5999999999999996</v>
      </c>
    </row>
    <row r="2600" spans="1:12" x14ac:dyDescent="0.3">
      <c r="A2600" s="2">
        <v>39117</v>
      </c>
      <c r="B2600" t="s">
        <v>13</v>
      </c>
      <c r="D2600" s="2">
        <v>39848</v>
      </c>
      <c r="E2600">
        <v>5.5</v>
      </c>
      <c r="G2600" s="2">
        <v>39848</v>
      </c>
      <c r="H2600">
        <v>4.5860000000000003</v>
      </c>
      <c r="J2600" s="2">
        <v>39855</v>
      </c>
      <c r="K2600" s="3">
        <f t="shared" si="80"/>
        <v>5.5</v>
      </c>
      <c r="L2600" s="3">
        <f t="shared" si="81"/>
        <v>4.6740000000000004</v>
      </c>
    </row>
    <row r="2601" spans="1:12" x14ac:dyDescent="0.3">
      <c r="A2601" s="2">
        <v>39118</v>
      </c>
      <c r="B2601" t="s">
        <v>13</v>
      </c>
      <c r="D2601" s="2">
        <v>39849</v>
      </c>
      <c r="E2601">
        <v>5.5</v>
      </c>
      <c r="G2601" s="2">
        <v>39849</v>
      </c>
      <c r="H2601">
        <v>4.5860000000000003</v>
      </c>
      <c r="J2601" s="2">
        <v>39856</v>
      </c>
      <c r="K2601" s="3">
        <f t="shared" si="80"/>
        <v>5.5</v>
      </c>
      <c r="L2601" s="3">
        <f t="shared" si="81"/>
        <v>4.6029999999999998</v>
      </c>
    </row>
    <row r="2602" spans="1:12" x14ac:dyDescent="0.3">
      <c r="A2602" s="2">
        <v>39119</v>
      </c>
      <c r="B2602" t="s">
        <v>13</v>
      </c>
      <c r="D2602" s="2">
        <v>39850</v>
      </c>
      <c r="E2602">
        <v>5.5</v>
      </c>
      <c r="G2602" s="2">
        <v>39850</v>
      </c>
      <c r="H2602">
        <v>4.5570000000000004</v>
      </c>
      <c r="J2602" s="2">
        <v>39857</v>
      </c>
      <c r="K2602" s="3">
        <f t="shared" si="80"/>
        <v>5.5</v>
      </c>
      <c r="L2602" s="3">
        <f t="shared" si="81"/>
        <v>4.5330000000000004</v>
      </c>
    </row>
    <row r="2603" spans="1:12" x14ac:dyDescent="0.3">
      <c r="A2603" s="2">
        <v>39120</v>
      </c>
      <c r="B2603" t="s">
        <v>13</v>
      </c>
      <c r="D2603" s="2">
        <v>39851</v>
      </c>
      <c r="E2603">
        <v>5.5</v>
      </c>
      <c r="G2603" s="2">
        <v>39851</v>
      </c>
      <c r="H2603">
        <v>4.5570000000000004</v>
      </c>
      <c r="J2603" s="2">
        <v>39858</v>
      </c>
      <c r="K2603" s="3">
        <f t="shared" si="80"/>
        <v>5.5</v>
      </c>
      <c r="L2603" s="3">
        <f t="shared" si="81"/>
        <v>4.5330000000000004</v>
      </c>
    </row>
    <row r="2604" spans="1:12" x14ac:dyDescent="0.3">
      <c r="A2604" s="2">
        <v>39121</v>
      </c>
      <c r="B2604" t="s">
        <v>13</v>
      </c>
      <c r="D2604" s="2">
        <v>39852</v>
      </c>
      <c r="E2604">
        <v>5.5</v>
      </c>
      <c r="G2604" s="2">
        <v>39852</v>
      </c>
      <c r="H2604">
        <v>4.5570000000000004</v>
      </c>
      <c r="J2604" s="2">
        <v>39859</v>
      </c>
      <c r="K2604" s="3">
        <f t="shared" si="80"/>
        <v>5.5</v>
      </c>
      <c r="L2604" s="3">
        <f t="shared" si="81"/>
        <v>4.5330000000000004</v>
      </c>
    </row>
    <row r="2605" spans="1:12" x14ac:dyDescent="0.3">
      <c r="A2605" s="2">
        <v>39122</v>
      </c>
      <c r="B2605" t="s">
        <v>13</v>
      </c>
      <c r="D2605" s="2">
        <v>39853</v>
      </c>
      <c r="E2605">
        <v>5.5</v>
      </c>
      <c r="G2605" s="2">
        <v>39853</v>
      </c>
      <c r="H2605">
        <v>4.5570000000000004</v>
      </c>
      <c r="J2605" s="2">
        <v>39860</v>
      </c>
      <c r="K2605" s="3">
        <f t="shared" si="80"/>
        <v>5.5</v>
      </c>
      <c r="L2605" s="3">
        <f t="shared" si="81"/>
        <v>4.5940000000000003</v>
      </c>
    </row>
    <row r="2606" spans="1:12" x14ac:dyDescent="0.3">
      <c r="A2606" s="2">
        <v>39123</v>
      </c>
      <c r="B2606" t="s">
        <v>13</v>
      </c>
      <c r="D2606" s="2">
        <v>39854</v>
      </c>
      <c r="E2606">
        <v>5.5</v>
      </c>
      <c r="G2606" s="2">
        <v>39854</v>
      </c>
      <c r="H2606">
        <v>4.5999999999999996</v>
      </c>
      <c r="J2606" s="2">
        <v>39861</v>
      </c>
      <c r="K2606" s="3">
        <f t="shared" si="80"/>
        <v>5.5</v>
      </c>
      <c r="L2606" s="3">
        <f t="shared" si="81"/>
        <v>4.734</v>
      </c>
    </row>
    <row r="2607" spans="1:12" x14ac:dyDescent="0.3">
      <c r="A2607" s="2">
        <v>39124</v>
      </c>
      <c r="B2607" t="s">
        <v>13</v>
      </c>
      <c r="D2607" s="2">
        <v>39855</v>
      </c>
      <c r="E2607">
        <v>5.5</v>
      </c>
      <c r="G2607" s="2">
        <v>39855</v>
      </c>
      <c r="H2607">
        <v>4.6740000000000004</v>
      </c>
      <c r="J2607" s="2">
        <v>39862</v>
      </c>
      <c r="K2607" s="3">
        <f t="shared" si="80"/>
        <v>5.5</v>
      </c>
      <c r="L2607" s="3">
        <f t="shared" si="81"/>
        <v>4.7649999999999997</v>
      </c>
    </row>
    <row r="2608" spans="1:12" x14ac:dyDescent="0.3">
      <c r="A2608" s="2">
        <v>39125</v>
      </c>
      <c r="B2608" t="s">
        <v>13</v>
      </c>
      <c r="D2608" s="2">
        <v>39856</v>
      </c>
      <c r="E2608">
        <v>5.5</v>
      </c>
      <c r="G2608" s="2">
        <v>39856</v>
      </c>
      <c r="H2608">
        <v>4.6029999999999998</v>
      </c>
      <c r="J2608" s="2">
        <v>39863</v>
      </c>
      <c r="K2608" s="3">
        <f t="shared" si="80"/>
        <v>5.5</v>
      </c>
      <c r="L2608" s="3">
        <f t="shared" si="81"/>
        <v>4.6820000000000004</v>
      </c>
    </row>
    <row r="2609" spans="1:12" x14ac:dyDescent="0.3">
      <c r="A2609" s="2">
        <v>39126</v>
      </c>
      <c r="B2609" t="s">
        <v>13</v>
      </c>
      <c r="D2609" s="2">
        <v>39857</v>
      </c>
      <c r="E2609">
        <v>5.5</v>
      </c>
      <c r="G2609" s="2">
        <v>39857</v>
      </c>
      <c r="H2609">
        <v>4.5330000000000004</v>
      </c>
      <c r="J2609" s="2">
        <v>39864</v>
      </c>
      <c r="K2609" s="3">
        <f t="shared" si="80"/>
        <v>5.5</v>
      </c>
      <c r="L2609" s="3">
        <f t="shared" si="81"/>
        <v>4.694</v>
      </c>
    </row>
    <row r="2610" spans="1:12" x14ac:dyDescent="0.3">
      <c r="A2610" s="2">
        <v>39127</v>
      </c>
      <c r="B2610" t="s">
        <v>13</v>
      </c>
      <c r="D2610" s="2">
        <v>39858</v>
      </c>
      <c r="E2610">
        <v>5.5</v>
      </c>
      <c r="G2610" s="2">
        <v>39858</v>
      </c>
      <c r="H2610">
        <v>4.5330000000000004</v>
      </c>
      <c r="J2610" s="2">
        <v>39865</v>
      </c>
      <c r="K2610" s="3">
        <f t="shared" si="80"/>
        <v>5.5</v>
      </c>
      <c r="L2610" s="3">
        <f t="shared" si="81"/>
        <v>4.694</v>
      </c>
    </row>
    <row r="2611" spans="1:12" x14ac:dyDescent="0.3">
      <c r="A2611" s="2">
        <v>39128</v>
      </c>
      <c r="B2611" t="s">
        <v>13</v>
      </c>
      <c r="D2611" s="2">
        <v>39859</v>
      </c>
      <c r="E2611">
        <v>5.5</v>
      </c>
      <c r="G2611" s="2">
        <v>39859</v>
      </c>
      <c r="H2611">
        <v>4.5330000000000004</v>
      </c>
      <c r="J2611" s="2">
        <v>39866</v>
      </c>
      <c r="K2611" s="3">
        <f t="shared" si="80"/>
        <v>5.5</v>
      </c>
      <c r="L2611" s="3">
        <f t="shared" si="81"/>
        <v>4.694</v>
      </c>
    </row>
    <row r="2612" spans="1:12" x14ac:dyDescent="0.3">
      <c r="A2612" s="2">
        <v>39129</v>
      </c>
      <c r="B2612" t="s">
        <v>13</v>
      </c>
      <c r="D2612" s="2">
        <v>39860</v>
      </c>
      <c r="E2612">
        <v>5.5</v>
      </c>
      <c r="G2612" s="2">
        <v>39860</v>
      </c>
      <c r="H2612">
        <v>4.5940000000000003</v>
      </c>
      <c r="J2612" s="2">
        <v>39867</v>
      </c>
      <c r="K2612" s="3">
        <f t="shared" si="80"/>
        <v>5.5</v>
      </c>
      <c r="L2612" s="3">
        <f t="shared" si="81"/>
        <v>4.694</v>
      </c>
    </row>
    <row r="2613" spans="1:12" x14ac:dyDescent="0.3">
      <c r="A2613" s="2">
        <v>39130</v>
      </c>
      <c r="B2613" t="s">
        <v>13</v>
      </c>
      <c r="D2613" s="2">
        <v>39861</v>
      </c>
      <c r="E2613">
        <v>5.5</v>
      </c>
      <c r="G2613" s="2">
        <v>39861</v>
      </c>
      <c r="H2613">
        <v>4.734</v>
      </c>
      <c r="J2613" s="2">
        <v>39868</v>
      </c>
      <c r="K2613" s="3">
        <f t="shared" si="80"/>
        <v>5.5</v>
      </c>
      <c r="L2613" s="3">
        <f t="shared" si="81"/>
        <v>4.7309999999999999</v>
      </c>
    </row>
    <row r="2614" spans="1:12" x14ac:dyDescent="0.3">
      <c r="A2614" s="2">
        <v>39131</v>
      </c>
      <c r="B2614" t="s">
        <v>13</v>
      </c>
      <c r="D2614" s="2">
        <v>39862</v>
      </c>
      <c r="E2614">
        <v>5.5</v>
      </c>
      <c r="G2614" s="2">
        <v>39862</v>
      </c>
      <c r="H2614">
        <v>4.7649999999999997</v>
      </c>
      <c r="J2614" s="2">
        <v>39869</v>
      </c>
      <c r="K2614" s="3">
        <f t="shared" si="80"/>
        <v>5.5</v>
      </c>
      <c r="L2614" s="3">
        <f t="shared" si="81"/>
        <v>4.8479999999999999</v>
      </c>
    </row>
    <row r="2615" spans="1:12" x14ac:dyDescent="0.3">
      <c r="A2615" s="2">
        <v>39132</v>
      </c>
      <c r="B2615" t="s">
        <v>13</v>
      </c>
      <c r="D2615" s="2">
        <v>39863</v>
      </c>
      <c r="E2615">
        <v>5.5</v>
      </c>
      <c r="G2615" s="2">
        <v>39863</v>
      </c>
      <c r="H2615">
        <v>4.6820000000000004</v>
      </c>
      <c r="J2615" s="2">
        <v>39870</v>
      </c>
      <c r="K2615" s="3">
        <f t="shared" si="80"/>
        <v>5.5</v>
      </c>
      <c r="L2615" s="3">
        <f t="shared" si="81"/>
        <v>4.7539999999999996</v>
      </c>
    </row>
    <row r="2616" spans="1:12" x14ac:dyDescent="0.3">
      <c r="A2616" s="2">
        <v>39133</v>
      </c>
      <c r="B2616" t="s">
        <v>13</v>
      </c>
      <c r="D2616" s="2">
        <v>39864</v>
      </c>
      <c r="E2616">
        <v>5.5</v>
      </c>
      <c r="G2616" s="2">
        <v>39864</v>
      </c>
      <c r="H2616">
        <v>4.694</v>
      </c>
      <c r="J2616" s="2">
        <v>39871</v>
      </c>
      <c r="K2616" s="3">
        <f t="shared" si="80"/>
        <v>5.5</v>
      </c>
      <c r="L2616" s="3">
        <f t="shared" si="81"/>
        <v>4.6859999999999999</v>
      </c>
    </row>
    <row r="2617" spans="1:12" x14ac:dyDescent="0.3">
      <c r="A2617" s="2">
        <v>39134</v>
      </c>
      <c r="B2617" t="s">
        <v>13</v>
      </c>
      <c r="D2617" s="2">
        <v>39865</v>
      </c>
      <c r="E2617">
        <v>5.5</v>
      </c>
      <c r="G2617" s="2">
        <v>39865</v>
      </c>
      <c r="H2617">
        <v>4.694</v>
      </c>
      <c r="J2617" s="2">
        <v>39872</v>
      </c>
      <c r="K2617" s="3">
        <f t="shared" si="80"/>
        <v>5.5</v>
      </c>
      <c r="L2617" s="3">
        <f t="shared" si="81"/>
        <v>4.6859999999999999</v>
      </c>
    </row>
    <row r="2618" spans="1:12" x14ac:dyDescent="0.3">
      <c r="A2618" s="2">
        <v>39135</v>
      </c>
      <c r="B2618" t="s">
        <v>13</v>
      </c>
      <c r="D2618" s="2">
        <v>39866</v>
      </c>
      <c r="E2618">
        <v>5.5</v>
      </c>
      <c r="G2618" s="2">
        <v>39866</v>
      </c>
      <c r="H2618">
        <v>4.694</v>
      </c>
      <c r="J2618" s="2">
        <v>39873</v>
      </c>
      <c r="K2618" s="3">
        <f t="shared" si="80"/>
        <v>5.5</v>
      </c>
      <c r="L2618" s="3">
        <f t="shared" si="81"/>
        <v>4.6859999999999999</v>
      </c>
    </row>
    <row r="2619" spans="1:12" x14ac:dyDescent="0.3">
      <c r="A2619" s="2">
        <v>39136</v>
      </c>
      <c r="B2619" t="s">
        <v>13</v>
      </c>
      <c r="D2619" s="2">
        <v>39867</v>
      </c>
      <c r="E2619">
        <v>5.5</v>
      </c>
      <c r="G2619" s="2">
        <v>39867</v>
      </c>
      <c r="H2619">
        <v>4.694</v>
      </c>
      <c r="J2619" s="2">
        <v>39874</v>
      </c>
      <c r="K2619" s="3">
        <f t="shared" si="80"/>
        <v>5.5</v>
      </c>
      <c r="L2619" s="3">
        <f t="shared" si="81"/>
        <v>4.7210000000000001</v>
      </c>
    </row>
    <row r="2620" spans="1:12" x14ac:dyDescent="0.3">
      <c r="A2620" s="2">
        <v>39137</v>
      </c>
      <c r="B2620" t="s">
        <v>13</v>
      </c>
      <c r="D2620" s="2">
        <v>39868</v>
      </c>
      <c r="E2620">
        <v>5.5</v>
      </c>
      <c r="G2620" s="2">
        <v>39868</v>
      </c>
      <c r="H2620">
        <v>4.7309999999999999</v>
      </c>
      <c r="J2620" s="2">
        <v>39875</v>
      </c>
      <c r="K2620" s="3">
        <f t="shared" si="80"/>
        <v>5.5</v>
      </c>
      <c r="L2620" s="3">
        <f t="shared" si="81"/>
        <v>4.7110000000000003</v>
      </c>
    </row>
    <row r="2621" spans="1:12" x14ac:dyDescent="0.3">
      <c r="A2621" s="2">
        <v>39138</v>
      </c>
      <c r="B2621" t="s">
        <v>13</v>
      </c>
      <c r="D2621" s="2">
        <v>39869</v>
      </c>
      <c r="E2621">
        <v>5.5</v>
      </c>
      <c r="G2621" s="2">
        <v>39869</v>
      </c>
      <c r="H2621">
        <v>4.8479999999999999</v>
      </c>
      <c r="J2621" s="2">
        <v>39876</v>
      </c>
      <c r="K2621" s="3">
        <f t="shared" si="80"/>
        <v>5</v>
      </c>
      <c r="L2621" s="3">
        <f t="shared" si="81"/>
        <v>4.7009999999999996</v>
      </c>
    </row>
    <row r="2622" spans="1:12" x14ac:dyDescent="0.3">
      <c r="A2622" s="2">
        <v>39139</v>
      </c>
      <c r="B2622" t="s">
        <v>13</v>
      </c>
      <c r="D2622" s="2">
        <v>39870</v>
      </c>
      <c r="E2622">
        <v>5.5</v>
      </c>
      <c r="G2622" s="2">
        <v>39870</v>
      </c>
      <c r="H2622">
        <v>4.7539999999999996</v>
      </c>
      <c r="J2622" s="2">
        <v>39877</v>
      </c>
      <c r="K2622" s="3">
        <f t="shared" si="80"/>
        <v>5</v>
      </c>
      <c r="L2622" s="3">
        <f t="shared" si="81"/>
        <v>4.67</v>
      </c>
    </row>
    <row r="2623" spans="1:12" x14ac:dyDescent="0.3">
      <c r="A2623" s="2">
        <v>39140</v>
      </c>
      <c r="B2623" t="s">
        <v>13</v>
      </c>
      <c r="D2623" s="2">
        <v>39871</v>
      </c>
      <c r="E2623">
        <v>5.5</v>
      </c>
      <c r="G2623" s="2">
        <v>39871</v>
      </c>
      <c r="H2623">
        <v>4.6859999999999999</v>
      </c>
      <c r="J2623" s="2">
        <v>39878</v>
      </c>
      <c r="K2623" s="3">
        <f t="shared" si="80"/>
        <v>5</v>
      </c>
      <c r="L2623" s="3">
        <f t="shared" si="81"/>
        <v>4.7249999999999996</v>
      </c>
    </row>
    <row r="2624" spans="1:12" x14ac:dyDescent="0.3">
      <c r="A2624" s="2">
        <v>39141</v>
      </c>
      <c r="B2624" t="s">
        <v>13</v>
      </c>
      <c r="D2624" s="2">
        <v>39872</v>
      </c>
      <c r="E2624">
        <v>5.5</v>
      </c>
      <c r="G2624" s="2">
        <v>39872</v>
      </c>
      <c r="H2624">
        <v>4.6859999999999999</v>
      </c>
      <c r="J2624" s="2">
        <v>39879</v>
      </c>
      <c r="K2624" s="3">
        <f t="shared" si="80"/>
        <v>5</v>
      </c>
      <c r="L2624" s="3">
        <f t="shared" si="81"/>
        <v>4.7249999999999996</v>
      </c>
    </row>
    <row r="2625" spans="1:12" x14ac:dyDescent="0.3">
      <c r="A2625" s="2">
        <v>39142</v>
      </c>
      <c r="B2625" t="s">
        <v>13</v>
      </c>
      <c r="D2625" s="2">
        <v>39873</v>
      </c>
      <c r="E2625">
        <v>5.5</v>
      </c>
      <c r="G2625" s="2">
        <v>39873</v>
      </c>
      <c r="H2625">
        <v>4.6859999999999999</v>
      </c>
      <c r="J2625" s="2">
        <v>39880</v>
      </c>
      <c r="K2625" s="3">
        <f t="shared" si="80"/>
        <v>5</v>
      </c>
      <c r="L2625" s="3">
        <f t="shared" si="81"/>
        <v>4.7249999999999996</v>
      </c>
    </row>
    <row r="2626" spans="1:12" x14ac:dyDescent="0.3">
      <c r="A2626" s="2">
        <v>39143</v>
      </c>
      <c r="B2626" t="s">
        <v>13</v>
      </c>
      <c r="D2626" s="2">
        <v>39874</v>
      </c>
      <c r="E2626">
        <v>5.5</v>
      </c>
      <c r="G2626" s="2">
        <v>39874</v>
      </c>
      <c r="H2626">
        <v>4.7210000000000001</v>
      </c>
      <c r="J2626" s="2">
        <v>39881</v>
      </c>
      <c r="K2626" s="3">
        <f t="shared" si="80"/>
        <v>5</v>
      </c>
      <c r="L2626" s="3">
        <f t="shared" si="81"/>
        <v>4.9589999999999996</v>
      </c>
    </row>
    <row r="2627" spans="1:12" x14ac:dyDescent="0.3">
      <c r="A2627" s="2">
        <v>39144</v>
      </c>
      <c r="B2627" t="s">
        <v>13</v>
      </c>
      <c r="D2627" s="2">
        <v>39875</v>
      </c>
      <c r="E2627">
        <v>5.5</v>
      </c>
      <c r="G2627" s="2">
        <v>39875</v>
      </c>
      <c r="H2627">
        <v>4.7110000000000003</v>
      </c>
      <c r="J2627" s="2">
        <v>39882</v>
      </c>
      <c r="K2627" s="3">
        <f t="shared" ref="K2627:K2690" si="82">E2634</f>
        <v>5</v>
      </c>
      <c r="L2627" s="3">
        <f t="shared" ref="L2627:L2690" si="83">H2634</f>
        <v>4.9589999999999996</v>
      </c>
    </row>
    <row r="2628" spans="1:12" x14ac:dyDescent="0.3">
      <c r="A2628" s="2">
        <v>39145</v>
      </c>
      <c r="B2628" t="s">
        <v>13</v>
      </c>
      <c r="D2628" s="2">
        <v>39876</v>
      </c>
      <c r="E2628">
        <v>5</v>
      </c>
      <c r="G2628" s="2">
        <v>39876</v>
      </c>
      <c r="H2628">
        <v>4.7009999999999996</v>
      </c>
      <c r="J2628" s="2">
        <v>39883</v>
      </c>
      <c r="K2628" s="3">
        <f t="shared" si="82"/>
        <v>5</v>
      </c>
      <c r="L2628" s="3">
        <f t="shared" si="83"/>
        <v>4.9589999999999996</v>
      </c>
    </row>
    <row r="2629" spans="1:12" x14ac:dyDescent="0.3">
      <c r="A2629" s="2">
        <v>39146</v>
      </c>
      <c r="B2629" t="s">
        <v>13</v>
      </c>
      <c r="D2629" s="2">
        <v>39877</v>
      </c>
      <c r="E2629">
        <v>5</v>
      </c>
      <c r="G2629" s="2">
        <v>39877</v>
      </c>
      <c r="H2629">
        <v>4.67</v>
      </c>
      <c r="J2629" s="2">
        <v>39884</v>
      </c>
      <c r="K2629" s="3">
        <f t="shared" si="82"/>
        <v>5</v>
      </c>
      <c r="L2629" s="3">
        <f t="shared" si="83"/>
        <v>4.7990000000000004</v>
      </c>
    </row>
    <row r="2630" spans="1:12" x14ac:dyDescent="0.3">
      <c r="A2630" s="2">
        <v>39147</v>
      </c>
      <c r="B2630" t="s">
        <v>13</v>
      </c>
      <c r="D2630" s="2">
        <v>39878</v>
      </c>
      <c r="E2630">
        <v>5</v>
      </c>
      <c r="G2630" s="2">
        <v>39878</v>
      </c>
      <c r="H2630">
        <v>4.7249999999999996</v>
      </c>
      <c r="J2630" s="2">
        <v>39885</v>
      </c>
      <c r="K2630" s="3">
        <f t="shared" si="82"/>
        <v>5</v>
      </c>
      <c r="L2630" s="3">
        <f t="shared" si="83"/>
        <v>5.0410000000000004</v>
      </c>
    </row>
    <row r="2631" spans="1:12" x14ac:dyDescent="0.3">
      <c r="A2631" s="2">
        <v>39148</v>
      </c>
      <c r="B2631" t="s">
        <v>13</v>
      </c>
      <c r="D2631" s="2">
        <v>39879</v>
      </c>
      <c r="E2631">
        <v>5</v>
      </c>
      <c r="G2631" s="2">
        <v>39879</v>
      </c>
      <c r="H2631">
        <v>4.7249999999999996</v>
      </c>
      <c r="J2631" s="2">
        <v>39886</v>
      </c>
      <c r="K2631" s="3">
        <f t="shared" si="82"/>
        <v>5</v>
      </c>
      <c r="L2631" s="3">
        <f t="shared" si="83"/>
        <v>5.0410000000000004</v>
      </c>
    </row>
    <row r="2632" spans="1:12" x14ac:dyDescent="0.3">
      <c r="A2632" s="2">
        <v>39149</v>
      </c>
      <c r="B2632" t="s">
        <v>13</v>
      </c>
      <c r="D2632" s="2">
        <v>39880</v>
      </c>
      <c r="E2632">
        <v>5</v>
      </c>
      <c r="G2632" s="2">
        <v>39880</v>
      </c>
      <c r="H2632">
        <v>4.7249999999999996</v>
      </c>
      <c r="J2632" s="2">
        <v>39887</v>
      </c>
      <c r="K2632" s="3">
        <f t="shared" si="82"/>
        <v>5</v>
      </c>
      <c r="L2632" s="3">
        <f t="shared" si="83"/>
        <v>5.0410000000000004</v>
      </c>
    </row>
    <row r="2633" spans="1:12" x14ac:dyDescent="0.3">
      <c r="A2633" s="2">
        <v>39150</v>
      </c>
      <c r="B2633" t="s">
        <v>13</v>
      </c>
      <c r="D2633" s="2">
        <v>39881</v>
      </c>
      <c r="E2633">
        <v>5</v>
      </c>
      <c r="G2633" s="2">
        <v>39881</v>
      </c>
      <c r="H2633">
        <v>4.9589999999999996</v>
      </c>
      <c r="J2633" s="2">
        <v>39888</v>
      </c>
      <c r="K2633" s="3">
        <f t="shared" si="82"/>
        <v>5</v>
      </c>
      <c r="L2633" s="3">
        <f t="shared" si="83"/>
        <v>5.0209999999999999</v>
      </c>
    </row>
    <row r="2634" spans="1:12" x14ac:dyDescent="0.3">
      <c r="A2634" s="2">
        <v>39151</v>
      </c>
      <c r="B2634" t="s">
        <v>13</v>
      </c>
      <c r="D2634" s="2">
        <v>39882</v>
      </c>
      <c r="E2634">
        <v>5</v>
      </c>
      <c r="G2634" s="2">
        <v>39882</v>
      </c>
      <c r="H2634">
        <v>4.9589999999999996</v>
      </c>
      <c r="J2634" s="2">
        <v>39889</v>
      </c>
      <c r="K2634" s="3">
        <f t="shared" si="82"/>
        <v>5</v>
      </c>
      <c r="L2634" s="3">
        <f t="shared" si="83"/>
        <v>5.0730000000000004</v>
      </c>
    </row>
    <row r="2635" spans="1:12" x14ac:dyDescent="0.3">
      <c r="A2635" s="2">
        <v>39152</v>
      </c>
      <c r="B2635" t="s">
        <v>13</v>
      </c>
      <c r="D2635" s="2">
        <v>39883</v>
      </c>
      <c r="E2635">
        <v>5</v>
      </c>
      <c r="G2635" s="2">
        <v>39883</v>
      </c>
      <c r="H2635">
        <v>4.9589999999999996</v>
      </c>
      <c r="J2635" s="2">
        <v>39890</v>
      </c>
      <c r="K2635" s="3">
        <f t="shared" si="82"/>
        <v>5</v>
      </c>
      <c r="L2635" s="3">
        <f t="shared" si="83"/>
        <v>4.9779999999999998</v>
      </c>
    </row>
    <row r="2636" spans="1:12" x14ac:dyDescent="0.3">
      <c r="A2636" s="2">
        <v>39153</v>
      </c>
      <c r="B2636" t="s">
        <v>13</v>
      </c>
      <c r="D2636" s="2">
        <v>39884</v>
      </c>
      <c r="E2636">
        <v>5</v>
      </c>
      <c r="G2636" s="2">
        <v>39884</v>
      </c>
      <c r="H2636">
        <v>4.7990000000000004</v>
      </c>
      <c r="J2636" s="2">
        <v>39891</v>
      </c>
      <c r="K2636" s="3">
        <f t="shared" si="82"/>
        <v>5</v>
      </c>
      <c r="L2636" s="3">
        <f t="shared" si="83"/>
        <v>5.0570000000000004</v>
      </c>
    </row>
    <row r="2637" spans="1:12" x14ac:dyDescent="0.3">
      <c r="A2637" s="2">
        <v>39154</v>
      </c>
      <c r="B2637" t="s">
        <v>13</v>
      </c>
      <c r="D2637" s="2">
        <v>39885</v>
      </c>
      <c r="E2637">
        <v>5</v>
      </c>
      <c r="G2637" s="2">
        <v>39885</v>
      </c>
      <c r="H2637">
        <v>5.0410000000000004</v>
      </c>
      <c r="J2637" s="2">
        <v>39892</v>
      </c>
      <c r="K2637" s="3">
        <f t="shared" si="82"/>
        <v>5</v>
      </c>
      <c r="L2637" s="3">
        <f t="shared" si="83"/>
        <v>5.0289999999999999</v>
      </c>
    </row>
    <row r="2638" spans="1:12" x14ac:dyDescent="0.3">
      <c r="A2638" s="2">
        <v>39155</v>
      </c>
      <c r="B2638" t="s">
        <v>13</v>
      </c>
      <c r="D2638" s="2">
        <v>39886</v>
      </c>
      <c r="E2638">
        <v>5</v>
      </c>
      <c r="G2638" s="2">
        <v>39886</v>
      </c>
      <c r="H2638">
        <v>5.0410000000000004</v>
      </c>
      <c r="J2638" s="2">
        <v>39893</v>
      </c>
      <c r="K2638" s="3">
        <f t="shared" si="82"/>
        <v>5</v>
      </c>
      <c r="L2638" s="3">
        <f t="shared" si="83"/>
        <v>5.0289999999999999</v>
      </c>
    </row>
    <row r="2639" spans="1:12" x14ac:dyDescent="0.3">
      <c r="A2639" s="2">
        <v>39156</v>
      </c>
      <c r="B2639" t="s">
        <v>13</v>
      </c>
      <c r="D2639" s="2">
        <v>39887</v>
      </c>
      <c r="E2639">
        <v>5</v>
      </c>
      <c r="G2639" s="2">
        <v>39887</v>
      </c>
      <c r="H2639">
        <v>5.0410000000000004</v>
      </c>
      <c r="J2639" s="2">
        <v>39894</v>
      </c>
      <c r="K2639" s="3">
        <f t="shared" si="82"/>
        <v>5</v>
      </c>
      <c r="L2639" s="3">
        <f t="shared" si="83"/>
        <v>5.0289999999999999</v>
      </c>
    </row>
    <row r="2640" spans="1:12" x14ac:dyDescent="0.3">
      <c r="A2640" s="2">
        <v>39157</v>
      </c>
      <c r="B2640" t="s">
        <v>13</v>
      </c>
      <c r="D2640" s="2">
        <v>39888</v>
      </c>
      <c r="E2640">
        <v>5</v>
      </c>
      <c r="G2640" s="2">
        <v>39888</v>
      </c>
      <c r="H2640">
        <v>5.0209999999999999</v>
      </c>
      <c r="J2640" s="2">
        <v>39895</v>
      </c>
      <c r="K2640" s="3">
        <f t="shared" si="82"/>
        <v>5</v>
      </c>
      <c r="L2640" s="3">
        <f t="shared" si="83"/>
        <v>4.9870000000000001</v>
      </c>
    </row>
    <row r="2641" spans="1:12" x14ac:dyDescent="0.3">
      <c r="A2641" s="2">
        <v>39158</v>
      </c>
      <c r="B2641" t="s">
        <v>13</v>
      </c>
      <c r="D2641" s="2">
        <v>39889</v>
      </c>
      <c r="E2641">
        <v>5</v>
      </c>
      <c r="G2641" s="2">
        <v>39889</v>
      </c>
      <c r="H2641">
        <v>5.0730000000000004</v>
      </c>
      <c r="J2641" s="2">
        <v>39896</v>
      </c>
      <c r="K2641" s="3">
        <f t="shared" si="82"/>
        <v>5</v>
      </c>
      <c r="L2641" s="3">
        <f t="shared" si="83"/>
        <v>5.1079999999999997</v>
      </c>
    </row>
    <row r="2642" spans="1:12" x14ac:dyDescent="0.3">
      <c r="A2642" s="2">
        <v>39159</v>
      </c>
      <c r="B2642" t="s">
        <v>13</v>
      </c>
      <c r="D2642" s="2">
        <v>39890</v>
      </c>
      <c r="E2642">
        <v>5</v>
      </c>
      <c r="G2642" s="2">
        <v>39890</v>
      </c>
      <c r="H2642">
        <v>4.9779999999999998</v>
      </c>
      <c r="J2642" s="2">
        <v>39897</v>
      </c>
      <c r="K2642" s="3">
        <f t="shared" si="82"/>
        <v>5</v>
      </c>
      <c r="L2642" s="3">
        <f t="shared" si="83"/>
        <v>5.0940000000000003</v>
      </c>
    </row>
    <row r="2643" spans="1:12" x14ac:dyDescent="0.3">
      <c r="A2643" s="2">
        <v>39160</v>
      </c>
      <c r="B2643" t="s">
        <v>13</v>
      </c>
      <c r="D2643" s="2">
        <v>39891</v>
      </c>
      <c r="E2643">
        <v>5</v>
      </c>
      <c r="G2643" s="2">
        <v>39891</v>
      </c>
      <c r="H2643">
        <v>5.0570000000000004</v>
      </c>
      <c r="J2643" s="2">
        <v>39898</v>
      </c>
      <c r="K2643" s="3">
        <f t="shared" si="82"/>
        <v>5</v>
      </c>
      <c r="L2643" s="3">
        <f t="shared" si="83"/>
        <v>5.1760000000000002</v>
      </c>
    </row>
    <row r="2644" spans="1:12" x14ac:dyDescent="0.3">
      <c r="A2644" s="2">
        <v>39161</v>
      </c>
      <c r="B2644" t="s">
        <v>13</v>
      </c>
      <c r="D2644" s="2">
        <v>39892</v>
      </c>
      <c r="E2644">
        <v>5</v>
      </c>
      <c r="G2644" s="2">
        <v>39892</v>
      </c>
      <c r="H2644">
        <v>5.0289999999999999</v>
      </c>
      <c r="J2644" s="2">
        <v>39899</v>
      </c>
      <c r="K2644" s="3">
        <f t="shared" si="82"/>
        <v>5</v>
      </c>
      <c r="L2644" s="3">
        <f t="shared" si="83"/>
        <v>5.1760000000000002</v>
      </c>
    </row>
    <row r="2645" spans="1:12" x14ac:dyDescent="0.3">
      <c r="A2645" s="2">
        <v>39162</v>
      </c>
      <c r="B2645" t="s">
        <v>13</v>
      </c>
      <c r="D2645" s="2">
        <v>39893</v>
      </c>
      <c r="E2645">
        <v>5</v>
      </c>
      <c r="G2645" s="2">
        <v>39893</v>
      </c>
      <c r="H2645">
        <v>5.0289999999999999</v>
      </c>
      <c r="J2645" s="2">
        <v>39900</v>
      </c>
      <c r="K2645" s="3">
        <f t="shared" si="82"/>
        <v>5</v>
      </c>
      <c r="L2645" s="3">
        <f t="shared" si="83"/>
        <v>5.1760000000000002</v>
      </c>
    </row>
    <row r="2646" spans="1:12" x14ac:dyDescent="0.3">
      <c r="A2646" s="2">
        <v>39163</v>
      </c>
      <c r="B2646" t="s">
        <v>13</v>
      </c>
      <c r="D2646" s="2">
        <v>39894</v>
      </c>
      <c r="E2646">
        <v>5</v>
      </c>
      <c r="G2646" s="2">
        <v>39894</v>
      </c>
      <c r="H2646">
        <v>5.0289999999999999</v>
      </c>
      <c r="J2646" s="2">
        <v>39901</v>
      </c>
      <c r="K2646" s="3">
        <f t="shared" si="82"/>
        <v>5</v>
      </c>
      <c r="L2646" s="3">
        <f t="shared" si="83"/>
        <v>5.1760000000000002</v>
      </c>
    </row>
    <row r="2647" spans="1:12" x14ac:dyDescent="0.3">
      <c r="A2647" s="2">
        <v>39164</v>
      </c>
      <c r="B2647" t="s">
        <v>13</v>
      </c>
      <c r="D2647" s="2">
        <v>39895</v>
      </c>
      <c r="E2647">
        <v>5</v>
      </c>
      <c r="G2647" s="2">
        <v>39895</v>
      </c>
      <c r="H2647">
        <v>4.9870000000000001</v>
      </c>
      <c r="J2647" s="2">
        <v>39902</v>
      </c>
      <c r="K2647" s="3">
        <f t="shared" si="82"/>
        <v>5</v>
      </c>
      <c r="L2647" s="3">
        <f t="shared" si="83"/>
        <v>5.298</v>
      </c>
    </row>
    <row r="2648" spans="1:12" x14ac:dyDescent="0.3">
      <c r="A2648" s="2">
        <v>39165</v>
      </c>
      <c r="B2648" t="s">
        <v>13</v>
      </c>
      <c r="D2648" s="2">
        <v>39896</v>
      </c>
      <c r="E2648">
        <v>5</v>
      </c>
      <c r="G2648" s="2">
        <v>39896</v>
      </c>
      <c r="H2648">
        <v>5.1079999999999997</v>
      </c>
      <c r="J2648" s="2">
        <v>39903</v>
      </c>
      <c r="K2648" s="3">
        <f t="shared" si="82"/>
        <v>5</v>
      </c>
      <c r="L2648" s="3">
        <f t="shared" si="83"/>
        <v>5.16</v>
      </c>
    </row>
    <row r="2649" spans="1:12" x14ac:dyDescent="0.3">
      <c r="A2649" s="2">
        <v>39166</v>
      </c>
      <c r="B2649" t="s">
        <v>13</v>
      </c>
      <c r="D2649" s="2">
        <v>39897</v>
      </c>
      <c r="E2649">
        <v>5</v>
      </c>
      <c r="G2649" s="2">
        <v>39897</v>
      </c>
      <c r="H2649">
        <v>5.0940000000000003</v>
      </c>
      <c r="J2649" s="2">
        <v>39904</v>
      </c>
      <c r="K2649" s="3">
        <f t="shared" si="82"/>
        <v>5</v>
      </c>
      <c r="L2649" s="3">
        <f t="shared" si="83"/>
        <v>5.16</v>
      </c>
    </row>
    <row r="2650" spans="1:12" x14ac:dyDescent="0.3">
      <c r="A2650" s="2">
        <v>39167</v>
      </c>
      <c r="B2650" t="s">
        <v>13</v>
      </c>
      <c r="D2650" s="2">
        <v>39898</v>
      </c>
      <c r="E2650">
        <v>5</v>
      </c>
      <c r="G2650" s="2">
        <v>39898</v>
      </c>
      <c r="H2650">
        <v>5.1760000000000002</v>
      </c>
      <c r="J2650" s="2">
        <v>39905</v>
      </c>
      <c r="K2650" s="3">
        <f t="shared" si="82"/>
        <v>5</v>
      </c>
      <c r="L2650" s="3">
        <f t="shared" si="83"/>
        <v>5.0220000000000002</v>
      </c>
    </row>
    <row r="2651" spans="1:12" x14ac:dyDescent="0.3">
      <c r="A2651" s="2">
        <v>39168</v>
      </c>
      <c r="B2651" t="s">
        <v>13</v>
      </c>
      <c r="D2651" s="2">
        <v>39899</v>
      </c>
      <c r="E2651">
        <v>5</v>
      </c>
      <c r="G2651" s="2">
        <v>39899</v>
      </c>
      <c r="H2651">
        <v>5.1760000000000002</v>
      </c>
      <c r="J2651" s="2">
        <v>39906</v>
      </c>
      <c r="K2651" s="3">
        <f t="shared" si="82"/>
        <v>5</v>
      </c>
      <c r="L2651" s="3">
        <f t="shared" si="83"/>
        <v>5.0220000000000002</v>
      </c>
    </row>
    <row r="2652" spans="1:12" x14ac:dyDescent="0.3">
      <c r="A2652" s="2">
        <v>39169</v>
      </c>
      <c r="B2652" t="s">
        <v>13</v>
      </c>
      <c r="D2652" s="2">
        <v>39900</v>
      </c>
      <c r="E2652">
        <v>5</v>
      </c>
      <c r="G2652" s="2">
        <v>39900</v>
      </c>
      <c r="H2652">
        <v>5.1760000000000002</v>
      </c>
      <c r="J2652" s="2">
        <v>39907</v>
      </c>
      <c r="K2652" s="3">
        <f t="shared" si="82"/>
        <v>5</v>
      </c>
      <c r="L2652" s="3">
        <f t="shared" si="83"/>
        <v>5.0220000000000002</v>
      </c>
    </row>
    <row r="2653" spans="1:12" x14ac:dyDescent="0.3">
      <c r="A2653" s="2">
        <v>39170</v>
      </c>
      <c r="B2653" t="s">
        <v>13</v>
      </c>
      <c r="D2653" s="2">
        <v>39901</v>
      </c>
      <c r="E2653">
        <v>5</v>
      </c>
      <c r="G2653" s="2">
        <v>39901</v>
      </c>
      <c r="H2653">
        <v>5.1760000000000002</v>
      </c>
      <c r="J2653" s="2">
        <v>39908</v>
      </c>
      <c r="K2653" s="3">
        <f t="shared" si="82"/>
        <v>5</v>
      </c>
      <c r="L2653" s="3">
        <f t="shared" si="83"/>
        <v>5.0220000000000002</v>
      </c>
    </row>
    <row r="2654" spans="1:12" x14ac:dyDescent="0.3">
      <c r="A2654" s="2">
        <v>39171</v>
      </c>
      <c r="B2654" t="s">
        <v>13</v>
      </c>
      <c r="D2654" s="2">
        <v>39902</v>
      </c>
      <c r="E2654">
        <v>5</v>
      </c>
      <c r="G2654" s="2">
        <v>39902</v>
      </c>
      <c r="H2654">
        <v>5.298</v>
      </c>
      <c r="J2654" s="2">
        <v>39909</v>
      </c>
      <c r="K2654" s="3">
        <f t="shared" si="82"/>
        <v>5</v>
      </c>
      <c r="L2654" s="3">
        <f t="shared" si="83"/>
        <v>4.7380000000000004</v>
      </c>
    </row>
    <row r="2655" spans="1:12" x14ac:dyDescent="0.3">
      <c r="A2655" s="2">
        <v>39172</v>
      </c>
      <c r="B2655" t="s">
        <v>13</v>
      </c>
      <c r="D2655" s="2">
        <v>39903</v>
      </c>
      <c r="E2655">
        <v>5</v>
      </c>
      <c r="G2655" s="2">
        <v>39903</v>
      </c>
      <c r="H2655">
        <v>5.16</v>
      </c>
      <c r="J2655" s="2">
        <v>39910</v>
      </c>
      <c r="K2655" s="3">
        <f t="shared" si="82"/>
        <v>5</v>
      </c>
      <c r="L2655" s="3">
        <f t="shared" si="83"/>
        <v>4.7380000000000004</v>
      </c>
    </row>
    <row r="2656" spans="1:12" x14ac:dyDescent="0.3">
      <c r="A2656" s="2">
        <v>39173</v>
      </c>
      <c r="B2656" t="s">
        <v>13</v>
      </c>
      <c r="D2656" s="2">
        <v>39904</v>
      </c>
      <c r="E2656">
        <v>5</v>
      </c>
      <c r="G2656" s="2">
        <v>39904</v>
      </c>
      <c r="H2656">
        <v>5.16</v>
      </c>
      <c r="J2656" s="2">
        <v>39911</v>
      </c>
      <c r="K2656" s="3">
        <f t="shared" si="82"/>
        <v>5</v>
      </c>
      <c r="L2656" s="3">
        <f t="shared" si="83"/>
        <v>4.6539999999999999</v>
      </c>
    </row>
    <row r="2657" spans="1:12" x14ac:dyDescent="0.3">
      <c r="A2657" s="2">
        <v>39174</v>
      </c>
      <c r="B2657" t="s">
        <v>13</v>
      </c>
      <c r="D2657" s="2">
        <v>39905</v>
      </c>
      <c r="E2657">
        <v>5</v>
      </c>
      <c r="G2657" s="2">
        <v>39905</v>
      </c>
      <c r="H2657">
        <v>5.0220000000000002</v>
      </c>
      <c r="J2657" s="2">
        <v>39912</v>
      </c>
      <c r="K2657" s="3">
        <f t="shared" si="82"/>
        <v>5</v>
      </c>
      <c r="L2657" s="3">
        <f t="shared" si="83"/>
        <v>4.4450000000000003</v>
      </c>
    </row>
    <row r="2658" spans="1:12" x14ac:dyDescent="0.3">
      <c r="A2658" s="2">
        <v>39175</v>
      </c>
      <c r="B2658" t="s">
        <v>13</v>
      </c>
      <c r="D2658" s="2">
        <v>39906</v>
      </c>
      <c r="E2658">
        <v>5</v>
      </c>
      <c r="G2658" s="2">
        <v>39906</v>
      </c>
      <c r="H2658">
        <v>5.0220000000000002</v>
      </c>
      <c r="J2658" s="2">
        <v>39913</v>
      </c>
      <c r="K2658" s="3">
        <f t="shared" si="82"/>
        <v>5</v>
      </c>
      <c r="L2658" s="3">
        <f t="shared" si="83"/>
        <v>4.4450000000000003</v>
      </c>
    </row>
    <row r="2659" spans="1:12" x14ac:dyDescent="0.3">
      <c r="A2659" s="2">
        <v>39176</v>
      </c>
      <c r="B2659" t="s">
        <v>13</v>
      </c>
      <c r="D2659" s="2">
        <v>39907</v>
      </c>
      <c r="E2659">
        <v>5</v>
      </c>
      <c r="G2659" s="2">
        <v>39907</v>
      </c>
      <c r="H2659">
        <v>5.0220000000000002</v>
      </c>
      <c r="J2659" s="2">
        <v>39914</v>
      </c>
      <c r="K2659" s="3">
        <f t="shared" si="82"/>
        <v>5</v>
      </c>
      <c r="L2659" s="3">
        <f t="shared" si="83"/>
        <v>4.4450000000000003</v>
      </c>
    </row>
    <row r="2660" spans="1:12" x14ac:dyDescent="0.3">
      <c r="A2660" s="2">
        <v>39177</v>
      </c>
      <c r="B2660" t="s">
        <v>13</v>
      </c>
      <c r="D2660" s="2">
        <v>39908</v>
      </c>
      <c r="E2660">
        <v>5</v>
      </c>
      <c r="G2660" s="2">
        <v>39908</v>
      </c>
      <c r="H2660">
        <v>5.0220000000000002</v>
      </c>
      <c r="J2660" s="2">
        <v>39915</v>
      </c>
      <c r="K2660" s="3">
        <f t="shared" si="82"/>
        <v>5</v>
      </c>
      <c r="L2660" s="3">
        <f t="shared" si="83"/>
        <v>4.4450000000000003</v>
      </c>
    </row>
    <row r="2661" spans="1:12" x14ac:dyDescent="0.3">
      <c r="A2661" s="2">
        <v>39178</v>
      </c>
      <c r="B2661" t="s">
        <v>13</v>
      </c>
      <c r="D2661" s="2">
        <v>39909</v>
      </c>
      <c r="E2661">
        <v>5</v>
      </c>
      <c r="G2661" s="2">
        <v>39909</v>
      </c>
      <c r="H2661">
        <v>4.7380000000000004</v>
      </c>
      <c r="J2661" s="2">
        <v>39916</v>
      </c>
      <c r="K2661" s="3">
        <f t="shared" si="82"/>
        <v>5</v>
      </c>
      <c r="L2661" s="3">
        <f t="shared" si="83"/>
        <v>4.3840000000000003</v>
      </c>
    </row>
    <row r="2662" spans="1:12" x14ac:dyDescent="0.3">
      <c r="A2662" s="2">
        <v>39179</v>
      </c>
      <c r="B2662" t="s">
        <v>13</v>
      </c>
      <c r="D2662" s="2">
        <v>39910</v>
      </c>
      <c r="E2662">
        <v>5</v>
      </c>
      <c r="G2662" s="2">
        <v>39910</v>
      </c>
      <c r="H2662">
        <v>4.7380000000000004</v>
      </c>
      <c r="J2662" s="2">
        <v>39917</v>
      </c>
      <c r="K2662" s="3">
        <f t="shared" si="82"/>
        <v>5</v>
      </c>
      <c r="L2662" s="3">
        <f t="shared" si="83"/>
        <v>4.3840000000000003</v>
      </c>
    </row>
    <row r="2663" spans="1:12" x14ac:dyDescent="0.3">
      <c r="A2663" s="2">
        <v>39180</v>
      </c>
      <c r="B2663" t="s">
        <v>13</v>
      </c>
      <c r="D2663" s="2">
        <v>39911</v>
      </c>
      <c r="E2663">
        <v>5</v>
      </c>
      <c r="G2663" s="2">
        <v>39911</v>
      </c>
      <c r="H2663">
        <v>4.6539999999999999</v>
      </c>
      <c r="J2663" s="2">
        <v>39918</v>
      </c>
      <c r="K2663" s="3">
        <f t="shared" si="82"/>
        <v>5</v>
      </c>
      <c r="L2663" s="3">
        <f t="shared" si="83"/>
        <v>4.3869999999999996</v>
      </c>
    </row>
    <row r="2664" spans="1:12" x14ac:dyDescent="0.3">
      <c r="A2664" s="2">
        <v>39181</v>
      </c>
      <c r="B2664" t="s">
        <v>13</v>
      </c>
      <c r="D2664" s="2">
        <v>39912</v>
      </c>
      <c r="E2664">
        <v>5</v>
      </c>
      <c r="G2664" s="2">
        <v>39912</v>
      </c>
      <c r="H2664">
        <v>4.4450000000000003</v>
      </c>
      <c r="J2664" s="2">
        <v>39919</v>
      </c>
      <c r="K2664" s="3">
        <f t="shared" si="82"/>
        <v>5</v>
      </c>
      <c r="L2664" s="3">
        <f t="shared" si="83"/>
        <v>4.3730000000000002</v>
      </c>
    </row>
    <row r="2665" spans="1:12" x14ac:dyDescent="0.3">
      <c r="A2665" s="2">
        <v>39182</v>
      </c>
      <c r="B2665" t="s">
        <v>13</v>
      </c>
      <c r="D2665" s="2">
        <v>39913</v>
      </c>
      <c r="E2665">
        <v>5</v>
      </c>
      <c r="G2665" s="2">
        <v>39913</v>
      </c>
      <c r="H2665">
        <v>4.4450000000000003</v>
      </c>
      <c r="J2665" s="2">
        <v>39920</v>
      </c>
      <c r="K2665" s="3">
        <f t="shared" si="82"/>
        <v>5</v>
      </c>
      <c r="L2665" s="3">
        <f t="shared" si="83"/>
        <v>4.3739999999999997</v>
      </c>
    </row>
    <row r="2666" spans="1:12" x14ac:dyDescent="0.3">
      <c r="A2666" s="2">
        <v>39183</v>
      </c>
      <c r="B2666" t="s">
        <v>13</v>
      </c>
      <c r="D2666" s="2">
        <v>39914</v>
      </c>
      <c r="E2666">
        <v>5</v>
      </c>
      <c r="G2666" s="2">
        <v>39914</v>
      </c>
      <c r="H2666">
        <v>4.4450000000000003</v>
      </c>
      <c r="J2666" s="2">
        <v>39921</v>
      </c>
      <c r="K2666" s="3">
        <f t="shared" si="82"/>
        <v>5</v>
      </c>
      <c r="L2666" s="3">
        <f t="shared" si="83"/>
        <v>4.3739999999999997</v>
      </c>
    </row>
    <row r="2667" spans="1:12" x14ac:dyDescent="0.3">
      <c r="A2667" s="2">
        <v>39184</v>
      </c>
      <c r="B2667" t="s">
        <v>13</v>
      </c>
      <c r="D2667" s="2">
        <v>39915</v>
      </c>
      <c r="E2667">
        <v>5</v>
      </c>
      <c r="G2667" s="2">
        <v>39915</v>
      </c>
      <c r="H2667">
        <v>4.4450000000000003</v>
      </c>
      <c r="J2667" s="2">
        <v>39922</v>
      </c>
      <c r="K2667" s="3">
        <f t="shared" si="82"/>
        <v>5</v>
      </c>
      <c r="L2667" s="3">
        <f t="shared" si="83"/>
        <v>4.3739999999999997</v>
      </c>
    </row>
    <row r="2668" spans="1:12" x14ac:dyDescent="0.3">
      <c r="A2668" s="2">
        <v>39185</v>
      </c>
      <c r="B2668" t="s">
        <v>13</v>
      </c>
      <c r="D2668" s="2">
        <v>39916</v>
      </c>
      <c r="E2668">
        <v>5</v>
      </c>
      <c r="G2668" s="2">
        <v>39916</v>
      </c>
      <c r="H2668">
        <v>4.3840000000000003</v>
      </c>
      <c r="J2668" s="2">
        <v>39923</v>
      </c>
      <c r="K2668" s="3">
        <f t="shared" si="82"/>
        <v>5</v>
      </c>
      <c r="L2668" s="3">
        <f t="shared" si="83"/>
        <v>4.3680000000000003</v>
      </c>
    </row>
    <row r="2669" spans="1:12" x14ac:dyDescent="0.3">
      <c r="A2669" s="2">
        <v>39186</v>
      </c>
      <c r="B2669" t="s">
        <v>13</v>
      </c>
      <c r="D2669" s="2">
        <v>39917</v>
      </c>
      <c r="E2669">
        <v>5</v>
      </c>
      <c r="G2669" s="2">
        <v>39917</v>
      </c>
      <c r="H2669">
        <v>4.3840000000000003</v>
      </c>
      <c r="J2669" s="2">
        <v>39924</v>
      </c>
      <c r="K2669" s="3">
        <f t="shared" si="82"/>
        <v>4.75</v>
      </c>
      <c r="L2669" s="3">
        <f t="shared" si="83"/>
        <v>4.2510000000000003</v>
      </c>
    </row>
    <row r="2670" spans="1:12" x14ac:dyDescent="0.3">
      <c r="A2670" s="2">
        <v>39187</v>
      </c>
      <c r="B2670" t="s">
        <v>13</v>
      </c>
      <c r="D2670" s="2">
        <v>39918</v>
      </c>
      <c r="E2670">
        <v>5</v>
      </c>
      <c r="G2670" s="2">
        <v>39918</v>
      </c>
      <c r="H2670">
        <v>4.3869999999999996</v>
      </c>
      <c r="J2670" s="2">
        <v>39925</v>
      </c>
      <c r="K2670" s="3">
        <f t="shared" si="82"/>
        <v>4.75</v>
      </c>
      <c r="L2670" s="3">
        <f t="shared" si="83"/>
        <v>4.0179999999999998</v>
      </c>
    </row>
    <row r="2671" spans="1:12" x14ac:dyDescent="0.3">
      <c r="A2671" s="2">
        <v>39188</v>
      </c>
      <c r="B2671" t="s">
        <v>13</v>
      </c>
      <c r="D2671" s="2">
        <v>39919</v>
      </c>
      <c r="E2671">
        <v>5</v>
      </c>
      <c r="G2671" s="2">
        <v>39919</v>
      </c>
      <c r="H2671">
        <v>4.3730000000000002</v>
      </c>
      <c r="J2671" s="2">
        <v>39926</v>
      </c>
      <c r="K2671" s="3">
        <f t="shared" si="82"/>
        <v>4.75</v>
      </c>
      <c r="L2671" s="3">
        <f t="shared" si="83"/>
        <v>4.0620000000000003</v>
      </c>
    </row>
    <row r="2672" spans="1:12" x14ac:dyDescent="0.3">
      <c r="A2672" s="2">
        <v>39189</v>
      </c>
      <c r="B2672" t="s">
        <v>13</v>
      </c>
      <c r="D2672" s="2">
        <v>39920</v>
      </c>
      <c r="E2672">
        <v>5</v>
      </c>
      <c r="G2672" s="2">
        <v>39920</v>
      </c>
      <c r="H2672">
        <v>4.3739999999999997</v>
      </c>
      <c r="J2672" s="2">
        <v>39927</v>
      </c>
      <c r="K2672" s="3">
        <f t="shared" si="82"/>
        <v>4.75</v>
      </c>
      <c r="L2672" s="3">
        <f t="shared" si="83"/>
        <v>4.2350000000000003</v>
      </c>
    </row>
    <row r="2673" spans="1:12" x14ac:dyDescent="0.3">
      <c r="A2673" s="2">
        <v>39190</v>
      </c>
      <c r="B2673" t="s">
        <v>13</v>
      </c>
      <c r="D2673" s="2">
        <v>39921</v>
      </c>
      <c r="E2673">
        <v>5</v>
      </c>
      <c r="G2673" s="2">
        <v>39921</v>
      </c>
      <c r="H2673">
        <v>4.3739999999999997</v>
      </c>
      <c r="J2673" s="2">
        <v>39928</v>
      </c>
      <c r="K2673" s="3">
        <f t="shared" si="82"/>
        <v>4.75</v>
      </c>
      <c r="L2673" s="3">
        <f t="shared" si="83"/>
        <v>4.2350000000000003</v>
      </c>
    </row>
    <row r="2674" spans="1:12" x14ac:dyDescent="0.3">
      <c r="A2674" s="2">
        <v>39191</v>
      </c>
      <c r="B2674" t="s">
        <v>13</v>
      </c>
      <c r="D2674" s="2">
        <v>39922</v>
      </c>
      <c r="E2674">
        <v>5</v>
      </c>
      <c r="G2674" s="2">
        <v>39922</v>
      </c>
      <c r="H2674">
        <v>4.3739999999999997</v>
      </c>
      <c r="J2674" s="2">
        <v>39929</v>
      </c>
      <c r="K2674" s="3">
        <f t="shared" si="82"/>
        <v>4.75</v>
      </c>
      <c r="L2674" s="3">
        <f t="shared" si="83"/>
        <v>4.2350000000000003</v>
      </c>
    </row>
    <row r="2675" spans="1:12" x14ac:dyDescent="0.3">
      <c r="A2675" s="2">
        <v>39192</v>
      </c>
      <c r="B2675" t="s">
        <v>13</v>
      </c>
      <c r="D2675" s="2">
        <v>39923</v>
      </c>
      <c r="E2675">
        <v>5</v>
      </c>
      <c r="G2675" s="2">
        <v>39923</v>
      </c>
      <c r="H2675">
        <v>4.3680000000000003</v>
      </c>
      <c r="J2675" s="2">
        <v>39930</v>
      </c>
      <c r="K2675" s="3">
        <f t="shared" si="82"/>
        <v>4.75</v>
      </c>
      <c r="L2675" s="3">
        <f t="shared" si="83"/>
        <v>4.016</v>
      </c>
    </row>
    <row r="2676" spans="1:12" x14ac:dyDescent="0.3">
      <c r="A2676" s="2">
        <v>39193</v>
      </c>
      <c r="B2676" t="s">
        <v>13</v>
      </c>
      <c r="D2676" s="2">
        <v>39924</v>
      </c>
      <c r="E2676">
        <v>4.75</v>
      </c>
      <c r="G2676" s="2">
        <v>39924</v>
      </c>
      <c r="H2676">
        <v>4.2510000000000003</v>
      </c>
      <c r="J2676" s="2">
        <v>39931</v>
      </c>
      <c r="K2676" s="3">
        <f t="shared" si="82"/>
        <v>4.75</v>
      </c>
      <c r="L2676" s="3">
        <f t="shared" si="83"/>
        <v>4.0389999999999997</v>
      </c>
    </row>
    <row r="2677" spans="1:12" x14ac:dyDescent="0.3">
      <c r="A2677" s="2">
        <v>39194</v>
      </c>
      <c r="B2677" t="s">
        <v>13</v>
      </c>
      <c r="D2677" s="2">
        <v>39925</v>
      </c>
      <c r="E2677">
        <v>4.75</v>
      </c>
      <c r="G2677" s="2">
        <v>39925</v>
      </c>
      <c r="H2677">
        <v>4.0179999999999998</v>
      </c>
      <c r="J2677" s="2">
        <v>39932</v>
      </c>
      <c r="K2677" s="3">
        <f t="shared" si="82"/>
        <v>4.75</v>
      </c>
      <c r="L2677" s="3">
        <f t="shared" si="83"/>
        <v>3.9329999999999998</v>
      </c>
    </row>
    <row r="2678" spans="1:12" x14ac:dyDescent="0.3">
      <c r="A2678" s="2">
        <v>39195</v>
      </c>
      <c r="B2678" t="s">
        <v>13</v>
      </c>
      <c r="D2678" s="2">
        <v>39926</v>
      </c>
      <c r="E2678">
        <v>4.75</v>
      </c>
      <c r="G2678" s="2">
        <v>39926</v>
      </c>
      <c r="H2678">
        <v>4.0620000000000003</v>
      </c>
      <c r="J2678" s="2">
        <v>39933</v>
      </c>
      <c r="K2678" s="3">
        <f t="shared" si="82"/>
        <v>4.75</v>
      </c>
      <c r="L2678" s="3">
        <f t="shared" si="83"/>
        <v>3.9329999999999998</v>
      </c>
    </row>
    <row r="2679" spans="1:12" x14ac:dyDescent="0.3">
      <c r="A2679" s="2">
        <v>39196</v>
      </c>
      <c r="B2679" t="s">
        <v>13</v>
      </c>
      <c r="D2679" s="2">
        <v>39927</v>
      </c>
      <c r="E2679">
        <v>4.75</v>
      </c>
      <c r="G2679" s="2">
        <v>39927</v>
      </c>
      <c r="H2679">
        <v>4.2350000000000003</v>
      </c>
      <c r="J2679" s="2">
        <v>39934</v>
      </c>
      <c r="K2679" s="3">
        <f t="shared" si="82"/>
        <v>4.75</v>
      </c>
      <c r="L2679" s="3">
        <f t="shared" si="83"/>
        <v>3.9329999999999998</v>
      </c>
    </row>
    <row r="2680" spans="1:12" x14ac:dyDescent="0.3">
      <c r="A2680" s="2">
        <v>39197</v>
      </c>
      <c r="B2680" t="s">
        <v>13</v>
      </c>
      <c r="D2680" s="2">
        <v>39928</v>
      </c>
      <c r="E2680">
        <v>4.75</v>
      </c>
      <c r="G2680" s="2">
        <v>39928</v>
      </c>
      <c r="H2680">
        <v>4.2350000000000003</v>
      </c>
      <c r="J2680" s="2">
        <v>39935</v>
      </c>
      <c r="K2680" s="3">
        <f t="shared" si="82"/>
        <v>4.75</v>
      </c>
      <c r="L2680" s="3">
        <f t="shared" si="83"/>
        <v>3.9329999999999998</v>
      </c>
    </row>
    <row r="2681" spans="1:12" x14ac:dyDescent="0.3">
      <c r="A2681" s="2">
        <v>39198</v>
      </c>
      <c r="B2681" t="s">
        <v>13</v>
      </c>
      <c r="D2681" s="2">
        <v>39929</v>
      </c>
      <c r="E2681">
        <v>4.75</v>
      </c>
      <c r="G2681" s="2">
        <v>39929</v>
      </c>
      <c r="H2681">
        <v>4.2350000000000003</v>
      </c>
      <c r="J2681" s="2">
        <v>39936</v>
      </c>
      <c r="K2681" s="3">
        <f t="shared" si="82"/>
        <v>4.75</v>
      </c>
      <c r="L2681" s="3">
        <f t="shared" si="83"/>
        <v>3.9329999999999998</v>
      </c>
    </row>
    <row r="2682" spans="1:12" x14ac:dyDescent="0.3">
      <c r="A2682" s="2">
        <v>39199</v>
      </c>
      <c r="B2682" t="s">
        <v>13</v>
      </c>
      <c r="D2682" s="2">
        <v>39930</v>
      </c>
      <c r="E2682">
        <v>4.75</v>
      </c>
      <c r="G2682" s="2">
        <v>39930</v>
      </c>
      <c r="H2682">
        <v>4.016</v>
      </c>
      <c r="J2682" s="2">
        <v>39937</v>
      </c>
      <c r="K2682" s="3">
        <f t="shared" si="82"/>
        <v>4.75</v>
      </c>
      <c r="L2682" s="3">
        <f t="shared" si="83"/>
        <v>4.181</v>
      </c>
    </row>
    <row r="2683" spans="1:12" x14ac:dyDescent="0.3">
      <c r="A2683" s="2">
        <v>39200</v>
      </c>
      <c r="B2683" t="s">
        <v>13</v>
      </c>
      <c r="D2683" s="2">
        <v>39931</v>
      </c>
      <c r="E2683">
        <v>4.75</v>
      </c>
      <c r="G2683" s="2">
        <v>39931</v>
      </c>
      <c r="H2683">
        <v>4.0389999999999997</v>
      </c>
      <c r="J2683" s="2">
        <v>39938</v>
      </c>
      <c r="K2683" s="3">
        <f t="shared" si="82"/>
        <v>4.75</v>
      </c>
      <c r="L2683" s="3">
        <f t="shared" si="83"/>
        <v>4.1550000000000002</v>
      </c>
    </row>
    <row r="2684" spans="1:12" x14ac:dyDescent="0.3">
      <c r="A2684" s="2">
        <v>39201</v>
      </c>
      <c r="B2684" t="s">
        <v>13</v>
      </c>
      <c r="D2684" s="2">
        <v>39932</v>
      </c>
      <c r="E2684">
        <v>4.75</v>
      </c>
      <c r="G2684" s="2">
        <v>39932</v>
      </c>
      <c r="H2684">
        <v>3.9329999999999998</v>
      </c>
      <c r="J2684" s="2">
        <v>39939</v>
      </c>
      <c r="K2684" s="3">
        <f t="shared" si="82"/>
        <v>4.75</v>
      </c>
      <c r="L2684" s="3">
        <f t="shared" si="83"/>
        <v>4.1680000000000001</v>
      </c>
    </row>
    <row r="2685" spans="1:12" x14ac:dyDescent="0.3">
      <c r="A2685" s="2">
        <v>39202</v>
      </c>
      <c r="B2685" t="s">
        <v>13</v>
      </c>
      <c r="D2685" s="2">
        <v>39933</v>
      </c>
      <c r="E2685">
        <v>4.75</v>
      </c>
      <c r="G2685" s="2">
        <v>39933</v>
      </c>
      <c r="H2685">
        <v>3.9329999999999998</v>
      </c>
      <c r="J2685" s="2">
        <v>39940</v>
      </c>
      <c r="K2685" s="3">
        <f t="shared" si="82"/>
        <v>4.75</v>
      </c>
      <c r="L2685" s="3">
        <f t="shared" si="83"/>
        <v>4.1340000000000003</v>
      </c>
    </row>
    <row r="2686" spans="1:12" x14ac:dyDescent="0.3">
      <c r="A2686" s="2">
        <v>39203</v>
      </c>
      <c r="B2686" t="s">
        <v>13</v>
      </c>
      <c r="D2686" s="2">
        <v>39934</v>
      </c>
      <c r="E2686">
        <v>4.75</v>
      </c>
      <c r="G2686" s="2">
        <v>39934</v>
      </c>
      <c r="H2686">
        <v>3.9329999999999998</v>
      </c>
      <c r="J2686" s="2">
        <v>39941</v>
      </c>
      <c r="K2686" s="3">
        <f t="shared" si="82"/>
        <v>4.75</v>
      </c>
      <c r="L2686" s="3">
        <f t="shared" si="83"/>
        <v>4.1680000000000001</v>
      </c>
    </row>
    <row r="2687" spans="1:12" x14ac:dyDescent="0.3">
      <c r="A2687" s="2">
        <v>39204</v>
      </c>
      <c r="B2687" t="s">
        <v>13</v>
      </c>
      <c r="D2687" s="2">
        <v>39935</v>
      </c>
      <c r="E2687">
        <v>4.75</v>
      </c>
      <c r="G2687" s="2">
        <v>39935</v>
      </c>
      <c r="H2687">
        <v>3.9329999999999998</v>
      </c>
      <c r="J2687" s="2">
        <v>39942</v>
      </c>
      <c r="K2687" s="3">
        <f t="shared" si="82"/>
        <v>4.75</v>
      </c>
      <c r="L2687" s="3">
        <f t="shared" si="83"/>
        <v>4.1680000000000001</v>
      </c>
    </row>
    <row r="2688" spans="1:12" x14ac:dyDescent="0.3">
      <c r="A2688" s="2">
        <v>39205</v>
      </c>
      <c r="B2688" t="s">
        <v>13</v>
      </c>
      <c r="D2688" s="2">
        <v>39936</v>
      </c>
      <c r="E2688">
        <v>4.75</v>
      </c>
      <c r="G2688" s="2">
        <v>39936</v>
      </c>
      <c r="H2688">
        <v>3.9329999999999998</v>
      </c>
      <c r="J2688" s="2">
        <v>39943</v>
      </c>
      <c r="K2688" s="3">
        <f t="shared" si="82"/>
        <v>4.75</v>
      </c>
      <c r="L2688" s="3">
        <f t="shared" si="83"/>
        <v>4.1680000000000001</v>
      </c>
    </row>
    <row r="2689" spans="1:12" x14ac:dyDescent="0.3">
      <c r="A2689" s="2">
        <v>39206</v>
      </c>
      <c r="B2689" t="s">
        <v>13</v>
      </c>
      <c r="D2689" s="2">
        <v>39937</v>
      </c>
      <c r="E2689">
        <v>4.75</v>
      </c>
      <c r="G2689" s="2">
        <v>39937</v>
      </c>
      <c r="H2689">
        <v>4.181</v>
      </c>
      <c r="J2689" s="2">
        <v>39944</v>
      </c>
      <c r="K2689" s="3">
        <f t="shared" si="82"/>
        <v>4.75</v>
      </c>
      <c r="L2689" s="3">
        <f t="shared" si="83"/>
        <v>4.2320000000000002</v>
      </c>
    </row>
    <row r="2690" spans="1:12" x14ac:dyDescent="0.3">
      <c r="A2690" s="2">
        <v>39207</v>
      </c>
      <c r="B2690" t="s">
        <v>13</v>
      </c>
      <c r="D2690" s="2">
        <v>39938</v>
      </c>
      <c r="E2690">
        <v>4.75</v>
      </c>
      <c r="G2690" s="2">
        <v>39938</v>
      </c>
      <c r="H2690">
        <v>4.1550000000000002</v>
      </c>
      <c r="J2690" s="2">
        <v>39945</v>
      </c>
      <c r="K2690" s="3">
        <f t="shared" si="82"/>
        <v>4.75</v>
      </c>
      <c r="L2690" s="3">
        <f t="shared" si="83"/>
        <v>4.1589999999999998</v>
      </c>
    </row>
    <row r="2691" spans="1:12" x14ac:dyDescent="0.3">
      <c r="A2691" s="2">
        <v>39208</v>
      </c>
      <c r="B2691" t="s">
        <v>13</v>
      </c>
      <c r="D2691" s="2">
        <v>39939</v>
      </c>
      <c r="E2691">
        <v>4.75</v>
      </c>
      <c r="G2691" s="2">
        <v>39939</v>
      </c>
      <c r="H2691">
        <v>4.1680000000000001</v>
      </c>
      <c r="J2691" s="2">
        <v>39946</v>
      </c>
      <c r="K2691" s="3">
        <f t="shared" ref="K2691:K2754" si="84">E2698</f>
        <v>4.75</v>
      </c>
      <c r="L2691" s="3">
        <f t="shared" ref="L2691:L2754" si="85">H2698</f>
        <v>4.1130000000000004</v>
      </c>
    </row>
    <row r="2692" spans="1:12" x14ac:dyDescent="0.3">
      <c r="A2692" s="2">
        <v>39209</v>
      </c>
      <c r="B2692" t="s">
        <v>13</v>
      </c>
      <c r="D2692" s="2">
        <v>39940</v>
      </c>
      <c r="E2692">
        <v>4.75</v>
      </c>
      <c r="G2692" s="2">
        <v>39940</v>
      </c>
      <c r="H2692">
        <v>4.1340000000000003</v>
      </c>
      <c r="J2692" s="2">
        <v>39947</v>
      </c>
      <c r="K2692" s="3">
        <f t="shared" si="84"/>
        <v>4.75</v>
      </c>
      <c r="L2692" s="3">
        <f t="shared" si="85"/>
        <v>4.1230000000000002</v>
      </c>
    </row>
    <row r="2693" spans="1:12" x14ac:dyDescent="0.3">
      <c r="A2693" s="2">
        <v>39210</v>
      </c>
      <c r="B2693" t="s">
        <v>13</v>
      </c>
      <c r="D2693" s="2">
        <v>39941</v>
      </c>
      <c r="E2693">
        <v>4.75</v>
      </c>
      <c r="G2693" s="2">
        <v>39941</v>
      </c>
      <c r="H2693">
        <v>4.1680000000000001</v>
      </c>
      <c r="J2693" s="2">
        <v>39948</v>
      </c>
      <c r="K2693" s="3">
        <f t="shared" si="84"/>
        <v>4.75</v>
      </c>
      <c r="L2693" s="3">
        <f t="shared" si="85"/>
        <v>4.1310000000000002</v>
      </c>
    </row>
    <row r="2694" spans="1:12" x14ac:dyDescent="0.3">
      <c r="A2694" s="2">
        <v>39211</v>
      </c>
      <c r="B2694" t="s">
        <v>13</v>
      </c>
      <c r="D2694" s="2">
        <v>39942</v>
      </c>
      <c r="E2694">
        <v>4.75</v>
      </c>
      <c r="G2694" s="2">
        <v>39942</v>
      </c>
      <c r="H2694">
        <v>4.1680000000000001</v>
      </c>
      <c r="J2694" s="2">
        <v>39949</v>
      </c>
      <c r="K2694" s="3">
        <f t="shared" si="84"/>
        <v>4.75</v>
      </c>
      <c r="L2694" s="3">
        <f t="shared" si="85"/>
        <v>4.1310000000000002</v>
      </c>
    </row>
    <row r="2695" spans="1:12" x14ac:dyDescent="0.3">
      <c r="A2695" s="2">
        <v>39212</v>
      </c>
      <c r="B2695" t="s">
        <v>13</v>
      </c>
      <c r="D2695" s="2">
        <v>39943</v>
      </c>
      <c r="E2695">
        <v>4.75</v>
      </c>
      <c r="G2695" s="2">
        <v>39943</v>
      </c>
      <c r="H2695">
        <v>4.1680000000000001</v>
      </c>
      <c r="J2695" s="2">
        <v>39950</v>
      </c>
      <c r="K2695" s="3">
        <f t="shared" si="84"/>
        <v>4.75</v>
      </c>
      <c r="L2695" s="3">
        <f t="shared" si="85"/>
        <v>4.1310000000000002</v>
      </c>
    </row>
    <row r="2696" spans="1:12" x14ac:dyDescent="0.3">
      <c r="A2696" s="2">
        <v>39213</v>
      </c>
      <c r="B2696" t="s">
        <v>13</v>
      </c>
      <c r="D2696" s="2">
        <v>39944</v>
      </c>
      <c r="E2696">
        <v>4.75</v>
      </c>
      <c r="G2696" s="2">
        <v>39944</v>
      </c>
      <c r="H2696">
        <v>4.2320000000000002</v>
      </c>
      <c r="J2696" s="2">
        <v>39951</v>
      </c>
      <c r="K2696" s="3">
        <f t="shared" si="84"/>
        <v>4.75</v>
      </c>
      <c r="L2696" s="3">
        <f t="shared" si="85"/>
        <v>4.1280000000000001</v>
      </c>
    </row>
    <row r="2697" spans="1:12" x14ac:dyDescent="0.3">
      <c r="A2697" s="2">
        <v>39214</v>
      </c>
      <c r="B2697" t="s">
        <v>13</v>
      </c>
      <c r="D2697" s="2">
        <v>39945</v>
      </c>
      <c r="E2697">
        <v>4.75</v>
      </c>
      <c r="G2697" s="2">
        <v>39945</v>
      </c>
      <c r="H2697">
        <v>4.1589999999999998</v>
      </c>
      <c r="J2697" s="2">
        <v>39952</v>
      </c>
      <c r="K2697" s="3">
        <f t="shared" si="84"/>
        <v>4.75</v>
      </c>
      <c r="L2697" s="3">
        <f t="shared" si="85"/>
        <v>3.9529999999999998</v>
      </c>
    </row>
    <row r="2698" spans="1:12" x14ac:dyDescent="0.3">
      <c r="A2698" s="2">
        <v>39215</v>
      </c>
      <c r="B2698" t="s">
        <v>13</v>
      </c>
      <c r="D2698" s="2">
        <v>39946</v>
      </c>
      <c r="E2698">
        <v>4.75</v>
      </c>
      <c r="G2698" s="2">
        <v>39946</v>
      </c>
      <c r="H2698">
        <v>4.1130000000000004</v>
      </c>
      <c r="J2698" s="2">
        <v>39953</v>
      </c>
      <c r="K2698" s="3">
        <f t="shared" si="84"/>
        <v>4.75</v>
      </c>
      <c r="L2698" s="3">
        <f t="shared" si="85"/>
        <v>4.03</v>
      </c>
    </row>
    <row r="2699" spans="1:12" x14ac:dyDescent="0.3">
      <c r="A2699" s="2">
        <v>39216</v>
      </c>
      <c r="B2699" t="s">
        <v>13</v>
      </c>
      <c r="D2699" s="2">
        <v>39947</v>
      </c>
      <c r="E2699">
        <v>4.75</v>
      </c>
      <c r="G2699" s="2">
        <v>39947</v>
      </c>
      <c r="H2699">
        <v>4.1230000000000002</v>
      </c>
      <c r="J2699" s="2">
        <v>39954</v>
      </c>
      <c r="K2699" s="3">
        <f t="shared" si="84"/>
        <v>4.75</v>
      </c>
      <c r="L2699" s="3">
        <f t="shared" si="85"/>
        <v>4.0410000000000004</v>
      </c>
    </row>
    <row r="2700" spans="1:12" x14ac:dyDescent="0.3">
      <c r="A2700" s="2">
        <v>39217</v>
      </c>
      <c r="B2700" t="s">
        <v>13</v>
      </c>
      <c r="D2700" s="2">
        <v>39948</v>
      </c>
      <c r="E2700">
        <v>4.75</v>
      </c>
      <c r="G2700" s="2">
        <v>39948</v>
      </c>
      <c r="H2700">
        <v>4.1310000000000002</v>
      </c>
      <c r="J2700" s="2">
        <v>39955</v>
      </c>
      <c r="K2700" s="3">
        <f t="shared" si="84"/>
        <v>4.75</v>
      </c>
      <c r="L2700" s="3">
        <f t="shared" si="85"/>
        <v>4.0430000000000001</v>
      </c>
    </row>
    <row r="2701" spans="1:12" x14ac:dyDescent="0.3">
      <c r="A2701" s="2">
        <v>39218</v>
      </c>
      <c r="B2701" t="s">
        <v>13</v>
      </c>
      <c r="D2701" s="2">
        <v>39949</v>
      </c>
      <c r="E2701">
        <v>4.75</v>
      </c>
      <c r="G2701" s="2">
        <v>39949</v>
      </c>
      <c r="H2701">
        <v>4.1310000000000002</v>
      </c>
      <c r="J2701" s="2">
        <v>39956</v>
      </c>
      <c r="K2701" s="3">
        <f t="shared" si="84"/>
        <v>4.75</v>
      </c>
      <c r="L2701" s="3">
        <f t="shared" si="85"/>
        <v>4.0430000000000001</v>
      </c>
    </row>
    <row r="2702" spans="1:12" x14ac:dyDescent="0.3">
      <c r="A2702" s="2">
        <v>39219</v>
      </c>
      <c r="B2702" t="s">
        <v>13</v>
      </c>
      <c r="D2702" s="2">
        <v>39950</v>
      </c>
      <c r="E2702">
        <v>4.75</v>
      </c>
      <c r="G2702" s="2">
        <v>39950</v>
      </c>
      <c r="H2702">
        <v>4.1310000000000002</v>
      </c>
      <c r="J2702" s="2">
        <v>39957</v>
      </c>
      <c r="K2702" s="3">
        <f t="shared" si="84"/>
        <v>4.75</v>
      </c>
      <c r="L2702" s="3">
        <f t="shared" si="85"/>
        <v>4.0430000000000001</v>
      </c>
    </row>
    <row r="2703" spans="1:12" x14ac:dyDescent="0.3">
      <c r="A2703" s="2">
        <v>39220</v>
      </c>
      <c r="B2703" t="s">
        <v>13</v>
      </c>
      <c r="D2703" s="2">
        <v>39951</v>
      </c>
      <c r="E2703">
        <v>4.75</v>
      </c>
      <c r="G2703" s="2">
        <v>39951</v>
      </c>
      <c r="H2703">
        <v>4.1280000000000001</v>
      </c>
      <c r="J2703" s="2">
        <v>39958</v>
      </c>
      <c r="K2703" s="3">
        <f t="shared" si="84"/>
        <v>4.75</v>
      </c>
      <c r="L2703" s="3">
        <f t="shared" si="85"/>
        <v>4.0369999999999999</v>
      </c>
    </row>
    <row r="2704" spans="1:12" x14ac:dyDescent="0.3">
      <c r="A2704" s="2">
        <v>39221</v>
      </c>
      <c r="B2704" t="s">
        <v>13</v>
      </c>
      <c r="D2704" s="2">
        <v>39952</v>
      </c>
      <c r="E2704">
        <v>4.75</v>
      </c>
      <c r="G2704" s="2">
        <v>39952</v>
      </c>
      <c r="H2704">
        <v>3.9529999999999998</v>
      </c>
      <c r="J2704" s="2">
        <v>39959</v>
      </c>
      <c r="K2704" s="3">
        <f t="shared" si="84"/>
        <v>4.75</v>
      </c>
      <c r="L2704" s="3">
        <f t="shared" si="85"/>
        <v>4.0609999999999999</v>
      </c>
    </row>
    <row r="2705" spans="1:12" x14ac:dyDescent="0.3">
      <c r="A2705" s="2">
        <v>39222</v>
      </c>
      <c r="B2705" t="s">
        <v>13</v>
      </c>
      <c r="D2705" s="2">
        <v>39953</v>
      </c>
      <c r="E2705">
        <v>4.75</v>
      </c>
      <c r="G2705" s="2">
        <v>39953</v>
      </c>
      <c r="H2705">
        <v>4.03</v>
      </c>
      <c r="J2705" s="2">
        <v>39960</v>
      </c>
      <c r="K2705" s="3">
        <f t="shared" si="84"/>
        <v>4.75</v>
      </c>
      <c r="L2705" s="3">
        <f t="shared" si="85"/>
        <v>4.085</v>
      </c>
    </row>
    <row r="2706" spans="1:12" x14ac:dyDescent="0.3">
      <c r="A2706" s="2">
        <v>39223</v>
      </c>
      <c r="B2706" t="s">
        <v>13</v>
      </c>
      <c r="D2706" s="2">
        <v>39954</v>
      </c>
      <c r="E2706">
        <v>4.75</v>
      </c>
      <c r="G2706" s="2">
        <v>39954</v>
      </c>
      <c r="H2706">
        <v>4.0410000000000004</v>
      </c>
      <c r="J2706" s="2">
        <v>39961</v>
      </c>
      <c r="K2706" s="3">
        <f t="shared" si="84"/>
        <v>4.75</v>
      </c>
      <c r="L2706" s="3">
        <f t="shared" si="85"/>
        <v>4.09</v>
      </c>
    </row>
    <row r="2707" spans="1:12" x14ac:dyDescent="0.3">
      <c r="A2707" s="2">
        <v>39224</v>
      </c>
      <c r="B2707" t="s">
        <v>13</v>
      </c>
      <c r="D2707" s="2">
        <v>39955</v>
      </c>
      <c r="E2707">
        <v>4.75</v>
      </c>
      <c r="G2707" s="2">
        <v>39955</v>
      </c>
      <c r="H2707">
        <v>4.0430000000000001</v>
      </c>
      <c r="J2707" s="2">
        <v>39962</v>
      </c>
      <c r="K2707" s="3">
        <f t="shared" si="84"/>
        <v>4.75</v>
      </c>
      <c r="L2707" s="3">
        <f t="shared" si="85"/>
        <v>4.1689999999999996</v>
      </c>
    </row>
    <row r="2708" spans="1:12" x14ac:dyDescent="0.3">
      <c r="A2708" s="2">
        <v>39225</v>
      </c>
      <c r="B2708" t="s">
        <v>13</v>
      </c>
      <c r="D2708" s="2">
        <v>39956</v>
      </c>
      <c r="E2708">
        <v>4.75</v>
      </c>
      <c r="G2708" s="2">
        <v>39956</v>
      </c>
      <c r="H2708">
        <v>4.0430000000000001</v>
      </c>
      <c r="J2708" s="2">
        <v>39963</v>
      </c>
      <c r="K2708" s="3">
        <f t="shared" si="84"/>
        <v>4.75</v>
      </c>
      <c r="L2708" s="3">
        <f t="shared" si="85"/>
        <v>4.1689999999999996</v>
      </c>
    </row>
    <row r="2709" spans="1:12" x14ac:dyDescent="0.3">
      <c r="A2709" s="2">
        <v>39226</v>
      </c>
      <c r="B2709" t="s">
        <v>13</v>
      </c>
      <c r="D2709" s="2">
        <v>39957</v>
      </c>
      <c r="E2709">
        <v>4.75</v>
      </c>
      <c r="G2709" s="2">
        <v>39957</v>
      </c>
      <c r="H2709">
        <v>4.0430000000000001</v>
      </c>
      <c r="J2709" s="2">
        <v>39964</v>
      </c>
      <c r="K2709" s="3">
        <f t="shared" si="84"/>
        <v>4.75</v>
      </c>
      <c r="L2709" s="3">
        <f t="shared" si="85"/>
        <v>4.1689999999999996</v>
      </c>
    </row>
    <row r="2710" spans="1:12" x14ac:dyDescent="0.3">
      <c r="A2710" s="2">
        <v>39227</v>
      </c>
      <c r="B2710" t="s">
        <v>13</v>
      </c>
      <c r="D2710" s="2">
        <v>39958</v>
      </c>
      <c r="E2710">
        <v>4.75</v>
      </c>
      <c r="G2710" s="2">
        <v>39958</v>
      </c>
      <c r="H2710">
        <v>4.0369999999999999</v>
      </c>
      <c r="J2710" s="2">
        <v>39965</v>
      </c>
      <c r="K2710" s="3">
        <f t="shared" si="84"/>
        <v>4.75</v>
      </c>
      <c r="L2710" s="3">
        <f t="shared" si="85"/>
        <v>4.12</v>
      </c>
    </row>
    <row r="2711" spans="1:12" x14ac:dyDescent="0.3">
      <c r="A2711" s="2">
        <v>39228</v>
      </c>
      <c r="B2711" t="s">
        <v>13</v>
      </c>
      <c r="D2711" s="2">
        <v>39959</v>
      </c>
      <c r="E2711">
        <v>4.75</v>
      </c>
      <c r="G2711" s="2">
        <v>39959</v>
      </c>
      <c r="H2711">
        <v>4.0609999999999999</v>
      </c>
      <c r="J2711" s="2">
        <v>39966</v>
      </c>
      <c r="K2711" s="3">
        <f t="shared" si="84"/>
        <v>4.75</v>
      </c>
      <c r="L2711" s="3">
        <f t="shared" si="85"/>
        <v>4.2380000000000004</v>
      </c>
    </row>
    <row r="2712" spans="1:12" x14ac:dyDescent="0.3">
      <c r="A2712" s="2">
        <v>39229</v>
      </c>
      <c r="B2712" t="s">
        <v>13</v>
      </c>
      <c r="D2712" s="2">
        <v>39960</v>
      </c>
      <c r="E2712">
        <v>4.75</v>
      </c>
      <c r="G2712" s="2">
        <v>39960</v>
      </c>
      <c r="H2712">
        <v>4.085</v>
      </c>
      <c r="J2712" s="2">
        <v>39967</v>
      </c>
      <c r="K2712" s="3">
        <f t="shared" si="84"/>
        <v>4.75</v>
      </c>
      <c r="L2712" s="3">
        <f t="shared" si="85"/>
        <v>4.1189999999999998</v>
      </c>
    </row>
    <row r="2713" spans="1:12" x14ac:dyDescent="0.3">
      <c r="A2713" s="2">
        <v>39230</v>
      </c>
      <c r="B2713" t="s">
        <v>13</v>
      </c>
      <c r="D2713" s="2">
        <v>39961</v>
      </c>
      <c r="E2713">
        <v>4.75</v>
      </c>
      <c r="G2713" s="2">
        <v>39961</v>
      </c>
      <c r="H2713">
        <v>4.09</v>
      </c>
      <c r="J2713" s="2">
        <v>39968</v>
      </c>
      <c r="K2713" s="3">
        <f t="shared" si="84"/>
        <v>4.75</v>
      </c>
      <c r="L2713" s="3">
        <f t="shared" si="85"/>
        <v>4.0010000000000003</v>
      </c>
    </row>
    <row r="2714" spans="1:12" x14ac:dyDescent="0.3">
      <c r="A2714" s="2">
        <v>39231</v>
      </c>
      <c r="B2714" t="s">
        <v>13</v>
      </c>
      <c r="D2714" s="2">
        <v>39962</v>
      </c>
      <c r="E2714">
        <v>4.75</v>
      </c>
      <c r="G2714" s="2">
        <v>39962</v>
      </c>
      <c r="H2714">
        <v>4.1689999999999996</v>
      </c>
      <c r="J2714" s="2">
        <v>39969</v>
      </c>
      <c r="K2714" s="3">
        <f t="shared" si="84"/>
        <v>4.75</v>
      </c>
      <c r="L2714" s="3">
        <f t="shared" si="85"/>
        <v>4.1100000000000003</v>
      </c>
    </row>
    <row r="2715" spans="1:12" x14ac:dyDescent="0.3">
      <c r="A2715" s="2">
        <v>39232</v>
      </c>
      <c r="B2715" t="s">
        <v>13</v>
      </c>
      <c r="D2715" s="2">
        <v>39963</v>
      </c>
      <c r="E2715">
        <v>4.75</v>
      </c>
      <c r="G2715" s="2">
        <v>39963</v>
      </c>
      <c r="H2715">
        <v>4.1689999999999996</v>
      </c>
      <c r="J2715" s="2">
        <v>39970</v>
      </c>
      <c r="K2715" s="3">
        <f t="shared" si="84"/>
        <v>4.75</v>
      </c>
      <c r="L2715" s="3">
        <f t="shared" si="85"/>
        <v>4.1100000000000003</v>
      </c>
    </row>
    <row r="2716" spans="1:12" x14ac:dyDescent="0.3">
      <c r="A2716" s="2">
        <v>39233</v>
      </c>
      <c r="B2716" t="s">
        <v>13</v>
      </c>
      <c r="D2716" s="2">
        <v>39964</v>
      </c>
      <c r="E2716">
        <v>4.75</v>
      </c>
      <c r="G2716" s="2">
        <v>39964</v>
      </c>
      <c r="H2716">
        <v>4.1689999999999996</v>
      </c>
      <c r="J2716" s="2">
        <v>39971</v>
      </c>
      <c r="K2716" s="3">
        <f t="shared" si="84"/>
        <v>4.75</v>
      </c>
      <c r="L2716" s="3">
        <f t="shared" si="85"/>
        <v>4.1100000000000003</v>
      </c>
    </row>
    <row r="2717" spans="1:12" x14ac:dyDescent="0.3">
      <c r="A2717" s="2">
        <v>39234</v>
      </c>
      <c r="B2717" t="s">
        <v>13</v>
      </c>
      <c r="D2717" s="2">
        <v>39965</v>
      </c>
      <c r="E2717">
        <v>4.75</v>
      </c>
      <c r="G2717" s="2">
        <v>39965</v>
      </c>
      <c r="H2717">
        <v>4.12</v>
      </c>
      <c r="J2717" s="2">
        <v>39972</v>
      </c>
      <c r="K2717" s="3">
        <f t="shared" si="84"/>
        <v>4.75</v>
      </c>
      <c r="L2717" s="3">
        <f t="shared" si="85"/>
        <v>4.09</v>
      </c>
    </row>
    <row r="2718" spans="1:12" x14ac:dyDescent="0.3">
      <c r="A2718" s="2">
        <v>39235</v>
      </c>
      <c r="B2718" t="s">
        <v>13</v>
      </c>
      <c r="D2718" s="2">
        <v>39966</v>
      </c>
      <c r="E2718">
        <v>4.75</v>
      </c>
      <c r="G2718" s="2">
        <v>39966</v>
      </c>
      <c r="H2718">
        <v>4.2380000000000004</v>
      </c>
      <c r="J2718" s="2">
        <v>39973</v>
      </c>
      <c r="K2718" s="3">
        <f t="shared" si="84"/>
        <v>4.75</v>
      </c>
      <c r="L2718" s="3">
        <f t="shared" si="85"/>
        <v>4.0819999999999999</v>
      </c>
    </row>
    <row r="2719" spans="1:12" x14ac:dyDescent="0.3">
      <c r="A2719" s="2">
        <v>39236</v>
      </c>
      <c r="B2719" t="s">
        <v>13</v>
      </c>
      <c r="D2719" s="2">
        <v>39967</v>
      </c>
      <c r="E2719">
        <v>4.75</v>
      </c>
      <c r="G2719" s="2">
        <v>39967</v>
      </c>
      <c r="H2719">
        <v>4.1189999999999998</v>
      </c>
      <c r="J2719" s="2">
        <v>39974</v>
      </c>
      <c r="K2719" s="3">
        <f t="shared" si="84"/>
        <v>4.75</v>
      </c>
      <c r="L2719" s="3">
        <f t="shared" si="85"/>
        <v>4.0780000000000003</v>
      </c>
    </row>
    <row r="2720" spans="1:12" x14ac:dyDescent="0.3">
      <c r="A2720" s="2">
        <v>39237</v>
      </c>
      <c r="B2720" t="s">
        <v>13</v>
      </c>
      <c r="D2720" s="2">
        <v>39968</v>
      </c>
      <c r="E2720">
        <v>4.75</v>
      </c>
      <c r="G2720" s="2">
        <v>39968</v>
      </c>
      <c r="H2720">
        <v>4.0010000000000003</v>
      </c>
      <c r="J2720" s="2">
        <v>39975</v>
      </c>
      <c r="K2720" s="3">
        <f t="shared" si="84"/>
        <v>4.75</v>
      </c>
      <c r="L2720" s="3">
        <f t="shared" si="85"/>
        <v>4.09</v>
      </c>
    </row>
    <row r="2721" spans="1:12" x14ac:dyDescent="0.3">
      <c r="A2721" s="2">
        <v>39238</v>
      </c>
      <c r="B2721" t="s">
        <v>13</v>
      </c>
      <c r="D2721" s="2">
        <v>39969</v>
      </c>
      <c r="E2721">
        <v>4.75</v>
      </c>
      <c r="G2721" s="2">
        <v>39969</v>
      </c>
      <c r="H2721">
        <v>4.1100000000000003</v>
      </c>
      <c r="J2721" s="2">
        <v>39976</v>
      </c>
      <c r="K2721" s="3">
        <f t="shared" si="84"/>
        <v>4.75</v>
      </c>
      <c r="L2721" s="3">
        <f t="shared" si="85"/>
        <v>4.1520000000000001</v>
      </c>
    </row>
    <row r="2722" spans="1:12" x14ac:dyDescent="0.3">
      <c r="A2722" s="2">
        <v>39239</v>
      </c>
      <c r="B2722" t="s">
        <v>13</v>
      </c>
      <c r="D2722" s="2">
        <v>39970</v>
      </c>
      <c r="E2722">
        <v>4.75</v>
      </c>
      <c r="G2722" s="2">
        <v>39970</v>
      </c>
      <c r="H2722">
        <v>4.1100000000000003</v>
      </c>
      <c r="J2722" s="2">
        <v>39977</v>
      </c>
      <c r="K2722" s="3">
        <f t="shared" si="84"/>
        <v>4.75</v>
      </c>
      <c r="L2722" s="3">
        <f t="shared" si="85"/>
        <v>4.1520000000000001</v>
      </c>
    </row>
    <row r="2723" spans="1:12" x14ac:dyDescent="0.3">
      <c r="A2723" s="2">
        <v>39240</v>
      </c>
      <c r="B2723" t="s">
        <v>13</v>
      </c>
      <c r="D2723" s="2">
        <v>39971</v>
      </c>
      <c r="E2723">
        <v>4.75</v>
      </c>
      <c r="G2723" s="2">
        <v>39971</v>
      </c>
      <c r="H2723">
        <v>4.1100000000000003</v>
      </c>
      <c r="J2723" s="2">
        <v>39978</v>
      </c>
      <c r="K2723" s="3">
        <f t="shared" si="84"/>
        <v>4.75</v>
      </c>
      <c r="L2723" s="3">
        <f t="shared" si="85"/>
        <v>4.1520000000000001</v>
      </c>
    </row>
    <row r="2724" spans="1:12" x14ac:dyDescent="0.3">
      <c r="A2724" s="2">
        <v>39241</v>
      </c>
      <c r="B2724" t="s">
        <v>13</v>
      </c>
      <c r="D2724" s="2">
        <v>39972</v>
      </c>
      <c r="E2724">
        <v>4.75</v>
      </c>
      <c r="G2724" s="2">
        <v>39972</v>
      </c>
      <c r="H2724">
        <v>4.09</v>
      </c>
      <c r="J2724" s="2">
        <v>39979</v>
      </c>
      <c r="K2724" s="3">
        <f t="shared" si="84"/>
        <v>4.75</v>
      </c>
      <c r="L2724" s="3">
        <f t="shared" si="85"/>
        <v>4.1139999999999999</v>
      </c>
    </row>
    <row r="2725" spans="1:12" x14ac:dyDescent="0.3">
      <c r="A2725" s="2">
        <v>39242</v>
      </c>
      <c r="B2725" t="s">
        <v>13</v>
      </c>
      <c r="D2725" s="2">
        <v>39973</v>
      </c>
      <c r="E2725">
        <v>4.75</v>
      </c>
      <c r="G2725" s="2">
        <v>39973</v>
      </c>
      <c r="H2725">
        <v>4.0819999999999999</v>
      </c>
      <c r="J2725" s="2">
        <v>39980</v>
      </c>
      <c r="K2725" s="3">
        <f t="shared" si="84"/>
        <v>4.75</v>
      </c>
      <c r="L2725" s="3">
        <f t="shared" si="85"/>
        <v>4.0629999999999997</v>
      </c>
    </row>
    <row r="2726" spans="1:12" x14ac:dyDescent="0.3">
      <c r="A2726" s="2">
        <v>39243</v>
      </c>
      <c r="B2726" t="s">
        <v>13</v>
      </c>
      <c r="D2726" s="2">
        <v>39974</v>
      </c>
      <c r="E2726">
        <v>4.75</v>
      </c>
      <c r="G2726" s="2">
        <v>39974</v>
      </c>
      <c r="H2726">
        <v>4.0780000000000003</v>
      </c>
      <c r="J2726" s="2">
        <v>39981</v>
      </c>
      <c r="K2726" s="3">
        <f t="shared" si="84"/>
        <v>4.75</v>
      </c>
      <c r="L2726" s="3">
        <f t="shared" si="85"/>
        <v>4.1520000000000001</v>
      </c>
    </row>
    <row r="2727" spans="1:12" x14ac:dyDescent="0.3">
      <c r="A2727" s="2">
        <v>39244</v>
      </c>
      <c r="B2727" t="s">
        <v>13</v>
      </c>
      <c r="D2727" s="2">
        <v>39975</v>
      </c>
      <c r="E2727">
        <v>4.75</v>
      </c>
      <c r="G2727" s="2">
        <v>39975</v>
      </c>
      <c r="H2727">
        <v>4.09</v>
      </c>
      <c r="J2727" s="2">
        <v>39982</v>
      </c>
      <c r="K2727" s="3">
        <f t="shared" si="84"/>
        <v>4.75</v>
      </c>
      <c r="L2727" s="3">
        <f t="shared" si="85"/>
        <v>4.226</v>
      </c>
    </row>
    <row r="2728" spans="1:12" x14ac:dyDescent="0.3">
      <c r="A2728" s="2">
        <v>39245</v>
      </c>
      <c r="B2728" t="s">
        <v>13</v>
      </c>
      <c r="D2728" s="2">
        <v>39976</v>
      </c>
      <c r="E2728">
        <v>4.75</v>
      </c>
      <c r="G2728" s="2">
        <v>39976</v>
      </c>
      <c r="H2728">
        <v>4.1520000000000001</v>
      </c>
      <c r="J2728" s="2">
        <v>39983</v>
      </c>
      <c r="K2728" s="3">
        <f t="shared" si="84"/>
        <v>4.75</v>
      </c>
      <c r="L2728" s="3">
        <f t="shared" si="85"/>
        <v>4.1509999999999998</v>
      </c>
    </row>
    <row r="2729" spans="1:12" x14ac:dyDescent="0.3">
      <c r="A2729" s="2">
        <v>39246</v>
      </c>
      <c r="B2729" t="s">
        <v>13</v>
      </c>
      <c r="D2729" s="2">
        <v>39977</v>
      </c>
      <c r="E2729">
        <v>4.75</v>
      </c>
      <c r="G2729" s="2">
        <v>39977</v>
      </c>
      <c r="H2729">
        <v>4.1520000000000001</v>
      </c>
      <c r="J2729" s="2">
        <v>39984</v>
      </c>
      <c r="K2729" s="3">
        <f t="shared" si="84"/>
        <v>4.75</v>
      </c>
      <c r="L2729" s="3">
        <f t="shared" si="85"/>
        <v>4.1509999999999998</v>
      </c>
    </row>
    <row r="2730" spans="1:12" x14ac:dyDescent="0.3">
      <c r="A2730" s="2">
        <v>39247</v>
      </c>
      <c r="B2730" t="s">
        <v>13</v>
      </c>
      <c r="D2730" s="2">
        <v>39978</v>
      </c>
      <c r="E2730">
        <v>4.75</v>
      </c>
      <c r="G2730" s="2">
        <v>39978</v>
      </c>
      <c r="H2730">
        <v>4.1520000000000001</v>
      </c>
      <c r="J2730" s="2">
        <v>39985</v>
      </c>
      <c r="K2730" s="3">
        <f t="shared" si="84"/>
        <v>4.75</v>
      </c>
      <c r="L2730" s="3">
        <f t="shared" si="85"/>
        <v>4.1509999999999998</v>
      </c>
    </row>
    <row r="2731" spans="1:12" x14ac:dyDescent="0.3">
      <c r="A2731" s="2">
        <v>39248</v>
      </c>
      <c r="B2731" t="s">
        <v>13</v>
      </c>
      <c r="D2731" s="2">
        <v>39979</v>
      </c>
      <c r="E2731">
        <v>4.75</v>
      </c>
      <c r="G2731" s="2">
        <v>39979</v>
      </c>
      <c r="H2731">
        <v>4.1139999999999999</v>
      </c>
      <c r="J2731" s="2">
        <v>39986</v>
      </c>
      <c r="K2731" s="3">
        <f t="shared" si="84"/>
        <v>4.75</v>
      </c>
      <c r="L2731" s="3">
        <f t="shared" si="85"/>
        <v>4.1769999999999996</v>
      </c>
    </row>
    <row r="2732" spans="1:12" x14ac:dyDescent="0.3">
      <c r="A2732" s="2">
        <v>39249</v>
      </c>
      <c r="B2732" t="s">
        <v>13</v>
      </c>
      <c r="D2732" s="2">
        <v>39980</v>
      </c>
      <c r="E2732">
        <v>4.75</v>
      </c>
      <c r="G2732" s="2">
        <v>39980</v>
      </c>
      <c r="H2732">
        <v>4.0629999999999997</v>
      </c>
      <c r="J2732" s="2">
        <v>39987</v>
      </c>
      <c r="K2732" s="3">
        <f t="shared" si="84"/>
        <v>4.75</v>
      </c>
      <c r="L2732" s="3">
        <f t="shared" si="85"/>
        <v>4.2290000000000001</v>
      </c>
    </row>
    <row r="2733" spans="1:12" x14ac:dyDescent="0.3">
      <c r="A2733" s="2">
        <v>39250</v>
      </c>
      <c r="B2733" t="s">
        <v>13</v>
      </c>
      <c r="D2733" s="2">
        <v>39981</v>
      </c>
      <c r="E2733">
        <v>4.75</v>
      </c>
      <c r="G2733" s="2">
        <v>39981</v>
      </c>
      <c r="H2733">
        <v>4.1520000000000001</v>
      </c>
      <c r="J2733" s="2">
        <v>39988</v>
      </c>
      <c r="K2733" s="3">
        <f t="shared" si="84"/>
        <v>4.75</v>
      </c>
      <c r="L2733" s="3">
        <f t="shared" si="85"/>
        <v>4.2930000000000001</v>
      </c>
    </row>
    <row r="2734" spans="1:12" x14ac:dyDescent="0.3">
      <c r="A2734" s="2">
        <v>39251</v>
      </c>
      <c r="B2734" t="s">
        <v>13</v>
      </c>
      <c r="D2734" s="2">
        <v>39982</v>
      </c>
      <c r="E2734">
        <v>4.75</v>
      </c>
      <c r="G2734" s="2">
        <v>39982</v>
      </c>
      <c r="H2734">
        <v>4.226</v>
      </c>
      <c r="J2734" s="2">
        <v>39989</v>
      </c>
      <c r="K2734" s="3">
        <f t="shared" si="84"/>
        <v>4.75</v>
      </c>
      <c r="L2734" s="3">
        <f t="shared" si="85"/>
        <v>4.2469999999999999</v>
      </c>
    </row>
    <row r="2735" spans="1:12" x14ac:dyDescent="0.3">
      <c r="A2735" s="2">
        <v>39252</v>
      </c>
      <c r="B2735" t="s">
        <v>13</v>
      </c>
      <c r="D2735" s="2">
        <v>39983</v>
      </c>
      <c r="E2735">
        <v>4.75</v>
      </c>
      <c r="G2735" s="2">
        <v>39983</v>
      </c>
      <c r="H2735">
        <v>4.1509999999999998</v>
      </c>
      <c r="J2735" s="2">
        <v>39990</v>
      </c>
      <c r="K2735" s="3">
        <f t="shared" si="84"/>
        <v>4.75</v>
      </c>
      <c r="L2735" s="3">
        <f t="shared" si="85"/>
        <v>4.2149999999999999</v>
      </c>
    </row>
    <row r="2736" spans="1:12" x14ac:dyDescent="0.3">
      <c r="A2736" s="2">
        <v>39253</v>
      </c>
      <c r="B2736" t="s">
        <v>13</v>
      </c>
      <c r="D2736" s="2">
        <v>39984</v>
      </c>
      <c r="E2736">
        <v>4.75</v>
      </c>
      <c r="G2736" s="2">
        <v>39984</v>
      </c>
      <c r="H2736">
        <v>4.1509999999999998</v>
      </c>
      <c r="J2736" s="2">
        <v>39991</v>
      </c>
      <c r="K2736" s="3">
        <f t="shared" si="84"/>
        <v>4.75</v>
      </c>
      <c r="L2736" s="3">
        <f t="shared" si="85"/>
        <v>4.2149999999999999</v>
      </c>
    </row>
    <row r="2737" spans="1:12" x14ac:dyDescent="0.3">
      <c r="A2737" s="2">
        <v>39254</v>
      </c>
      <c r="B2737" t="s">
        <v>13</v>
      </c>
      <c r="D2737" s="2">
        <v>39985</v>
      </c>
      <c r="E2737">
        <v>4.75</v>
      </c>
      <c r="G2737" s="2">
        <v>39985</v>
      </c>
      <c r="H2737">
        <v>4.1509999999999998</v>
      </c>
      <c r="J2737" s="2">
        <v>39992</v>
      </c>
      <c r="K2737" s="3">
        <f t="shared" si="84"/>
        <v>4.75</v>
      </c>
      <c r="L2737" s="3">
        <f t="shared" si="85"/>
        <v>4.2149999999999999</v>
      </c>
    </row>
    <row r="2738" spans="1:12" x14ac:dyDescent="0.3">
      <c r="A2738" s="2">
        <v>39255</v>
      </c>
      <c r="B2738" t="s">
        <v>13</v>
      </c>
      <c r="D2738" s="2">
        <v>39986</v>
      </c>
      <c r="E2738">
        <v>4.75</v>
      </c>
      <c r="G2738" s="2">
        <v>39986</v>
      </c>
      <c r="H2738">
        <v>4.1769999999999996</v>
      </c>
      <c r="J2738" s="2">
        <v>39993</v>
      </c>
      <c r="K2738" s="3">
        <f t="shared" si="84"/>
        <v>4.75</v>
      </c>
      <c r="L2738" s="3">
        <f t="shared" si="85"/>
        <v>4.26</v>
      </c>
    </row>
    <row r="2739" spans="1:12" x14ac:dyDescent="0.3">
      <c r="A2739" s="2">
        <v>39256</v>
      </c>
      <c r="B2739" t="s">
        <v>13</v>
      </c>
      <c r="D2739" s="2">
        <v>39987</v>
      </c>
      <c r="E2739">
        <v>4.75</v>
      </c>
      <c r="G2739" s="2">
        <v>39987</v>
      </c>
      <c r="H2739">
        <v>4.2290000000000001</v>
      </c>
      <c r="J2739" s="2">
        <v>39994</v>
      </c>
      <c r="K2739" s="3">
        <f t="shared" si="84"/>
        <v>4.75</v>
      </c>
      <c r="L2739" s="3">
        <f t="shared" si="85"/>
        <v>4.2530000000000001</v>
      </c>
    </row>
    <row r="2740" spans="1:12" x14ac:dyDescent="0.3">
      <c r="A2740" s="2">
        <v>39257</v>
      </c>
      <c r="B2740" t="s">
        <v>13</v>
      </c>
      <c r="D2740" s="2">
        <v>39988</v>
      </c>
      <c r="E2740">
        <v>4.75</v>
      </c>
      <c r="G2740" s="2">
        <v>39988</v>
      </c>
      <c r="H2740">
        <v>4.2930000000000001</v>
      </c>
      <c r="J2740" s="2">
        <v>39995</v>
      </c>
      <c r="K2740" s="3">
        <f t="shared" si="84"/>
        <v>4.75</v>
      </c>
      <c r="L2740" s="3">
        <f t="shared" si="85"/>
        <v>4.2249999999999996</v>
      </c>
    </row>
    <row r="2741" spans="1:12" x14ac:dyDescent="0.3">
      <c r="A2741" s="2">
        <v>39258</v>
      </c>
      <c r="B2741" t="s">
        <v>13</v>
      </c>
      <c r="D2741" s="2">
        <v>39989</v>
      </c>
      <c r="E2741">
        <v>4.75</v>
      </c>
      <c r="G2741" s="2">
        <v>39989</v>
      </c>
      <c r="H2741">
        <v>4.2469999999999999</v>
      </c>
      <c r="J2741" s="2">
        <v>39996</v>
      </c>
      <c r="K2741" s="3">
        <f t="shared" si="84"/>
        <v>4.75</v>
      </c>
      <c r="L2741" s="3">
        <f t="shared" si="85"/>
        <v>4.1779999999999999</v>
      </c>
    </row>
    <row r="2742" spans="1:12" x14ac:dyDescent="0.3">
      <c r="A2742" s="2">
        <v>39259</v>
      </c>
      <c r="B2742" t="s">
        <v>13</v>
      </c>
      <c r="D2742" s="2">
        <v>39990</v>
      </c>
      <c r="E2742">
        <v>4.75</v>
      </c>
      <c r="G2742" s="2">
        <v>39990</v>
      </c>
      <c r="H2742">
        <v>4.2149999999999999</v>
      </c>
      <c r="J2742" s="2">
        <v>39997</v>
      </c>
      <c r="K2742" s="3">
        <f t="shared" si="84"/>
        <v>4.75</v>
      </c>
      <c r="L2742" s="3">
        <f t="shared" si="85"/>
        <v>4.1130000000000004</v>
      </c>
    </row>
    <row r="2743" spans="1:12" x14ac:dyDescent="0.3">
      <c r="A2743" s="2">
        <v>39260</v>
      </c>
      <c r="B2743" t="s">
        <v>13</v>
      </c>
      <c r="D2743" s="2">
        <v>39991</v>
      </c>
      <c r="E2743">
        <v>4.75</v>
      </c>
      <c r="G2743" s="2">
        <v>39991</v>
      </c>
      <c r="H2743">
        <v>4.2149999999999999</v>
      </c>
      <c r="J2743" s="2">
        <v>39998</v>
      </c>
      <c r="K2743" s="3">
        <f t="shared" si="84"/>
        <v>4.75</v>
      </c>
      <c r="L2743" s="3">
        <f t="shared" si="85"/>
        <v>4.1130000000000004</v>
      </c>
    </row>
    <row r="2744" spans="1:12" x14ac:dyDescent="0.3">
      <c r="A2744" s="2">
        <v>39261</v>
      </c>
      <c r="B2744" t="s">
        <v>13</v>
      </c>
      <c r="D2744" s="2">
        <v>39992</v>
      </c>
      <c r="E2744">
        <v>4.75</v>
      </c>
      <c r="G2744" s="2">
        <v>39992</v>
      </c>
      <c r="H2744">
        <v>4.2149999999999999</v>
      </c>
      <c r="J2744" s="2">
        <v>39999</v>
      </c>
      <c r="K2744" s="3">
        <f t="shared" si="84"/>
        <v>4.75</v>
      </c>
      <c r="L2744" s="3">
        <f t="shared" si="85"/>
        <v>4.1130000000000004</v>
      </c>
    </row>
    <row r="2745" spans="1:12" x14ac:dyDescent="0.3">
      <c r="A2745" s="2">
        <v>39262</v>
      </c>
      <c r="B2745" t="s">
        <v>13</v>
      </c>
      <c r="D2745" s="2">
        <v>39993</v>
      </c>
      <c r="E2745">
        <v>4.75</v>
      </c>
      <c r="G2745" s="2">
        <v>39993</v>
      </c>
      <c r="H2745">
        <v>4.26</v>
      </c>
      <c r="J2745" s="2">
        <v>40000</v>
      </c>
      <c r="K2745" s="3">
        <f t="shared" si="84"/>
        <v>4.75</v>
      </c>
      <c r="L2745" s="3">
        <f t="shared" si="85"/>
        <v>4.0590000000000002</v>
      </c>
    </row>
    <row r="2746" spans="1:12" x14ac:dyDescent="0.3">
      <c r="A2746" s="2">
        <v>39263</v>
      </c>
      <c r="B2746" t="s">
        <v>13</v>
      </c>
      <c r="D2746" s="2">
        <v>39994</v>
      </c>
      <c r="E2746">
        <v>4.75</v>
      </c>
      <c r="G2746" s="2">
        <v>39994</v>
      </c>
      <c r="H2746">
        <v>4.2530000000000001</v>
      </c>
      <c r="J2746" s="2">
        <v>40001</v>
      </c>
      <c r="K2746" s="3">
        <f t="shared" si="84"/>
        <v>4.75</v>
      </c>
      <c r="L2746" s="3">
        <f t="shared" si="85"/>
        <v>4.0609999999999999</v>
      </c>
    </row>
    <row r="2747" spans="1:12" x14ac:dyDescent="0.3">
      <c r="A2747" s="2">
        <v>39264</v>
      </c>
      <c r="B2747" t="s">
        <v>13</v>
      </c>
      <c r="D2747" s="2">
        <v>39995</v>
      </c>
      <c r="E2747">
        <v>4.75</v>
      </c>
      <c r="G2747" s="2">
        <v>39995</v>
      </c>
      <c r="H2747">
        <v>4.2249999999999996</v>
      </c>
      <c r="J2747" s="2">
        <v>40002</v>
      </c>
      <c r="K2747" s="3">
        <f t="shared" si="84"/>
        <v>4.75</v>
      </c>
      <c r="L2747" s="3">
        <f t="shared" si="85"/>
        <v>4.048</v>
      </c>
    </row>
    <row r="2748" spans="1:12" x14ac:dyDescent="0.3">
      <c r="A2748" s="2">
        <v>39265</v>
      </c>
      <c r="B2748" t="s">
        <v>13</v>
      </c>
      <c r="D2748" s="2">
        <v>39996</v>
      </c>
      <c r="E2748">
        <v>4.75</v>
      </c>
      <c r="G2748" s="2">
        <v>39996</v>
      </c>
      <c r="H2748">
        <v>4.1779999999999999</v>
      </c>
      <c r="J2748" s="2">
        <v>40003</v>
      </c>
      <c r="K2748" s="3">
        <f t="shared" si="84"/>
        <v>4.75</v>
      </c>
      <c r="L2748" s="3">
        <f t="shared" si="85"/>
        <v>4.1399999999999997</v>
      </c>
    </row>
    <row r="2749" spans="1:12" x14ac:dyDescent="0.3">
      <c r="A2749" s="2">
        <v>39266</v>
      </c>
      <c r="B2749" t="s">
        <v>13</v>
      </c>
      <c r="D2749" s="2">
        <v>39997</v>
      </c>
      <c r="E2749">
        <v>4.75</v>
      </c>
      <c r="G2749" s="2">
        <v>39997</v>
      </c>
      <c r="H2749">
        <v>4.1130000000000004</v>
      </c>
      <c r="J2749" s="2">
        <v>40004</v>
      </c>
      <c r="K2749" s="3">
        <f t="shared" si="84"/>
        <v>4.75</v>
      </c>
      <c r="L2749" s="3">
        <f t="shared" si="85"/>
        <v>4.1779999999999999</v>
      </c>
    </row>
    <row r="2750" spans="1:12" x14ac:dyDescent="0.3">
      <c r="A2750" s="2">
        <v>39267</v>
      </c>
      <c r="B2750" t="s">
        <v>13</v>
      </c>
      <c r="D2750" s="2">
        <v>39998</v>
      </c>
      <c r="E2750">
        <v>4.75</v>
      </c>
      <c r="G2750" s="2">
        <v>39998</v>
      </c>
      <c r="H2750">
        <v>4.1130000000000004</v>
      </c>
      <c r="J2750" s="2">
        <v>40005</v>
      </c>
      <c r="K2750" s="3">
        <f t="shared" si="84"/>
        <v>4.75</v>
      </c>
      <c r="L2750" s="3">
        <f t="shared" si="85"/>
        <v>4.1779999999999999</v>
      </c>
    </row>
    <row r="2751" spans="1:12" x14ac:dyDescent="0.3">
      <c r="A2751" s="2">
        <v>39268</v>
      </c>
      <c r="B2751" t="s">
        <v>13</v>
      </c>
      <c r="D2751" s="2">
        <v>39999</v>
      </c>
      <c r="E2751">
        <v>4.75</v>
      </c>
      <c r="G2751" s="2">
        <v>39999</v>
      </c>
      <c r="H2751">
        <v>4.1130000000000004</v>
      </c>
      <c r="J2751" s="2">
        <v>40006</v>
      </c>
      <c r="K2751" s="3">
        <f t="shared" si="84"/>
        <v>4.75</v>
      </c>
      <c r="L2751" s="3">
        <f t="shared" si="85"/>
        <v>4.1779999999999999</v>
      </c>
    </row>
    <row r="2752" spans="1:12" x14ac:dyDescent="0.3">
      <c r="A2752" s="2">
        <v>39269</v>
      </c>
      <c r="B2752" t="s">
        <v>13</v>
      </c>
      <c r="D2752" s="2">
        <v>40000</v>
      </c>
      <c r="E2752">
        <v>4.75</v>
      </c>
      <c r="G2752" s="2">
        <v>40000</v>
      </c>
      <c r="H2752">
        <v>4.0590000000000002</v>
      </c>
      <c r="J2752" s="2">
        <v>40007</v>
      </c>
      <c r="K2752" s="3">
        <f t="shared" si="84"/>
        <v>4.75</v>
      </c>
      <c r="L2752" s="3">
        <f t="shared" si="85"/>
        <v>4.149</v>
      </c>
    </row>
    <row r="2753" spans="1:12" x14ac:dyDescent="0.3">
      <c r="A2753" s="2">
        <v>39270</v>
      </c>
      <c r="B2753" t="s">
        <v>13</v>
      </c>
      <c r="D2753" s="2">
        <v>40001</v>
      </c>
      <c r="E2753">
        <v>4.75</v>
      </c>
      <c r="G2753" s="2">
        <v>40001</v>
      </c>
      <c r="H2753">
        <v>4.0609999999999999</v>
      </c>
      <c r="J2753" s="2">
        <v>40008</v>
      </c>
      <c r="K2753" s="3">
        <f t="shared" si="84"/>
        <v>4.75</v>
      </c>
      <c r="L2753" s="3">
        <f t="shared" si="85"/>
        <v>4.0990000000000002</v>
      </c>
    </row>
    <row r="2754" spans="1:12" x14ac:dyDescent="0.3">
      <c r="A2754" s="2">
        <v>39271</v>
      </c>
      <c r="B2754" t="s">
        <v>13</v>
      </c>
      <c r="D2754" s="2">
        <v>40002</v>
      </c>
      <c r="E2754">
        <v>4.75</v>
      </c>
      <c r="G2754" s="2">
        <v>40002</v>
      </c>
      <c r="H2754">
        <v>4.048</v>
      </c>
      <c r="J2754" s="2">
        <v>40009</v>
      </c>
      <c r="K2754" s="3">
        <f t="shared" si="84"/>
        <v>4.75</v>
      </c>
      <c r="L2754" s="3">
        <f t="shared" si="85"/>
        <v>4.0919999999999996</v>
      </c>
    </row>
    <row r="2755" spans="1:12" x14ac:dyDescent="0.3">
      <c r="A2755" s="2">
        <v>39272</v>
      </c>
      <c r="B2755" t="s">
        <v>13</v>
      </c>
      <c r="D2755" s="2">
        <v>40003</v>
      </c>
      <c r="E2755">
        <v>4.75</v>
      </c>
      <c r="G2755" s="2">
        <v>40003</v>
      </c>
      <c r="H2755">
        <v>4.1399999999999997</v>
      </c>
      <c r="J2755" s="2">
        <v>40010</v>
      </c>
      <c r="K2755" s="3">
        <f t="shared" ref="K2755:K2818" si="86">E2762</f>
        <v>4.75</v>
      </c>
      <c r="L2755" s="3">
        <f t="shared" ref="L2755:L2818" si="87">H2762</f>
        <v>4.1070000000000002</v>
      </c>
    </row>
    <row r="2756" spans="1:12" x14ac:dyDescent="0.3">
      <c r="A2756" s="2">
        <v>39273</v>
      </c>
      <c r="B2756" t="s">
        <v>13</v>
      </c>
      <c r="D2756" s="2">
        <v>40004</v>
      </c>
      <c r="E2756">
        <v>4.75</v>
      </c>
      <c r="G2756" s="2">
        <v>40004</v>
      </c>
      <c r="H2756">
        <v>4.1779999999999999</v>
      </c>
      <c r="J2756" s="2">
        <v>40011</v>
      </c>
      <c r="K2756" s="3">
        <f t="shared" si="86"/>
        <v>4.75</v>
      </c>
      <c r="L2756" s="3">
        <f t="shared" si="87"/>
        <v>4.0529999999999999</v>
      </c>
    </row>
    <row r="2757" spans="1:12" x14ac:dyDescent="0.3">
      <c r="A2757" s="2">
        <v>39274</v>
      </c>
      <c r="B2757" t="s">
        <v>13</v>
      </c>
      <c r="D2757" s="2">
        <v>40005</v>
      </c>
      <c r="E2757">
        <v>4.75</v>
      </c>
      <c r="G2757" s="2">
        <v>40005</v>
      </c>
      <c r="H2757">
        <v>4.1779999999999999</v>
      </c>
      <c r="J2757" s="2">
        <v>40012</v>
      </c>
      <c r="K2757" s="3">
        <f t="shared" si="86"/>
        <v>4.75</v>
      </c>
      <c r="L2757" s="3">
        <f t="shared" si="87"/>
        <v>4.0529999999999999</v>
      </c>
    </row>
    <row r="2758" spans="1:12" x14ac:dyDescent="0.3">
      <c r="A2758" s="2">
        <v>39275</v>
      </c>
      <c r="B2758" t="s">
        <v>13</v>
      </c>
      <c r="D2758" s="2">
        <v>40006</v>
      </c>
      <c r="E2758">
        <v>4.75</v>
      </c>
      <c r="G2758" s="2">
        <v>40006</v>
      </c>
      <c r="H2758">
        <v>4.1779999999999999</v>
      </c>
      <c r="J2758" s="2">
        <v>40013</v>
      </c>
      <c r="K2758" s="3">
        <f t="shared" si="86"/>
        <v>4.75</v>
      </c>
      <c r="L2758" s="3">
        <f t="shared" si="87"/>
        <v>4.0529999999999999</v>
      </c>
    </row>
    <row r="2759" spans="1:12" x14ac:dyDescent="0.3">
      <c r="A2759" s="2">
        <v>39276</v>
      </c>
      <c r="B2759" t="s">
        <v>13</v>
      </c>
      <c r="D2759" s="2">
        <v>40007</v>
      </c>
      <c r="E2759">
        <v>4.75</v>
      </c>
      <c r="G2759" s="2">
        <v>40007</v>
      </c>
      <c r="H2759">
        <v>4.149</v>
      </c>
      <c r="J2759" s="2">
        <v>40014</v>
      </c>
      <c r="K2759" s="3">
        <f t="shared" si="86"/>
        <v>4.75</v>
      </c>
      <c r="L2759" s="3">
        <f t="shared" si="87"/>
        <v>4.0970000000000004</v>
      </c>
    </row>
    <row r="2760" spans="1:12" x14ac:dyDescent="0.3">
      <c r="A2760" s="2">
        <v>39277</v>
      </c>
      <c r="B2760" t="s">
        <v>13</v>
      </c>
      <c r="D2760" s="2">
        <v>40008</v>
      </c>
      <c r="E2760">
        <v>4.75</v>
      </c>
      <c r="G2760" s="2">
        <v>40008</v>
      </c>
      <c r="H2760">
        <v>4.0990000000000002</v>
      </c>
      <c r="J2760" s="2">
        <v>40015</v>
      </c>
      <c r="K2760" s="3">
        <f t="shared" si="86"/>
        <v>4.75</v>
      </c>
      <c r="L2760" s="3">
        <f t="shared" si="87"/>
        <v>4.0549999999999997</v>
      </c>
    </row>
    <row r="2761" spans="1:12" x14ac:dyDescent="0.3">
      <c r="A2761" s="2">
        <v>39278</v>
      </c>
      <c r="B2761" t="s">
        <v>13</v>
      </c>
      <c r="D2761" s="2">
        <v>40009</v>
      </c>
      <c r="E2761">
        <v>4.75</v>
      </c>
      <c r="G2761" s="2">
        <v>40009</v>
      </c>
      <c r="H2761">
        <v>4.0919999999999996</v>
      </c>
      <c r="J2761" s="2">
        <v>40016</v>
      </c>
      <c r="K2761" s="3">
        <f t="shared" si="86"/>
        <v>4.75</v>
      </c>
      <c r="L2761" s="3">
        <f t="shared" si="87"/>
        <v>4.0990000000000002</v>
      </c>
    </row>
    <row r="2762" spans="1:12" x14ac:dyDescent="0.3">
      <c r="A2762" s="2">
        <v>39279</v>
      </c>
      <c r="B2762" t="s">
        <v>13</v>
      </c>
      <c r="D2762" s="2">
        <v>40010</v>
      </c>
      <c r="E2762">
        <v>4.75</v>
      </c>
      <c r="G2762" s="2">
        <v>40010</v>
      </c>
      <c r="H2762">
        <v>4.1070000000000002</v>
      </c>
      <c r="J2762" s="2">
        <v>40017</v>
      </c>
      <c r="K2762" s="3">
        <f t="shared" si="86"/>
        <v>4.75</v>
      </c>
      <c r="L2762" s="3">
        <f t="shared" si="87"/>
        <v>4.0599999999999996</v>
      </c>
    </row>
    <row r="2763" spans="1:12" x14ac:dyDescent="0.3">
      <c r="A2763" s="2">
        <v>39280</v>
      </c>
      <c r="B2763" t="s">
        <v>13</v>
      </c>
      <c r="D2763" s="2">
        <v>40011</v>
      </c>
      <c r="E2763">
        <v>4.75</v>
      </c>
      <c r="G2763" s="2">
        <v>40011</v>
      </c>
      <c r="H2763">
        <v>4.0529999999999999</v>
      </c>
      <c r="J2763" s="2">
        <v>40018</v>
      </c>
      <c r="K2763" s="3">
        <f t="shared" si="86"/>
        <v>4.75</v>
      </c>
      <c r="L2763" s="3">
        <f t="shared" si="87"/>
        <v>4.0670000000000002</v>
      </c>
    </row>
    <row r="2764" spans="1:12" x14ac:dyDescent="0.3">
      <c r="A2764" s="2">
        <v>39281</v>
      </c>
      <c r="B2764" t="s">
        <v>13</v>
      </c>
      <c r="D2764" s="2">
        <v>40012</v>
      </c>
      <c r="E2764">
        <v>4.75</v>
      </c>
      <c r="G2764" s="2">
        <v>40012</v>
      </c>
      <c r="H2764">
        <v>4.0529999999999999</v>
      </c>
      <c r="J2764" s="2">
        <v>40019</v>
      </c>
      <c r="K2764" s="3">
        <f t="shared" si="86"/>
        <v>4.75</v>
      </c>
      <c r="L2764" s="3">
        <f t="shared" si="87"/>
        <v>4.0670000000000002</v>
      </c>
    </row>
    <row r="2765" spans="1:12" x14ac:dyDescent="0.3">
      <c r="A2765" s="2">
        <v>39282</v>
      </c>
      <c r="B2765" t="s">
        <v>13</v>
      </c>
      <c r="D2765" s="2">
        <v>40013</v>
      </c>
      <c r="E2765">
        <v>4.75</v>
      </c>
      <c r="G2765" s="2">
        <v>40013</v>
      </c>
      <c r="H2765">
        <v>4.0529999999999999</v>
      </c>
      <c r="J2765" s="2">
        <v>40020</v>
      </c>
      <c r="K2765" s="3">
        <f t="shared" si="86"/>
        <v>4.75</v>
      </c>
      <c r="L2765" s="3">
        <f t="shared" si="87"/>
        <v>4.0670000000000002</v>
      </c>
    </row>
    <row r="2766" spans="1:12" x14ac:dyDescent="0.3">
      <c r="A2766" s="2">
        <v>39283</v>
      </c>
      <c r="B2766" t="s">
        <v>13</v>
      </c>
      <c r="D2766" s="2">
        <v>40014</v>
      </c>
      <c r="E2766">
        <v>4.75</v>
      </c>
      <c r="G2766" s="2">
        <v>40014</v>
      </c>
      <c r="H2766">
        <v>4.0970000000000004</v>
      </c>
      <c r="J2766" s="2">
        <v>40021</v>
      </c>
      <c r="K2766" s="3">
        <f t="shared" si="86"/>
        <v>4.75</v>
      </c>
      <c r="L2766" s="3">
        <f t="shared" si="87"/>
        <v>4.0430000000000001</v>
      </c>
    </row>
    <row r="2767" spans="1:12" x14ac:dyDescent="0.3">
      <c r="A2767" s="2">
        <v>39284</v>
      </c>
      <c r="B2767" t="s">
        <v>13</v>
      </c>
      <c r="D2767" s="2">
        <v>40015</v>
      </c>
      <c r="E2767">
        <v>4.75</v>
      </c>
      <c r="G2767" s="2">
        <v>40015</v>
      </c>
      <c r="H2767">
        <v>4.0549999999999997</v>
      </c>
      <c r="J2767" s="2">
        <v>40022</v>
      </c>
      <c r="K2767" s="3">
        <f t="shared" si="86"/>
        <v>4.75</v>
      </c>
      <c r="L2767" s="3">
        <f t="shared" si="87"/>
        <v>4.0410000000000004</v>
      </c>
    </row>
    <row r="2768" spans="1:12" x14ac:dyDescent="0.3">
      <c r="A2768" s="2">
        <v>39285</v>
      </c>
      <c r="B2768" t="s">
        <v>13</v>
      </c>
      <c r="D2768" s="2">
        <v>40016</v>
      </c>
      <c r="E2768">
        <v>4.75</v>
      </c>
      <c r="G2768" s="2">
        <v>40016</v>
      </c>
      <c r="H2768">
        <v>4.0990000000000002</v>
      </c>
      <c r="J2768" s="2">
        <v>40023</v>
      </c>
      <c r="K2768" s="3">
        <f t="shared" si="86"/>
        <v>4.75</v>
      </c>
      <c r="L2768" s="3">
        <f t="shared" si="87"/>
        <v>4.0620000000000003</v>
      </c>
    </row>
    <row r="2769" spans="1:12" x14ac:dyDescent="0.3">
      <c r="A2769" s="2">
        <v>39286</v>
      </c>
      <c r="B2769" t="s">
        <v>13</v>
      </c>
      <c r="D2769" s="2">
        <v>40017</v>
      </c>
      <c r="E2769">
        <v>4.75</v>
      </c>
      <c r="G2769" s="2">
        <v>40017</v>
      </c>
      <c r="H2769">
        <v>4.0599999999999996</v>
      </c>
      <c r="J2769" s="2">
        <v>40024</v>
      </c>
      <c r="K2769" s="3">
        <f t="shared" si="86"/>
        <v>4.75</v>
      </c>
      <c r="L2769" s="3">
        <f t="shared" si="87"/>
        <v>4.0270000000000001</v>
      </c>
    </row>
    <row r="2770" spans="1:12" x14ac:dyDescent="0.3">
      <c r="A2770" s="2">
        <v>39287</v>
      </c>
      <c r="B2770" t="s">
        <v>13</v>
      </c>
      <c r="D2770" s="2">
        <v>40018</v>
      </c>
      <c r="E2770">
        <v>4.75</v>
      </c>
      <c r="G2770" s="2">
        <v>40018</v>
      </c>
      <c r="H2770">
        <v>4.0670000000000002</v>
      </c>
      <c r="J2770" s="2">
        <v>40025</v>
      </c>
      <c r="K2770" s="3">
        <f t="shared" si="86"/>
        <v>4.75</v>
      </c>
      <c r="L2770" s="3">
        <f t="shared" si="87"/>
        <v>4.077</v>
      </c>
    </row>
    <row r="2771" spans="1:12" x14ac:dyDescent="0.3">
      <c r="A2771" s="2">
        <v>39288</v>
      </c>
      <c r="B2771" t="s">
        <v>13</v>
      </c>
      <c r="D2771" s="2">
        <v>40019</v>
      </c>
      <c r="E2771">
        <v>4.75</v>
      </c>
      <c r="G2771" s="2">
        <v>40019</v>
      </c>
      <c r="H2771">
        <v>4.0670000000000002</v>
      </c>
      <c r="J2771" s="2">
        <v>40026</v>
      </c>
      <c r="K2771" s="3">
        <f t="shared" si="86"/>
        <v>4.75</v>
      </c>
      <c r="L2771" s="3">
        <f t="shared" si="87"/>
        <v>4.077</v>
      </c>
    </row>
    <row r="2772" spans="1:12" x14ac:dyDescent="0.3">
      <c r="A2772" s="2">
        <v>39289</v>
      </c>
      <c r="B2772" t="s">
        <v>13</v>
      </c>
      <c r="D2772" s="2">
        <v>40020</v>
      </c>
      <c r="E2772">
        <v>4.75</v>
      </c>
      <c r="G2772" s="2">
        <v>40020</v>
      </c>
      <c r="H2772">
        <v>4.0670000000000002</v>
      </c>
      <c r="J2772" s="2">
        <v>40027</v>
      </c>
      <c r="K2772" s="3">
        <f t="shared" si="86"/>
        <v>4.75</v>
      </c>
      <c r="L2772" s="3">
        <f t="shared" si="87"/>
        <v>4.077</v>
      </c>
    </row>
    <row r="2773" spans="1:12" x14ac:dyDescent="0.3">
      <c r="A2773" s="2">
        <v>39290</v>
      </c>
      <c r="B2773" t="s">
        <v>13</v>
      </c>
      <c r="D2773" s="2">
        <v>40021</v>
      </c>
      <c r="E2773">
        <v>4.75</v>
      </c>
      <c r="G2773" s="2">
        <v>40021</v>
      </c>
      <c r="H2773">
        <v>4.0430000000000001</v>
      </c>
      <c r="J2773" s="2">
        <v>40028</v>
      </c>
      <c r="K2773" s="3">
        <f t="shared" si="86"/>
        <v>4.75</v>
      </c>
      <c r="L2773" s="3">
        <f t="shared" si="87"/>
        <v>4.16</v>
      </c>
    </row>
    <row r="2774" spans="1:12" x14ac:dyDescent="0.3">
      <c r="A2774" s="2">
        <v>39291</v>
      </c>
      <c r="B2774" t="s">
        <v>13</v>
      </c>
      <c r="D2774" s="2">
        <v>40022</v>
      </c>
      <c r="E2774">
        <v>4.75</v>
      </c>
      <c r="G2774" s="2">
        <v>40022</v>
      </c>
      <c r="H2774">
        <v>4.0410000000000004</v>
      </c>
      <c r="J2774" s="2">
        <v>40029</v>
      </c>
      <c r="K2774" s="3">
        <f t="shared" si="86"/>
        <v>4.75</v>
      </c>
      <c r="L2774" s="3">
        <f t="shared" si="87"/>
        <v>4.1260000000000003</v>
      </c>
    </row>
    <row r="2775" spans="1:12" x14ac:dyDescent="0.3">
      <c r="A2775" s="2">
        <v>39292</v>
      </c>
      <c r="B2775" t="s">
        <v>13</v>
      </c>
      <c r="D2775" s="2">
        <v>40023</v>
      </c>
      <c r="E2775">
        <v>4.75</v>
      </c>
      <c r="G2775" s="2">
        <v>40023</v>
      </c>
      <c r="H2775">
        <v>4.0620000000000003</v>
      </c>
      <c r="J2775" s="2">
        <v>40030</v>
      </c>
      <c r="K2775" s="3">
        <f t="shared" si="86"/>
        <v>4.75</v>
      </c>
      <c r="L2775" s="3">
        <f t="shared" si="87"/>
        <v>4.3810000000000002</v>
      </c>
    </row>
    <row r="2776" spans="1:12" x14ac:dyDescent="0.3">
      <c r="A2776" s="2">
        <v>39293</v>
      </c>
      <c r="B2776" t="s">
        <v>13</v>
      </c>
      <c r="D2776" s="2">
        <v>40024</v>
      </c>
      <c r="E2776">
        <v>4.75</v>
      </c>
      <c r="G2776" s="2">
        <v>40024</v>
      </c>
      <c r="H2776">
        <v>4.0270000000000001</v>
      </c>
      <c r="J2776" s="2">
        <v>40031</v>
      </c>
      <c r="K2776" s="3">
        <f t="shared" si="86"/>
        <v>4.75</v>
      </c>
      <c r="L2776" s="3">
        <f t="shared" si="87"/>
        <v>4.2539999999999996</v>
      </c>
    </row>
    <row r="2777" spans="1:12" x14ac:dyDescent="0.3">
      <c r="A2777" s="2">
        <v>39294</v>
      </c>
      <c r="B2777" t="s">
        <v>13</v>
      </c>
      <c r="D2777" s="2">
        <v>40025</v>
      </c>
      <c r="E2777">
        <v>4.75</v>
      </c>
      <c r="G2777" s="2">
        <v>40025</v>
      </c>
      <c r="H2777">
        <v>4.077</v>
      </c>
      <c r="J2777" s="2">
        <v>40032</v>
      </c>
      <c r="K2777" s="3">
        <f t="shared" si="86"/>
        <v>4.75</v>
      </c>
      <c r="L2777" s="3">
        <f t="shared" si="87"/>
        <v>4.226</v>
      </c>
    </row>
    <row r="2778" spans="1:12" x14ac:dyDescent="0.3">
      <c r="A2778" s="2">
        <v>39295</v>
      </c>
      <c r="B2778" t="s">
        <v>13</v>
      </c>
      <c r="D2778" s="2">
        <v>40026</v>
      </c>
      <c r="E2778">
        <v>4.75</v>
      </c>
      <c r="G2778" s="2">
        <v>40026</v>
      </c>
      <c r="H2778">
        <v>4.077</v>
      </c>
      <c r="J2778" s="2">
        <v>40033</v>
      </c>
      <c r="K2778" s="3">
        <f t="shared" si="86"/>
        <v>4.75</v>
      </c>
      <c r="L2778" s="3">
        <f t="shared" si="87"/>
        <v>4.226</v>
      </c>
    </row>
    <row r="2779" spans="1:12" x14ac:dyDescent="0.3">
      <c r="A2779" s="2">
        <v>39296</v>
      </c>
      <c r="B2779" t="s">
        <v>13</v>
      </c>
      <c r="D2779" s="2">
        <v>40027</v>
      </c>
      <c r="E2779">
        <v>4.75</v>
      </c>
      <c r="G2779" s="2">
        <v>40027</v>
      </c>
      <c r="H2779">
        <v>4.077</v>
      </c>
      <c r="J2779" s="2">
        <v>40034</v>
      </c>
      <c r="K2779" s="3">
        <f t="shared" si="86"/>
        <v>4.75</v>
      </c>
      <c r="L2779" s="3">
        <f t="shared" si="87"/>
        <v>4.226</v>
      </c>
    </row>
    <row r="2780" spans="1:12" x14ac:dyDescent="0.3">
      <c r="A2780" s="2">
        <v>39297</v>
      </c>
      <c r="B2780" t="s">
        <v>13</v>
      </c>
      <c r="D2780" s="2">
        <v>40028</v>
      </c>
      <c r="E2780">
        <v>4.75</v>
      </c>
      <c r="G2780" s="2">
        <v>40028</v>
      </c>
      <c r="H2780">
        <v>4.16</v>
      </c>
      <c r="J2780" s="2">
        <v>40035</v>
      </c>
      <c r="K2780" s="3">
        <f t="shared" si="86"/>
        <v>4.75</v>
      </c>
      <c r="L2780" s="3">
        <f t="shared" si="87"/>
        <v>4.4400000000000004</v>
      </c>
    </row>
    <row r="2781" spans="1:12" x14ac:dyDescent="0.3">
      <c r="A2781" s="2">
        <v>39298</v>
      </c>
      <c r="B2781" t="s">
        <v>13</v>
      </c>
      <c r="D2781" s="2">
        <v>40029</v>
      </c>
      <c r="E2781">
        <v>4.75</v>
      </c>
      <c r="G2781" s="2">
        <v>40029</v>
      </c>
      <c r="H2781">
        <v>4.1260000000000003</v>
      </c>
      <c r="J2781" s="2">
        <v>40036</v>
      </c>
      <c r="K2781" s="3">
        <f t="shared" si="86"/>
        <v>4.75</v>
      </c>
      <c r="L2781" s="3">
        <f t="shared" si="87"/>
        <v>4.3470000000000004</v>
      </c>
    </row>
    <row r="2782" spans="1:12" x14ac:dyDescent="0.3">
      <c r="A2782" s="2">
        <v>39299</v>
      </c>
      <c r="B2782" t="s">
        <v>13</v>
      </c>
      <c r="D2782" s="2">
        <v>40030</v>
      </c>
      <c r="E2782">
        <v>4.75</v>
      </c>
      <c r="G2782" s="2">
        <v>40030</v>
      </c>
      <c r="H2782">
        <v>4.3810000000000002</v>
      </c>
      <c r="J2782" s="2">
        <v>40037</v>
      </c>
      <c r="K2782" s="3">
        <f t="shared" si="86"/>
        <v>4.75</v>
      </c>
      <c r="L2782" s="3">
        <f t="shared" si="87"/>
        <v>4.3579999999999997</v>
      </c>
    </row>
    <row r="2783" spans="1:12" x14ac:dyDescent="0.3">
      <c r="A2783" s="2">
        <v>39300</v>
      </c>
      <c r="B2783" t="s">
        <v>13</v>
      </c>
      <c r="D2783" s="2">
        <v>40031</v>
      </c>
      <c r="E2783">
        <v>4.75</v>
      </c>
      <c r="G2783" s="2">
        <v>40031</v>
      </c>
      <c r="H2783">
        <v>4.2539999999999996</v>
      </c>
      <c r="J2783" s="2">
        <v>40038</v>
      </c>
      <c r="K2783" s="3">
        <f t="shared" si="86"/>
        <v>4.75</v>
      </c>
      <c r="L2783" s="3">
        <f t="shared" si="87"/>
        <v>4.33</v>
      </c>
    </row>
    <row r="2784" spans="1:12" x14ac:dyDescent="0.3">
      <c r="A2784" s="2">
        <v>39301</v>
      </c>
      <c r="B2784" t="s">
        <v>13</v>
      </c>
      <c r="D2784" s="2">
        <v>40032</v>
      </c>
      <c r="E2784">
        <v>4.75</v>
      </c>
      <c r="G2784" s="2">
        <v>40032</v>
      </c>
      <c r="H2784">
        <v>4.226</v>
      </c>
      <c r="J2784" s="2">
        <v>40039</v>
      </c>
      <c r="K2784" s="3">
        <f t="shared" si="86"/>
        <v>4.75</v>
      </c>
      <c r="L2784" s="3">
        <f t="shared" si="87"/>
        <v>4.2859999999999996</v>
      </c>
    </row>
    <row r="2785" spans="1:12" x14ac:dyDescent="0.3">
      <c r="A2785" s="2">
        <v>39302</v>
      </c>
      <c r="B2785" t="s">
        <v>13</v>
      </c>
      <c r="D2785" s="2">
        <v>40033</v>
      </c>
      <c r="E2785">
        <v>4.75</v>
      </c>
      <c r="G2785" s="2">
        <v>40033</v>
      </c>
      <c r="H2785">
        <v>4.226</v>
      </c>
      <c r="J2785" s="2">
        <v>40040</v>
      </c>
      <c r="K2785" s="3">
        <f t="shared" si="86"/>
        <v>4.75</v>
      </c>
      <c r="L2785" s="3">
        <f t="shared" si="87"/>
        <v>4.2859999999999996</v>
      </c>
    </row>
    <row r="2786" spans="1:12" x14ac:dyDescent="0.3">
      <c r="A2786" s="2">
        <v>39303</v>
      </c>
      <c r="B2786" t="s">
        <v>13</v>
      </c>
      <c r="D2786" s="2">
        <v>40034</v>
      </c>
      <c r="E2786">
        <v>4.75</v>
      </c>
      <c r="G2786" s="2">
        <v>40034</v>
      </c>
      <c r="H2786">
        <v>4.226</v>
      </c>
      <c r="J2786" s="2">
        <v>40041</v>
      </c>
      <c r="K2786" s="3">
        <f t="shared" si="86"/>
        <v>4.75</v>
      </c>
      <c r="L2786" s="3">
        <f t="shared" si="87"/>
        <v>4.2859999999999996</v>
      </c>
    </row>
    <row r="2787" spans="1:12" x14ac:dyDescent="0.3">
      <c r="A2787" s="2">
        <v>39304</v>
      </c>
      <c r="B2787" t="s">
        <v>13</v>
      </c>
      <c r="D2787" s="2">
        <v>40035</v>
      </c>
      <c r="E2787">
        <v>4.75</v>
      </c>
      <c r="G2787" s="2">
        <v>40035</v>
      </c>
      <c r="H2787">
        <v>4.4400000000000004</v>
      </c>
      <c r="J2787" s="2">
        <v>40042</v>
      </c>
      <c r="K2787" s="3">
        <f t="shared" si="86"/>
        <v>4.75</v>
      </c>
      <c r="L2787" s="3">
        <f t="shared" si="87"/>
        <v>4.468</v>
      </c>
    </row>
    <row r="2788" spans="1:12" x14ac:dyDescent="0.3">
      <c r="A2788" s="2">
        <v>39305</v>
      </c>
      <c r="B2788" t="s">
        <v>13</v>
      </c>
      <c r="D2788" s="2">
        <v>40036</v>
      </c>
      <c r="E2788">
        <v>4.75</v>
      </c>
      <c r="G2788" s="2">
        <v>40036</v>
      </c>
      <c r="H2788">
        <v>4.3470000000000004</v>
      </c>
      <c r="J2788" s="2">
        <v>40043</v>
      </c>
      <c r="K2788" s="3">
        <f t="shared" si="86"/>
        <v>4.75</v>
      </c>
      <c r="L2788" s="3">
        <f t="shared" si="87"/>
        <v>4.5220000000000002</v>
      </c>
    </row>
    <row r="2789" spans="1:12" x14ac:dyDescent="0.3">
      <c r="A2789" s="2">
        <v>39306</v>
      </c>
      <c r="B2789" t="s">
        <v>13</v>
      </c>
      <c r="D2789" s="2">
        <v>40037</v>
      </c>
      <c r="E2789">
        <v>4.75</v>
      </c>
      <c r="G2789" s="2">
        <v>40037</v>
      </c>
      <c r="H2789">
        <v>4.3579999999999997</v>
      </c>
      <c r="J2789" s="2">
        <v>40044</v>
      </c>
      <c r="K2789" s="3">
        <f t="shared" si="86"/>
        <v>4.75</v>
      </c>
      <c r="L2789" s="3">
        <f t="shared" si="87"/>
        <v>4.5220000000000002</v>
      </c>
    </row>
    <row r="2790" spans="1:12" x14ac:dyDescent="0.3">
      <c r="A2790" s="2">
        <v>39307</v>
      </c>
      <c r="B2790" t="s">
        <v>13</v>
      </c>
      <c r="D2790" s="2">
        <v>40038</v>
      </c>
      <c r="E2790">
        <v>4.75</v>
      </c>
      <c r="G2790" s="2">
        <v>40038</v>
      </c>
      <c r="H2790">
        <v>4.33</v>
      </c>
      <c r="J2790" s="2">
        <v>40045</v>
      </c>
      <c r="K2790" s="3">
        <f t="shared" si="86"/>
        <v>4.75</v>
      </c>
      <c r="L2790" s="3">
        <f t="shared" si="87"/>
        <v>4.51</v>
      </c>
    </row>
    <row r="2791" spans="1:12" x14ac:dyDescent="0.3">
      <c r="A2791" s="2">
        <v>39308</v>
      </c>
      <c r="B2791" t="s">
        <v>13</v>
      </c>
      <c r="D2791" s="2">
        <v>40039</v>
      </c>
      <c r="E2791">
        <v>4.75</v>
      </c>
      <c r="G2791" s="2">
        <v>40039</v>
      </c>
      <c r="H2791">
        <v>4.2859999999999996</v>
      </c>
      <c r="J2791" s="2">
        <v>40046</v>
      </c>
      <c r="K2791" s="3">
        <f t="shared" si="86"/>
        <v>4.75</v>
      </c>
      <c r="L2791" s="3">
        <f t="shared" si="87"/>
        <v>4.5460000000000003</v>
      </c>
    </row>
    <row r="2792" spans="1:12" x14ac:dyDescent="0.3">
      <c r="A2792" s="2">
        <v>39309</v>
      </c>
      <c r="B2792" t="s">
        <v>13</v>
      </c>
      <c r="D2792" s="2">
        <v>40040</v>
      </c>
      <c r="E2792">
        <v>4.75</v>
      </c>
      <c r="G2792" s="2">
        <v>40040</v>
      </c>
      <c r="H2792">
        <v>4.2859999999999996</v>
      </c>
      <c r="J2792" s="2">
        <v>40047</v>
      </c>
      <c r="K2792" s="3">
        <f t="shared" si="86"/>
        <v>4.75</v>
      </c>
      <c r="L2792" s="3">
        <f t="shared" si="87"/>
        <v>4.5460000000000003</v>
      </c>
    </row>
    <row r="2793" spans="1:12" x14ac:dyDescent="0.3">
      <c r="A2793" s="2">
        <v>39310</v>
      </c>
      <c r="B2793" t="s">
        <v>13</v>
      </c>
      <c r="D2793" s="2">
        <v>40041</v>
      </c>
      <c r="E2793">
        <v>4.75</v>
      </c>
      <c r="G2793" s="2">
        <v>40041</v>
      </c>
      <c r="H2793">
        <v>4.2859999999999996</v>
      </c>
      <c r="J2793" s="2">
        <v>40048</v>
      </c>
      <c r="K2793" s="3">
        <f t="shared" si="86"/>
        <v>4.75</v>
      </c>
      <c r="L2793" s="3">
        <f t="shared" si="87"/>
        <v>4.5460000000000003</v>
      </c>
    </row>
    <row r="2794" spans="1:12" x14ac:dyDescent="0.3">
      <c r="A2794" s="2">
        <v>39311</v>
      </c>
      <c r="B2794" t="s">
        <v>13</v>
      </c>
      <c r="D2794" s="2">
        <v>40042</v>
      </c>
      <c r="E2794">
        <v>4.75</v>
      </c>
      <c r="G2794" s="2">
        <v>40042</v>
      </c>
      <c r="H2794">
        <v>4.468</v>
      </c>
      <c r="J2794" s="2">
        <v>40049</v>
      </c>
      <c r="K2794" s="3">
        <f t="shared" si="86"/>
        <v>4.75</v>
      </c>
      <c r="L2794" s="3">
        <f t="shared" si="87"/>
        <v>4.5259999999999998</v>
      </c>
    </row>
    <row r="2795" spans="1:12" x14ac:dyDescent="0.3">
      <c r="A2795" s="2">
        <v>39312</v>
      </c>
      <c r="B2795" t="s">
        <v>13</v>
      </c>
      <c r="D2795" s="2">
        <v>40043</v>
      </c>
      <c r="E2795">
        <v>4.75</v>
      </c>
      <c r="G2795" s="2">
        <v>40043</v>
      </c>
      <c r="H2795">
        <v>4.5220000000000002</v>
      </c>
      <c r="J2795" s="2">
        <v>40050</v>
      </c>
      <c r="K2795" s="3">
        <f t="shared" si="86"/>
        <v>4.75</v>
      </c>
      <c r="L2795" s="3">
        <f t="shared" si="87"/>
        <v>4.5199999999999996</v>
      </c>
    </row>
    <row r="2796" spans="1:12" x14ac:dyDescent="0.3">
      <c r="A2796" s="2">
        <v>39313</v>
      </c>
      <c r="B2796" t="s">
        <v>13</v>
      </c>
      <c r="D2796" s="2">
        <v>40044</v>
      </c>
      <c r="E2796">
        <v>4.75</v>
      </c>
      <c r="G2796" s="2">
        <v>40044</v>
      </c>
      <c r="H2796">
        <v>4.5220000000000002</v>
      </c>
      <c r="J2796" s="2">
        <v>40051</v>
      </c>
      <c r="K2796" s="3">
        <f t="shared" si="86"/>
        <v>4.75</v>
      </c>
      <c r="L2796" s="3">
        <f t="shared" si="87"/>
        <v>4.4909999999999997</v>
      </c>
    </row>
    <row r="2797" spans="1:12" x14ac:dyDescent="0.3">
      <c r="A2797" s="2">
        <v>39314</v>
      </c>
      <c r="B2797" t="s">
        <v>13</v>
      </c>
      <c r="D2797" s="2">
        <v>40045</v>
      </c>
      <c r="E2797">
        <v>4.75</v>
      </c>
      <c r="G2797" s="2">
        <v>40045</v>
      </c>
      <c r="H2797">
        <v>4.51</v>
      </c>
      <c r="J2797" s="2">
        <v>40052</v>
      </c>
      <c r="K2797" s="3">
        <f t="shared" si="86"/>
        <v>4.75</v>
      </c>
      <c r="L2797" s="3">
        <f t="shared" si="87"/>
        <v>4.6150000000000002</v>
      </c>
    </row>
    <row r="2798" spans="1:12" x14ac:dyDescent="0.3">
      <c r="A2798" s="2">
        <v>39315</v>
      </c>
      <c r="B2798" t="s">
        <v>13</v>
      </c>
      <c r="D2798" s="2">
        <v>40046</v>
      </c>
      <c r="E2798">
        <v>4.75</v>
      </c>
      <c r="G2798" s="2">
        <v>40046</v>
      </c>
      <c r="H2798">
        <v>4.5460000000000003</v>
      </c>
      <c r="J2798" s="2">
        <v>40053</v>
      </c>
      <c r="K2798" s="3">
        <f t="shared" si="86"/>
        <v>4.75</v>
      </c>
      <c r="L2798" s="3">
        <f t="shared" si="87"/>
        <v>4.758</v>
      </c>
    </row>
    <row r="2799" spans="1:12" x14ac:dyDescent="0.3">
      <c r="A2799" s="2">
        <v>39316</v>
      </c>
      <c r="B2799" t="s">
        <v>13</v>
      </c>
      <c r="D2799" s="2">
        <v>40047</v>
      </c>
      <c r="E2799">
        <v>4.75</v>
      </c>
      <c r="G2799" s="2">
        <v>40047</v>
      </c>
      <c r="H2799">
        <v>4.5460000000000003</v>
      </c>
      <c r="J2799" s="2">
        <v>40054</v>
      </c>
      <c r="K2799" s="3">
        <f t="shared" si="86"/>
        <v>4.75</v>
      </c>
      <c r="L2799" s="3">
        <f t="shared" si="87"/>
        <v>4.758</v>
      </c>
    </row>
    <row r="2800" spans="1:12" x14ac:dyDescent="0.3">
      <c r="A2800" s="2">
        <v>39317</v>
      </c>
      <c r="B2800" t="s">
        <v>13</v>
      </c>
      <c r="D2800" s="2">
        <v>40048</v>
      </c>
      <c r="E2800">
        <v>4.75</v>
      </c>
      <c r="G2800" s="2">
        <v>40048</v>
      </c>
      <c r="H2800">
        <v>4.5460000000000003</v>
      </c>
      <c r="J2800" s="2">
        <v>40055</v>
      </c>
      <c r="K2800" s="3">
        <f t="shared" si="86"/>
        <v>4.75</v>
      </c>
      <c r="L2800" s="3">
        <f t="shared" si="87"/>
        <v>4.758</v>
      </c>
    </row>
    <row r="2801" spans="1:12" x14ac:dyDescent="0.3">
      <c r="A2801" s="2">
        <v>39318</v>
      </c>
      <c r="B2801" t="s">
        <v>13</v>
      </c>
      <c r="D2801" s="2">
        <v>40049</v>
      </c>
      <c r="E2801">
        <v>4.75</v>
      </c>
      <c r="G2801" s="2">
        <v>40049</v>
      </c>
      <c r="H2801">
        <v>4.5259999999999998</v>
      </c>
      <c r="J2801" s="2">
        <v>40056</v>
      </c>
      <c r="K2801" s="3">
        <f t="shared" si="86"/>
        <v>4.75</v>
      </c>
      <c r="L2801" s="3">
        <f t="shared" si="87"/>
        <v>4.6360000000000001</v>
      </c>
    </row>
    <row r="2802" spans="1:12" x14ac:dyDescent="0.3">
      <c r="A2802" s="2">
        <v>39319</v>
      </c>
      <c r="B2802" t="s">
        <v>13</v>
      </c>
      <c r="D2802" s="2">
        <v>40050</v>
      </c>
      <c r="E2802">
        <v>4.75</v>
      </c>
      <c r="G2802" s="2">
        <v>40050</v>
      </c>
      <c r="H2802">
        <v>4.5199999999999996</v>
      </c>
      <c r="J2802" s="2">
        <v>40057</v>
      </c>
      <c r="K2802" s="3">
        <f t="shared" si="86"/>
        <v>4.75</v>
      </c>
      <c r="L2802" s="3">
        <f t="shared" si="87"/>
        <v>4.7720000000000002</v>
      </c>
    </row>
    <row r="2803" spans="1:12" x14ac:dyDescent="0.3">
      <c r="A2803" s="2">
        <v>39320</v>
      </c>
      <c r="B2803" t="s">
        <v>13</v>
      </c>
      <c r="D2803" s="2">
        <v>40051</v>
      </c>
      <c r="E2803">
        <v>4.75</v>
      </c>
      <c r="G2803" s="2">
        <v>40051</v>
      </c>
      <c r="H2803">
        <v>4.4909999999999997</v>
      </c>
      <c r="J2803" s="2">
        <v>40058</v>
      </c>
      <c r="K2803" s="3">
        <f t="shared" si="86"/>
        <v>4.75</v>
      </c>
      <c r="L2803" s="3">
        <f t="shared" si="87"/>
        <v>4.7480000000000002</v>
      </c>
    </row>
    <row r="2804" spans="1:12" x14ac:dyDescent="0.3">
      <c r="A2804" s="2">
        <v>39321</v>
      </c>
      <c r="B2804" t="s">
        <v>13</v>
      </c>
      <c r="D2804" s="2">
        <v>40052</v>
      </c>
      <c r="E2804">
        <v>4.75</v>
      </c>
      <c r="G2804" s="2">
        <v>40052</v>
      </c>
      <c r="H2804">
        <v>4.6150000000000002</v>
      </c>
      <c r="J2804" s="2">
        <v>40059</v>
      </c>
      <c r="K2804" s="3">
        <f t="shared" si="86"/>
        <v>4.75</v>
      </c>
      <c r="L2804" s="3">
        <f t="shared" si="87"/>
        <v>4.8099999999999996</v>
      </c>
    </row>
    <row r="2805" spans="1:12" x14ac:dyDescent="0.3">
      <c r="A2805" s="2">
        <v>39322</v>
      </c>
      <c r="B2805" t="s">
        <v>13</v>
      </c>
      <c r="D2805" s="2">
        <v>40053</v>
      </c>
      <c r="E2805">
        <v>4.75</v>
      </c>
      <c r="G2805" s="2">
        <v>40053</v>
      </c>
      <c r="H2805">
        <v>4.758</v>
      </c>
      <c r="J2805" s="2">
        <v>40060</v>
      </c>
      <c r="K2805" s="3">
        <f t="shared" si="86"/>
        <v>4.75</v>
      </c>
      <c r="L2805" s="3">
        <f t="shared" si="87"/>
        <v>4.8319999999999999</v>
      </c>
    </row>
    <row r="2806" spans="1:12" x14ac:dyDescent="0.3">
      <c r="A2806" s="2">
        <v>39323</v>
      </c>
      <c r="B2806" t="s">
        <v>13</v>
      </c>
      <c r="D2806" s="2">
        <v>40054</v>
      </c>
      <c r="E2806">
        <v>4.75</v>
      </c>
      <c r="G2806" s="2">
        <v>40054</v>
      </c>
      <c r="H2806">
        <v>4.758</v>
      </c>
      <c r="J2806" s="2">
        <v>40061</v>
      </c>
      <c r="K2806" s="3">
        <f t="shared" si="86"/>
        <v>4.75</v>
      </c>
      <c r="L2806" s="3">
        <f t="shared" si="87"/>
        <v>4.8319999999999999</v>
      </c>
    </row>
    <row r="2807" spans="1:12" x14ac:dyDescent="0.3">
      <c r="A2807" s="2">
        <v>39324</v>
      </c>
      <c r="B2807" t="s">
        <v>13</v>
      </c>
      <c r="D2807" s="2">
        <v>40055</v>
      </c>
      <c r="E2807">
        <v>4.75</v>
      </c>
      <c r="G2807" s="2">
        <v>40055</v>
      </c>
      <c r="H2807">
        <v>4.758</v>
      </c>
      <c r="J2807" s="2">
        <v>40062</v>
      </c>
      <c r="K2807" s="3">
        <f t="shared" si="86"/>
        <v>4.75</v>
      </c>
      <c r="L2807" s="3">
        <f t="shared" si="87"/>
        <v>4.8319999999999999</v>
      </c>
    </row>
    <row r="2808" spans="1:12" x14ac:dyDescent="0.3">
      <c r="A2808" s="2">
        <v>39325</v>
      </c>
      <c r="B2808" t="s">
        <v>13</v>
      </c>
      <c r="D2808" s="2">
        <v>40056</v>
      </c>
      <c r="E2808">
        <v>4.75</v>
      </c>
      <c r="G2808" s="2">
        <v>40056</v>
      </c>
      <c r="H2808">
        <v>4.6360000000000001</v>
      </c>
      <c r="J2808" s="2">
        <v>40063</v>
      </c>
      <c r="K2808" s="3">
        <f t="shared" si="86"/>
        <v>4.75</v>
      </c>
      <c r="L2808" s="3">
        <f t="shared" si="87"/>
        <v>4.8070000000000004</v>
      </c>
    </row>
    <row r="2809" spans="1:12" x14ac:dyDescent="0.3">
      <c r="A2809" s="2">
        <v>39326</v>
      </c>
      <c r="B2809" t="s">
        <v>13</v>
      </c>
      <c r="D2809" s="2">
        <v>40057</v>
      </c>
      <c r="E2809">
        <v>4.75</v>
      </c>
      <c r="G2809" s="2">
        <v>40057</v>
      </c>
      <c r="H2809">
        <v>4.7720000000000002</v>
      </c>
      <c r="J2809" s="2">
        <v>40064</v>
      </c>
      <c r="K2809" s="3">
        <f t="shared" si="86"/>
        <v>4.75</v>
      </c>
      <c r="L2809" s="3">
        <f t="shared" si="87"/>
        <v>4.72</v>
      </c>
    </row>
    <row r="2810" spans="1:12" x14ac:dyDescent="0.3">
      <c r="A2810" s="2">
        <v>39327</v>
      </c>
      <c r="B2810" t="s">
        <v>13</v>
      </c>
      <c r="D2810" s="2">
        <v>40058</v>
      </c>
      <c r="E2810">
        <v>4.75</v>
      </c>
      <c r="G2810" s="2">
        <v>40058</v>
      </c>
      <c r="H2810">
        <v>4.7480000000000002</v>
      </c>
      <c r="J2810" s="2">
        <v>40065</v>
      </c>
      <c r="K2810" s="3">
        <f t="shared" si="86"/>
        <v>4.75</v>
      </c>
      <c r="L2810" s="3">
        <f t="shared" si="87"/>
        <v>4.7850000000000001</v>
      </c>
    </row>
    <row r="2811" spans="1:12" x14ac:dyDescent="0.3">
      <c r="A2811" s="2">
        <v>39328</v>
      </c>
      <c r="B2811" t="s">
        <v>13</v>
      </c>
      <c r="D2811" s="2">
        <v>40059</v>
      </c>
      <c r="E2811">
        <v>4.75</v>
      </c>
      <c r="G2811" s="2">
        <v>40059</v>
      </c>
      <c r="H2811">
        <v>4.8099999999999996</v>
      </c>
      <c r="J2811" s="2">
        <v>40066</v>
      </c>
      <c r="K2811" s="3">
        <f t="shared" si="86"/>
        <v>4.75</v>
      </c>
      <c r="L2811" s="3">
        <f t="shared" si="87"/>
        <v>4.6769999999999996</v>
      </c>
    </row>
    <row r="2812" spans="1:12" x14ac:dyDescent="0.3">
      <c r="A2812" s="2">
        <v>39329</v>
      </c>
      <c r="B2812" t="s">
        <v>13</v>
      </c>
      <c r="D2812" s="2">
        <v>40060</v>
      </c>
      <c r="E2812">
        <v>4.75</v>
      </c>
      <c r="G2812" s="2">
        <v>40060</v>
      </c>
      <c r="H2812">
        <v>4.8319999999999999</v>
      </c>
      <c r="J2812" s="2">
        <v>40067</v>
      </c>
      <c r="K2812" s="3">
        <f t="shared" si="86"/>
        <v>4.75</v>
      </c>
      <c r="L2812" s="3">
        <f t="shared" si="87"/>
        <v>4.62</v>
      </c>
    </row>
    <row r="2813" spans="1:12" x14ac:dyDescent="0.3">
      <c r="A2813" s="2">
        <v>39330</v>
      </c>
      <c r="B2813" t="s">
        <v>13</v>
      </c>
      <c r="D2813" s="2">
        <v>40061</v>
      </c>
      <c r="E2813">
        <v>4.75</v>
      </c>
      <c r="G2813" s="2">
        <v>40061</v>
      </c>
      <c r="H2813">
        <v>4.8319999999999999</v>
      </c>
      <c r="J2813" s="2">
        <v>40068</v>
      </c>
      <c r="K2813" s="3">
        <f t="shared" si="86"/>
        <v>4.75</v>
      </c>
      <c r="L2813" s="3">
        <f t="shared" si="87"/>
        <v>4.62</v>
      </c>
    </row>
    <row r="2814" spans="1:12" x14ac:dyDescent="0.3">
      <c r="A2814" s="2">
        <v>39331</v>
      </c>
      <c r="B2814" t="s">
        <v>13</v>
      </c>
      <c r="D2814" s="2">
        <v>40062</v>
      </c>
      <c r="E2814">
        <v>4.75</v>
      </c>
      <c r="G2814" s="2">
        <v>40062</v>
      </c>
      <c r="H2814">
        <v>4.8319999999999999</v>
      </c>
      <c r="J2814" s="2">
        <v>40069</v>
      </c>
      <c r="K2814" s="3">
        <f t="shared" si="86"/>
        <v>4.75</v>
      </c>
      <c r="L2814" s="3">
        <f t="shared" si="87"/>
        <v>4.62</v>
      </c>
    </row>
    <row r="2815" spans="1:12" x14ac:dyDescent="0.3">
      <c r="A2815" s="2">
        <v>39332</v>
      </c>
      <c r="B2815" t="s">
        <v>13</v>
      </c>
      <c r="D2815" s="2">
        <v>40063</v>
      </c>
      <c r="E2815">
        <v>4.75</v>
      </c>
      <c r="G2815" s="2">
        <v>40063</v>
      </c>
      <c r="H2815">
        <v>4.8070000000000004</v>
      </c>
      <c r="J2815" s="2">
        <v>40070</v>
      </c>
      <c r="K2815" s="3">
        <f t="shared" si="86"/>
        <v>4.75</v>
      </c>
      <c r="L2815" s="3">
        <f t="shared" si="87"/>
        <v>4.5149999999999997</v>
      </c>
    </row>
    <row r="2816" spans="1:12" x14ac:dyDescent="0.3">
      <c r="A2816" s="2">
        <v>39333</v>
      </c>
      <c r="B2816" t="s">
        <v>13</v>
      </c>
      <c r="D2816" s="2">
        <v>40064</v>
      </c>
      <c r="E2816">
        <v>4.75</v>
      </c>
      <c r="G2816" s="2">
        <v>40064</v>
      </c>
      <c r="H2816">
        <v>4.72</v>
      </c>
      <c r="J2816" s="2">
        <v>40071</v>
      </c>
      <c r="K2816" s="3">
        <f t="shared" si="86"/>
        <v>4.75</v>
      </c>
      <c r="L2816" s="3">
        <f t="shared" si="87"/>
        <v>4.5949999999999998</v>
      </c>
    </row>
    <row r="2817" spans="1:12" x14ac:dyDescent="0.3">
      <c r="A2817" s="2">
        <v>39334</v>
      </c>
      <c r="B2817" t="s">
        <v>13</v>
      </c>
      <c r="D2817" s="2">
        <v>40065</v>
      </c>
      <c r="E2817">
        <v>4.75</v>
      </c>
      <c r="G2817" s="2">
        <v>40065</v>
      </c>
      <c r="H2817">
        <v>4.7850000000000001</v>
      </c>
      <c r="J2817" s="2">
        <v>40072</v>
      </c>
      <c r="K2817" s="3">
        <f t="shared" si="86"/>
        <v>4.75</v>
      </c>
      <c r="L2817" s="3">
        <f t="shared" si="87"/>
        <v>4.6890000000000001</v>
      </c>
    </row>
    <row r="2818" spans="1:12" x14ac:dyDescent="0.3">
      <c r="A2818" s="2">
        <v>39335</v>
      </c>
      <c r="B2818" t="s">
        <v>13</v>
      </c>
      <c r="D2818" s="2">
        <v>40066</v>
      </c>
      <c r="E2818">
        <v>4.75</v>
      </c>
      <c r="G2818" s="2">
        <v>40066</v>
      </c>
      <c r="H2818">
        <v>4.6769999999999996</v>
      </c>
      <c r="J2818" s="2">
        <v>40073</v>
      </c>
      <c r="K2818" s="3">
        <f t="shared" si="86"/>
        <v>4.75</v>
      </c>
      <c r="L2818" s="3">
        <f t="shared" si="87"/>
        <v>4.5579999999999998</v>
      </c>
    </row>
    <row r="2819" spans="1:12" x14ac:dyDescent="0.3">
      <c r="A2819" s="2">
        <v>39336</v>
      </c>
      <c r="B2819" t="s">
        <v>13</v>
      </c>
      <c r="D2819" s="2">
        <v>40067</v>
      </c>
      <c r="E2819">
        <v>4.75</v>
      </c>
      <c r="G2819" s="2">
        <v>40067</v>
      </c>
      <c r="H2819">
        <v>4.62</v>
      </c>
      <c r="J2819" s="2">
        <v>40074</v>
      </c>
      <c r="K2819" s="3">
        <f t="shared" ref="K2819:K2882" si="88">E2826</f>
        <v>4.75</v>
      </c>
      <c r="L2819" s="3">
        <f t="shared" ref="L2819:L2882" si="89">H2826</f>
        <v>4.4580000000000002</v>
      </c>
    </row>
    <row r="2820" spans="1:12" x14ac:dyDescent="0.3">
      <c r="A2820" s="2">
        <v>39337</v>
      </c>
      <c r="B2820" t="s">
        <v>13</v>
      </c>
      <c r="D2820" s="2">
        <v>40068</v>
      </c>
      <c r="E2820">
        <v>4.75</v>
      </c>
      <c r="G2820" s="2">
        <v>40068</v>
      </c>
      <c r="H2820">
        <v>4.62</v>
      </c>
      <c r="J2820" s="2">
        <v>40075</v>
      </c>
      <c r="K2820" s="3">
        <f t="shared" si="88"/>
        <v>4.75</v>
      </c>
      <c r="L2820" s="3">
        <f t="shared" si="89"/>
        <v>4.4580000000000002</v>
      </c>
    </row>
    <row r="2821" spans="1:12" x14ac:dyDescent="0.3">
      <c r="A2821" s="2">
        <v>39338</v>
      </c>
      <c r="B2821" t="s">
        <v>13</v>
      </c>
      <c r="D2821" s="2">
        <v>40069</v>
      </c>
      <c r="E2821">
        <v>4.75</v>
      </c>
      <c r="G2821" s="2">
        <v>40069</v>
      </c>
      <c r="H2821">
        <v>4.62</v>
      </c>
      <c r="J2821" s="2">
        <v>40076</v>
      </c>
      <c r="K2821" s="3">
        <f t="shared" si="88"/>
        <v>4.75</v>
      </c>
      <c r="L2821" s="3">
        <f t="shared" si="89"/>
        <v>4.4580000000000002</v>
      </c>
    </row>
    <row r="2822" spans="1:12" x14ac:dyDescent="0.3">
      <c r="A2822" s="2">
        <v>39339</v>
      </c>
      <c r="B2822" t="s">
        <v>13</v>
      </c>
      <c r="D2822" s="2">
        <v>40070</v>
      </c>
      <c r="E2822">
        <v>4.75</v>
      </c>
      <c r="G2822" s="2">
        <v>40070</v>
      </c>
      <c r="H2822">
        <v>4.5149999999999997</v>
      </c>
      <c r="J2822" s="2">
        <v>40077</v>
      </c>
      <c r="K2822" s="3">
        <f t="shared" si="88"/>
        <v>4.75</v>
      </c>
      <c r="L2822" s="3">
        <f t="shared" si="89"/>
        <v>4.4580000000000002</v>
      </c>
    </row>
    <row r="2823" spans="1:12" x14ac:dyDescent="0.3">
      <c r="A2823" s="2">
        <v>39340</v>
      </c>
      <c r="B2823" t="s">
        <v>13</v>
      </c>
      <c r="D2823" s="2">
        <v>40071</v>
      </c>
      <c r="E2823">
        <v>4.75</v>
      </c>
      <c r="G2823" s="2">
        <v>40071</v>
      </c>
      <c r="H2823">
        <v>4.5949999999999998</v>
      </c>
      <c r="J2823" s="2">
        <v>40078</v>
      </c>
      <c r="K2823" s="3">
        <f t="shared" si="88"/>
        <v>4.75</v>
      </c>
      <c r="L2823" s="3">
        <f t="shared" si="89"/>
        <v>4.46</v>
      </c>
    </row>
    <row r="2824" spans="1:12" x14ac:dyDescent="0.3">
      <c r="A2824" s="2">
        <v>39341</v>
      </c>
      <c r="B2824" t="s">
        <v>13</v>
      </c>
      <c r="D2824" s="2">
        <v>40072</v>
      </c>
      <c r="E2824">
        <v>4.75</v>
      </c>
      <c r="G2824" s="2">
        <v>40072</v>
      </c>
      <c r="H2824">
        <v>4.6890000000000001</v>
      </c>
      <c r="J2824" s="2">
        <v>40079</v>
      </c>
      <c r="K2824" s="3">
        <f t="shared" si="88"/>
        <v>4.75</v>
      </c>
      <c r="L2824" s="3">
        <f t="shared" si="89"/>
        <v>4.5789999999999997</v>
      </c>
    </row>
    <row r="2825" spans="1:12" x14ac:dyDescent="0.3">
      <c r="A2825" s="2">
        <v>39342</v>
      </c>
      <c r="B2825" t="s">
        <v>13</v>
      </c>
      <c r="D2825" s="2">
        <v>40073</v>
      </c>
      <c r="E2825">
        <v>4.75</v>
      </c>
      <c r="G2825" s="2">
        <v>40073</v>
      </c>
      <c r="H2825">
        <v>4.5579999999999998</v>
      </c>
      <c r="J2825" s="2">
        <v>40080</v>
      </c>
      <c r="K2825" s="3">
        <f t="shared" si="88"/>
        <v>4.75</v>
      </c>
      <c r="L2825" s="3">
        <f t="shared" si="89"/>
        <v>4.431</v>
      </c>
    </row>
    <row r="2826" spans="1:12" x14ac:dyDescent="0.3">
      <c r="A2826" s="2">
        <v>39343</v>
      </c>
      <c r="B2826" t="s">
        <v>13</v>
      </c>
      <c r="D2826" s="2">
        <v>40074</v>
      </c>
      <c r="E2826">
        <v>4.75</v>
      </c>
      <c r="G2826" s="2">
        <v>40074</v>
      </c>
      <c r="H2826">
        <v>4.4580000000000002</v>
      </c>
      <c r="J2826" s="2">
        <v>40081</v>
      </c>
      <c r="K2826" s="3">
        <f t="shared" si="88"/>
        <v>4.75</v>
      </c>
      <c r="L2826" s="3">
        <f t="shared" si="89"/>
        <v>4.3810000000000002</v>
      </c>
    </row>
    <row r="2827" spans="1:12" x14ac:dyDescent="0.3">
      <c r="A2827" s="2">
        <v>39344</v>
      </c>
      <c r="B2827" t="s">
        <v>13</v>
      </c>
      <c r="D2827" s="2">
        <v>40075</v>
      </c>
      <c r="E2827">
        <v>4.75</v>
      </c>
      <c r="G2827" s="2">
        <v>40075</v>
      </c>
      <c r="H2827">
        <v>4.4580000000000002</v>
      </c>
      <c r="J2827" s="2">
        <v>40082</v>
      </c>
      <c r="K2827" s="3">
        <f t="shared" si="88"/>
        <v>4.75</v>
      </c>
      <c r="L2827" s="3">
        <f t="shared" si="89"/>
        <v>4.3810000000000002</v>
      </c>
    </row>
    <row r="2828" spans="1:12" x14ac:dyDescent="0.3">
      <c r="A2828" s="2">
        <v>39345</v>
      </c>
      <c r="B2828" t="s">
        <v>13</v>
      </c>
      <c r="D2828" s="2">
        <v>40076</v>
      </c>
      <c r="E2828">
        <v>4.75</v>
      </c>
      <c r="G2828" s="2">
        <v>40076</v>
      </c>
      <c r="H2828">
        <v>4.4580000000000002</v>
      </c>
      <c r="J2828" s="2">
        <v>40083</v>
      </c>
      <c r="K2828" s="3">
        <f t="shared" si="88"/>
        <v>4.75</v>
      </c>
      <c r="L2828" s="3">
        <f t="shared" si="89"/>
        <v>4.3810000000000002</v>
      </c>
    </row>
    <row r="2829" spans="1:12" x14ac:dyDescent="0.3">
      <c r="A2829" s="2">
        <v>39346</v>
      </c>
      <c r="B2829" t="s">
        <v>13</v>
      </c>
      <c r="D2829" s="2">
        <v>40077</v>
      </c>
      <c r="E2829">
        <v>4.75</v>
      </c>
      <c r="G2829" s="2">
        <v>40077</v>
      </c>
      <c r="H2829">
        <v>4.4580000000000002</v>
      </c>
      <c r="J2829" s="2">
        <v>40084</v>
      </c>
      <c r="K2829" s="3">
        <f t="shared" si="88"/>
        <v>4.75</v>
      </c>
      <c r="L2829" s="3">
        <f t="shared" si="89"/>
        <v>4.3810000000000002</v>
      </c>
    </row>
    <row r="2830" spans="1:12" x14ac:dyDescent="0.3">
      <c r="A2830" s="2">
        <v>39347</v>
      </c>
      <c r="B2830" t="s">
        <v>13</v>
      </c>
      <c r="D2830" s="2">
        <v>40078</v>
      </c>
      <c r="E2830">
        <v>4.75</v>
      </c>
      <c r="G2830" s="2">
        <v>40078</v>
      </c>
      <c r="H2830">
        <v>4.46</v>
      </c>
      <c r="J2830" s="2">
        <v>40085</v>
      </c>
      <c r="K2830" s="3">
        <f t="shared" si="88"/>
        <v>4.75</v>
      </c>
      <c r="L2830" s="3">
        <f t="shared" si="89"/>
        <v>4.3949999999999996</v>
      </c>
    </row>
    <row r="2831" spans="1:12" x14ac:dyDescent="0.3">
      <c r="A2831" s="2">
        <v>39348</v>
      </c>
      <c r="B2831" t="s">
        <v>13</v>
      </c>
      <c r="D2831" s="2">
        <v>40079</v>
      </c>
      <c r="E2831">
        <v>4.75</v>
      </c>
      <c r="G2831" s="2">
        <v>40079</v>
      </c>
      <c r="H2831">
        <v>4.5789999999999997</v>
      </c>
      <c r="J2831" s="2">
        <v>40086</v>
      </c>
      <c r="K2831" s="3">
        <f t="shared" si="88"/>
        <v>4.75</v>
      </c>
      <c r="L2831" s="3">
        <f t="shared" si="89"/>
        <v>4.3949999999999996</v>
      </c>
    </row>
    <row r="2832" spans="1:12" x14ac:dyDescent="0.3">
      <c r="A2832" s="2">
        <v>39349</v>
      </c>
      <c r="B2832" t="s">
        <v>13</v>
      </c>
      <c r="D2832" s="2">
        <v>40080</v>
      </c>
      <c r="E2832">
        <v>4.75</v>
      </c>
      <c r="G2832" s="2">
        <v>40080</v>
      </c>
      <c r="H2832">
        <v>4.431</v>
      </c>
      <c r="J2832" s="2">
        <v>40087</v>
      </c>
      <c r="K2832" s="3">
        <f t="shared" si="88"/>
        <v>4.75</v>
      </c>
      <c r="L2832" s="3">
        <f t="shared" si="89"/>
        <v>4.5039999999999996</v>
      </c>
    </row>
    <row r="2833" spans="1:12" x14ac:dyDescent="0.3">
      <c r="A2833" s="2">
        <v>39350</v>
      </c>
      <c r="B2833" t="s">
        <v>13</v>
      </c>
      <c r="D2833" s="2">
        <v>40081</v>
      </c>
      <c r="E2833">
        <v>4.75</v>
      </c>
      <c r="G2833" s="2">
        <v>40081</v>
      </c>
      <c r="H2833">
        <v>4.3810000000000002</v>
      </c>
      <c r="J2833" s="2">
        <v>40088</v>
      </c>
      <c r="K2833" s="3">
        <f t="shared" si="88"/>
        <v>4.75</v>
      </c>
      <c r="L2833" s="3">
        <f t="shared" si="89"/>
        <v>4.5039999999999996</v>
      </c>
    </row>
    <row r="2834" spans="1:12" x14ac:dyDescent="0.3">
      <c r="A2834" s="2">
        <v>39351</v>
      </c>
      <c r="B2834" t="s">
        <v>13</v>
      </c>
      <c r="D2834" s="2">
        <v>40082</v>
      </c>
      <c r="E2834">
        <v>4.75</v>
      </c>
      <c r="G2834" s="2">
        <v>40082</v>
      </c>
      <c r="H2834">
        <v>4.3810000000000002</v>
      </c>
      <c r="J2834" s="2">
        <v>40089</v>
      </c>
      <c r="K2834" s="3">
        <f t="shared" si="88"/>
        <v>4.75</v>
      </c>
      <c r="L2834" s="3">
        <f t="shared" si="89"/>
        <v>4.5039999999999996</v>
      </c>
    </row>
    <row r="2835" spans="1:12" x14ac:dyDescent="0.3">
      <c r="A2835" s="2">
        <v>39352</v>
      </c>
      <c r="B2835" t="s">
        <v>13</v>
      </c>
      <c r="D2835" s="2">
        <v>40083</v>
      </c>
      <c r="E2835">
        <v>4.75</v>
      </c>
      <c r="G2835" s="2">
        <v>40083</v>
      </c>
      <c r="H2835">
        <v>4.3810000000000002</v>
      </c>
      <c r="J2835" s="2">
        <v>40090</v>
      </c>
      <c r="K2835" s="3">
        <f t="shared" si="88"/>
        <v>4.75</v>
      </c>
      <c r="L2835" s="3">
        <f t="shared" si="89"/>
        <v>4.5039999999999996</v>
      </c>
    </row>
    <row r="2836" spans="1:12" x14ac:dyDescent="0.3">
      <c r="A2836" s="2">
        <v>39353</v>
      </c>
      <c r="B2836" t="s">
        <v>13</v>
      </c>
      <c r="D2836" s="2">
        <v>40084</v>
      </c>
      <c r="E2836">
        <v>4.75</v>
      </c>
      <c r="G2836" s="2">
        <v>40084</v>
      </c>
      <c r="H2836">
        <v>4.3810000000000002</v>
      </c>
      <c r="J2836" s="2">
        <v>40091</v>
      </c>
      <c r="K2836" s="3">
        <f t="shared" si="88"/>
        <v>4.75</v>
      </c>
      <c r="L2836" s="3">
        <f t="shared" si="89"/>
        <v>4.4260000000000002</v>
      </c>
    </row>
    <row r="2837" spans="1:12" x14ac:dyDescent="0.3">
      <c r="A2837" s="2">
        <v>39354</v>
      </c>
      <c r="B2837" t="s">
        <v>13</v>
      </c>
      <c r="D2837" s="2">
        <v>40085</v>
      </c>
      <c r="E2837">
        <v>4.75</v>
      </c>
      <c r="G2837" s="2">
        <v>40085</v>
      </c>
      <c r="H2837">
        <v>4.3949999999999996</v>
      </c>
      <c r="J2837" s="2">
        <v>40092</v>
      </c>
      <c r="K2837" s="3">
        <f t="shared" si="88"/>
        <v>4.75</v>
      </c>
      <c r="L2837" s="3">
        <f t="shared" si="89"/>
        <v>4.4109999999999996</v>
      </c>
    </row>
    <row r="2838" spans="1:12" x14ac:dyDescent="0.3">
      <c r="A2838" s="2">
        <v>39355</v>
      </c>
      <c r="B2838" t="s">
        <v>13</v>
      </c>
      <c r="D2838" s="2">
        <v>40086</v>
      </c>
      <c r="E2838">
        <v>4.75</v>
      </c>
      <c r="G2838" s="2">
        <v>40086</v>
      </c>
      <c r="H2838">
        <v>4.3949999999999996</v>
      </c>
      <c r="J2838" s="2">
        <v>40093</v>
      </c>
      <c r="K2838" s="3">
        <f t="shared" si="88"/>
        <v>4.75</v>
      </c>
      <c r="L2838" s="3">
        <f t="shared" si="89"/>
        <v>4.5019999999999998</v>
      </c>
    </row>
    <row r="2839" spans="1:12" x14ac:dyDescent="0.3">
      <c r="A2839" s="2">
        <v>39356</v>
      </c>
      <c r="B2839" t="s">
        <v>13</v>
      </c>
      <c r="D2839" s="2">
        <v>40087</v>
      </c>
      <c r="E2839">
        <v>4.75</v>
      </c>
      <c r="G2839" s="2">
        <v>40087</v>
      </c>
      <c r="H2839">
        <v>4.5039999999999996</v>
      </c>
      <c r="J2839" s="2">
        <v>40094</v>
      </c>
      <c r="K2839" s="3">
        <f t="shared" si="88"/>
        <v>4.75</v>
      </c>
      <c r="L2839" s="3">
        <f t="shared" si="89"/>
        <v>4.4809999999999999</v>
      </c>
    </row>
    <row r="2840" spans="1:12" x14ac:dyDescent="0.3">
      <c r="A2840" s="2">
        <v>39357</v>
      </c>
      <c r="B2840" t="s">
        <v>13</v>
      </c>
      <c r="D2840" s="2">
        <v>40088</v>
      </c>
      <c r="E2840">
        <v>4.75</v>
      </c>
      <c r="G2840" s="2">
        <v>40088</v>
      </c>
      <c r="H2840">
        <v>4.5039999999999996</v>
      </c>
      <c r="J2840" s="2">
        <v>40095</v>
      </c>
      <c r="K2840" s="3">
        <f t="shared" si="88"/>
        <v>4.75</v>
      </c>
      <c r="L2840" s="3">
        <f t="shared" si="89"/>
        <v>4.3789999999999996</v>
      </c>
    </row>
    <row r="2841" spans="1:12" x14ac:dyDescent="0.3">
      <c r="A2841" s="2">
        <v>39358</v>
      </c>
      <c r="B2841" t="s">
        <v>13</v>
      </c>
      <c r="D2841" s="2">
        <v>40089</v>
      </c>
      <c r="E2841">
        <v>4.75</v>
      </c>
      <c r="G2841" s="2">
        <v>40089</v>
      </c>
      <c r="H2841">
        <v>4.5039999999999996</v>
      </c>
      <c r="J2841" s="2">
        <v>40096</v>
      </c>
      <c r="K2841" s="3">
        <f t="shared" si="88"/>
        <v>4.75</v>
      </c>
      <c r="L2841" s="3">
        <f t="shared" si="89"/>
        <v>4.3789999999999996</v>
      </c>
    </row>
    <row r="2842" spans="1:12" x14ac:dyDescent="0.3">
      <c r="A2842" s="2">
        <v>39359</v>
      </c>
      <c r="B2842" t="s">
        <v>13</v>
      </c>
      <c r="D2842" s="2">
        <v>40090</v>
      </c>
      <c r="E2842">
        <v>4.75</v>
      </c>
      <c r="G2842" s="2">
        <v>40090</v>
      </c>
      <c r="H2842">
        <v>4.5039999999999996</v>
      </c>
      <c r="J2842" s="2">
        <v>40097</v>
      </c>
      <c r="K2842" s="3">
        <f t="shared" si="88"/>
        <v>4.75</v>
      </c>
      <c r="L2842" s="3">
        <f t="shared" si="89"/>
        <v>4.3789999999999996</v>
      </c>
    </row>
    <row r="2843" spans="1:12" x14ac:dyDescent="0.3">
      <c r="A2843" s="2">
        <v>39360</v>
      </c>
      <c r="B2843" t="s">
        <v>13</v>
      </c>
      <c r="D2843" s="2">
        <v>40091</v>
      </c>
      <c r="E2843">
        <v>4.75</v>
      </c>
      <c r="G2843" s="2">
        <v>40091</v>
      </c>
      <c r="H2843">
        <v>4.4260000000000002</v>
      </c>
      <c r="J2843" s="2">
        <v>40098</v>
      </c>
      <c r="K2843" s="3">
        <f t="shared" si="88"/>
        <v>4.75</v>
      </c>
      <c r="L2843" s="3">
        <f t="shared" si="89"/>
        <v>4.4790000000000001</v>
      </c>
    </row>
    <row r="2844" spans="1:12" x14ac:dyDescent="0.3">
      <c r="A2844" s="2">
        <v>39361</v>
      </c>
      <c r="B2844" t="s">
        <v>13</v>
      </c>
      <c r="D2844" s="2">
        <v>40092</v>
      </c>
      <c r="E2844">
        <v>4.75</v>
      </c>
      <c r="G2844" s="2">
        <v>40092</v>
      </c>
      <c r="H2844">
        <v>4.4109999999999996</v>
      </c>
      <c r="J2844" s="2">
        <v>40099</v>
      </c>
      <c r="K2844" s="3">
        <f t="shared" si="88"/>
        <v>4.75</v>
      </c>
      <c r="L2844" s="3">
        <f t="shared" si="89"/>
        <v>4.4790000000000001</v>
      </c>
    </row>
    <row r="2845" spans="1:12" x14ac:dyDescent="0.3">
      <c r="A2845" s="2">
        <v>39362</v>
      </c>
      <c r="B2845" t="s">
        <v>13</v>
      </c>
      <c r="D2845" s="2">
        <v>40093</v>
      </c>
      <c r="E2845">
        <v>4.75</v>
      </c>
      <c r="G2845" s="2">
        <v>40093</v>
      </c>
      <c r="H2845">
        <v>4.5019999999999998</v>
      </c>
      <c r="J2845" s="2">
        <v>40100</v>
      </c>
      <c r="K2845" s="3">
        <f t="shared" si="88"/>
        <v>4.75</v>
      </c>
      <c r="L2845" s="3">
        <f t="shared" si="89"/>
        <v>4.5039999999999996</v>
      </c>
    </row>
    <row r="2846" spans="1:12" x14ac:dyDescent="0.3">
      <c r="A2846" s="2">
        <v>39363</v>
      </c>
      <c r="B2846" t="s">
        <v>13</v>
      </c>
      <c r="D2846" s="2">
        <v>40094</v>
      </c>
      <c r="E2846">
        <v>4.75</v>
      </c>
      <c r="G2846" s="2">
        <v>40094</v>
      </c>
      <c r="H2846">
        <v>4.4809999999999999</v>
      </c>
      <c r="J2846" s="2">
        <v>40101</v>
      </c>
      <c r="K2846" s="3">
        <f t="shared" si="88"/>
        <v>4.75</v>
      </c>
      <c r="L2846" s="3">
        <f t="shared" si="89"/>
        <v>4.5549999999999997</v>
      </c>
    </row>
    <row r="2847" spans="1:12" x14ac:dyDescent="0.3">
      <c r="A2847" s="2">
        <v>39364</v>
      </c>
      <c r="B2847" t="s">
        <v>13</v>
      </c>
      <c r="D2847" s="2">
        <v>40095</v>
      </c>
      <c r="E2847">
        <v>4.75</v>
      </c>
      <c r="G2847" s="2">
        <v>40095</v>
      </c>
      <c r="H2847">
        <v>4.3789999999999996</v>
      </c>
      <c r="J2847" s="2">
        <v>40102</v>
      </c>
      <c r="K2847" s="3">
        <f t="shared" si="88"/>
        <v>4.75</v>
      </c>
      <c r="L2847" s="3">
        <f t="shared" si="89"/>
        <v>4.5359999999999996</v>
      </c>
    </row>
    <row r="2848" spans="1:12" x14ac:dyDescent="0.3">
      <c r="A2848" s="2">
        <v>39365</v>
      </c>
      <c r="B2848" t="s">
        <v>13</v>
      </c>
      <c r="D2848" s="2">
        <v>40096</v>
      </c>
      <c r="E2848">
        <v>4.75</v>
      </c>
      <c r="G2848" s="2">
        <v>40096</v>
      </c>
      <c r="H2848">
        <v>4.3789999999999996</v>
      </c>
      <c r="J2848" s="2">
        <v>40103</v>
      </c>
      <c r="K2848" s="3">
        <f t="shared" si="88"/>
        <v>4.75</v>
      </c>
      <c r="L2848" s="3">
        <f t="shared" si="89"/>
        <v>4.5359999999999996</v>
      </c>
    </row>
    <row r="2849" spans="1:12" x14ac:dyDescent="0.3">
      <c r="A2849" s="2">
        <v>39366</v>
      </c>
      <c r="B2849" t="s">
        <v>13</v>
      </c>
      <c r="D2849" s="2">
        <v>40097</v>
      </c>
      <c r="E2849">
        <v>4.75</v>
      </c>
      <c r="G2849" s="2">
        <v>40097</v>
      </c>
      <c r="H2849">
        <v>4.3789999999999996</v>
      </c>
      <c r="J2849" s="2">
        <v>40104</v>
      </c>
      <c r="K2849" s="3">
        <f t="shared" si="88"/>
        <v>4.75</v>
      </c>
      <c r="L2849" s="3">
        <f t="shared" si="89"/>
        <v>4.5359999999999996</v>
      </c>
    </row>
    <row r="2850" spans="1:12" x14ac:dyDescent="0.3">
      <c r="A2850" s="2">
        <v>39367</v>
      </c>
      <c r="B2850" t="s">
        <v>13</v>
      </c>
      <c r="D2850" s="2">
        <v>40098</v>
      </c>
      <c r="E2850">
        <v>4.75</v>
      </c>
      <c r="G2850" s="2">
        <v>40098</v>
      </c>
      <c r="H2850">
        <v>4.4790000000000001</v>
      </c>
      <c r="J2850" s="2">
        <v>40105</v>
      </c>
      <c r="K2850" s="3">
        <f t="shared" si="88"/>
        <v>4.75</v>
      </c>
      <c r="L2850" s="3">
        <f t="shared" si="89"/>
        <v>4.5359999999999996</v>
      </c>
    </row>
    <row r="2851" spans="1:12" x14ac:dyDescent="0.3">
      <c r="A2851" s="2">
        <v>39368</v>
      </c>
      <c r="B2851" t="s">
        <v>13</v>
      </c>
      <c r="D2851" s="2">
        <v>40099</v>
      </c>
      <c r="E2851">
        <v>4.75</v>
      </c>
      <c r="G2851" s="2">
        <v>40099</v>
      </c>
      <c r="H2851">
        <v>4.4790000000000001</v>
      </c>
      <c r="J2851" s="2">
        <v>40106</v>
      </c>
      <c r="K2851" s="3">
        <f t="shared" si="88"/>
        <v>4.75</v>
      </c>
      <c r="L2851" s="3">
        <f t="shared" si="89"/>
        <v>4.4850000000000003</v>
      </c>
    </row>
    <row r="2852" spans="1:12" x14ac:dyDescent="0.3">
      <c r="A2852" s="2">
        <v>39369</v>
      </c>
      <c r="B2852" t="s">
        <v>13</v>
      </c>
      <c r="D2852" s="2">
        <v>40100</v>
      </c>
      <c r="E2852">
        <v>4.75</v>
      </c>
      <c r="G2852" s="2">
        <v>40100</v>
      </c>
      <c r="H2852">
        <v>4.5039999999999996</v>
      </c>
      <c r="J2852" s="2">
        <v>40107</v>
      </c>
      <c r="K2852" s="3">
        <f t="shared" si="88"/>
        <v>4.75</v>
      </c>
      <c r="L2852" s="3">
        <f t="shared" si="89"/>
        <v>4.4820000000000002</v>
      </c>
    </row>
    <row r="2853" spans="1:12" x14ac:dyDescent="0.3">
      <c r="A2853" s="2">
        <v>39370</v>
      </c>
      <c r="B2853" t="s">
        <v>13</v>
      </c>
      <c r="D2853" s="2">
        <v>40101</v>
      </c>
      <c r="E2853">
        <v>4.75</v>
      </c>
      <c r="G2853" s="2">
        <v>40101</v>
      </c>
      <c r="H2853">
        <v>4.5549999999999997</v>
      </c>
      <c r="J2853" s="2">
        <v>40108</v>
      </c>
      <c r="K2853" s="3">
        <f t="shared" si="88"/>
        <v>4.75</v>
      </c>
      <c r="L2853" s="3">
        <f t="shared" si="89"/>
        <v>4.4630000000000001</v>
      </c>
    </row>
    <row r="2854" spans="1:12" x14ac:dyDescent="0.3">
      <c r="A2854" s="2">
        <v>39371</v>
      </c>
      <c r="B2854" t="s">
        <v>13</v>
      </c>
      <c r="D2854" s="2">
        <v>40102</v>
      </c>
      <c r="E2854">
        <v>4.75</v>
      </c>
      <c r="G2854" s="2">
        <v>40102</v>
      </c>
      <c r="H2854">
        <v>4.5359999999999996</v>
      </c>
      <c r="J2854" s="2">
        <v>40109</v>
      </c>
      <c r="K2854" s="3">
        <f t="shared" si="88"/>
        <v>4.75</v>
      </c>
      <c r="L2854" s="3">
        <f t="shared" si="89"/>
        <v>4.5090000000000003</v>
      </c>
    </row>
    <row r="2855" spans="1:12" x14ac:dyDescent="0.3">
      <c r="A2855" s="2">
        <v>39372</v>
      </c>
      <c r="B2855" t="s">
        <v>13</v>
      </c>
      <c r="D2855" s="2">
        <v>40103</v>
      </c>
      <c r="E2855">
        <v>4.75</v>
      </c>
      <c r="G2855" s="2">
        <v>40103</v>
      </c>
      <c r="H2855">
        <v>4.5359999999999996</v>
      </c>
      <c r="J2855" s="2">
        <v>40110</v>
      </c>
      <c r="K2855" s="3">
        <f t="shared" si="88"/>
        <v>4.75</v>
      </c>
      <c r="L2855" s="3">
        <f t="shared" si="89"/>
        <v>4.5090000000000003</v>
      </c>
    </row>
    <row r="2856" spans="1:12" x14ac:dyDescent="0.3">
      <c r="A2856" s="2">
        <v>39373</v>
      </c>
      <c r="B2856" t="s">
        <v>13</v>
      </c>
      <c r="D2856" s="2">
        <v>40104</v>
      </c>
      <c r="E2856">
        <v>4.75</v>
      </c>
      <c r="G2856" s="2">
        <v>40104</v>
      </c>
      <c r="H2856">
        <v>4.5359999999999996</v>
      </c>
      <c r="J2856" s="2">
        <v>40111</v>
      </c>
      <c r="K2856" s="3">
        <f t="shared" si="88"/>
        <v>4.75</v>
      </c>
      <c r="L2856" s="3">
        <f t="shared" si="89"/>
        <v>4.5090000000000003</v>
      </c>
    </row>
    <row r="2857" spans="1:12" x14ac:dyDescent="0.3">
      <c r="A2857" s="2">
        <v>39374</v>
      </c>
      <c r="B2857" t="s">
        <v>13</v>
      </c>
      <c r="D2857" s="2">
        <v>40105</v>
      </c>
      <c r="E2857">
        <v>4.75</v>
      </c>
      <c r="G2857" s="2">
        <v>40105</v>
      </c>
      <c r="H2857">
        <v>4.5359999999999996</v>
      </c>
      <c r="J2857" s="2">
        <v>40112</v>
      </c>
      <c r="K2857" s="3">
        <f t="shared" si="88"/>
        <v>4.75</v>
      </c>
      <c r="L2857" s="3">
        <f t="shared" si="89"/>
        <v>4.4870000000000001</v>
      </c>
    </row>
    <row r="2858" spans="1:12" x14ac:dyDescent="0.3">
      <c r="A2858" s="2">
        <v>39375</v>
      </c>
      <c r="B2858" t="s">
        <v>13</v>
      </c>
      <c r="D2858" s="2">
        <v>40106</v>
      </c>
      <c r="E2858">
        <v>4.75</v>
      </c>
      <c r="G2858" s="2">
        <v>40106</v>
      </c>
      <c r="H2858">
        <v>4.4850000000000003</v>
      </c>
      <c r="J2858" s="2">
        <v>40113</v>
      </c>
      <c r="K2858" s="3">
        <f t="shared" si="88"/>
        <v>4.75</v>
      </c>
      <c r="L2858" s="3">
        <f t="shared" si="89"/>
        <v>4.5049999999999999</v>
      </c>
    </row>
    <row r="2859" spans="1:12" x14ac:dyDescent="0.3">
      <c r="A2859" s="2">
        <v>39376</v>
      </c>
      <c r="B2859" t="s">
        <v>13</v>
      </c>
      <c r="D2859" s="2">
        <v>40107</v>
      </c>
      <c r="E2859">
        <v>4.75</v>
      </c>
      <c r="G2859" s="2">
        <v>40107</v>
      </c>
      <c r="H2859">
        <v>4.4820000000000002</v>
      </c>
      <c r="J2859" s="2">
        <v>40114</v>
      </c>
      <c r="K2859" s="3">
        <f t="shared" si="88"/>
        <v>4.75</v>
      </c>
      <c r="L2859" s="3">
        <f t="shared" si="89"/>
        <v>4.5039999999999996</v>
      </c>
    </row>
    <row r="2860" spans="1:12" x14ac:dyDescent="0.3">
      <c r="A2860" s="2">
        <v>39377</v>
      </c>
      <c r="B2860" t="s">
        <v>13</v>
      </c>
      <c r="D2860" s="2">
        <v>40108</v>
      </c>
      <c r="E2860">
        <v>4.75</v>
      </c>
      <c r="G2860" s="2">
        <v>40108</v>
      </c>
      <c r="H2860">
        <v>4.4630000000000001</v>
      </c>
      <c r="J2860" s="2">
        <v>40115</v>
      </c>
      <c r="K2860" s="3">
        <f t="shared" si="88"/>
        <v>4.75</v>
      </c>
      <c r="L2860" s="3">
        <f t="shared" si="89"/>
        <v>4.5629999999999997</v>
      </c>
    </row>
    <row r="2861" spans="1:12" x14ac:dyDescent="0.3">
      <c r="A2861" s="2">
        <v>39378</v>
      </c>
      <c r="B2861" t="s">
        <v>13</v>
      </c>
      <c r="D2861" s="2">
        <v>40109</v>
      </c>
      <c r="E2861">
        <v>4.75</v>
      </c>
      <c r="G2861" s="2">
        <v>40109</v>
      </c>
      <c r="H2861">
        <v>4.5090000000000003</v>
      </c>
      <c r="J2861" s="2">
        <v>40116</v>
      </c>
      <c r="K2861" s="3">
        <f t="shared" si="88"/>
        <v>4.75</v>
      </c>
      <c r="L2861" s="3">
        <f t="shared" si="89"/>
        <v>4.5389999999999997</v>
      </c>
    </row>
    <row r="2862" spans="1:12" x14ac:dyDescent="0.3">
      <c r="A2862" s="2">
        <v>39379</v>
      </c>
      <c r="B2862" t="s">
        <v>13</v>
      </c>
      <c r="D2862" s="2">
        <v>40110</v>
      </c>
      <c r="E2862">
        <v>4.75</v>
      </c>
      <c r="G2862" s="2">
        <v>40110</v>
      </c>
      <c r="H2862">
        <v>4.5090000000000003</v>
      </c>
      <c r="J2862" s="2">
        <v>40117</v>
      </c>
      <c r="K2862" s="3">
        <f t="shared" si="88"/>
        <v>4.75</v>
      </c>
      <c r="L2862" s="3">
        <f t="shared" si="89"/>
        <v>4.5389999999999997</v>
      </c>
    </row>
    <row r="2863" spans="1:12" x14ac:dyDescent="0.3">
      <c r="A2863" s="2">
        <v>39380</v>
      </c>
      <c r="B2863" t="s">
        <v>13</v>
      </c>
      <c r="D2863" s="2">
        <v>40111</v>
      </c>
      <c r="E2863">
        <v>4.75</v>
      </c>
      <c r="G2863" s="2">
        <v>40111</v>
      </c>
      <c r="H2863">
        <v>4.5090000000000003</v>
      </c>
      <c r="J2863" s="2">
        <v>40118</v>
      </c>
      <c r="K2863" s="3">
        <f t="shared" si="88"/>
        <v>4.75</v>
      </c>
      <c r="L2863" s="3">
        <f t="shared" si="89"/>
        <v>4.5389999999999997</v>
      </c>
    </row>
    <row r="2864" spans="1:12" x14ac:dyDescent="0.3">
      <c r="A2864" s="2">
        <v>39381</v>
      </c>
      <c r="B2864" t="s">
        <v>13</v>
      </c>
      <c r="D2864" s="2">
        <v>40112</v>
      </c>
      <c r="E2864">
        <v>4.75</v>
      </c>
      <c r="G2864" s="2">
        <v>40112</v>
      </c>
      <c r="H2864">
        <v>4.4870000000000001</v>
      </c>
      <c r="J2864" s="2">
        <v>40119</v>
      </c>
      <c r="K2864" s="3">
        <f t="shared" si="88"/>
        <v>4.75</v>
      </c>
      <c r="L2864" s="3">
        <f t="shared" si="89"/>
        <v>4.5389999999999997</v>
      </c>
    </row>
    <row r="2865" spans="1:12" x14ac:dyDescent="0.3">
      <c r="A2865" s="2">
        <v>39382</v>
      </c>
      <c r="B2865" t="s">
        <v>13</v>
      </c>
      <c r="D2865" s="2">
        <v>40113</v>
      </c>
      <c r="E2865">
        <v>4.75</v>
      </c>
      <c r="G2865" s="2">
        <v>40113</v>
      </c>
      <c r="H2865">
        <v>4.5049999999999999</v>
      </c>
      <c r="J2865" s="2">
        <v>40120</v>
      </c>
      <c r="K2865" s="3">
        <f t="shared" si="88"/>
        <v>4.75</v>
      </c>
      <c r="L2865" s="3">
        <f t="shared" si="89"/>
        <v>4.5279999999999996</v>
      </c>
    </row>
    <row r="2866" spans="1:12" x14ac:dyDescent="0.3">
      <c r="A2866" s="2">
        <v>39383</v>
      </c>
      <c r="B2866" t="s">
        <v>13</v>
      </c>
      <c r="D2866" s="2">
        <v>40114</v>
      </c>
      <c r="E2866">
        <v>4.75</v>
      </c>
      <c r="G2866" s="2">
        <v>40114</v>
      </c>
      <c r="H2866">
        <v>4.5039999999999996</v>
      </c>
      <c r="J2866" s="2">
        <v>40121</v>
      </c>
      <c r="K2866" s="3">
        <f t="shared" si="88"/>
        <v>4.75</v>
      </c>
      <c r="L2866" s="3">
        <f t="shared" si="89"/>
        <v>4.4909999999999997</v>
      </c>
    </row>
    <row r="2867" spans="1:12" x14ac:dyDescent="0.3">
      <c r="A2867" s="2">
        <v>39384</v>
      </c>
      <c r="B2867" t="s">
        <v>13</v>
      </c>
      <c r="D2867" s="2">
        <v>40115</v>
      </c>
      <c r="E2867">
        <v>4.75</v>
      </c>
      <c r="G2867" s="2">
        <v>40115</v>
      </c>
      <c r="H2867">
        <v>4.5629999999999997</v>
      </c>
      <c r="J2867" s="2">
        <v>40122</v>
      </c>
      <c r="K2867" s="3">
        <f t="shared" si="88"/>
        <v>4.75</v>
      </c>
      <c r="L2867" s="3">
        <f t="shared" si="89"/>
        <v>4.5419999999999998</v>
      </c>
    </row>
    <row r="2868" spans="1:12" x14ac:dyDescent="0.3">
      <c r="A2868" s="2">
        <v>39385</v>
      </c>
      <c r="B2868" t="s">
        <v>13</v>
      </c>
      <c r="D2868" s="2">
        <v>40116</v>
      </c>
      <c r="E2868">
        <v>4.75</v>
      </c>
      <c r="G2868" s="2">
        <v>40116</v>
      </c>
      <c r="H2868">
        <v>4.5389999999999997</v>
      </c>
      <c r="J2868" s="2">
        <v>40123</v>
      </c>
      <c r="K2868" s="3">
        <f t="shared" si="88"/>
        <v>4.75</v>
      </c>
      <c r="L2868" s="3">
        <f t="shared" si="89"/>
        <v>4.62</v>
      </c>
    </row>
    <row r="2869" spans="1:12" x14ac:dyDescent="0.3">
      <c r="A2869" s="2">
        <v>39386</v>
      </c>
      <c r="B2869" t="s">
        <v>13</v>
      </c>
      <c r="D2869" s="2">
        <v>40117</v>
      </c>
      <c r="E2869">
        <v>4.75</v>
      </c>
      <c r="G2869" s="2">
        <v>40117</v>
      </c>
      <c r="H2869">
        <v>4.5389999999999997</v>
      </c>
      <c r="J2869" s="2">
        <v>40124</v>
      </c>
      <c r="K2869" s="3">
        <f t="shared" si="88"/>
        <v>4.75</v>
      </c>
      <c r="L2869" s="3">
        <f t="shared" si="89"/>
        <v>4.62</v>
      </c>
    </row>
    <row r="2870" spans="1:12" x14ac:dyDescent="0.3">
      <c r="A2870" s="2">
        <v>39387</v>
      </c>
      <c r="B2870" t="s">
        <v>13</v>
      </c>
      <c r="D2870" s="2">
        <v>40118</v>
      </c>
      <c r="E2870">
        <v>4.75</v>
      </c>
      <c r="G2870" s="2">
        <v>40118</v>
      </c>
      <c r="H2870">
        <v>4.5389999999999997</v>
      </c>
      <c r="J2870" s="2">
        <v>40125</v>
      </c>
      <c r="K2870" s="3">
        <f t="shared" si="88"/>
        <v>4.75</v>
      </c>
      <c r="L2870" s="3">
        <f t="shared" si="89"/>
        <v>4.62</v>
      </c>
    </row>
    <row r="2871" spans="1:12" x14ac:dyDescent="0.3">
      <c r="A2871" s="2">
        <v>39388</v>
      </c>
      <c r="B2871" t="s">
        <v>13</v>
      </c>
      <c r="D2871" s="2">
        <v>40119</v>
      </c>
      <c r="E2871">
        <v>4.75</v>
      </c>
      <c r="G2871" s="2">
        <v>40119</v>
      </c>
      <c r="H2871">
        <v>4.5389999999999997</v>
      </c>
      <c r="J2871" s="2">
        <v>40126</v>
      </c>
      <c r="K2871" s="3">
        <f t="shared" si="88"/>
        <v>4.75</v>
      </c>
      <c r="L2871" s="3">
        <f t="shared" si="89"/>
        <v>4.6550000000000002</v>
      </c>
    </row>
    <row r="2872" spans="1:12" x14ac:dyDescent="0.3">
      <c r="A2872" s="2">
        <v>39389</v>
      </c>
      <c r="B2872" t="s">
        <v>13</v>
      </c>
      <c r="D2872" s="2">
        <v>40120</v>
      </c>
      <c r="E2872">
        <v>4.75</v>
      </c>
      <c r="G2872" s="2">
        <v>40120</v>
      </c>
      <c r="H2872">
        <v>4.5279999999999996</v>
      </c>
      <c r="J2872" s="2">
        <v>40127</v>
      </c>
      <c r="K2872" s="3">
        <f t="shared" si="88"/>
        <v>4.75</v>
      </c>
      <c r="L2872" s="3">
        <f t="shared" si="89"/>
        <v>4.5999999999999996</v>
      </c>
    </row>
    <row r="2873" spans="1:12" x14ac:dyDescent="0.3">
      <c r="A2873" s="2">
        <v>39390</v>
      </c>
      <c r="B2873" t="s">
        <v>13</v>
      </c>
      <c r="D2873" s="2">
        <v>40121</v>
      </c>
      <c r="E2873">
        <v>4.75</v>
      </c>
      <c r="G2873" s="2">
        <v>40121</v>
      </c>
      <c r="H2873">
        <v>4.4909999999999997</v>
      </c>
      <c r="J2873" s="2">
        <v>40128</v>
      </c>
      <c r="K2873" s="3">
        <f t="shared" si="88"/>
        <v>4.75</v>
      </c>
      <c r="L2873" s="3">
        <f t="shared" si="89"/>
        <v>4.6900000000000004</v>
      </c>
    </row>
    <row r="2874" spans="1:12" x14ac:dyDescent="0.3">
      <c r="A2874" s="2">
        <v>39391</v>
      </c>
      <c r="B2874" t="s">
        <v>13</v>
      </c>
      <c r="D2874" s="2">
        <v>40122</v>
      </c>
      <c r="E2874">
        <v>4.75</v>
      </c>
      <c r="G2874" s="2">
        <v>40122</v>
      </c>
      <c r="H2874">
        <v>4.5419999999999998</v>
      </c>
      <c r="J2874" s="2">
        <v>40129</v>
      </c>
      <c r="K2874" s="3">
        <f t="shared" si="88"/>
        <v>4.75</v>
      </c>
      <c r="L2874" s="3">
        <f t="shared" si="89"/>
        <v>4.6859999999999999</v>
      </c>
    </row>
    <row r="2875" spans="1:12" x14ac:dyDescent="0.3">
      <c r="A2875" s="2">
        <v>39392</v>
      </c>
      <c r="B2875" t="s">
        <v>13</v>
      </c>
      <c r="D2875" s="2">
        <v>40123</v>
      </c>
      <c r="E2875">
        <v>4.75</v>
      </c>
      <c r="G2875" s="2">
        <v>40123</v>
      </c>
      <c r="H2875">
        <v>4.62</v>
      </c>
      <c r="J2875" s="2">
        <v>40130</v>
      </c>
      <c r="K2875" s="3">
        <f t="shared" si="88"/>
        <v>4.75</v>
      </c>
      <c r="L2875" s="3">
        <f t="shared" si="89"/>
        <v>4.6180000000000003</v>
      </c>
    </row>
    <row r="2876" spans="1:12" x14ac:dyDescent="0.3">
      <c r="A2876" s="2">
        <v>39393</v>
      </c>
      <c r="B2876" t="s">
        <v>13</v>
      </c>
      <c r="D2876" s="2">
        <v>40124</v>
      </c>
      <c r="E2876">
        <v>4.75</v>
      </c>
      <c r="G2876" s="2">
        <v>40124</v>
      </c>
      <c r="H2876">
        <v>4.62</v>
      </c>
      <c r="J2876" s="2">
        <v>40131</v>
      </c>
      <c r="K2876" s="3">
        <f t="shared" si="88"/>
        <v>4.75</v>
      </c>
      <c r="L2876" s="3">
        <f t="shared" si="89"/>
        <v>4.6180000000000003</v>
      </c>
    </row>
    <row r="2877" spans="1:12" x14ac:dyDescent="0.3">
      <c r="A2877" s="2">
        <v>39394</v>
      </c>
      <c r="B2877" t="s">
        <v>13</v>
      </c>
      <c r="D2877" s="2">
        <v>40125</v>
      </c>
      <c r="E2877">
        <v>4.75</v>
      </c>
      <c r="G2877" s="2">
        <v>40125</v>
      </c>
      <c r="H2877">
        <v>4.62</v>
      </c>
      <c r="J2877" s="2">
        <v>40132</v>
      </c>
      <c r="K2877" s="3">
        <f t="shared" si="88"/>
        <v>4.75</v>
      </c>
      <c r="L2877" s="3">
        <f t="shared" si="89"/>
        <v>4.6180000000000003</v>
      </c>
    </row>
    <row r="2878" spans="1:12" x14ac:dyDescent="0.3">
      <c r="A2878" s="2">
        <v>39395</v>
      </c>
      <c r="B2878" t="s">
        <v>13</v>
      </c>
      <c r="D2878" s="2">
        <v>40126</v>
      </c>
      <c r="E2878">
        <v>4.75</v>
      </c>
      <c r="G2878" s="2">
        <v>40126</v>
      </c>
      <c r="H2878">
        <v>4.6550000000000002</v>
      </c>
      <c r="J2878" s="2">
        <v>40133</v>
      </c>
      <c r="K2878" s="3">
        <f t="shared" si="88"/>
        <v>4.75</v>
      </c>
      <c r="L2878" s="3">
        <f t="shared" si="89"/>
        <v>4.2690000000000001</v>
      </c>
    </row>
    <row r="2879" spans="1:12" x14ac:dyDescent="0.3">
      <c r="A2879" s="2">
        <v>39396</v>
      </c>
      <c r="B2879" t="s">
        <v>13</v>
      </c>
      <c r="D2879" s="2">
        <v>40127</v>
      </c>
      <c r="E2879">
        <v>4.75</v>
      </c>
      <c r="G2879" s="2">
        <v>40127</v>
      </c>
      <c r="H2879">
        <v>4.5999999999999996</v>
      </c>
      <c r="J2879" s="2">
        <v>40134</v>
      </c>
      <c r="K2879" s="3">
        <f t="shared" si="88"/>
        <v>4.75</v>
      </c>
      <c r="L2879" s="3">
        <f t="shared" si="89"/>
        <v>4.2709999999999999</v>
      </c>
    </row>
    <row r="2880" spans="1:12" x14ac:dyDescent="0.3">
      <c r="A2880" s="2">
        <v>39397</v>
      </c>
      <c r="B2880" t="s">
        <v>13</v>
      </c>
      <c r="D2880" s="2">
        <v>40128</v>
      </c>
      <c r="E2880">
        <v>4.75</v>
      </c>
      <c r="G2880" s="2">
        <v>40128</v>
      </c>
      <c r="H2880">
        <v>4.6900000000000004</v>
      </c>
      <c r="J2880" s="2">
        <v>40135</v>
      </c>
      <c r="K2880" s="3">
        <f t="shared" si="88"/>
        <v>4.75</v>
      </c>
      <c r="L2880" s="3">
        <f t="shared" si="89"/>
        <v>4.2729999999999997</v>
      </c>
    </row>
    <row r="2881" spans="1:12" x14ac:dyDescent="0.3">
      <c r="A2881" s="2">
        <v>39398</v>
      </c>
      <c r="B2881" t="s">
        <v>13</v>
      </c>
      <c r="D2881" s="2">
        <v>40129</v>
      </c>
      <c r="E2881">
        <v>4.75</v>
      </c>
      <c r="G2881" s="2">
        <v>40129</v>
      </c>
      <c r="H2881">
        <v>4.6859999999999999</v>
      </c>
      <c r="J2881" s="2">
        <v>40136</v>
      </c>
      <c r="K2881" s="3">
        <f t="shared" si="88"/>
        <v>4.75</v>
      </c>
      <c r="L2881" s="3">
        <f t="shared" si="89"/>
        <v>4.3170000000000002</v>
      </c>
    </row>
    <row r="2882" spans="1:12" x14ac:dyDescent="0.3">
      <c r="A2882" s="2">
        <v>39399</v>
      </c>
      <c r="B2882" t="s">
        <v>13</v>
      </c>
      <c r="D2882" s="2">
        <v>40130</v>
      </c>
      <c r="E2882">
        <v>4.75</v>
      </c>
      <c r="G2882" s="2">
        <v>40130</v>
      </c>
      <c r="H2882">
        <v>4.6180000000000003</v>
      </c>
      <c r="J2882" s="2">
        <v>40137</v>
      </c>
      <c r="K2882" s="3">
        <f t="shared" si="88"/>
        <v>4.75</v>
      </c>
      <c r="L2882" s="3">
        <f t="shared" si="89"/>
        <v>4.298</v>
      </c>
    </row>
    <row r="2883" spans="1:12" x14ac:dyDescent="0.3">
      <c r="A2883" s="2">
        <v>39400</v>
      </c>
      <c r="B2883" t="s">
        <v>13</v>
      </c>
      <c r="D2883" s="2">
        <v>40131</v>
      </c>
      <c r="E2883">
        <v>4.75</v>
      </c>
      <c r="G2883" s="2">
        <v>40131</v>
      </c>
      <c r="H2883">
        <v>4.6180000000000003</v>
      </c>
      <c r="J2883" s="2">
        <v>40138</v>
      </c>
      <c r="K2883" s="3">
        <f t="shared" ref="K2883:K2946" si="90">E2890</f>
        <v>4.75</v>
      </c>
      <c r="L2883" s="3">
        <f t="shared" ref="L2883:L2946" si="91">H2890</f>
        <v>4.298</v>
      </c>
    </row>
    <row r="2884" spans="1:12" x14ac:dyDescent="0.3">
      <c r="A2884" s="2">
        <v>39401</v>
      </c>
      <c r="B2884" t="s">
        <v>13</v>
      </c>
      <c r="D2884" s="2">
        <v>40132</v>
      </c>
      <c r="E2884">
        <v>4.75</v>
      </c>
      <c r="G2884" s="2">
        <v>40132</v>
      </c>
      <c r="H2884">
        <v>4.6180000000000003</v>
      </c>
      <c r="J2884" s="2">
        <v>40139</v>
      </c>
      <c r="K2884" s="3">
        <f t="shared" si="90"/>
        <v>4.75</v>
      </c>
      <c r="L2884" s="3">
        <f t="shared" si="91"/>
        <v>4.298</v>
      </c>
    </row>
    <row r="2885" spans="1:12" x14ac:dyDescent="0.3">
      <c r="A2885" s="2">
        <v>39402</v>
      </c>
      <c r="B2885" t="s">
        <v>13</v>
      </c>
      <c r="D2885" s="2">
        <v>40133</v>
      </c>
      <c r="E2885">
        <v>4.75</v>
      </c>
      <c r="G2885" s="2">
        <v>40133</v>
      </c>
      <c r="H2885">
        <v>4.2690000000000001</v>
      </c>
      <c r="J2885" s="2">
        <v>40140</v>
      </c>
      <c r="K2885" s="3">
        <f t="shared" si="90"/>
        <v>4.75</v>
      </c>
      <c r="L2885" s="3">
        <f t="shared" si="91"/>
        <v>4.3410000000000002</v>
      </c>
    </row>
    <row r="2886" spans="1:12" x14ac:dyDescent="0.3">
      <c r="A2886" s="2">
        <v>39403</v>
      </c>
      <c r="B2886" t="s">
        <v>13</v>
      </c>
      <c r="D2886" s="2">
        <v>40134</v>
      </c>
      <c r="E2886">
        <v>4.75</v>
      </c>
      <c r="G2886" s="2">
        <v>40134</v>
      </c>
      <c r="H2886">
        <v>4.2709999999999999</v>
      </c>
      <c r="J2886" s="2">
        <v>40141</v>
      </c>
      <c r="K2886" s="3">
        <f t="shared" si="90"/>
        <v>4.75</v>
      </c>
      <c r="L2886" s="3">
        <f t="shared" si="91"/>
        <v>4.3460000000000001</v>
      </c>
    </row>
    <row r="2887" spans="1:12" x14ac:dyDescent="0.3">
      <c r="A2887" s="2">
        <v>39404</v>
      </c>
      <c r="B2887" t="s">
        <v>13</v>
      </c>
      <c r="D2887" s="2">
        <v>40135</v>
      </c>
      <c r="E2887">
        <v>4.75</v>
      </c>
      <c r="G2887" s="2">
        <v>40135</v>
      </c>
      <c r="H2887">
        <v>4.2729999999999997</v>
      </c>
      <c r="J2887" s="2">
        <v>40142</v>
      </c>
      <c r="K2887" s="3">
        <f t="shared" si="90"/>
        <v>4.75</v>
      </c>
      <c r="L2887" s="3">
        <f t="shared" si="91"/>
        <v>4.3650000000000002</v>
      </c>
    </row>
    <row r="2888" spans="1:12" x14ac:dyDescent="0.3">
      <c r="A2888" s="2">
        <v>39405</v>
      </c>
      <c r="B2888" t="s">
        <v>13</v>
      </c>
      <c r="D2888" s="2">
        <v>40136</v>
      </c>
      <c r="E2888">
        <v>4.75</v>
      </c>
      <c r="G2888" s="2">
        <v>40136</v>
      </c>
      <c r="H2888">
        <v>4.3170000000000002</v>
      </c>
      <c r="J2888" s="2">
        <v>40143</v>
      </c>
      <c r="K2888" s="3">
        <f t="shared" si="90"/>
        <v>4.75</v>
      </c>
      <c r="L2888" s="3">
        <f t="shared" si="91"/>
        <v>4.3419999999999996</v>
      </c>
    </row>
    <row r="2889" spans="1:12" x14ac:dyDescent="0.3">
      <c r="A2889" s="2">
        <v>39406</v>
      </c>
      <c r="B2889" t="s">
        <v>13</v>
      </c>
      <c r="D2889" s="2">
        <v>40137</v>
      </c>
      <c r="E2889">
        <v>4.75</v>
      </c>
      <c r="G2889" s="2">
        <v>40137</v>
      </c>
      <c r="H2889">
        <v>4.298</v>
      </c>
      <c r="J2889" s="2">
        <v>40144</v>
      </c>
      <c r="K2889" s="3">
        <f t="shared" si="90"/>
        <v>4.75</v>
      </c>
      <c r="L2889" s="3">
        <f t="shared" si="91"/>
        <v>4.37</v>
      </c>
    </row>
    <row r="2890" spans="1:12" x14ac:dyDescent="0.3">
      <c r="A2890" s="2">
        <v>39407</v>
      </c>
      <c r="B2890" t="s">
        <v>13</v>
      </c>
      <c r="D2890" s="2">
        <v>40138</v>
      </c>
      <c r="E2890">
        <v>4.75</v>
      </c>
      <c r="G2890" s="2">
        <v>40138</v>
      </c>
      <c r="H2890">
        <v>4.298</v>
      </c>
      <c r="J2890" s="2">
        <v>40145</v>
      </c>
      <c r="K2890" s="3">
        <f t="shared" si="90"/>
        <v>4.75</v>
      </c>
      <c r="L2890" s="3">
        <f t="shared" si="91"/>
        <v>4.37</v>
      </c>
    </row>
    <row r="2891" spans="1:12" x14ac:dyDescent="0.3">
      <c r="A2891" s="2">
        <v>39408</v>
      </c>
      <c r="B2891" t="s">
        <v>13</v>
      </c>
      <c r="D2891" s="2">
        <v>40139</v>
      </c>
      <c r="E2891">
        <v>4.75</v>
      </c>
      <c r="G2891" s="2">
        <v>40139</v>
      </c>
      <c r="H2891">
        <v>4.298</v>
      </c>
      <c r="J2891" s="2">
        <v>40146</v>
      </c>
      <c r="K2891" s="3">
        <f t="shared" si="90"/>
        <v>4.75</v>
      </c>
      <c r="L2891" s="3">
        <f t="shared" si="91"/>
        <v>4.37</v>
      </c>
    </row>
    <row r="2892" spans="1:12" x14ac:dyDescent="0.3">
      <c r="A2892" s="2">
        <v>39409</v>
      </c>
      <c r="B2892" t="s">
        <v>13</v>
      </c>
      <c r="D2892" s="2">
        <v>40140</v>
      </c>
      <c r="E2892">
        <v>4.75</v>
      </c>
      <c r="G2892" s="2">
        <v>40140</v>
      </c>
      <c r="H2892">
        <v>4.3410000000000002</v>
      </c>
      <c r="J2892" s="2">
        <v>40147</v>
      </c>
      <c r="K2892" s="3">
        <f t="shared" si="90"/>
        <v>4.75</v>
      </c>
      <c r="L2892" s="3">
        <f t="shared" si="91"/>
        <v>4.4960000000000004</v>
      </c>
    </row>
    <row r="2893" spans="1:12" x14ac:dyDescent="0.3">
      <c r="A2893" s="2">
        <v>39410</v>
      </c>
      <c r="B2893" t="s">
        <v>13</v>
      </c>
      <c r="D2893" s="2">
        <v>40141</v>
      </c>
      <c r="E2893">
        <v>4.75</v>
      </c>
      <c r="G2893" s="2">
        <v>40141</v>
      </c>
      <c r="H2893">
        <v>4.3460000000000001</v>
      </c>
      <c r="J2893" s="2">
        <v>40148</v>
      </c>
      <c r="K2893" s="3">
        <f t="shared" si="90"/>
        <v>4.75</v>
      </c>
      <c r="L2893" s="3">
        <f t="shared" si="91"/>
        <v>4.4119999999999999</v>
      </c>
    </row>
    <row r="2894" spans="1:12" x14ac:dyDescent="0.3">
      <c r="A2894" s="2">
        <v>39411</v>
      </c>
      <c r="B2894" t="s">
        <v>13</v>
      </c>
      <c r="D2894" s="2">
        <v>40142</v>
      </c>
      <c r="E2894">
        <v>4.75</v>
      </c>
      <c r="G2894" s="2">
        <v>40142</v>
      </c>
      <c r="H2894">
        <v>4.3650000000000002</v>
      </c>
      <c r="J2894" s="2">
        <v>40149</v>
      </c>
      <c r="K2894" s="3">
        <f t="shared" si="90"/>
        <v>4.75</v>
      </c>
      <c r="L2894" s="3">
        <f t="shared" si="91"/>
        <v>4.4560000000000004</v>
      </c>
    </row>
    <row r="2895" spans="1:12" x14ac:dyDescent="0.3">
      <c r="A2895" s="2">
        <v>39412</v>
      </c>
      <c r="B2895" t="s">
        <v>13</v>
      </c>
      <c r="D2895" s="2">
        <v>40143</v>
      </c>
      <c r="E2895">
        <v>4.75</v>
      </c>
      <c r="G2895" s="2">
        <v>40143</v>
      </c>
      <c r="H2895">
        <v>4.3419999999999996</v>
      </c>
      <c r="J2895" s="2">
        <v>40150</v>
      </c>
      <c r="K2895" s="3">
        <f t="shared" si="90"/>
        <v>4.75</v>
      </c>
      <c r="L2895" s="3">
        <f t="shared" si="91"/>
        <v>4.4539999999999997</v>
      </c>
    </row>
    <row r="2896" spans="1:12" x14ac:dyDescent="0.3">
      <c r="A2896" s="2">
        <v>39413</v>
      </c>
      <c r="B2896" t="s">
        <v>13</v>
      </c>
      <c r="D2896" s="2">
        <v>40144</v>
      </c>
      <c r="E2896">
        <v>4.75</v>
      </c>
      <c r="G2896" s="2">
        <v>40144</v>
      </c>
      <c r="H2896">
        <v>4.37</v>
      </c>
      <c r="J2896" s="2">
        <v>40151</v>
      </c>
      <c r="K2896" s="3">
        <f t="shared" si="90"/>
        <v>4.75</v>
      </c>
      <c r="L2896" s="3">
        <f t="shared" si="91"/>
        <v>4.4859999999999998</v>
      </c>
    </row>
    <row r="2897" spans="1:12" x14ac:dyDescent="0.3">
      <c r="A2897" s="2">
        <v>39414</v>
      </c>
      <c r="B2897" t="s">
        <v>13</v>
      </c>
      <c r="D2897" s="2">
        <v>40145</v>
      </c>
      <c r="E2897">
        <v>4.75</v>
      </c>
      <c r="G2897" s="2">
        <v>40145</v>
      </c>
      <c r="H2897">
        <v>4.37</v>
      </c>
      <c r="J2897" s="2">
        <v>40152</v>
      </c>
      <c r="K2897" s="3">
        <f t="shared" si="90"/>
        <v>4.75</v>
      </c>
      <c r="L2897" s="3">
        <f t="shared" si="91"/>
        <v>4.4859999999999998</v>
      </c>
    </row>
    <row r="2898" spans="1:12" x14ac:dyDescent="0.3">
      <c r="A2898" s="2">
        <v>39415</v>
      </c>
      <c r="B2898" t="s">
        <v>13</v>
      </c>
      <c r="D2898" s="2">
        <v>40146</v>
      </c>
      <c r="E2898">
        <v>4.75</v>
      </c>
      <c r="G2898" s="2">
        <v>40146</v>
      </c>
      <c r="H2898">
        <v>4.37</v>
      </c>
      <c r="J2898" s="2">
        <v>40153</v>
      </c>
      <c r="K2898" s="3">
        <f t="shared" si="90"/>
        <v>4.75</v>
      </c>
      <c r="L2898" s="3">
        <f t="shared" si="91"/>
        <v>4.4859999999999998</v>
      </c>
    </row>
    <row r="2899" spans="1:12" x14ac:dyDescent="0.3">
      <c r="A2899" s="2">
        <v>39416</v>
      </c>
      <c r="B2899" t="s">
        <v>13</v>
      </c>
      <c r="D2899" s="2">
        <v>40147</v>
      </c>
      <c r="E2899">
        <v>4.75</v>
      </c>
      <c r="G2899" s="2">
        <v>40147</v>
      </c>
      <c r="H2899">
        <v>4.4960000000000004</v>
      </c>
      <c r="J2899" s="2">
        <v>40154</v>
      </c>
      <c r="K2899" s="3">
        <f t="shared" si="90"/>
        <v>4.75</v>
      </c>
      <c r="L2899" s="3">
        <f t="shared" si="91"/>
        <v>4.5039999999999996</v>
      </c>
    </row>
    <row r="2900" spans="1:12" x14ac:dyDescent="0.3">
      <c r="A2900" s="2">
        <v>39417</v>
      </c>
      <c r="B2900" t="s">
        <v>13</v>
      </c>
      <c r="D2900" s="2">
        <v>40148</v>
      </c>
      <c r="E2900">
        <v>4.75</v>
      </c>
      <c r="G2900" s="2">
        <v>40148</v>
      </c>
      <c r="H2900">
        <v>4.4119999999999999</v>
      </c>
      <c r="J2900" s="2">
        <v>40155</v>
      </c>
      <c r="K2900" s="3">
        <f t="shared" si="90"/>
        <v>4.75</v>
      </c>
      <c r="L2900" s="3">
        <f t="shared" si="91"/>
        <v>4.4749999999999996</v>
      </c>
    </row>
    <row r="2901" spans="1:12" x14ac:dyDescent="0.3">
      <c r="A2901" s="2">
        <v>39418</v>
      </c>
      <c r="B2901" t="s">
        <v>13</v>
      </c>
      <c r="D2901" s="2">
        <v>40149</v>
      </c>
      <c r="E2901">
        <v>4.75</v>
      </c>
      <c r="G2901" s="2">
        <v>40149</v>
      </c>
      <c r="H2901">
        <v>4.4560000000000004</v>
      </c>
      <c r="J2901" s="2">
        <v>40156</v>
      </c>
      <c r="K2901" s="3">
        <f t="shared" si="90"/>
        <v>4.75</v>
      </c>
      <c r="L2901" s="3">
        <f t="shared" si="91"/>
        <v>4.57</v>
      </c>
    </row>
    <row r="2902" spans="1:12" x14ac:dyDescent="0.3">
      <c r="A2902" s="2">
        <v>39419</v>
      </c>
      <c r="B2902" t="s">
        <v>13</v>
      </c>
      <c r="D2902" s="2">
        <v>40150</v>
      </c>
      <c r="E2902">
        <v>4.75</v>
      </c>
      <c r="G2902" s="2">
        <v>40150</v>
      </c>
      <c r="H2902">
        <v>4.4539999999999997</v>
      </c>
      <c r="J2902" s="2">
        <v>40157</v>
      </c>
      <c r="K2902" s="3">
        <f t="shared" si="90"/>
        <v>4.75</v>
      </c>
      <c r="L2902" s="3">
        <f t="shared" si="91"/>
        <v>4.444</v>
      </c>
    </row>
    <row r="2903" spans="1:12" x14ac:dyDescent="0.3">
      <c r="A2903" s="2">
        <v>39420</v>
      </c>
      <c r="B2903" t="s">
        <v>13</v>
      </c>
      <c r="D2903" s="2">
        <v>40151</v>
      </c>
      <c r="E2903">
        <v>4.75</v>
      </c>
      <c r="G2903" s="2">
        <v>40151</v>
      </c>
      <c r="H2903">
        <v>4.4859999999999998</v>
      </c>
      <c r="J2903" s="2">
        <v>40158</v>
      </c>
      <c r="K2903" s="3">
        <f t="shared" si="90"/>
        <v>4.75</v>
      </c>
      <c r="L2903" s="3">
        <f t="shared" si="91"/>
        <v>4.13</v>
      </c>
    </row>
    <row r="2904" spans="1:12" x14ac:dyDescent="0.3">
      <c r="A2904" s="2">
        <v>39421</v>
      </c>
      <c r="B2904" t="s">
        <v>13</v>
      </c>
      <c r="D2904" s="2">
        <v>40152</v>
      </c>
      <c r="E2904">
        <v>4.75</v>
      </c>
      <c r="G2904" s="2">
        <v>40152</v>
      </c>
      <c r="H2904">
        <v>4.4859999999999998</v>
      </c>
      <c r="J2904" s="2">
        <v>40159</v>
      </c>
      <c r="K2904" s="3">
        <f t="shared" si="90"/>
        <v>4.75</v>
      </c>
      <c r="L2904" s="3">
        <f t="shared" si="91"/>
        <v>4.13</v>
      </c>
    </row>
    <row r="2905" spans="1:12" x14ac:dyDescent="0.3">
      <c r="A2905" s="2">
        <v>39422</v>
      </c>
      <c r="B2905" t="s">
        <v>13</v>
      </c>
      <c r="D2905" s="2">
        <v>40153</v>
      </c>
      <c r="E2905">
        <v>4.75</v>
      </c>
      <c r="G2905" s="2">
        <v>40153</v>
      </c>
      <c r="H2905">
        <v>4.4859999999999998</v>
      </c>
      <c r="J2905" s="2">
        <v>40160</v>
      </c>
      <c r="K2905" s="3">
        <f t="shared" si="90"/>
        <v>4.75</v>
      </c>
      <c r="L2905" s="3">
        <f t="shared" si="91"/>
        <v>4.13</v>
      </c>
    </row>
    <row r="2906" spans="1:12" x14ac:dyDescent="0.3">
      <c r="A2906" s="2">
        <v>39423</v>
      </c>
      <c r="B2906" t="s">
        <v>13</v>
      </c>
      <c r="D2906" s="2">
        <v>40154</v>
      </c>
      <c r="E2906">
        <v>4.75</v>
      </c>
      <c r="G2906" s="2">
        <v>40154</v>
      </c>
      <c r="H2906">
        <v>4.5039999999999996</v>
      </c>
      <c r="J2906" s="2">
        <v>40161</v>
      </c>
      <c r="K2906" s="3">
        <f t="shared" si="90"/>
        <v>4.75</v>
      </c>
      <c r="L2906" s="3">
        <f t="shared" si="91"/>
        <v>4.4560000000000004</v>
      </c>
    </row>
    <row r="2907" spans="1:12" x14ac:dyDescent="0.3">
      <c r="A2907" s="2">
        <v>39424</v>
      </c>
      <c r="B2907" t="s">
        <v>13</v>
      </c>
      <c r="D2907" s="2">
        <v>40155</v>
      </c>
      <c r="E2907">
        <v>4.75</v>
      </c>
      <c r="G2907" s="2">
        <v>40155</v>
      </c>
      <c r="H2907">
        <v>4.4749999999999996</v>
      </c>
      <c r="J2907" s="2">
        <v>40162</v>
      </c>
      <c r="K2907" s="3">
        <f t="shared" si="90"/>
        <v>4.75</v>
      </c>
      <c r="L2907" s="3">
        <f t="shared" si="91"/>
        <v>4.46</v>
      </c>
    </row>
    <row r="2908" spans="1:12" x14ac:dyDescent="0.3">
      <c r="A2908" s="2">
        <v>39425</v>
      </c>
      <c r="B2908" t="s">
        <v>13</v>
      </c>
      <c r="D2908" s="2">
        <v>40156</v>
      </c>
      <c r="E2908">
        <v>4.75</v>
      </c>
      <c r="G2908" s="2">
        <v>40156</v>
      </c>
      <c r="H2908">
        <v>4.57</v>
      </c>
      <c r="J2908" s="2">
        <v>40163</v>
      </c>
      <c r="K2908" s="3">
        <f t="shared" si="90"/>
        <v>4.75</v>
      </c>
      <c r="L2908" s="3">
        <f t="shared" si="91"/>
        <v>4.3769999999999998</v>
      </c>
    </row>
    <row r="2909" spans="1:12" x14ac:dyDescent="0.3">
      <c r="A2909" s="2">
        <v>39426</v>
      </c>
      <c r="B2909" t="s">
        <v>13</v>
      </c>
      <c r="D2909" s="2">
        <v>40157</v>
      </c>
      <c r="E2909">
        <v>4.75</v>
      </c>
      <c r="G2909" s="2">
        <v>40157</v>
      </c>
      <c r="H2909">
        <v>4.444</v>
      </c>
      <c r="J2909" s="2">
        <v>40164</v>
      </c>
      <c r="K2909" s="3">
        <f t="shared" si="90"/>
        <v>4.75</v>
      </c>
      <c r="L2909" s="3">
        <f t="shared" si="91"/>
        <v>4.3520000000000003</v>
      </c>
    </row>
    <row r="2910" spans="1:12" x14ac:dyDescent="0.3">
      <c r="A2910" s="2">
        <v>39427</v>
      </c>
      <c r="B2910" t="s">
        <v>13</v>
      </c>
      <c r="D2910" s="2">
        <v>40158</v>
      </c>
      <c r="E2910">
        <v>4.75</v>
      </c>
      <c r="G2910" s="2">
        <v>40158</v>
      </c>
      <c r="H2910">
        <v>4.13</v>
      </c>
      <c r="J2910" s="2">
        <v>40165</v>
      </c>
      <c r="K2910" s="3">
        <f t="shared" si="90"/>
        <v>4.75</v>
      </c>
      <c r="L2910" s="3">
        <f t="shared" si="91"/>
        <v>4.4180000000000001</v>
      </c>
    </row>
    <row r="2911" spans="1:12" x14ac:dyDescent="0.3">
      <c r="A2911" s="2">
        <v>39428</v>
      </c>
      <c r="B2911" t="s">
        <v>13</v>
      </c>
      <c r="D2911" s="2">
        <v>40159</v>
      </c>
      <c r="E2911">
        <v>4.75</v>
      </c>
      <c r="G2911" s="2">
        <v>40159</v>
      </c>
      <c r="H2911">
        <v>4.13</v>
      </c>
      <c r="J2911" s="2">
        <v>40166</v>
      </c>
      <c r="K2911" s="3">
        <f t="shared" si="90"/>
        <v>4.75</v>
      </c>
      <c r="L2911" s="3">
        <f t="shared" si="91"/>
        <v>4.4180000000000001</v>
      </c>
    </row>
    <row r="2912" spans="1:12" x14ac:dyDescent="0.3">
      <c r="A2912" s="2">
        <v>39429</v>
      </c>
      <c r="B2912" t="s">
        <v>13</v>
      </c>
      <c r="D2912" s="2">
        <v>40160</v>
      </c>
      <c r="E2912">
        <v>4.75</v>
      </c>
      <c r="G2912" s="2">
        <v>40160</v>
      </c>
      <c r="H2912">
        <v>4.13</v>
      </c>
      <c r="J2912" s="2">
        <v>40167</v>
      </c>
      <c r="K2912" s="3">
        <f t="shared" si="90"/>
        <v>4.75</v>
      </c>
      <c r="L2912" s="3">
        <f t="shared" si="91"/>
        <v>4.4180000000000001</v>
      </c>
    </row>
    <row r="2913" spans="1:12" x14ac:dyDescent="0.3">
      <c r="A2913" s="2">
        <v>39430</v>
      </c>
      <c r="B2913" t="s">
        <v>13</v>
      </c>
      <c r="D2913" s="2">
        <v>40161</v>
      </c>
      <c r="E2913">
        <v>4.75</v>
      </c>
      <c r="G2913" s="2">
        <v>40161</v>
      </c>
      <c r="H2913">
        <v>4.4560000000000004</v>
      </c>
      <c r="J2913" s="2">
        <v>40168</v>
      </c>
      <c r="K2913" s="3">
        <f t="shared" si="90"/>
        <v>4.75</v>
      </c>
      <c r="L2913" s="3">
        <f t="shared" si="91"/>
        <v>4.5030000000000001</v>
      </c>
    </row>
    <row r="2914" spans="1:12" x14ac:dyDescent="0.3">
      <c r="A2914" s="2">
        <v>39431</v>
      </c>
      <c r="B2914" t="s">
        <v>13</v>
      </c>
      <c r="D2914" s="2">
        <v>40162</v>
      </c>
      <c r="E2914">
        <v>4.75</v>
      </c>
      <c r="G2914" s="2">
        <v>40162</v>
      </c>
      <c r="H2914">
        <v>4.46</v>
      </c>
      <c r="J2914" s="2">
        <v>40169</v>
      </c>
      <c r="K2914" s="3">
        <f t="shared" si="90"/>
        <v>4.75</v>
      </c>
      <c r="L2914" s="3">
        <f t="shared" si="91"/>
        <v>4.47</v>
      </c>
    </row>
    <row r="2915" spans="1:12" x14ac:dyDescent="0.3">
      <c r="A2915" s="2">
        <v>39432</v>
      </c>
      <c r="B2915" t="s">
        <v>13</v>
      </c>
      <c r="D2915" s="2">
        <v>40163</v>
      </c>
      <c r="E2915">
        <v>4.75</v>
      </c>
      <c r="G2915" s="2">
        <v>40163</v>
      </c>
      <c r="H2915">
        <v>4.3769999999999998</v>
      </c>
      <c r="J2915" s="2">
        <v>40170</v>
      </c>
      <c r="K2915" s="3">
        <f t="shared" si="90"/>
        <v>4.75</v>
      </c>
      <c r="L2915" s="3">
        <f t="shared" si="91"/>
        <v>4.4290000000000003</v>
      </c>
    </row>
    <row r="2916" spans="1:12" x14ac:dyDescent="0.3">
      <c r="A2916" s="2">
        <v>39433</v>
      </c>
      <c r="B2916" t="s">
        <v>13</v>
      </c>
      <c r="D2916" s="2">
        <v>40164</v>
      </c>
      <c r="E2916">
        <v>4.75</v>
      </c>
      <c r="G2916" s="2">
        <v>40164</v>
      </c>
      <c r="H2916">
        <v>4.3520000000000003</v>
      </c>
      <c r="J2916" s="2">
        <v>40171</v>
      </c>
      <c r="K2916" s="3">
        <f t="shared" si="90"/>
        <v>4.75</v>
      </c>
      <c r="L2916" s="3">
        <f t="shared" si="91"/>
        <v>4.4630000000000001</v>
      </c>
    </row>
    <row r="2917" spans="1:12" x14ac:dyDescent="0.3">
      <c r="A2917" s="2">
        <v>39434</v>
      </c>
      <c r="B2917" t="s">
        <v>13</v>
      </c>
      <c r="D2917" s="2">
        <v>40165</v>
      </c>
      <c r="E2917">
        <v>4.75</v>
      </c>
      <c r="G2917" s="2">
        <v>40165</v>
      </c>
      <c r="H2917">
        <v>4.4180000000000001</v>
      </c>
      <c r="J2917" s="2">
        <v>40172</v>
      </c>
      <c r="K2917" s="3">
        <f t="shared" si="90"/>
        <v>4.75</v>
      </c>
      <c r="L2917" s="3">
        <f t="shared" si="91"/>
        <v>4.4630000000000001</v>
      </c>
    </row>
    <row r="2918" spans="1:12" x14ac:dyDescent="0.3">
      <c r="A2918" s="2">
        <v>39435</v>
      </c>
      <c r="B2918" t="s">
        <v>13</v>
      </c>
      <c r="D2918" s="2">
        <v>40166</v>
      </c>
      <c r="E2918">
        <v>4.75</v>
      </c>
      <c r="G2918" s="2">
        <v>40166</v>
      </c>
      <c r="H2918">
        <v>4.4180000000000001</v>
      </c>
      <c r="J2918" s="2">
        <v>40173</v>
      </c>
      <c r="K2918" s="3">
        <f t="shared" si="90"/>
        <v>4.75</v>
      </c>
      <c r="L2918" s="3">
        <f t="shared" si="91"/>
        <v>4.4630000000000001</v>
      </c>
    </row>
    <row r="2919" spans="1:12" x14ac:dyDescent="0.3">
      <c r="A2919" s="2">
        <v>39436</v>
      </c>
      <c r="B2919" t="s">
        <v>13</v>
      </c>
      <c r="D2919" s="2">
        <v>40167</v>
      </c>
      <c r="E2919">
        <v>4.75</v>
      </c>
      <c r="G2919" s="2">
        <v>40167</v>
      </c>
      <c r="H2919">
        <v>4.4180000000000001</v>
      </c>
      <c r="J2919" s="2">
        <v>40174</v>
      </c>
      <c r="K2919" s="3">
        <f t="shared" si="90"/>
        <v>4.75</v>
      </c>
      <c r="L2919" s="3">
        <f t="shared" si="91"/>
        <v>4.4630000000000001</v>
      </c>
    </row>
    <row r="2920" spans="1:12" x14ac:dyDescent="0.3">
      <c r="A2920" s="2">
        <v>39437</v>
      </c>
      <c r="B2920" t="s">
        <v>13</v>
      </c>
      <c r="D2920" s="2">
        <v>40168</v>
      </c>
      <c r="E2920">
        <v>4.75</v>
      </c>
      <c r="G2920" s="2">
        <v>40168</v>
      </c>
      <c r="H2920">
        <v>4.5030000000000001</v>
      </c>
      <c r="J2920" s="2">
        <v>40175</v>
      </c>
      <c r="K2920" s="3">
        <f t="shared" si="90"/>
        <v>4.75</v>
      </c>
      <c r="L2920" s="3">
        <f t="shared" si="91"/>
        <v>4.4630000000000001</v>
      </c>
    </row>
    <row r="2921" spans="1:12" x14ac:dyDescent="0.3">
      <c r="A2921" s="2">
        <v>39438</v>
      </c>
      <c r="B2921" t="s">
        <v>13</v>
      </c>
      <c r="D2921" s="2">
        <v>40169</v>
      </c>
      <c r="E2921">
        <v>4.75</v>
      </c>
      <c r="G2921" s="2">
        <v>40169</v>
      </c>
      <c r="H2921">
        <v>4.47</v>
      </c>
      <c r="J2921" s="2">
        <v>40176</v>
      </c>
      <c r="K2921" s="3">
        <f t="shared" si="90"/>
        <v>4.75</v>
      </c>
      <c r="L2921" s="3">
        <f t="shared" si="91"/>
        <v>4.4610000000000003</v>
      </c>
    </row>
    <row r="2922" spans="1:12" x14ac:dyDescent="0.3">
      <c r="A2922" s="2">
        <v>39439</v>
      </c>
      <c r="B2922" t="s">
        <v>13</v>
      </c>
      <c r="D2922" s="2">
        <v>40170</v>
      </c>
      <c r="E2922">
        <v>4.75</v>
      </c>
      <c r="G2922" s="2">
        <v>40170</v>
      </c>
      <c r="H2922">
        <v>4.4290000000000003</v>
      </c>
      <c r="J2922" s="2">
        <v>40177</v>
      </c>
      <c r="K2922" s="3">
        <f t="shared" si="90"/>
        <v>4.75</v>
      </c>
      <c r="L2922" s="3">
        <f t="shared" si="91"/>
        <v>4.4649999999999999</v>
      </c>
    </row>
    <row r="2923" spans="1:12" x14ac:dyDescent="0.3">
      <c r="A2923" s="2">
        <v>39440</v>
      </c>
      <c r="B2923" t="s">
        <v>13</v>
      </c>
      <c r="D2923" s="2">
        <v>40171</v>
      </c>
      <c r="E2923">
        <v>4.75</v>
      </c>
      <c r="G2923" s="2">
        <v>40171</v>
      </c>
      <c r="H2923">
        <v>4.4630000000000001</v>
      </c>
      <c r="J2923" s="2">
        <v>40178</v>
      </c>
      <c r="K2923" s="3">
        <f t="shared" si="90"/>
        <v>4.75</v>
      </c>
      <c r="L2923" s="3">
        <f t="shared" si="91"/>
        <v>4.3869999999999996</v>
      </c>
    </row>
    <row r="2924" spans="1:12" x14ac:dyDescent="0.3">
      <c r="A2924" s="2">
        <v>39441</v>
      </c>
      <c r="B2924" t="s">
        <v>13</v>
      </c>
      <c r="D2924" s="2">
        <v>40172</v>
      </c>
      <c r="E2924">
        <v>4.75</v>
      </c>
      <c r="G2924" s="2">
        <v>40172</v>
      </c>
      <c r="H2924">
        <v>4.4630000000000001</v>
      </c>
      <c r="J2924" s="2">
        <v>40179</v>
      </c>
      <c r="K2924" s="3">
        <f t="shared" si="90"/>
        <v>4.75</v>
      </c>
      <c r="L2924" s="3">
        <f t="shared" si="91"/>
        <v>4.3109999999999999</v>
      </c>
    </row>
    <row r="2925" spans="1:12" x14ac:dyDescent="0.3">
      <c r="A2925" s="2">
        <v>39442</v>
      </c>
      <c r="B2925" t="s">
        <v>13</v>
      </c>
      <c r="D2925" s="2">
        <v>40173</v>
      </c>
      <c r="E2925">
        <v>4.75</v>
      </c>
      <c r="G2925" s="2">
        <v>40173</v>
      </c>
      <c r="H2925">
        <v>4.4630000000000001</v>
      </c>
      <c r="J2925" s="2">
        <v>40180</v>
      </c>
      <c r="K2925" s="3">
        <f t="shared" si="90"/>
        <v>4.75</v>
      </c>
      <c r="L2925" s="3">
        <f t="shared" si="91"/>
        <v>4.3109999999999999</v>
      </c>
    </row>
    <row r="2926" spans="1:12" x14ac:dyDescent="0.3">
      <c r="A2926" s="2">
        <v>39443</v>
      </c>
      <c r="B2926" t="s">
        <v>13</v>
      </c>
      <c r="D2926" s="2">
        <v>40174</v>
      </c>
      <c r="E2926">
        <v>4.75</v>
      </c>
      <c r="G2926" s="2">
        <v>40174</v>
      </c>
      <c r="H2926">
        <v>4.4630000000000001</v>
      </c>
      <c r="J2926" s="2">
        <v>40181</v>
      </c>
      <c r="K2926" s="3">
        <f t="shared" si="90"/>
        <v>4.75</v>
      </c>
      <c r="L2926" s="3">
        <f t="shared" si="91"/>
        <v>4.3109999999999999</v>
      </c>
    </row>
    <row r="2927" spans="1:12" x14ac:dyDescent="0.3">
      <c r="A2927" s="2">
        <v>39444</v>
      </c>
      <c r="B2927" t="s">
        <v>13</v>
      </c>
      <c r="D2927" s="2">
        <v>40175</v>
      </c>
      <c r="E2927">
        <v>4.75</v>
      </c>
      <c r="G2927" s="2">
        <v>40175</v>
      </c>
      <c r="H2927">
        <v>4.4630000000000001</v>
      </c>
      <c r="J2927" s="2">
        <v>40182</v>
      </c>
      <c r="K2927" s="3">
        <f t="shared" si="90"/>
        <v>4.75</v>
      </c>
      <c r="L2927" s="3">
        <f t="shared" si="91"/>
        <v>4.4249999999999998</v>
      </c>
    </row>
    <row r="2928" spans="1:12" x14ac:dyDescent="0.3">
      <c r="A2928" s="2">
        <v>39445</v>
      </c>
      <c r="B2928" t="s">
        <v>13</v>
      </c>
      <c r="D2928" s="2">
        <v>40176</v>
      </c>
      <c r="E2928">
        <v>4.75</v>
      </c>
      <c r="G2928" s="2">
        <v>40176</v>
      </c>
      <c r="H2928">
        <v>4.4610000000000003</v>
      </c>
      <c r="J2928" s="2">
        <v>40183</v>
      </c>
      <c r="K2928" s="3">
        <f t="shared" si="90"/>
        <v>4.75</v>
      </c>
      <c r="L2928" s="3">
        <f t="shared" si="91"/>
        <v>4.4130000000000003</v>
      </c>
    </row>
    <row r="2929" spans="1:12" x14ac:dyDescent="0.3">
      <c r="A2929" s="2">
        <v>39446</v>
      </c>
      <c r="B2929" t="s">
        <v>13</v>
      </c>
      <c r="D2929" s="2">
        <v>40177</v>
      </c>
      <c r="E2929">
        <v>4.75</v>
      </c>
      <c r="G2929" s="2">
        <v>40177</v>
      </c>
      <c r="H2929">
        <v>4.4649999999999999</v>
      </c>
      <c r="J2929" s="2">
        <v>40184</v>
      </c>
      <c r="K2929" s="3">
        <f t="shared" si="90"/>
        <v>4.75</v>
      </c>
      <c r="L2929" s="3">
        <f t="shared" si="91"/>
        <v>4.4050000000000002</v>
      </c>
    </row>
    <row r="2930" spans="1:12" x14ac:dyDescent="0.3">
      <c r="A2930" s="2">
        <v>39447</v>
      </c>
      <c r="B2930" t="s">
        <v>13</v>
      </c>
      <c r="D2930" s="2">
        <v>40178</v>
      </c>
      <c r="E2930">
        <v>4.75</v>
      </c>
      <c r="G2930" s="2">
        <v>40178</v>
      </c>
      <c r="H2930">
        <v>4.3869999999999996</v>
      </c>
      <c r="J2930" s="2">
        <v>40185</v>
      </c>
      <c r="K2930" s="3">
        <f t="shared" si="90"/>
        <v>4.75</v>
      </c>
      <c r="L2930" s="3">
        <f t="shared" si="91"/>
        <v>4.3159999999999998</v>
      </c>
    </row>
    <row r="2931" spans="1:12" x14ac:dyDescent="0.3">
      <c r="A2931" s="2">
        <v>39448</v>
      </c>
      <c r="B2931" t="s">
        <v>13</v>
      </c>
      <c r="D2931" s="2">
        <v>40179</v>
      </c>
      <c r="E2931">
        <v>4.75</v>
      </c>
      <c r="G2931" s="2">
        <v>40179</v>
      </c>
      <c r="H2931">
        <v>4.3109999999999999</v>
      </c>
      <c r="J2931" s="2">
        <v>40186</v>
      </c>
      <c r="K2931" s="3">
        <f t="shared" si="90"/>
        <v>4.75</v>
      </c>
      <c r="L2931" s="3">
        <f t="shared" si="91"/>
        <v>4.3120000000000003</v>
      </c>
    </row>
    <row r="2932" spans="1:12" x14ac:dyDescent="0.3">
      <c r="A2932" s="2">
        <v>39449</v>
      </c>
      <c r="B2932" t="s">
        <v>13</v>
      </c>
      <c r="D2932" s="2">
        <v>40180</v>
      </c>
      <c r="E2932">
        <v>4.75</v>
      </c>
      <c r="G2932" s="2">
        <v>40180</v>
      </c>
      <c r="H2932">
        <v>4.3109999999999999</v>
      </c>
      <c r="J2932" s="2">
        <v>40187</v>
      </c>
      <c r="K2932" s="3">
        <f t="shared" si="90"/>
        <v>4.75</v>
      </c>
      <c r="L2932" s="3">
        <f t="shared" si="91"/>
        <v>4.3120000000000003</v>
      </c>
    </row>
    <row r="2933" spans="1:12" x14ac:dyDescent="0.3">
      <c r="A2933" s="2">
        <v>39450</v>
      </c>
      <c r="B2933" t="s">
        <v>13</v>
      </c>
      <c r="D2933" s="2">
        <v>40181</v>
      </c>
      <c r="E2933">
        <v>4.75</v>
      </c>
      <c r="G2933" s="2">
        <v>40181</v>
      </c>
      <c r="H2933">
        <v>4.3109999999999999</v>
      </c>
      <c r="J2933" s="2">
        <v>40188</v>
      </c>
      <c r="K2933" s="3">
        <f t="shared" si="90"/>
        <v>4.75</v>
      </c>
      <c r="L2933" s="3">
        <f t="shared" si="91"/>
        <v>4.3120000000000003</v>
      </c>
    </row>
    <row r="2934" spans="1:12" x14ac:dyDescent="0.3">
      <c r="A2934" s="2">
        <v>39451</v>
      </c>
      <c r="B2934" t="s">
        <v>13</v>
      </c>
      <c r="D2934" s="2">
        <v>40182</v>
      </c>
      <c r="E2934">
        <v>4.75</v>
      </c>
      <c r="G2934" s="2">
        <v>40182</v>
      </c>
      <c r="H2934">
        <v>4.4249999999999998</v>
      </c>
      <c r="J2934" s="2">
        <v>40189</v>
      </c>
      <c r="K2934" s="3">
        <f t="shared" si="90"/>
        <v>4.75</v>
      </c>
      <c r="L2934" s="3">
        <f t="shared" si="91"/>
        <v>4.3140000000000001</v>
      </c>
    </row>
    <row r="2935" spans="1:12" x14ac:dyDescent="0.3">
      <c r="A2935" s="2">
        <v>39452</v>
      </c>
      <c r="B2935" t="s">
        <v>13</v>
      </c>
      <c r="D2935" s="2">
        <v>40183</v>
      </c>
      <c r="E2935">
        <v>4.75</v>
      </c>
      <c r="G2935" s="2">
        <v>40183</v>
      </c>
      <c r="H2935">
        <v>4.4130000000000003</v>
      </c>
      <c r="J2935" s="2">
        <v>40190</v>
      </c>
      <c r="K2935" s="3">
        <f t="shared" si="90"/>
        <v>4.75</v>
      </c>
      <c r="L2935" s="3">
        <f t="shared" si="91"/>
        <v>4.3019999999999996</v>
      </c>
    </row>
    <row r="2936" spans="1:12" x14ac:dyDescent="0.3">
      <c r="A2936" s="2">
        <v>39453</v>
      </c>
      <c r="B2936" t="s">
        <v>13</v>
      </c>
      <c r="D2936" s="2">
        <v>40184</v>
      </c>
      <c r="E2936">
        <v>4.75</v>
      </c>
      <c r="G2936" s="2">
        <v>40184</v>
      </c>
      <c r="H2936">
        <v>4.4050000000000002</v>
      </c>
      <c r="J2936" s="2">
        <v>40191</v>
      </c>
      <c r="K2936" s="3">
        <f t="shared" si="90"/>
        <v>4.75</v>
      </c>
      <c r="L2936" s="3">
        <f t="shared" si="91"/>
        <v>4.3230000000000004</v>
      </c>
    </row>
    <row r="2937" spans="1:12" x14ac:dyDescent="0.3">
      <c r="A2937" s="2">
        <v>39454</v>
      </c>
      <c r="B2937" t="s">
        <v>13</v>
      </c>
      <c r="D2937" s="2">
        <v>40185</v>
      </c>
      <c r="E2937">
        <v>4.75</v>
      </c>
      <c r="G2937" s="2">
        <v>40185</v>
      </c>
      <c r="H2937">
        <v>4.3159999999999998</v>
      </c>
      <c r="J2937" s="2">
        <v>40192</v>
      </c>
      <c r="K2937" s="3">
        <f t="shared" si="90"/>
        <v>4.75</v>
      </c>
      <c r="L2937" s="3">
        <f t="shared" si="91"/>
        <v>4.3019999999999996</v>
      </c>
    </row>
    <row r="2938" spans="1:12" x14ac:dyDescent="0.3">
      <c r="A2938" s="2">
        <v>39455</v>
      </c>
      <c r="B2938" t="s">
        <v>13</v>
      </c>
      <c r="D2938" s="2">
        <v>40186</v>
      </c>
      <c r="E2938">
        <v>4.75</v>
      </c>
      <c r="G2938" s="2">
        <v>40186</v>
      </c>
      <c r="H2938">
        <v>4.3120000000000003</v>
      </c>
      <c r="J2938" s="2">
        <v>40193</v>
      </c>
      <c r="K2938" s="3">
        <f t="shared" si="90"/>
        <v>4.75</v>
      </c>
      <c r="L2938" s="3">
        <f t="shared" si="91"/>
        <v>4.367</v>
      </c>
    </row>
    <row r="2939" spans="1:12" x14ac:dyDescent="0.3">
      <c r="A2939" s="2">
        <v>39456</v>
      </c>
      <c r="B2939" t="s">
        <v>13</v>
      </c>
      <c r="D2939" s="2">
        <v>40187</v>
      </c>
      <c r="E2939">
        <v>4.75</v>
      </c>
      <c r="G2939" s="2">
        <v>40187</v>
      </c>
      <c r="H2939">
        <v>4.3120000000000003</v>
      </c>
      <c r="J2939" s="2">
        <v>40194</v>
      </c>
      <c r="K2939" s="3">
        <f t="shared" si="90"/>
        <v>4.75</v>
      </c>
      <c r="L2939" s="3">
        <f t="shared" si="91"/>
        <v>4.367</v>
      </c>
    </row>
    <row r="2940" spans="1:12" x14ac:dyDescent="0.3">
      <c r="A2940" s="2">
        <v>39457</v>
      </c>
      <c r="B2940" t="s">
        <v>13</v>
      </c>
      <c r="D2940" s="2">
        <v>40188</v>
      </c>
      <c r="E2940">
        <v>4.75</v>
      </c>
      <c r="G2940" s="2">
        <v>40188</v>
      </c>
      <c r="H2940">
        <v>4.3120000000000003</v>
      </c>
      <c r="J2940" s="2">
        <v>40195</v>
      </c>
      <c r="K2940" s="3">
        <f t="shared" si="90"/>
        <v>4.75</v>
      </c>
      <c r="L2940" s="3">
        <f t="shared" si="91"/>
        <v>4.367</v>
      </c>
    </row>
    <row r="2941" spans="1:12" x14ac:dyDescent="0.3">
      <c r="A2941" s="2">
        <v>39458</v>
      </c>
      <c r="B2941" t="s">
        <v>13</v>
      </c>
      <c r="D2941" s="2">
        <v>40189</v>
      </c>
      <c r="E2941">
        <v>4.75</v>
      </c>
      <c r="G2941" s="2">
        <v>40189</v>
      </c>
      <c r="H2941">
        <v>4.3140000000000001</v>
      </c>
      <c r="J2941" s="2">
        <v>40196</v>
      </c>
      <c r="K2941" s="3">
        <f t="shared" si="90"/>
        <v>4.75</v>
      </c>
      <c r="L2941" s="3">
        <f t="shared" si="91"/>
        <v>4.3760000000000003</v>
      </c>
    </row>
    <row r="2942" spans="1:12" x14ac:dyDescent="0.3">
      <c r="A2942" s="2">
        <v>39459</v>
      </c>
      <c r="B2942" t="s">
        <v>13</v>
      </c>
      <c r="D2942" s="2">
        <v>40190</v>
      </c>
      <c r="E2942">
        <v>4.75</v>
      </c>
      <c r="G2942" s="2">
        <v>40190</v>
      </c>
      <c r="H2942">
        <v>4.3019999999999996</v>
      </c>
      <c r="J2942" s="2">
        <v>40197</v>
      </c>
      <c r="K2942" s="3">
        <f t="shared" si="90"/>
        <v>4.75</v>
      </c>
      <c r="L2942" s="3">
        <f t="shared" si="91"/>
        <v>4.3789999999999996</v>
      </c>
    </row>
    <row r="2943" spans="1:12" x14ac:dyDescent="0.3">
      <c r="A2943" s="2">
        <v>39460</v>
      </c>
      <c r="B2943" t="s">
        <v>13</v>
      </c>
      <c r="D2943" s="2">
        <v>40191</v>
      </c>
      <c r="E2943">
        <v>4.75</v>
      </c>
      <c r="G2943" s="2">
        <v>40191</v>
      </c>
      <c r="H2943">
        <v>4.3230000000000004</v>
      </c>
      <c r="J2943" s="2">
        <v>40198</v>
      </c>
      <c r="K2943" s="3">
        <f t="shared" si="90"/>
        <v>4.75</v>
      </c>
      <c r="L2943" s="3">
        <f t="shared" si="91"/>
        <v>4.33</v>
      </c>
    </row>
    <row r="2944" spans="1:12" x14ac:dyDescent="0.3">
      <c r="A2944" s="2">
        <v>39461</v>
      </c>
      <c r="B2944" t="s">
        <v>13</v>
      </c>
      <c r="D2944" s="2">
        <v>40192</v>
      </c>
      <c r="E2944">
        <v>4.75</v>
      </c>
      <c r="G2944" s="2">
        <v>40192</v>
      </c>
      <c r="H2944">
        <v>4.3019999999999996</v>
      </c>
      <c r="J2944" s="2">
        <v>40199</v>
      </c>
      <c r="K2944" s="3">
        <f t="shared" si="90"/>
        <v>4.75</v>
      </c>
      <c r="L2944" s="3">
        <f t="shared" si="91"/>
        <v>4.4379999999999997</v>
      </c>
    </row>
    <row r="2945" spans="1:12" x14ac:dyDescent="0.3">
      <c r="A2945" s="2">
        <v>39462</v>
      </c>
      <c r="B2945" t="s">
        <v>13</v>
      </c>
      <c r="D2945" s="2">
        <v>40193</v>
      </c>
      <c r="E2945">
        <v>4.75</v>
      </c>
      <c r="G2945" s="2">
        <v>40193</v>
      </c>
      <c r="H2945">
        <v>4.367</v>
      </c>
      <c r="J2945" s="2">
        <v>40200</v>
      </c>
      <c r="K2945" s="3">
        <f t="shared" si="90"/>
        <v>4.75</v>
      </c>
      <c r="L2945" s="3">
        <f t="shared" si="91"/>
        <v>4.3959999999999999</v>
      </c>
    </row>
    <row r="2946" spans="1:12" x14ac:dyDescent="0.3">
      <c r="A2946" s="2">
        <v>39463</v>
      </c>
      <c r="B2946" t="s">
        <v>13</v>
      </c>
      <c r="D2946" s="2">
        <v>40194</v>
      </c>
      <c r="E2946">
        <v>4.75</v>
      </c>
      <c r="G2946" s="2">
        <v>40194</v>
      </c>
      <c r="H2946">
        <v>4.367</v>
      </c>
      <c r="J2946" s="2">
        <v>40201</v>
      </c>
      <c r="K2946" s="3">
        <f t="shared" si="90"/>
        <v>4.75</v>
      </c>
      <c r="L2946" s="3">
        <f t="shared" si="91"/>
        <v>4.3959999999999999</v>
      </c>
    </row>
    <row r="2947" spans="1:12" x14ac:dyDescent="0.3">
      <c r="A2947" s="2">
        <v>39464</v>
      </c>
      <c r="B2947" t="s">
        <v>13</v>
      </c>
      <c r="D2947" s="2">
        <v>40195</v>
      </c>
      <c r="E2947">
        <v>4.75</v>
      </c>
      <c r="G2947" s="2">
        <v>40195</v>
      </c>
      <c r="H2947">
        <v>4.367</v>
      </c>
      <c r="J2947" s="2">
        <v>40202</v>
      </c>
      <c r="K2947" s="3">
        <f t="shared" ref="K2947:K3010" si="92">E2954</f>
        <v>4.75</v>
      </c>
      <c r="L2947" s="3">
        <f t="shared" ref="L2947:L3010" si="93">H2954</f>
        <v>4.3959999999999999</v>
      </c>
    </row>
    <row r="2948" spans="1:12" x14ac:dyDescent="0.3">
      <c r="A2948" s="2">
        <v>39465</v>
      </c>
      <c r="B2948" t="s">
        <v>13</v>
      </c>
      <c r="D2948" s="2">
        <v>40196</v>
      </c>
      <c r="E2948">
        <v>4.75</v>
      </c>
      <c r="G2948" s="2">
        <v>40196</v>
      </c>
      <c r="H2948">
        <v>4.3760000000000003</v>
      </c>
      <c r="J2948" s="2">
        <v>40203</v>
      </c>
      <c r="K2948" s="3">
        <f t="shared" si="92"/>
        <v>4.75</v>
      </c>
      <c r="L2948" s="3">
        <f t="shared" si="93"/>
        <v>4.4710000000000001</v>
      </c>
    </row>
    <row r="2949" spans="1:12" x14ac:dyDescent="0.3">
      <c r="A2949" s="2">
        <v>39466</v>
      </c>
      <c r="B2949" t="s">
        <v>13</v>
      </c>
      <c r="D2949" s="2">
        <v>40197</v>
      </c>
      <c r="E2949">
        <v>4.75</v>
      </c>
      <c r="G2949" s="2">
        <v>40197</v>
      </c>
      <c r="H2949">
        <v>4.3789999999999996</v>
      </c>
      <c r="J2949" s="2">
        <v>40204</v>
      </c>
      <c r="K2949" s="3">
        <f t="shared" si="92"/>
        <v>4.75</v>
      </c>
      <c r="L2949" s="3">
        <f t="shared" si="93"/>
        <v>4.4710000000000001</v>
      </c>
    </row>
    <row r="2950" spans="1:12" x14ac:dyDescent="0.3">
      <c r="A2950" s="2">
        <v>39467</v>
      </c>
      <c r="B2950" t="s">
        <v>13</v>
      </c>
      <c r="D2950" s="2">
        <v>40198</v>
      </c>
      <c r="E2950">
        <v>4.75</v>
      </c>
      <c r="G2950" s="2">
        <v>40198</v>
      </c>
      <c r="H2950">
        <v>4.33</v>
      </c>
      <c r="J2950" s="2">
        <v>40205</v>
      </c>
      <c r="K2950" s="3">
        <f t="shared" si="92"/>
        <v>4.75</v>
      </c>
      <c r="L2950" s="3">
        <f t="shared" si="93"/>
        <v>4.4960000000000004</v>
      </c>
    </row>
    <row r="2951" spans="1:12" x14ac:dyDescent="0.3">
      <c r="A2951" s="2">
        <v>39468</v>
      </c>
      <c r="B2951" t="s">
        <v>13</v>
      </c>
      <c r="D2951" s="2">
        <v>40199</v>
      </c>
      <c r="E2951">
        <v>4.75</v>
      </c>
      <c r="G2951" s="2">
        <v>40199</v>
      </c>
      <c r="H2951">
        <v>4.4379999999999997</v>
      </c>
      <c r="J2951" s="2">
        <v>40206</v>
      </c>
      <c r="K2951" s="3">
        <f t="shared" si="92"/>
        <v>4.75</v>
      </c>
      <c r="L2951" s="3">
        <f t="shared" si="93"/>
        <v>4.5830000000000002</v>
      </c>
    </row>
    <row r="2952" spans="1:12" x14ac:dyDescent="0.3">
      <c r="A2952" s="2">
        <v>39469</v>
      </c>
      <c r="B2952" t="s">
        <v>13</v>
      </c>
      <c r="D2952" s="2">
        <v>40200</v>
      </c>
      <c r="E2952">
        <v>4.75</v>
      </c>
      <c r="G2952" s="2">
        <v>40200</v>
      </c>
      <c r="H2952">
        <v>4.3959999999999999</v>
      </c>
      <c r="J2952" s="2">
        <v>40207</v>
      </c>
      <c r="K2952" s="3">
        <f t="shared" si="92"/>
        <v>4.75</v>
      </c>
      <c r="L2952" s="3">
        <f t="shared" si="93"/>
        <v>4.5750000000000002</v>
      </c>
    </row>
    <row r="2953" spans="1:12" x14ac:dyDescent="0.3">
      <c r="A2953" s="2">
        <v>39470</v>
      </c>
      <c r="B2953" t="s">
        <v>13</v>
      </c>
      <c r="D2953" s="2">
        <v>40201</v>
      </c>
      <c r="E2953">
        <v>4.75</v>
      </c>
      <c r="G2953" s="2">
        <v>40201</v>
      </c>
      <c r="H2953">
        <v>4.3959999999999999</v>
      </c>
      <c r="J2953" s="2">
        <v>40208</v>
      </c>
      <c r="K2953" s="3">
        <f t="shared" si="92"/>
        <v>4.75</v>
      </c>
      <c r="L2953" s="3">
        <f t="shared" si="93"/>
        <v>4.5750000000000002</v>
      </c>
    </row>
    <row r="2954" spans="1:12" x14ac:dyDescent="0.3">
      <c r="A2954" s="2">
        <v>39471</v>
      </c>
      <c r="B2954" t="s">
        <v>13</v>
      </c>
      <c r="D2954" s="2">
        <v>40202</v>
      </c>
      <c r="E2954">
        <v>4.75</v>
      </c>
      <c r="G2954" s="2">
        <v>40202</v>
      </c>
      <c r="H2954">
        <v>4.3959999999999999</v>
      </c>
      <c r="J2954" s="2">
        <v>40209</v>
      </c>
      <c r="K2954" s="3">
        <f t="shared" si="92"/>
        <v>4.75</v>
      </c>
      <c r="L2954" s="3">
        <f t="shared" si="93"/>
        <v>4.5750000000000002</v>
      </c>
    </row>
    <row r="2955" spans="1:12" x14ac:dyDescent="0.3">
      <c r="A2955" s="2">
        <v>39472</v>
      </c>
      <c r="B2955" t="s">
        <v>13</v>
      </c>
      <c r="D2955" s="2">
        <v>40203</v>
      </c>
      <c r="E2955">
        <v>4.75</v>
      </c>
      <c r="G2955" s="2">
        <v>40203</v>
      </c>
      <c r="H2955">
        <v>4.4710000000000001</v>
      </c>
      <c r="J2955" s="2">
        <v>40210</v>
      </c>
      <c r="K2955" s="3">
        <f t="shared" si="92"/>
        <v>4.75</v>
      </c>
      <c r="L2955" s="3">
        <f t="shared" si="93"/>
        <v>4.3239999999999998</v>
      </c>
    </row>
    <row r="2956" spans="1:12" x14ac:dyDescent="0.3">
      <c r="A2956" s="2">
        <v>39473</v>
      </c>
      <c r="B2956" t="s">
        <v>13</v>
      </c>
      <c r="D2956" s="2">
        <v>40204</v>
      </c>
      <c r="E2956">
        <v>4.75</v>
      </c>
      <c r="G2956" s="2">
        <v>40204</v>
      </c>
      <c r="H2956">
        <v>4.4710000000000001</v>
      </c>
      <c r="J2956" s="2">
        <v>40211</v>
      </c>
      <c r="K2956" s="3">
        <f t="shared" si="92"/>
        <v>4.75</v>
      </c>
      <c r="L2956" s="3">
        <f t="shared" si="93"/>
        <v>5.1760000000000002</v>
      </c>
    </row>
    <row r="2957" spans="1:12" x14ac:dyDescent="0.3">
      <c r="A2957" s="2">
        <v>39474</v>
      </c>
      <c r="B2957" t="s">
        <v>13</v>
      </c>
      <c r="D2957" s="2">
        <v>40205</v>
      </c>
      <c r="E2957">
        <v>4.75</v>
      </c>
      <c r="G2957" s="2">
        <v>40205</v>
      </c>
      <c r="H2957">
        <v>4.4960000000000004</v>
      </c>
      <c r="J2957" s="2">
        <v>40212</v>
      </c>
      <c r="K2957" s="3">
        <f t="shared" si="92"/>
        <v>4.75</v>
      </c>
      <c r="L2957" s="3">
        <f t="shared" si="93"/>
        <v>5.1429999999999998</v>
      </c>
    </row>
    <row r="2958" spans="1:12" x14ac:dyDescent="0.3">
      <c r="A2958" s="2">
        <v>39475</v>
      </c>
      <c r="B2958" t="s">
        <v>13</v>
      </c>
      <c r="D2958" s="2">
        <v>40206</v>
      </c>
      <c r="E2958">
        <v>4.75</v>
      </c>
      <c r="G2958" s="2">
        <v>40206</v>
      </c>
      <c r="H2958">
        <v>4.5830000000000002</v>
      </c>
      <c r="J2958" s="2">
        <v>40213</v>
      </c>
      <c r="K2958" s="3">
        <f t="shared" si="92"/>
        <v>4.75</v>
      </c>
      <c r="L2958" s="3">
        <f t="shared" si="93"/>
        <v>5.14</v>
      </c>
    </row>
    <row r="2959" spans="1:12" x14ac:dyDescent="0.3">
      <c r="A2959" s="2">
        <v>39476</v>
      </c>
      <c r="B2959" t="s">
        <v>13</v>
      </c>
      <c r="D2959" s="2">
        <v>40207</v>
      </c>
      <c r="E2959">
        <v>4.75</v>
      </c>
      <c r="G2959" s="2">
        <v>40207</v>
      </c>
      <c r="H2959">
        <v>4.5750000000000002</v>
      </c>
      <c r="J2959" s="2">
        <v>40214</v>
      </c>
      <c r="K2959" s="3">
        <f t="shared" si="92"/>
        <v>4.75</v>
      </c>
      <c r="L2959" s="3">
        <f t="shared" si="93"/>
        <v>5.16</v>
      </c>
    </row>
    <row r="2960" spans="1:12" x14ac:dyDescent="0.3">
      <c r="A2960" s="2">
        <v>39477</v>
      </c>
      <c r="B2960" t="s">
        <v>13</v>
      </c>
      <c r="D2960" s="2">
        <v>40208</v>
      </c>
      <c r="E2960">
        <v>4.75</v>
      </c>
      <c r="G2960" s="2">
        <v>40208</v>
      </c>
      <c r="H2960">
        <v>4.5750000000000002</v>
      </c>
      <c r="J2960" s="2">
        <v>40215</v>
      </c>
      <c r="K2960" s="3">
        <f t="shared" si="92"/>
        <v>4.75</v>
      </c>
      <c r="L2960" s="3">
        <f t="shared" si="93"/>
        <v>5.16</v>
      </c>
    </row>
    <row r="2961" spans="1:12" x14ac:dyDescent="0.3">
      <c r="A2961" s="2">
        <v>39478</v>
      </c>
      <c r="B2961" t="s">
        <v>13</v>
      </c>
      <c r="D2961" s="2">
        <v>40209</v>
      </c>
      <c r="E2961">
        <v>4.75</v>
      </c>
      <c r="G2961" s="2">
        <v>40209</v>
      </c>
      <c r="H2961">
        <v>4.5750000000000002</v>
      </c>
      <c r="J2961" s="2">
        <v>40216</v>
      </c>
      <c r="K2961" s="3">
        <f t="shared" si="92"/>
        <v>4.75</v>
      </c>
      <c r="L2961" s="3">
        <f t="shared" si="93"/>
        <v>5.16</v>
      </c>
    </row>
    <row r="2962" spans="1:12" x14ac:dyDescent="0.3">
      <c r="A2962" s="2">
        <v>39479</v>
      </c>
      <c r="B2962" t="s">
        <v>13</v>
      </c>
      <c r="D2962" s="2">
        <v>40210</v>
      </c>
      <c r="E2962">
        <v>4.75</v>
      </c>
      <c r="G2962" s="2">
        <v>40210</v>
      </c>
      <c r="H2962">
        <v>4.3239999999999998</v>
      </c>
      <c r="J2962" s="2">
        <v>40217</v>
      </c>
      <c r="K2962" s="3">
        <f t="shared" si="92"/>
        <v>4.75</v>
      </c>
      <c r="L2962" s="3">
        <f t="shared" si="93"/>
        <v>5.157</v>
      </c>
    </row>
    <row r="2963" spans="1:12" x14ac:dyDescent="0.3">
      <c r="A2963" s="2">
        <v>39480</v>
      </c>
      <c r="B2963" t="s">
        <v>13</v>
      </c>
      <c r="D2963" s="2">
        <v>40211</v>
      </c>
      <c r="E2963">
        <v>4.75</v>
      </c>
      <c r="G2963" s="2">
        <v>40211</v>
      </c>
      <c r="H2963">
        <v>5.1760000000000002</v>
      </c>
      <c r="J2963" s="2">
        <v>40218</v>
      </c>
      <c r="K2963" s="3">
        <f t="shared" si="92"/>
        <v>4.75</v>
      </c>
      <c r="L2963" s="3">
        <f t="shared" si="93"/>
        <v>5.2089999999999996</v>
      </c>
    </row>
    <row r="2964" spans="1:12" x14ac:dyDescent="0.3">
      <c r="A2964" s="2">
        <v>39481</v>
      </c>
      <c r="B2964" t="s">
        <v>13</v>
      </c>
      <c r="D2964" s="2">
        <v>40212</v>
      </c>
      <c r="E2964">
        <v>4.75</v>
      </c>
      <c r="G2964" s="2">
        <v>40212</v>
      </c>
      <c r="H2964">
        <v>5.1429999999999998</v>
      </c>
      <c r="J2964" s="2">
        <v>40219</v>
      </c>
      <c r="K2964" s="3">
        <f t="shared" si="92"/>
        <v>4.75</v>
      </c>
      <c r="L2964" s="3">
        <f t="shared" si="93"/>
        <v>5.2130000000000001</v>
      </c>
    </row>
    <row r="2965" spans="1:12" x14ac:dyDescent="0.3">
      <c r="A2965" s="2">
        <v>39482</v>
      </c>
      <c r="B2965" t="s">
        <v>13</v>
      </c>
      <c r="D2965" s="2">
        <v>40213</v>
      </c>
      <c r="E2965">
        <v>4.75</v>
      </c>
      <c r="G2965" s="2">
        <v>40213</v>
      </c>
      <c r="H2965">
        <v>5.14</v>
      </c>
      <c r="J2965" s="2">
        <v>40220</v>
      </c>
      <c r="K2965" s="3">
        <f t="shared" si="92"/>
        <v>4.75</v>
      </c>
      <c r="L2965" s="3">
        <f t="shared" si="93"/>
        <v>5.2249999999999996</v>
      </c>
    </row>
    <row r="2966" spans="1:12" x14ac:dyDescent="0.3">
      <c r="A2966" s="2">
        <v>39483</v>
      </c>
      <c r="B2966" t="s">
        <v>13</v>
      </c>
      <c r="D2966" s="2">
        <v>40214</v>
      </c>
      <c r="E2966">
        <v>4.75</v>
      </c>
      <c r="G2966" s="2">
        <v>40214</v>
      </c>
      <c r="H2966">
        <v>5.16</v>
      </c>
      <c r="J2966" s="2">
        <v>40221</v>
      </c>
      <c r="K2966" s="3">
        <f t="shared" si="92"/>
        <v>4.75</v>
      </c>
      <c r="L2966" s="3">
        <f t="shared" si="93"/>
        <v>5.2249999999999996</v>
      </c>
    </row>
    <row r="2967" spans="1:12" x14ac:dyDescent="0.3">
      <c r="A2967" s="2">
        <v>39484</v>
      </c>
      <c r="B2967" t="s">
        <v>13</v>
      </c>
      <c r="D2967" s="2">
        <v>40215</v>
      </c>
      <c r="E2967">
        <v>4.75</v>
      </c>
      <c r="G2967" s="2">
        <v>40215</v>
      </c>
      <c r="H2967">
        <v>5.16</v>
      </c>
      <c r="J2967" s="2">
        <v>40222</v>
      </c>
      <c r="K2967" s="3">
        <f t="shared" si="92"/>
        <v>4.75</v>
      </c>
      <c r="L2967" s="3">
        <f t="shared" si="93"/>
        <v>5.2249999999999996</v>
      </c>
    </row>
    <row r="2968" spans="1:12" x14ac:dyDescent="0.3">
      <c r="A2968" s="2">
        <v>39485</v>
      </c>
      <c r="B2968" t="s">
        <v>13</v>
      </c>
      <c r="D2968" s="2">
        <v>40216</v>
      </c>
      <c r="E2968">
        <v>4.75</v>
      </c>
      <c r="G2968" s="2">
        <v>40216</v>
      </c>
      <c r="H2968">
        <v>5.16</v>
      </c>
      <c r="J2968" s="2">
        <v>40223</v>
      </c>
      <c r="K2968" s="3">
        <f t="shared" si="92"/>
        <v>4.75</v>
      </c>
      <c r="L2968" s="3">
        <f t="shared" si="93"/>
        <v>5.2249999999999996</v>
      </c>
    </row>
    <row r="2969" spans="1:12" x14ac:dyDescent="0.3">
      <c r="A2969" s="2">
        <v>39486</v>
      </c>
      <c r="B2969" t="s">
        <v>13</v>
      </c>
      <c r="D2969" s="2">
        <v>40217</v>
      </c>
      <c r="E2969">
        <v>4.75</v>
      </c>
      <c r="G2969" s="2">
        <v>40217</v>
      </c>
      <c r="H2969">
        <v>5.157</v>
      </c>
      <c r="J2969" s="2">
        <v>40224</v>
      </c>
      <c r="K2969" s="3">
        <f t="shared" si="92"/>
        <v>4.75</v>
      </c>
      <c r="L2969" s="3">
        <f t="shared" si="93"/>
        <v>5.23</v>
      </c>
    </row>
    <row r="2970" spans="1:12" x14ac:dyDescent="0.3">
      <c r="A2970" s="2">
        <v>39487</v>
      </c>
      <c r="B2970" t="s">
        <v>13</v>
      </c>
      <c r="D2970" s="2">
        <v>40218</v>
      </c>
      <c r="E2970">
        <v>4.75</v>
      </c>
      <c r="G2970" s="2">
        <v>40218</v>
      </c>
      <c r="H2970">
        <v>5.2089999999999996</v>
      </c>
      <c r="J2970" s="2">
        <v>40225</v>
      </c>
      <c r="K2970" s="3">
        <f t="shared" si="92"/>
        <v>4.75</v>
      </c>
      <c r="L2970" s="3">
        <f t="shared" si="93"/>
        <v>5.2569999999999997</v>
      </c>
    </row>
    <row r="2971" spans="1:12" x14ac:dyDescent="0.3">
      <c r="A2971" s="2">
        <v>39488</v>
      </c>
      <c r="B2971" t="s">
        <v>13</v>
      </c>
      <c r="D2971" s="2">
        <v>40219</v>
      </c>
      <c r="E2971">
        <v>4.75</v>
      </c>
      <c r="G2971" s="2">
        <v>40219</v>
      </c>
      <c r="H2971">
        <v>5.2130000000000001</v>
      </c>
      <c r="J2971" s="2">
        <v>40226</v>
      </c>
      <c r="K2971" s="3">
        <f t="shared" si="92"/>
        <v>4.75</v>
      </c>
      <c r="L2971" s="3">
        <f t="shared" si="93"/>
        <v>5.2549999999999999</v>
      </c>
    </row>
    <row r="2972" spans="1:12" x14ac:dyDescent="0.3">
      <c r="A2972" s="2">
        <v>39489</v>
      </c>
      <c r="B2972" t="s">
        <v>13</v>
      </c>
      <c r="D2972" s="2">
        <v>40220</v>
      </c>
      <c r="E2972">
        <v>4.75</v>
      </c>
      <c r="G2972" s="2">
        <v>40220</v>
      </c>
      <c r="H2972">
        <v>5.2249999999999996</v>
      </c>
      <c r="J2972" s="2">
        <v>40227</v>
      </c>
      <c r="K2972" s="3">
        <f t="shared" si="92"/>
        <v>4.75</v>
      </c>
      <c r="L2972" s="3">
        <f t="shared" si="93"/>
        <v>5.3120000000000003</v>
      </c>
    </row>
    <row r="2973" spans="1:12" x14ac:dyDescent="0.3">
      <c r="A2973" s="2">
        <v>39490</v>
      </c>
      <c r="B2973" t="s">
        <v>13</v>
      </c>
      <c r="D2973" s="2">
        <v>40221</v>
      </c>
      <c r="E2973">
        <v>4.75</v>
      </c>
      <c r="G2973" s="2">
        <v>40221</v>
      </c>
      <c r="H2973">
        <v>5.2249999999999996</v>
      </c>
      <c r="J2973" s="2">
        <v>40228</v>
      </c>
      <c r="K2973" s="3">
        <f t="shared" si="92"/>
        <v>4.75</v>
      </c>
      <c r="L2973" s="3">
        <f t="shared" si="93"/>
        <v>5.3310000000000004</v>
      </c>
    </row>
    <row r="2974" spans="1:12" x14ac:dyDescent="0.3">
      <c r="A2974" s="2">
        <v>39491</v>
      </c>
      <c r="B2974" t="s">
        <v>13</v>
      </c>
      <c r="D2974" s="2">
        <v>40222</v>
      </c>
      <c r="E2974">
        <v>4.75</v>
      </c>
      <c r="G2974" s="2">
        <v>40222</v>
      </c>
      <c r="H2974">
        <v>5.2249999999999996</v>
      </c>
      <c r="J2974" s="2">
        <v>40229</v>
      </c>
      <c r="K2974" s="3">
        <f t="shared" si="92"/>
        <v>4.75</v>
      </c>
      <c r="L2974" s="3">
        <f t="shared" si="93"/>
        <v>5.3310000000000004</v>
      </c>
    </row>
    <row r="2975" spans="1:12" x14ac:dyDescent="0.3">
      <c r="A2975" s="2">
        <v>39492</v>
      </c>
      <c r="B2975" t="s">
        <v>13</v>
      </c>
      <c r="D2975" s="2">
        <v>40223</v>
      </c>
      <c r="E2975">
        <v>4.75</v>
      </c>
      <c r="G2975" s="2">
        <v>40223</v>
      </c>
      <c r="H2975">
        <v>5.2249999999999996</v>
      </c>
      <c r="J2975" s="2">
        <v>40230</v>
      </c>
      <c r="K2975" s="3">
        <f t="shared" si="92"/>
        <v>4.75</v>
      </c>
      <c r="L2975" s="3">
        <f t="shared" si="93"/>
        <v>5.3310000000000004</v>
      </c>
    </row>
    <row r="2976" spans="1:12" x14ac:dyDescent="0.3">
      <c r="A2976" s="2">
        <v>39493</v>
      </c>
      <c r="B2976" t="s">
        <v>13</v>
      </c>
      <c r="D2976" s="2">
        <v>40224</v>
      </c>
      <c r="E2976">
        <v>4.75</v>
      </c>
      <c r="G2976" s="2">
        <v>40224</v>
      </c>
      <c r="H2976">
        <v>5.23</v>
      </c>
      <c r="J2976" s="2">
        <v>40231</v>
      </c>
      <c r="K2976" s="3">
        <f t="shared" si="92"/>
        <v>4.75</v>
      </c>
      <c r="L2976" s="3">
        <f t="shared" si="93"/>
        <v>5.298</v>
      </c>
    </row>
    <row r="2977" spans="1:12" x14ac:dyDescent="0.3">
      <c r="A2977" s="2">
        <v>39494</v>
      </c>
      <c r="B2977" t="s">
        <v>13</v>
      </c>
      <c r="D2977" s="2">
        <v>40225</v>
      </c>
      <c r="E2977">
        <v>4.75</v>
      </c>
      <c r="G2977" s="2">
        <v>40225</v>
      </c>
      <c r="H2977">
        <v>5.2569999999999997</v>
      </c>
      <c r="J2977" s="2">
        <v>40232</v>
      </c>
      <c r="K2977" s="3">
        <f t="shared" si="92"/>
        <v>4.75</v>
      </c>
      <c r="L2977" s="3">
        <f t="shared" si="93"/>
        <v>5.3310000000000004</v>
      </c>
    </row>
    <row r="2978" spans="1:12" x14ac:dyDescent="0.3">
      <c r="A2978" s="2">
        <v>39495</v>
      </c>
      <c r="B2978" t="s">
        <v>13</v>
      </c>
      <c r="D2978" s="2">
        <v>40226</v>
      </c>
      <c r="E2978">
        <v>4.75</v>
      </c>
      <c r="G2978" s="2">
        <v>40226</v>
      </c>
      <c r="H2978">
        <v>5.2549999999999999</v>
      </c>
      <c r="J2978" s="2">
        <v>40233</v>
      </c>
      <c r="K2978" s="3">
        <f t="shared" si="92"/>
        <v>4.75</v>
      </c>
      <c r="L2978" s="3">
        <f t="shared" si="93"/>
        <v>5.3319999999999999</v>
      </c>
    </row>
    <row r="2979" spans="1:12" x14ac:dyDescent="0.3">
      <c r="A2979" s="2">
        <v>39496</v>
      </c>
      <c r="B2979" t="s">
        <v>13</v>
      </c>
      <c r="D2979" s="2">
        <v>40227</v>
      </c>
      <c r="E2979">
        <v>4.75</v>
      </c>
      <c r="G2979" s="2">
        <v>40227</v>
      </c>
      <c r="H2979">
        <v>5.3120000000000003</v>
      </c>
      <c r="J2979" s="2">
        <v>40234</v>
      </c>
      <c r="K2979" s="3">
        <f t="shared" si="92"/>
        <v>4.75</v>
      </c>
      <c r="L2979" s="3">
        <f t="shared" si="93"/>
        <v>5.3150000000000004</v>
      </c>
    </row>
    <row r="2980" spans="1:12" x14ac:dyDescent="0.3">
      <c r="A2980" s="2">
        <v>39497</v>
      </c>
      <c r="B2980" t="s">
        <v>13</v>
      </c>
      <c r="D2980" s="2">
        <v>40228</v>
      </c>
      <c r="E2980">
        <v>4.75</v>
      </c>
      <c r="G2980" s="2">
        <v>40228</v>
      </c>
      <c r="H2980">
        <v>5.3310000000000004</v>
      </c>
      <c r="J2980" s="2">
        <v>40235</v>
      </c>
      <c r="K2980" s="3">
        <f t="shared" si="92"/>
        <v>4.75</v>
      </c>
      <c r="L2980" s="3">
        <f t="shared" si="93"/>
        <v>5.3380000000000001</v>
      </c>
    </row>
    <row r="2981" spans="1:12" x14ac:dyDescent="0.3">
      <c r="A2981" s="2">
        <v>39498</v>
      </c>
      <c r="B2981" t="s">
        <v>13</v>
      </c>
      <c r="D2981" s="2">
        <v>40229</v>
      </c>
      <c r="E2981">
        <v>4.75</v>
      </c>
      <c r="G2981" s="2">
        <v>40229</v>
      </c>
      <c r="H2981">
        <v>5.3310000000000004</v>
      </c>
      <c r="J2981" s="2">
        <v>40236</v>
      </c>
      <c r="K2981" s="3">
        <f t="shared" si="92"/>
        <v>4.75</v>
      </c>
      <c r="L2981" s="3">
        <f t="shared" si="93"/>
        <v>5.3380000000000001</v>
      </c>
    </row>
    <row r="2982" spans="1:12" x14ac:dyDescent="0.3">
      <c r="A2982" s="2">
        <v>39499</v>
      </c>
      <c r="B2982" t="s">
        <v>13</v>
      </c>
      <c r="D2982" s="2">
        <v>40230</v>
      </c>
      <c r="E2982">
        <v>4.75</v>
      </c>
      <c r="G2982" s="2">
        <v>40230</v>
      </c>
      <c r="H2982">
        <v>5.3310000000000004</v>
      </c>
      <c r="J2982" s="2">
        <v>40237</v>
      </c>
      <c r="K2982" s="3">
        <f t="shared" si="92"/>
        <v>4.75</v>
      </c>
      <c r="L2982" s="3">
        <f t="shared" si="93"/>
        <v>5.3380000000000001</v>
      </c>
    </row>
    <row r="2983" spans="1:12" x14ac:dyDescent="0.3">
      <c r="A2983" s="2">
        <v>39500</v>
      </c>
      <c r="B2983" t="s">
        <v>13</v>
      </c>
      <c r="D2983" s="2">
        <v>40231</v>
      </c>
      <c r="E2983">
        <v>4.75</v>
      </c>
      <c r="G2983" s="2">
        <v>40231</v>
      </c>
      <c r="H2983">
        <v>5.298</v>
      </c>
      <c r="J2983" s="2">
        <v>40238</v>
      </c>
      <c r="K2983" s="3">
        <f t="shared" si="92"/>
        <v>4.75</v>
      </c>
      <c r="L2983" s="3">
        <f t="shared" si="93"/>
        <v>5.3380000000000001</v>
      </c>
    </row>
    <row r="2984" spans="1:12" x14ac:dyDescent="0.3">
      <c r="A2984" s="2">
        <v>39501</v>
      </c>
      <c r="B2984" t="s">
        <v>13</v>
      </c>
      <c r="D2984" s="2">
        <v>40232</v>
      </c>
      <c r="E2984">
        <v>4.75</v>
      </c>
      <c r="G2984" s="2">
        <v>40232</v>
      </c>
      <c r="H2984">
        <v>5.3310000000000004</v>
      </c>
      <c r="J2984" s="2">
        <v>40239</v>
      </c>
      <c r="K2984" s="3">
        <f t="shared" si="92"/>
        <v>4.75</v>
      </c>
      <c r="L2984" s="3">
        <f t="shared" si="93"/>
        <v>5.3419999999999996</v>
      </c>
    </row>
    <row r="2985" spans="1:12" x14ac:dyDescent="0.3">
      <c r="A2985" s="2">
        <v>39502</v>
      </c>
      <c r="B2985" t="s">
        <v>13</v>
      </c>
      <c r="D2985" s="2">
        <v>40233</v>
      </c>
      <c r="E2985">
        <v>4.75</v>
      </c>
      <c r="G2985" s="2">
        <v>40233</v>
      </c>
      <c r="H2985">
        <v>5.3319999999999999</v>
      </c>
      <c r="J2985" s="2">
        <v>40240</v>
      </c>
      <c r="K2985" s="3">
        <f t="shared" si="92"/>
        <v>4.75</v>
      </c>
      <c r="L2985" s="3">
        <f t="shared" si="93"/>
        <v>5.32</v>
      </c>
    </row>
    <row r="2986" spans="1:12" x14ac:dyDescent="0.3">
      <c r="A2986" s="2">
        <v>39503</v>
      </c>
      <c r="B2986" t="s">
        <v>13</v>
      </c>
      <c r="D2986" s="2">
        <v>40234</v>
      </c>
      <c r="E2986">
        <v>4.75</v>
      </c>
      <c r="G2986" s="2">
        <v>40234</v>
      </c>
      <c r="H2986">
        <v>5.3150000000000004</v>
      </c>
      <c r="J2986" s="2">
        <v>40241</v>
      </c>
      <c r="K2986" s="3">
        <f t="shared" si="92"/>
        <v>4.75</v>
      </c>
      <c r="L2986" s="3">
        <f t="shared" si="93"/>
        <v>5.3369999999999997</v>
      </c>
    </row>
    <row r="2987" spans="1:12" x14ac:dyDescent="0.3">
      <c r="A2987" s="2">
        <v>39504</v>
      </c>
      <c r="B2987" t="s">
        <v>13</v>
      </c>
      <c r="D2987" s="2">
        <v>40235</v>
      </c>
      <c r="E2987">
        <v>4.75</v>
      </c>
      <c r="G2987" s="2">
        <v>40235</v>
      </c>
      <c r="H2987">
        <v>5.3380000000000001</v>
      </c>
      <c r="J2987" s="2">
        <v>40242</v>
      </c>
      <c r="K2987" s="3">
        <f t="shared" si="92"/>
        <v>4.75</v>
      </c>
      <c r="L2987" s="3">
        <f t="shared" si="93"/>
        <v>5.359</v>
      </c>
    </row>
    <row r="2988" spans="1:12" x14ac:dyDescent="0.3">
      <c r="A2988" s="2">
        <v>39505</v>
      </c>
      <c r="B2988" t="s">
        <v>13</v>
      </c>
      <c r="D2988" s="2">
        <v>40236</v>
      </c>
      <c r="E2988">
        <v>4.75</v>
      </c>
      <c r="G2988" s="2">
        <v>40236</v>
      </c>
      <c r="H2988">
        <v>5.3380000000000001</v>
      </c>
      <c r="J2988" s="2">
        <v>40243</v>
      </c>
      <c r="K2988" s="3">
        <f t="shared" si="92"/>
        <v>4.75</v>
      </c>
      <c r="L2988" s="3">
        <f t="shared" si="93"/>
        <v>5.359</v>
      </c>
    </row>
    <row r="2989" spans="1:12" x14ac:dyDescent="0.3">
      <c r="A2989" s="2">
        <v>39506</v>
      </c>
      <c r="B2989" t="s">
        <v>13</v>
      </c>
      <c r="D2989" s="2">
        <v>40237</v>
      </c>
      <c r="E2989">
        <v>4.75</v>
      </c>
      <c r="G2989" s="2">
        <v>40237</v>
      </c>
      <c r="H2989">
        <v>5.3380000000000001</v>
      </c>
      <c r="J2989" s="2">
        <v>40244</v>
      </c>
      <c r="K2989" s="3">
        <f t="shared" si="92"/>
        <v>4.75</v>
      </c>
      <c r="L2989" s="3">
        <f t="shared" si="93"/>
        <v>5.359</v>
      </c>
    </row>
    <row r="2990" spans="1:12" x14ac:dyDescent="0.3">
      <c r="A2990" s="2">
        <v>39507</v>
      </c>
      <c r="B2990" t="s">
        <v>13</v>
      </c>
      <c r="D2990" s="2">
        <v>40238</v>
      </c>
      <c r="E2990">
        <v>4.75</v>
      </c>
      <c r="G2990" s="2">
        <v>40238</v>
      </c>
      <c r="H2990">
        <v>5.3380000000000001</v>
      </c>
      <c r="J2990" s="2">
        <v>40245</v>
      </c>
      <c r="K2990" s="3">
        <f t="shared" si="92"/>
        <v>4.75</v>
      </c>
      <c r="L2990" s="3">
        <f t="shared" si="93"/>
        <v>5.3650000000000002</v>
      </c>
    </row>
    <row r="2991" spans="1:12" x14ac:dyDescent="0.3">
      <c r="A2991" s="2">
        <v>39508</v>
      </c>
      <c r="B2991" t="s">
        <v>13</v>
      </c>
      <c r="D2991" s="2">
        <v>40239</v>
      </c>
      <c r="E2991">
        <v>4.75</v>
      </c>
      <c r="G2991" s="2">
        <v>40239</v>
      </c>
      <c r="H2991">
        <v>5.3419999999999996</v>
      </c>
      <c r="J2991" s="2">
        <v>40246</v>
      </c>
      <c r="K2991" s="3">
        <f t="shared" si="92"/>
        <v>4.75</v>
      </c>
      <c r="L2991" s="3">
        <f t="shared" si="93"/>
        <v>5.3479999999999999</v>
      </c>
    </row>
    <row r="2992" spans="1:12" x14ac:dyDescent="0.3">
      <c r="A2992" s="2">
        <v>39509</v>
      </c>
      <c r="B2992" t="s">
        <v>13</v>
      </c>
      <c r="D2992" s="2">
        <v>40240</v>
      </c>
      <c r="E2992">
        <v>4.75</v>
      </c>
      <c r="G2992" s="2">
        <v>40240</v>
      </c>
      <c r="H2992">
        <v>5.32</v>
      </c>
      <c r="J2992" s="2">
        <v>40247</v>
      </c>
      <c r="K2992" s="3">
        <f t="shared" si="92"/>
        <v>4.75</v>
      </c>
      <c r="L2992" s="3">
        <f t="shared" si="93"/>
        <v>5.3789999999999996</v>
      </c>
    </row>
    <row r="2993" spans="1:12" x14ac:dyDescent="0.3">
      <c r="A2993" s="2">
        <v>39510</v>
      </c>
      <c r="B2993" t="s">
        <v>13</v>
      </c>
      <c r="D2993" s="2">
        <v>40241</v>
      </c>
      <c r="E2993">
        <v>4.75</v>
      </c>
      <c r="G2993" s="2">
        <v>40241</v>
      </c>
      <c r="H2993">
        <v>5.3369999999999997</v>
      </c>
      <c r="J2993" s="2">
        <v>40248</v>
      </c>
      <c r="K2993" s="3">
        <f t="shared" si="92"/>
        <v>4.75</v>
      </c>
      <c r="L2993" s="3">
        <f t="shared" si="93"/>
        <v>5.2750000000000004</v>
      </c>
    </row>
    <row r="2994" spans="1:12" x14ac:dyDescent="0.3">
      <c r="A2994" s="2">
        <v>39511</v>
      </c>
      <c r="B2994" t="s">
        <v>13</v>
      </c>
      <c r="D2994" s="2">
        <v>40242</v>
      </c>
      <c r="E2994">
        <v>4.75</v>
      </c>
      <c r="G2994" s="2">
        <v>40242</v>
      </c>
      <c r="H2994">
        <v>5.359</v>
      </c>
      <c r="J2994" s="2">
        <v>40249</v>
      </c>
      <c r="K2994" s="3">
        <f t="shared" si="92"/>
        <v>4.75</v>
      </c>
      <c r="L2994" s="3">
        <f t="shared" si="93"/>
        <v>5.4169999999999998</v>
      </c>
    </row>
    <row r="2995" spans="1:12" x14ac:dyDescent="0.3">
      <c r="A2995" s="2">
        <v>39512</v>
      </c>
      <c r="B2995" t="s">
        <v>13</v>
      </c>
      <c r="D2995" s="2">
        <v>40243</v>
      </c>
      <c r="E2995">
        <v>4.75</v>
      </c>
      <c r="G2995" s="2">
        <v>40243</v>
      </c>
      <c r="H2995">
        <v>5.359</v>
      </c>
      <c r="J2995" s="2">
        <v>40250</v>
      </c>
      <c r="K2995" s="3">
        <f t="shared" si="92"/>
        <v>4.75</v>
      </c>
      <c r="L2995" s="3">
        <f t="shared" si="93"/>
        <v>5.4169999999999998</v>
      </c>
    </row>
    <row r="2996" spans="1:12" x14ac:dyDescent="0.3">
      <c r="A2996" s="2">
        <v>39513</v>
      </c>
      <c r="B2996" t="s">
        <v>13</v>
      </c>
      <c r="D2996" s="2">
        <v>40244</v>
      </c>
      <c r="E2996">
        <v>4.75</v>
      </c>
      <c r="G2996" s="2">
        <v>40244</v>
      </c>
      <c r="H2996">
        <v>5.359</v>
      </c>
      <c r="J2996" s="2">
        <v>40251</v>
      </c>
      <c r="K2996" s="3">
        <f t="shared" si="92"/>
        <v>4.75</v>
      </c>
      <c r="L2996" s="3">
        <f t="shared" si="93"/>
        <v>5.4169999999999998</v>
      </c>
    </row>
    <row r="2997" spans="1:12" x14ac:dyDescent="0.3">
      <c r="A2997" s="2">
        <v>39514</v>
      </c>
      <c r="B2997" t="s">
        <v>13</v>
      </c>
      <c r="D2997" s="2">
        <v>40245</v>
      </c>
      <c r="E2997">
        <v>4.75</v>
      </c>
      <c r="G2997" s="2">
        <v>40245</v>
      </c>
      <c r="H2997">
        <v>5.3650000000000002</v>
      </c>
      <c r="J2997" s="2">
        <v>40252</v>
      </c>
      <c r="K2997" s="3">
        <f t="shared" si="92"/>
        <v>4.75</v>
      </c>
      <c r="L2997" s="3">
        <f t="shared" si="93"/>
        <v>5.42</v>
      </c>
    </row>
    <row r="2998" spans="1:12" x14ac:dyDescent="0.3">
      <c r="A2998" s="2">
        <v>39515</v>
      </c>
      <c r="B2998" t="s">
        <v>13</v>
      </c>
      <c r="D2998" s="2">
        <v>40246</v>
      </c>
      <c r="E2998">
        <v>4.75</v>
      </c>
      <c r="G2998" s="2">
        <v>40246</v>
      </c>
      <c r="H2998">
        <v>5.3479999999999999</v>
      </c>
      <c r="J2998" s="2">
        <v>40253</v>
      </c>
      <c r="K2998" s="3">
        <f t="shared" si="92"/>
        <v>4.75</v>
      </c>
      <c r="L2998" s="3">
        <f t="shared" si="93"/>
        <v>5.42</v>
      </c>
    </row>
    <row r="2999" spans="1:12" x14ac:dyDescent="0.3">
      <c r="A2999" s="2">
        <v>39516</v>
      </c>
      <c r="B2999" t="s">
        <v>13</v>
      </c>
      <c r="D2999" s="2">
        <v>40247</v>
      </c>
      <c r="E2999">
        <v>4.75</v>
      </c>
      <c r="G2999" s="2">
        <v>40247</v>
      </c>
      <c r="H2999">
        <v>5.3789999999999996</v>
      </c>
      <c r="J2999" s="2">
        <v>40254</v>
      </c>
      <c r="K2999" s="3">
        <f t="shared" si="92"/>
        <v>4.75</v>
      </c>
      <c r="L2999" s="3">
        <f t="shared" si="93"/>
        <v>5.2489999999999997</v>
      </c>
    </row>
    <row r="3000" spans="1:12" x14ac:dyDescent="0.3">
      <c r="A3000" s="2">
        <v>39517</v>
      </c>
      <c r="B3000" t="s">
        <v>13</v>
      </c>
      <c r="D3000" s="2">
        <v>40248</v>
      </c>
      <c r="E3000">
        <v>4.75</v>
      </c>
      <c r="G3000" s="2">
        <v>40248</v>
      </c>
      <c r="H3000">
        <v>5.2750000000000004</v>
      </c>
      <c r="J3000" s="2">
        <v>40255</v>
      </c>
      <c r="K3000" s="3">
        <f t="shared" si="92"/>
        <v>4.75</v>
      </c>
      <c r="L3000" s="3">
        <f t="shared" si="93"/>
        <v>5.2309999999999999</v>
      </c>
    </row>
    <row r="3001" spans="1:12" x14ac:dyDescent="0.3">
      <c r="A3001" s="2">
        <v>39518</v>
      </c>
      <c r="B3001" t="s">
        <v>13</v>
      </c>
      <c r="D3001" s="2">
        <v>40249</v>
      </c>
      <c r="E3001">
        <v>4.75</v>
      </c>
      <c r="G3001" s="2">
        <v>40249</v>
      </c>
      <c r="H3001">
        <v>5.4169999999999998</v>
      </c>
      <c r="J3001" s="2">
        <v>40256</v>
      </c>
      <c r="K3001" s="3">
        <f t="shared" si="92"/>
        <v>5</v>
      </c>
      <c r="L3001" s="3">
        <f t="shared" si="93"/>
        <v>5.2569999999999997</v>
      </c>
    </row>
    <row r="3002" spans="1:12" x14ac:dyDescent="0.3">
      <c r="A3002" s="2">
        <v>39519</v>
      </c>
      <c r="B3002" t="s">
        <v>13</v>
      </c>
      <c r="D3002" s="2">
        <v>40250</v>
      </c>
      <c r="E3002">
        <v>4.75</v>
      </c>
      <c r="G3002" s="2">
        <v>40250</v>
      </c>
      <c r="H3002">
        <v>5.4169999999999998</v>
      </c>
      <c r="J3002" s="2">
        <v>40257</v>
      </c>
      <c r="K3002" s="3">
        <f t="shared" si="92"/>
        <v>5</v>
      </c>
      <c r="L3002" s="3">
        <f t="shared" si="93"/>
        <v>5.2569999999999997</v>
      </c>
    </row>
    <row r="3003" spans="1:12" x14ac:dyDescent="0.3">
      <c r="A3003" s="2">
        <v>39520</v>
      </c>
      <c r="B3003" t="s">
        <v>13</v>
      </c>
      <c r="D3003" s="2">
        <v>40251</v>
      </c>
      <c r="E3003">
        <v>4.75</v>
      </c>
      <c r="G3003" s="2">
        <v>40251</v>
      </c>
      <c r="H3003">
        <v>5.4169999999999998</v>
      </c>
      <c r="J3003" s="2">
        <v>40258</v>
      </c>
      <c r="K3003" s="3">
        <f t="shared" si="92"/>
        <v>5</v>
      </c>
      <c r="L3003" s="3">
        <f t="shared" si="93"/>
        <v>5.2569999999999997</v>
      </c>
    </row>
    <row r="3004" spans="1:12" x14ac:dyDescent="0.3">
      <c r="A3004" s="2">
        <v>39521</v>
      </c>
      <c r="B3004" t="s">
        <v>13</v>
      </c>
      <c r="D3004" s="2">
        <v>40252</v>
      </c>
      <c r="E3004">
        <v>4.75</v>
      </c>
      <c r="G3004" s="2">
        <v>40252</v>
      </c>
      <c r="H3004">
        <v>5.42</v>
      </c>
      <c r="J3004" s="2">
        <v>40259</v>
      </c>
      <c r="K3004" s="3">
        <f t="shared" si="92"/>
        <v>5</v>
      </c>
      <c r="L3004" s="3">
        <f t="shared" si="93"/>
        <v>5.3129999999999997</v>
      </c>
    </row>
    <row r="3005" spans="1:12" x14ac:dyDescent="0.3">
      <c r="A3005" s="2">
        <v>39522</v>
      </c>
      <c r="B3005" t="s">
        <v>13</v>
      </c>
      <c r="D3005" s="2">
        <v>40253</v>
      </c>
      <c r="E3005">
        <v>4.75</v>
      </c>
      <c r="G3005" s="2">
        <v>40253</v>
      </c>
      <c r="H3005">
        <v>5.42</v>
      </c>
      <c r="J3005" s="2">
        <v>40260</v>
      </c>
      <c r="K3005" s="3">
        <f t="shared" si="92"/>
        <v>5</v>
      </c>
      <c r="L3005" s="3">
        <f t="shared" si="93"/>
        <v>5.3639999999999999</v>
      </c>
    </row>
    <row r="3006" spans="1:12" x14ac:dyDescent="0.3">
      <c r="A3006" s="2">
        <v>39523</v>
      </c>
      <c r="B3006" t="s">
        <v>13</v>
      </c>
      <c r="D3006" s="2">
        <v>40254</v>
      </c>
      <c r="E3006">
        <v>4.75</v>
      </c>
      <c r="G3006" s="2">
        <v>40254</v>
      </c>
      <c r="H3006">
        <v>5.2489999999999997</v>
      </c>
      <c r="J3006" s="2">
        <v>40261</v>
      </c>
      <c r="K3006" s="3">
        <f t="shared" si="92"/>
        <v>5</v>
      </c>
      <c r="L3006" s="3">
        <f t="shared" si="93"/>
        <v>5.3639999999999999</v>
      </c>
    </row>
    <row r="3007" spans="1:12" x14ac:dyDescent="0.3">
      <c r="A3007" s="2">
        <v>39524</v>
      </c>
      <c r="B3007" t="s">
        <v>13</v>
      </c>
      <c r="D3007" s="2">
        <v>40255</v>
      </c>
      <c r="E3007">
        <v>4.75</v>
      </c>
      <c r="G3007" s="2">
        <v>40255</v>
      </c>
      <c r="H3007">
        <v>5.2309999999999999</v>
      </c>
      <c r="J3007" s="2">
        <v>40262</v>
      </c>
      <c r="K3007" s="3">
        <f t="shared" si="92"/>
        <v>5</v>
      </c>
      <c r="L3007" s="3">
        <f t="shared" si="93"/>
        <v>5.2830000000000004</v>
      </c>
    </row>
    <row r="3008" spans="1:12" x14ac:dyDescent="0.3">
      <c r="A3008" s="2">
        <v>39525</v>
      </c>
      <c r="B3008" t="s">
        <v>13</v>
      </c>
      <c r="D3008" s="2">
        <v>40256</v>
      </c>
      <c r="E3008">
        <v>5</v>
      </c>
      <c r="G3008" s="2">
        <v>40256</v>
      </c>
      <c r="H3008">
        <v>5.2569999999999997</v>
      </c>
      <c r="J3008" s="2">
        <v>40263</v>
      </c>
      <c r="K3008" s="3">
        <f t="shared" si="92"/>
        <v>5</v>
      </c>
      <c r="L3008" s="3">
        <f t="shared" si="93"/>
        <v>5.2569999999999997</v>
      </c>
    </row>
    <row r="3009" spans="1:12" x14ac:dyDescent="0.3">
      <c r="A3009" s="2">
        <v>39526</v>
      </c>
      <c r="B3009" t="s">
        <v>13</v>
      </c>
      <c r="D3009" s="2">
        <v>40257</v>
      </c>
      <c r="E3009">
        <v>5</v>
      </c>
      <c r="G3009" s="2">
        <v>40257</v>
      </c>
      <c r="H3009">
        <v>5.2569999999999997</v>
      </c>
      <c r="J3009" s="2">
        <v>40264</v>
      </c>
      <c r="K3009" s="3">
        <f t="shared" si="92"/>
        <v>5</v>
      </c>
      <c r="L3009" s="3">
        <f t="shared" si="93"/>
        <v>5.2569999999999997</v>
      </c>
    </row>
    <row r="3010" spans="1:12" x14ac:dyDescent="0.3">
      <c r="A3010" s="2">
        <v>39527</v>
      </c>
      <c r="B3010" t="s">
        <v>13</v>
      </c>
      <c r="D3010" s="2">
        <v>40258</v>
      </c>
      <c r="E3010">
        <v>5</v>
      </c>
      <c r="G3010" s="2">
        <v>40258</v>
      </c>
      <c r="H3010">
        <v>5.2569999999999997</v>
      </c>
      <c r="J3010" s="2">
        <v>40265</v>
      </c>
      <c r="K3010" s="3">
        <f t="shared" si="92"/>
        <v>5</v>
      </c>
      <c r="L3010" s="3">
        <f t="shared" si="93"/>
        <v>5.2569999999999997</v>
      </c>
    </row>
    <row r="3011" spans="1:12" x14ac:dyDescent="0.3">
      <c r="A3011" s="2">
        <v>39528</v>
      </c>
      <c r="B3011" t="s">
        <v>13</v>
      </c>
      <c r="D3011" s="2">
        <v>40259</v>
      </c>
      <c r="E3011">
        <v>5</v>
      </c>
      <c r="G3011" s="2">
        <v>40259</v>
      </c>
      <c r="H3011">
        <v>5.3129999999999997</v>
      </c>
      <c r="J3011" s="2">
        <v>40266</v>
      </c>
      <c r="K3011" s="3">
        <f t="shared" ref="K3011:K3074" si="94">E3018</f>
        <v>5</v>
      </c>
      <c r="L3011" s="3">
        <f t="shared" ref="L3011:L3074" si="95">H3018</f>
        <v>5.274</v>
      </c>
    </row>
    <row r="3012" spans="1:12" x14ac:dyDescent="0.3">
      <c r="A3012" s="2">
        <v>39529</v>
      </c>
      <c r="B3012" t="s">
        <v>13</v>
      </c>
      <c r="D3012" s="2">
        <v>40260</v>
      </c>
      <c r="E3012">
        <v>5</v>
      </c>
      <c r="G3012" s="2">
        <v>40260</v>
      </c>
      <c r="H3012">
        <v>5.3639999999999999</v>
      </c>
      <c r="J3012" s="2">
        <v>40267</v>
      </c>
      <c r="K3012" s="3">
        <f t="shared" si="94"/>
        <v>5</v>
      </c>
      <c r="L3012" s="3">
        <f t="shared" si="95"/>
        <v>5.1680000000000001</v>
      </c>
    </row>
    <row r="3013" spans="1:12" x14ac:dyDescent="0.3">
      <c r="A3013" s="2">
        <v>39530</v>
      </c>
      <c r="B3013" t="s">
        <v>13</v>
      </c>
      <c r="D3013" s="2">
        <v>40261</v>
      </c>
      <c r="E3013">
        <v>5</v>
      </c>
      <c r="G3013" s="2">
        <v>40261</v>
      </c>
      <c r="H3013">
        <v>5.3639999999999999</v>
      </c>
      <c r="J3013" s="2">
        <v>40268</v>
      </c>
      <c r="K3013" s="3">
        <f t="shared" si="94"/>
        <v>5</v>
      </c>
      <c r="L3013" s="3">
        <f t="shared" si="95"/>
        <v>5.1529999999999996</v>
      </c>
    </row>
    <row r="3014" spans="1:12" x14ac:dyDescent="0.3">
      <c r="A3014" s="2">
        <v>39531</v>
      </c>
      <c r="B3014" t="s">
        <v>13</v>
      </c>
      <c r="D3014" s="2">
        <v>40262</v>
      </c>
      <c r="E3014">
        <v>5</v>
      </c>
      <c r="G3014" s="2">
        <v>40262</v>
      </c>
      <c r="H3014">
        <v>5.2830000000000004</v>
      </c>
      <c r="J3014" s="2">
        <v>40269</v>
      </c>
      <c r="K3014" s="3">
        <f t="shared" si="94"/>
        <v>5</v>
      </c>
      <c r="L3014" s="3">
        <f t="shared" si="95"/>
        <v>5.1529999999999996</v>
      </c>
    </row>
    <row r="3015" spans="1:12" x14ac:dyDescent="0.3">
      <c r="A3015" s="2">
        <v>39532</v>
      </c>
      <c r="B3015" t="s">
        <v>13</v>
      </c>
      <c r="D3015" s="2">
        <v>40263</v>
      </c>
      <c r="E3015">
        <v>5</v>
      </c>
      <c r="G3015" s="2">
        <v>40263</v>
      </c>
      <c r="H3015">
        <v>5.2569999999999997</v>
      </c>
      <c r="J3015" s="2">
        <v>40270</v>
      </c>
      <c r="K3015" s="3">
        <f t="shared" si="94"/>
        <v>5</v>
      </c>
      <c r="L3015" s="3">
        <f t="shared" si="95"/>
        <v>5.1529999999999996</v>
      </c>
    </row>
    <row r="3016" spans="1:12" x14ac:dyDescent="0.3">
      <c r="A3016" s="2">
        <v>39533</v>
      </c>
      <c r="B3016" t="s">
        <v>13</v>
      </c>
      <c r="D3016" s="2">
        <v>40264</v>
      </c>
      <c r="E3016">
        <v>5</v>
      </c>
      <c r="G3016" s="2">
        <v>40264</v>
      </c>
      <c r="H3016">
        <v>5.2569999999999997</v>
      </c>
      <c r="J3016" s="2">
        <v>40271</v>
      </c>
      <c r="K3016" s="3">
        <f t="shared" si="94"/>
        <v>5</v>
      </c>
      <c r="L3016" s="3">
        <f t="shared" si="95"/>
        <v>5.1529999999999996</v>
      </c>
    </row>
    <row r="3017" spans="1:12" x14ac:dyDescent="0.3">
      <c r="A3017" s="2">
        <v>39534</v>
      </c>
      <c r="B3017" t="s">
        <v>13</v>
      </c>
      <c r="D3017" s="2">
        <v>40265</v>
      </c>
      <c r="E3017">
        <v>5</v>
      </c>
      <c r="G3017" s="2">
        <v>40265</v>
      </c>
      <c r="H3017">
        <v>5.2569999999999997</v>
      </c>
      <c r="J3017" s="2">
        <v>40272</v>
      </c>
      <c r="K3017" s="3">
        <f t="shared" si="94"/>
        <v>5</v>
      </c>
      <c r="L3017" s="3">
        <f t="shared" si="95"/>
        <v>5.1529999999999996</v>
      </c>
    </row>
    <row r="3018" spans="1:12" x14ac:dyDescent="0.3">
      <c r="A3018" s="2">
        <v>39535</v>
      </c>
      <c r="B3018" t="s">
        <v>13</v>
      </c>
      <c r="D3018" s="2">
        <v>40266</v>
      </c>
      <c r="E3018">
        <v>5</v>
      </c>
      <c r="G3018" s="2">
        <v>40266</v>
      </c>
      <c r="H3018">
        <v>5.274</v>
      </c>
      <c r="J3018" s="2">
        <v>40273</v>
      </c>
      <c r="K3018" s="3">
        <f t="shared" si="94"/>
        <v>5</v>
      </c>
      <c r="L3018" s="3">
        <f t="shared" si="95"/>
        <v>5.226</v>
      </c>
    </row>
    <row r="3019" spans="1:12" x14ac:dyDescent="0.3">
      <c r="A3019" s="2">
        <v>39536</v>
      </c>
      <c r="B3019" t="s">
        <v>13</v>
      </c>
      <c r="D3019" s="2">
        <v>40267</v>
      </c>
      <c r="E3019">
        <v>5</v>
      </c>
      <c r="G3019" s="2">
        <v>40267</v>
      </c>
      <c r="H3019">
        <v>5.1680000000000001</v>
      </c>
      <c r="J3019" s="2">
        <v>40274</v>
      </c>
      <c r="K3019" s="3">
        <f t="shared" si="94"/>
        <v>5</v>
      </c>
      <c r="L3019" s="3">
        <f t="shared" si="95"/>
        <v>5.22</v>
      </c>
    </row>
    <row r="3020" spans="1:12" x14ac:dyDescent="0.3">
      <c r="A3020" s="2">
        <v>39537</v>
      </c>
      <c r="B3020" t="s">
        <v>13</v>
      </c>
      <c r="D3020" s="2">
        <v>40268</v>
      </c>
      <c r="E3020">
        <v>5</v>
      </c>
      <c r="G3020" s="2">
        <v>40268</v>
      </c>
      <c r="H3020">
        <v>5.1529999999999996</v>
      </c>
      <c r="J3020" s="2">
        <v>40275</v>
      </c>
      <c r="K3020" s="3">
        <f t="shared" si="94"/>
        <v>5</v>
      </c>
      <c r="L3020" s="3">
        <f t="shared" si="95"/>
        <v>5.1929999999999996</v>
      </c>
    </row>
    <row r="3021" spans="1:12" x14ac:dyDescent="0.3">
      <c r="A3021" s="2">
        <v>39538</v>
      </c>
      <c r="B3021" t="s">
        <v>13</v>
      </c>
      <c r="D3021" s="2">
        <v>40269</v>
      </c>
      <c r="E3021">
        <v>5</v>
      </c>
      <c r="G3021" s="2">
        <v>40269</v>
      </c>
      <c r="H3021">
        <v>5.1529999999999996</v>
      </c>
      <c r="J3021" s="2">
        <v>40276</v>
      </c>
      <c r="K3021" s="3">
        <f t="shared" si="94"/>
        <v>5</v>
      </c>
      <c r="L3021" s="3">
        <f t="shared" si="95"/>
        <v>5.1840000000000002</v>
      </c>
    </row>
    <row r="3022" spans="1:12" x14ac:dyDescent="0.3">
      <c r="A3022" s="2">
        <v>39539</v>
      </c>
      <c r="B3022" t="s">
        <v>13</v>
      </c>
      <c r="D3022" s="2">
        <v>40270</v>
      </c>
      <c r="E3022">
        <v>5</v>
      </c>
      <c r="G3022" s="2">
        <v>40270</v>
      </c>
      <c r="H3022">
        <v>5.1529999999999996</v>
      </c>
      <c r="J3022" s="2">
        <v>40277</v>
      </c>
      <c r="K3022" s="3">
        <f t="shared" si="94"/>
        <v>5</v>
      </c>
      <c r="L3022" s="3">
        <f t="shared" si="95"/>
        <v>5.2960000000000003</v>
      </c>
    </row>
    <row r="3023" spans="1:12" x14ac:dyDescent="0.3">
      <c r="A3023" s="2">
        <v>39540</v>
      </c>
      <c r="B3023" t="s">
        <v>13</v>
      </c>
      <c r="D3023" s="2">
        <v>40271</v>
      </c>
      <c r="E3023">
        <v>5</v>
      </c>
      <c r="G3023" s="2">
        <v>40271</v>
      </c>
      <c r="H3023">
        <v>5.1529999999999996</v>
      </c>
      <c r="J3023" s="2">
        <v>40278</v>
      </c>
      <c r="K3023" s="3">
        <f t="shared" si="94"/>
        <v>5</v>
      </c>
      <c r="L3023" s="3">
        <f t="shared" si="95"/>
        <v>5.2960000000000003</v>
      </c>
    </row>
    <row r="3024" spans="1:12" x14ac:dyDescent="0.3">
      <c r="A3024" s="2">
        <v>39541</v>
      </c>
      <c r="B3024" t="s">
        <v>13</v>
      </c>
      <c r="D3024" s="2">
        <v>40272</v>
      </c>
      <c r="E3024">
        <v>5</v>
      </c>
      <c r="G3024" s="2">
        <v>40272</v>
      </c>
      <c r="H3024">
        <v>5.1529999999999996</v>
      </c>
      <c r="J3024" s="2">
        <v>40279</v>
      </c>
      <c r="K3024" s="3">
        <f t="shared" si="94"/>
        <v>5</v>
      </c>
      <c r="L3024" s="3">
        <f t="shared" si="95"/>
        <v>5.2960000000000003</v>
      </c>
    </row>
    <row r="3025" spans="1:12" x14ac:dyDescent="0.3">
      <c r="A3025" s="2">
        <v>39542</v>
      </c>
      <c r="B3025" t="s">
        <v>13</v>
      </c>
      <c r="D3025" s="2">
        <v>40273</v>
      </c>
      <c r="E3025">
        <v>5</v>
      </c>
      <c r="G3025" s="2">
        <v>40273</v>
      </c>
      <c r="H3025">
        <v>5.226</v>
      </c>
      <c r="J3025" s="2">
        <v>40280</v>
      </c>
      <c r="K3025" s="3">
        <f t="shared" si="94"/>
        <v>5</v>
      </c>
      <c r="L3025" s="3">
        <f t="shared" si="95"/>
        <v>5.2910000000000004</v>
      </c>
    </row>
    <row r="3026" spans="1:12" x14ac:dyDescent="0.3">
      <c r="A3026" s="2">
        <v>39543</v>
      </c>
      <c r="B3026" t="s">
        <v>13</v>
      </c>
      <c r="D3026" s="2">
        <v>40274</v>
      </c>
      <c r="E3026">
        <v>5</v>
      </c>
      <c r="G3026" s="2">
        <v>40274</v>
      </c>
      <c r="H3026">
        <v>5.22</v>
      </c>
      <c r="J3026" s="2">
        <v>40281</v>
      </c>
      <c r="K3026" s="3">
        <f t="shared" si="94"/>
        <v>5</v>
      </c>
      <c r="L3026" s="3">
        <f t="shared" si="95"/>
        <v>5.2779999999999996</v>
      </c>
    </row>
    <row r="3027" spans="1:12" x14ac:dyDescent="0.3">
      <c r="A3027" s="2">
        <v>39544</v>
      </c>
      <c r="B3027" t="s">
        <v>13</v>
      </c>
      <c r="D3027" s="2">
        <v>40275</v>
      </c>
      <c r="E3027">
        <v>5</v>
      </c>
      <c r="G3027" s="2">
        <v>40275</v>
      </c>
      <c r="H3027">
        <v>5.1929999999999996</v>
      </c>
      <c r="J3027" s="2">
        <v>40282</v>
      </c>
      <c r="K3027" s="3">
        <f t="shared" si="94"/>
        <v>5</v>
      </c>
      <c r="L3027" s="3">
        <f t="shared" si="95"/>
        <v>5.2779999999999996</v>
      </c>
    </row>
    <row r="3028" spans="1:12" x14ac:dyDescent="0.3">
      <c r="A3028" s="2">
        <v>39545</v>
      </c>
      <c r="B3028" t="s">
        <v>13</v>
      </c>
      <c r="D3028" s="2">
        <v>40276</v>
      </c>
      <c r="E3028">
        <v>5</v>
      </c>
      <c r="G3028" s="2">
        <v>40276</v>
      </c>
      <c r="H3028">
        <v>5.1840000000000002</v>
      </c>
      <c r="J3028" s="2">
        <v>40283</v>
      </c>
      <c r="K3028" s="3">
        <f t="shared" si="94"/>
        <v>5</v>
      </c>
      <c r="L3028" s="3">
        <f t="shared" si="95"/>
        <v>5.4619999999999997</v>
      </c>
    </row>
    <row r="3029" spans="1:12" x14ac:dyDescent="0.3">
      <c r="A3029" s="2">
        <v>39546</v>
      </c>
      <c r="B3029" t="s">
        <v>13</v>
      </c>
      <c r="D3029" s="2">
        <v>40277</v>
      </c>
      <c r="E3029">
        <v>5</v>
      </c>
      <c r="G3029" s="2">
        <v>40277</v>
      </c>
      <c r="H3029">
        <v>5.2960000000000003</v>
      </c>
      <c r="J3029" s="2">
        <v>40284</v>
      </c>
      <c r="K3029" s="3">
        <f t="shared" si="94"/>
        <v>5</v>
      </c>
      <c r="L3029" s="3">
        <f t="shared" si="95"/>
        <v>5.415</v>
      </c>
    </row>
    <row r="3030" spans="1:12" x14ac:dyDescent="0.3">
      <c r="A3030" s="2">
        <v>39547</v>
      </c>
      <c r="B3030" t="s">
        <v>13</v>
      </c>
      <c r="D3030" s="2">
        <v>40278</v>
      </c>
      <c r="E3030">
        <v>5</v>
      </c>
      <c r="G3030" s="2">
        <v>40278</v>
      </c>
      <c r="H3030">
        <v>5.2960000000000003</v>
      </c>
      <c r="J3030" s="2">
        <v>40285</v>
      </c>
      <c r="K3030" s="3">
        <f t="shared" si="94"/>
        <v>5</v>
      </c>
      <c r="L3030" s="3">
        <f t="shared" si="95"/>
        <v>5.415</v>
      </c>
    </row>
    <row r="3031" spans="1:12" x14ac:dyDescent="0.3">
      <c r="A3031" s="2">
        <v>39548</v>
      </c>
      <c r="B3031" t="s">
        <v>13</v>
      </c>
      <c r="D3031" s="2">
        <v>40279</v>
      </c>
      <c r="E3031">
        <v>5</v>
      </c>
      <c r="G3031" s="2">
        <v>40279</v>
      </c>
      <c r="H3031">
        <v>5.2960000000000003</v>
      </c>
      <c r="J3031" s="2">
        <v>40286</v>
      </c>
      <c r="K3031" s="3">
        <f t="shared" si="94"/>
        <v>5</v>
      </c>
      <c r="L3031" s="3">
        <f t="shared" si="95"/>
        <v>5.415</v>
      </c>
    </row>
    <row r="3032" spans="1:12" x14ac:dyDescent="0.3">
      <c r="A3032" s="2">
        <v>39549</v>
      </c>
      <c r="B3032" t="s">
        <v>13</v>
      </c>
      <c r="D3032" s="2">
        <v>40280</v>
      </c>
      <c r="E3032">
        <v>5</v>
      </c>
      <c r="G3032" s="2">
        <v>40280</v>
      </c>
      <c r="H3032">
        <v>5.2910000000000004</v>
      </c>
      <c r="J3032" s="2">
        <v>40287</v>
      </c>
      <c r="K3032" s="3">
        <f t="shared" si="94"/>
        <v>5</v>
      </c>
      <c r="L3032" s="3">
        <f t="shared" si="95"/>
        <v>5.4930000000000003</v>
      </c>
    </row>
    <row r="3033" spans="1:12" x14ac:dyDescent="0.3">
      <c r="A3033" s="2">
        <v>39550</v>
      </c>
      <c r="B3033" t="s">
        <v>13</v>
      </c>
      <c r="D3033" s="2">
        <v>40281</v>
      </c>
      <c r="E3033">
        <v>5</v>
      </c>
      <c r="G3033" s="2">
        <v>40281</v>
      </c>
      <c r="H3033">
        <v>5.2779999999999996</v>
      </c>
      <c r="J3033" s="2">
        <v>40288</v>
      </c>
      <c r="K3033" s="3">
        <f t="shared" si="94"/>
        <v>5.25</v>
      </c>
      <c r="L3033" s="3">
        <f t="shared" si="95"/>
        <v>5.351</v>
      </c>
    </row>
    <row r="3034" spans="1:12" x14ac:dyDescent="0.3">
      <c r="A3034" s="2">
        <v>39551</v>
      </c>
      <c r="B3034" t="s">
        <v>13</v>
      </c>
      <c r="D3034" s="2">
        <v>40282</v>
      </c>
      <c r="E3034">
        <v>5</v>
      </c>
      <c r="G3034" s="2">
        <v>40282</v>
      </c>
      <c r="H3034">
        <v>5.2779999999999996</v>
      </c>
      <c r="J3034" s="2">
        <v>40289</v>
      </c>
      <c r="K3034" s="3">
        <f t="shared" si="94"/>
        <v>5.25</v>
      </c>
      <c r="L3034" s="3">
        <f t="shared" si="95"/>
        <v>5.319</v>
      </c>
    </row>
    <row r="3035" spans="1:12" x14ac:dyDescent="0.3">
      <c r="A3035" s="2">
        <v>39552</v>
      </c>
      <c r="B3035" t="s">
        <v>13</v>
      </c>
      <c r="D3035" s="2">
        <v>40283</v>
      </c>
      <c r="E3035">
        <v>5</v>
      </c>
      <c r="G3035" s="2">
        <v>40283</v>
      </c>
      <c r="H3035">
        <v>5.4619999999999997</v>
      </c>
      <c r="J3035" s="2">
        <v>40290</v>
      </c>
      <c r="K3035" s="3">
        <f t="shared" si="94"/>
        <v>5.25</v>
      </c>
      <c r="L3035" s="3">
        <f t="shared" si="95"/>
        <v>5.2619999999999996</v>
      </c>
    </row>
    <row r="3036" spans="1:12" x14ac:dyDescent="0.3">
      <c r="A3036" s="2">
        <v>39553</v>
      </c>
      <c r="B3036" t="s">
        <v>13</v>
      </c>
      <c r="D3036" s="2">
        <v>40284</v>
      </c>
      <c r="E3036">
        <v>5</v>
      </c>
      <c r="G3036" s="2">
        <v>40284</v>
      </c>
      <c r="H3036">
        <v>5.415</v>
      </c>
      <c r="J3036" s="2">
        <v>40291</v>
      </c>
      <c r="K3036" s="3">
        <f t="shared" si="94"/>
        <v>5.25</v>
      </c>
      <c r="L3036" s="3">
        <f t="shared" si="95"/>
        <v>5.2859999999999996</v>
      </c>
    </row>
    <row r="3037" spans="1:12" x14ac:dyDescent="0.3">
      <c r="A3037" s="2">
        <v>39554</v>
      </c>
      <c r="B3037" t="s">
        <v>13</v>
      </c>
      <c r="D3037" s="2">
        <v>40285</v>
      </c>
      <c r="E3037">
        <v>5</v>
      </c>
      <c r="G3037" s="2">
        <v>40285</v>
      </c>
      <c r="H3037">
        <v>5.415</v>
      </c>
      <c r="J3037" s="2">
        <v>40292</v>
      </c>
      <c r="K3037" s="3">
        <f t="shared" si="94"/>
        <v>5.25</v>
      </c>
      <c r="L3037" s="3">
        <f t="shared" si="95"/>
        <v>5.2859999999999996</v>
      </c>
    </row>
    <row r="3038" spans="1:12" x14ac:dyDescent="0.3">
      <c r="A3038" s="2">
        <v>39555</v>
      </c>
      <c r="B3038" t="s">
        <v>13</v>
      </c>
      <c r="D3038" s="2">
        <v>40286</v>
      </c>
      <c r="E3038">
        <v>5</v>
      </c>
      <c r="G3038" s="2">
        <v>40286</v>
      </c>
      <c r="H3038">
        <v>5.415</v>
      </c>
      <c r="J3038" s="2">
        <v>40293</v>
      </c>
      <c r="K3038" s="3">
        <f t="shared" si="94"/>
        <v>5.25</v>
      </c>
      <c r="L3038" s="3">
        <f t="shared" si="95"/>
        <v>5.2859999999999996</v>
      </c>
    </row>
    <row r="3039" spans="1:12" x14ac:dyDescent="0.3">
      <c r="A3039" s="2">
        <v>39556</v>
      </c>
      <c r="B3039" t="s">
        <v>13</v>
      </c>
      <c r="D3039" s="2">
        <v>40287</v>
      </c>
      <c r="E3039">
        <v>5</v>
      </c>
      <c r="G3039" s="2">
        <v>40287</v>
      </c>
      <c r="H3039">
        <v>5.4930000000000003</v>
      </c>
      <c r="J3039" s="2">
        <v>40294</v>
      </c>
      <c r="K3039" s="3">
        <f t="shared" si="94"/>
        <v>5.25</v>
      </c>
      <c r="L3039" s="3">
        <f t="shared" si="95"/>
        <v>5.2880000000000003</v>
      </c>
    </row>
    <row r="3040" spans="1:12" x14ac:dyDescent="0.3">
      <c r="A3040" s="2">
        <v>39557</v>
      </c>
      <c r="B3040" t="s">
        <v>13</v>
      </c>
      <c r="D3040" s="2">
        <v>40288</v>
      </c>
      <c r="E3040">
        <v>5.25</v>
      </c>
      <c r="G3040" s="2">
        <v>40288</v>
      </c>
      <c r="H3040">
        <v>5.351</v>
      </c>
      <c r="J3040" s="2">
        <v>40295</v>
      </c>
      <c r="K3040" s="3">
        <f t="shared" si="94"/>
        <v>5.25</v>
      </c>
      <c r="L3040" s="3">
        <f t="shared" si="95"/>
        <v>5.2869999999999999</v>
      </c>
    </row>
    <row r="3041" spans="1:12" x14ac:dyDescent="0.3">
      <c r="A3041" s="2">
        <v>39558</v>
      </c>
      <c r="B3041" t="s">
        <v>13</v>
      </c>
      <c r="D3041" s="2">
        <v>40289</v>
      </c>
      <c r="E3041">
        <v>5.25</v>
      </c>
      <c r="G3041" s="2">
        <v>40289</v>
      </c>
      <c r="H3041">
        <v>5.319</v>
      </c>
      <c r="J3041" s="2">
        <v>40296</v>
      </c>
      <c r="K3041" s="3">
        <f t="shared" si="94"/>
        <v>5.25</v>
      </c>
      <c r="L3041" s="3">
        <f t="shared" si="95"/>
        <v>5.2549999999999999</v>
      </c>
    </row>
    <row r="3042" spans="1:12" x14ac:dyDescent="0.3">
      <c r="A3042" s="2">
        <v>39559</v>
      </c>
      <c r="B3042" t="s">
        <v>13</v>
      </c>
      <c r="D3042" s="2">
        <v>40290</v>
      </c>
      <c r="E3042">
        <v>5.25</v>
      </c>
      <c r="G3042" s="2">
        <v>40290</v>
      </c>
      <c r="H3042">
        <v>5.2619999999999996</v>
      </c>
      <c r="J3042" s="2">
        <v>40297</v>
      </c>
      <c r="K3042" s="3">
        <f t="shared" si="94"/>
        <v>5.25</v>
      </c>
      <c r="L3042" s="3">
        <f t="shared" si="95"/>
        <v>5.2359999999999998</v>
      </c>
    </row>
    <row r="3043" spans="1:12" x14ac:dyDescent="0.3">
      <c r="A3043" s="2">
        <v>39560</v>
      </c>
      <c r="B3043" t="s">
        <v>13</v>
      </c>
      <c r="D3043" s="2">
        <v>40291</v>
      </c>
      <c r="E3043">
        <v>5.25</v>
      </c>
      <c r="G3043" s="2">
        <v>40291</v>
      </c>
      <c r="H3043">
        <v>5.2859999999999996</v>
      </c>
      <c r="J3043" s="2">
        <v>40298</v>
      </c>
      <c r="K3043" s="3">
        <f t="shared" si="94"/>
        <v>5.25</v>
      </c>
      <c r="L3043" s="3">
        <f t="shared" si="95"/>
        <v>5.2190000000000003</v>
      </c>
    </row>
    <row r="3044" spans="1:12" x14ac:dyDescent="0.3">
      <c r="A3044" s="2">
        <v>39561</v>
      </c>
      <c r="B3044" t="s">
        <v>13</v>
      </c>
      <c r="D3044" s="2">
        <v>40292</v>
      </c>
      <c r="E3044">
        <v>5.25</v>
      </c>
      <c r="G3044" s="2">
        <v>40292</v>
      </c>
      <c r="H3044">
        <v>5.2859999999999996</v>
      </c>
      <c r="J3044" s="2">
        <v>40299</v>
      </c>
      <c r="K3044" s="3">
        <f t="shared" si="94"/>
        <v>5.25</v>
      </c>
      <c r="L3044" s="3">
        <f t="shared" si="95"/>
        <v>5.2190000000000003</v>
      </c>
    </row>
    <row r="3045" spans="1:12" x14ac:dyDescent="0.3">
      <c r="A3045" s="2">
        <v>39562</v>
      </c>
      <c r="B3045" t="s">
        <v>13</v>
      </c>
      <c r="D3045" s="2">
        <v>40293</v>
      </c>
      <c r="E3045">
        <v>5.25</v>
      </c>
      <c r="G3045" s="2">
        <v>40293</v>
      </c>
      <c r="H3045">
        <v>5.2859999999999996</v>
      </c>
      <c r="J3045" s="2">
        <v>40300</v>
      </c>
      <c r="K3045" s="3">
        <f t="shared" si="94"/>
        <v>5.25</v>
      </c>
      <c r="L3045" s="3">
        <f t="shared" si="95"/>
        <v>5.2190000000000003</v>
      </c>
    </row>
    <row r="3046" spans="1:12" x14ac:dyDescent="0.3">
      <c r="A3046" s="2">
        <v>39563</v>
      </c>
      <c r="B3046" t="s">
        <v>13</v>
      </c>
      <c r="D3046" s="2">
        <v>40294</v>
      </c>
      <c r="E3046">
        <v>5.25</v>
      </c>
      <c r="G3046" s="2">
        <v>40294</v>
      </c>
      <c r="H3046">
        <v>5.2880000000000003</v>
      </c>
      <c r="J3046" s="2">
        <v>40301</v>
      </c>
      <c r="K3046" s="3">
        <f t="shared" si="94"/>
        <v>5.25</v>
      </c>
      <c r="L3046" s="3">
        <f t="shared" si="95"/>
        <v>5.1989999999999998</v>
      </c>
    </row>
    <row r="3047" spans="1:12" x14ac:dyDescent="0.3">
      <c r="A3047" s="2">
        <v>39564</v>
      </c>
      <c r="B3047" t="s">
        <v>13</v>
      </c>
      <c r="D3047" s="2">
        <v>40295</v>
      </c>
      <c r="E3047">
        <v>5.25</v>
      </c>
      <c r="G3047" s="2">
        <v>40295</v>
      </c>
      <c r="H3047">
        <v>5.2869999999999999</v>
      </c>
      <c r="J3047" s="2">
        <v>40302</v>
      </c>
      <c r="K3047" s="3">
        <f t="shared" si="94"/>
        <v>5.25</v>
      </c>
      <c r="L3047" s="3">
        <f t="shared" si="95"/>
        <v>5.1050000000000004</v>
      </c>
    </row>
    <row r="3048" spans="1:12" x14ac:dyDescent="0.3">
      <c r="A3048" s="2">
        <v>39565</v>
      </c>
      <c r="B3048" t="s">
        <v>13</v>
      </c>
      <c r="D3048" s="2">
        <v>40296</v>
      </c>
      <c r="E3048">
        <v>5.25</v>
      </c>
      <c r="G3048" s="2">
        <v>40296</v>
      </c>
      <c r="H3048">
        <v>5.2549999999999999</v>
      </c>
      <c r="J3048" s="2">
        <v>40303</v>
      </c>
      <c r="K3048" s="3">
        <f t="shared" si="94"/>
        <v>5.25</v>
      </c>
      <c r="L3048" s="3">
        <f t="shared" si="95"/>
        <v>5.0359999999999996</v>
      </c>
    </row>
    <row r="3049" spans="1:12" x14ac:dyDescent="0.3">
      <c r="A3049" s="2">
        <v>39566</v>
      </c>
      <c r="B3049" t="s">
        <v>13</v>
      </c>
      <c r="D3049" s="2">
        <v>40297</v>
      </c>
      <c r="E3049">
        <v>5.25</v>
      </c>
      <c r="G3049" s="2">
        <v>40297</v>
      </c>
      <c r="H3049">
        <v>5.2359999999999998</v>
      </c>
      <c r="J3049" s="2">
        <v>40304</v>
      </c>
      <c r="K3049" s="3">
        <f t="shared" si="94"/>
        <v>5.25</v>
      </c>
      <c r="L3049" s="3">
        <f t="shared" si="95"/>
        <v>4.9589999999999996</v>
      </c>
    </row>
    <row r="3050" spans="1:12" x14ac:dyDescent="0.3">
      <c r="A3050" s="2">
        <v>39567</v>
      </c>
      <c r="B3050" t="s">
        <v>13</v>
      </c>
      <c r="D3050" s="2">
        <v>40298</v>
      </c>
      <c r="E3050">
        <v>5.25</v>
      </c>
      <c r="G3050" s="2">
        <v>40298</v>
      </c>
      <c r="H3050">
        <v>5.2190000000000003</v>
      </c>
      <c r="J3050" s="2">
        <v>40305</v>
      </c>
      <c r="K3050" s="3">
        <f t="shared" si="94"/>
        <v>5.25</v>
      </c>
      <c r="L3050" s="3">
        <f t="shared" si="95"/>
        <v>4.9320000000000004</v>
      </c>
    </row>
    <row r="3051" spans="1:12" x14ac:dyDescent="0.3">
      <c r="A3051" s="2">
        <v>39568</v>
      </c>
      <c r="B3051" t="s">
        <v>13</v>
      </c>
      <c r="D3051" s="2">
        <v>40299</v>
      </c>
      <c r="E3051">
        <v>5.25</v>
      </c>
      <c r="G3051" s="2">
        <v>40299</v>
      </c>
      <c r="H3051">
        <v>5.2190000000000003</v>
      </c>
      <c r="J3051" s="2">
        <v>40306</v>
      </c>
      <c r="K3051" s="3">
        <f t="shared" si="94"/>
        <v>5.25</v>
      </c>
      <c r="L3051" s="3">
        <f t="shared" si="95"/>
        <v>4.9320000000000004</v>
      </c>
    </row>
    <row r="3052" spans="1:12" x14ac:dyDescent="0.3">
      <c r="A3052" s="2">
        <v>39569</v>
      </c>
      <c r="B3052" t="s">
        <v>13</v>
      </c>
      <c r="D3052" s="2">
        <v>40300</v>
      </c>
      <c r="E3052">
        <v>5.25</v>
      </c>
      <c r="G3052" s="2">
        <v>40300</v>
      </c>
      <c r="H3052">
        <v>5.2190000000000003</v>
      </c>
      <c r="J3052" s="2">
        <v>40307</v>
      </c>
      <c r="K3052" s="3">
        <f t="shared" si="94"/>
        <v>5.25</v>
      </c>
      <c r="L3052" s="3">
        <f t="shared" si="95"/>
        <v>4.9320000000000004</v>
      </c>
    </row>
    <row r="3053" spans="1:12" x14ac:dyDescent="0.3">
      <c r="A3053" s="2">
        <v>39570</v>
      </c>
      <c r="B3053" t="s">
        <v>13</v>
      </c>
      <c r="D3053" s="2">
        <v>40301</v>
      </c>
      <c r="E3053">
        <v>5.25</v>
      </c>
      <c r="G3053" s="2">
        <v>40301</v>
      </c>
      <c r="H3053">
        <v>5.1989999999999998</v>
      </c>
      <c r="J3053" s="2">
        <v>40308</v>
      </c>
      <c r="K3053" s="3">
        <f t="shared" si="94"/>
        <v>5.25</v>
      </c>
      <c r="L3053" s="3">
        <f t="shared" si="95"/>
        <v>5.1219999999999999</v>
      </c>
    </row>
    <row r="3054" spans="1:12" x14ac:dyDescent="0.3">
      <c r="A3054" s="2">
        <v>39571</v>
      </c>
      <c r="B3054" t="s">
        <v>13</v>
      </c>
      <c r="D3054" s="2">
        <v>40302</v>
      </c>
      <c r="E3054">
        <v>5.25</v>
      </c>
      <c r="G3054" s="2">
        <v>40302</v>
      </c>
      <c r="H3054">
        <v>5.1050000000000004</v>
      </c>
      <c r="J3054" s="2">
        <v>40309</v>
      </c>
      <c r="K3054" s="3">
        <f t="shared" si="94"/>
        <v>5.25</v>
      </c>
      <c r="L3054" s="3">
        <f t="shared" si="95"/>
        <v>5.1040000000000001</v>
      </c>
    </row>
    <row r="3055" spans="1:12" x14ac:dyDescent="0.3">
      <c r="A3055" s="2">
        <v>39572</v>
      </c>
      <c r="B3055" t="s">
        <v>13</v>
      </c>
      <c r="D3055" s="2">
        <v>40303</v>
      </c>
      <c r="E3055">
        <v>5.25</v>
      </c>
      <c r="G3055" s="2">
        <v>40303</v>
      </c>
      <c r="H3055">
        <v>5.0359999999999996</v>
      </c>
      <c r="J3055" s="2">
        <v>40310</v>
      </c>
      <c r="K3055" s="3">
        <f t="shared" si="94"/>
        <v>5.25</v>
      </c>
      <c r="L3055" s="3">
        <f t="shared" si="95"/>
        <v>5.14</v>
      </c>
    </row>
    <row r="3056" spans="1:12" x14ac:dyDescent="0.3">
      <c r="A3056" s="2">
        <v>39573</v>
      </c>
      <c r="B3056" t="s">
        <v>13</v>
      </c>
      <c r="D3056" s="2">
        <v>40304</v>
      </c>
      <c r="E3056">
        <v>5.25</v>
      </c>
      <c r="G3056" s="2">
        <v>40304</v>
      </c>
      <c r="H3056">
        <v>4.9589999999999996</v>
      </c>
      <c r="J3056" s="2">
        <v>40311</v>
      </c>
      <c r="K3056" s="3">
        <f t="shared" si="94"/>
        <v>5.25</v>
      </c>
      <c r="L3056" s="3">
        <f t="shared" si="95"/>
        <v>5.12</v>
      </c>
    </row>
    <row r="3057" spans="1:12" x14ac:dyDescent="0.3">
      <c r="A3057" s="2">
        <v>39574</v>
      </c>
      <c r="B3057" t="s">
        <v>13</v>
      </c>
      <c r="D3057" s="2">
        <v>40305</v>
      </c>
      <c r="E3057">
        <v>5.25</v>
      </c>
      <c r="G3057" s="2">
        <v>40305</v>
      </c>
      <c r="H3057">
        <v>4.9320000000000004</v>
      </c>
      <c r="J3057" s="2">
        <v>40312</v>
      </c>
      <c r="K3057" s="3">
        <f t="shared" si="94"/>
        <v>5.25</v>
      </c>
      <c r="L3057" s="3">
        <f t="shared" si="95"/>
        <v>5.1139999999999999</v>
      </c>
    </row>
    <row r="3058" spans="1:12" x14ac:dyDescent="0.3">
      <c r="A3058" s="2">
        <v>39575</v>
      </c>
      <c r="B3058" t="s">
        <v>13</v>
      </c>
      <c r="D3058" s="2">
        <v>40306</v>
      </c>
      <c r="E3058">
        <v>5.25</v>
      </c>
      <c r="G3058" s="2">
        <v>40306</v>
      </c>
      <c r="H3058">
        <v>4.9320000000000004</v>
      </c>
      <c r="J3058" s="2">
        <v>40313</v>
      </c>
      <c r="K3058" s="3">
        <f t="shared" si="94"/>
        <v>5.25</v>
      </c>
      <c r="L3058" s="3">
        <f t="shared" si="95"/>
        <v>5.1139999999999999</v>
      </c>
    </row>
    <row r="3059" spans="1:12" x14ac:dyDescent="0.3">
      <c r="A3059" s="2">
        <v>39576</v>
      </c>
      <c r="B3059" t="s">
        <v>13</v>
      </c>
      <c r="D3059" s="2">
        <v>40307</v>
      </c>
      <c r="E3059">
        <v>5.25</v>
      </c>
      <c r="G3059" s="2">
        <v>40307</v>
      </c>
      <c r="H3059">
        <v>4.9320000000000004</v>
      </c>
      <c r="J3059" s="2">
        <v>40314</v>
      </c>
      <c r="K3059" s="3">
        <f t="shared" si="94"/>
        <v>5.25</v>
      </c>
      <c r="L3059" s="3">
        <f t="shared" si="95"/>
        <v>5.1139999999999999</v>
      </c>
    </row>
    <row r="3060" spans="1:12" x14ac:dyDescent="0.3">
      <c r="A3060" s="2">
        <v>39577</v>
      </c>
      <c r="B3060" t="s">
        <v>13</v>
      </c>
      <c r="D3060" s="2">
        <v>40308</v>
      </c>
      <c r="E3060">
        <v>5.25</v>
      </c>
      <c r="G3060" s="2">
        <v>40308</v>
      </c>
      <c r="H3060">
        <v>5.1219999999999999</v>
      </c>
      <c r="J3060" s="2">
        <v>40315</v>
      </c>
      <c r="K3060" s="3">
        <f t="shared" si="94"/>
        <v>5.25</v>
      </c>
      <c r="L3060" s="3">
        <f t="shared" si="95"/>
        <v>5.0650000000000004</v>
      </c>
    </row>
    <row r="3061" spans="1:12" x14ac:dyDescent="0.3">
      <c r="A3061" s="2">
        <v>39578</v>
      </c>
      <c r="B3061" t="s">
        <v>13</v>
      </c>
      <c r="D3061" s="2">
        <v>40309</v>
      </c>
      <c r="E3061">
        <v>5.25</v>
      </c>
      <c r="G3061" s="2">
        <v>40309</v>
      </c>
      <c r="H3061">
        <v>5.1040000000000001</v>
      </c>
      <c r="J3061" s="2">
        <v>40316</v>
      </c>
      <c r="K3061" s="3">
        <f t="shared" si="94"/>
        <v>5.25</v>
      </c>
      <c r="L3061" s="3">
        <f t="shared" si="95"/>
        <v>5.0990000000000002</v>
      </c>
    </row>
    <row r="3062" spans="1:12" x14ac:dyDescent="0.3">
      <c r="A3062" s="2">
        <v>39579</v>
      </c>
      <c r="B3062" t="s">
        <v>13</v>
      </c>
      <c r="D3062" s="2">
        <v>40310</v>
      </c>
      <c r="E3062">
        <v>5.25</v>
      </c>
      <c r="G3062" s="2">
        <v>40310</v>
      </c>
      <c r="H3062">
        <v>5.14</v>
      </c>
      <c r="J3062" s="2">
        <v>40317</v>
      </c>
      <c r="K3062" s="3">
        <f t="shared" si="94"/>
        <v>5.25</v>
      </c>
      <c r="L3062" s="3">
        <f t="shared" si="95"/>
        <v>5.1059999999999999</v>
      </c>
    </row>
    <row r="3063" spans="1:12" x14ac:dyDescent="0.3">
      <c r="A3063" s="2">
        <v>39580</v>
      </c>
      <c r="B3063" t="s">
        <v>13</v>
      </c>
      <c r="D3063" s="2">
        <v>40311</v>
      </c>
      <c r="E3063">
        <v>5.25</v>
      </c>
      <c r="G3063" s="2">
        <v>40311</v>
      </c>
      <c r="H3063">
        <v>5.12</v>
      </c>
      <c r="J3063" s="2">
        <v>40318</v>
      </c>
      <c r="K3063" s="3">
        <f t="shared" si="94"/>
        <v>5.25</v>
      </c>
      <c r="L3063" s="3">
        <f t="shared" si="95"/>
        <v>5.0869999999999997</v>
      </c>
    </row>
    <row r="3064" spans="1:12" x14ac:dyDescent="0.3">
      <c r="A3064" s="2">
        <v>39581</v>
      </c>
      <c r="B3064" t="s">
        <v>13</v>
      </c>
      <c r="D3064" s="2">
        <v>40312</v>
      </c>
      <c r="E3064">
        <v>5.25</v>
      </c>
      <c r="G3064" s="2">
        <v>40312</v>
      </c>
      <c r="H3064">
        <v>5.1139999999999999</v>
      </c>
      <c r="J3064" s="2">
        <v>40319</v>
      </c>
      <c r="K3064" s="3">
        <f t="shared" si="94"/>
        <v>5.25</v>
      </c>
      <c r="L3064" s="3">
        <f t="shared" si="95"/>
        <v>5.1189999999999998</v>
      </c>
    </row>
    <row r="3065" spans="1:12" x14ac:dyDescent="0.3">
      <c r="A3065" s="2">
        <v>39582</v>
      </c>
      <c r="B3065" t="s">
        <v>13</v>
      </c>
      <c r="D3065" s="2">
        <v>40313</v>
      </c>
      <c r="E3065">
        <v>5.25</v>
      </c>
      <c r="G3065" s="2">
        <v>40313</v>
      </c>
      <c r="H3065">
        <v>5.1139999999999999</v>
      </c>
      <c r="J3065" s="2">
        <v>40320</v>
      </c>
      <c r="K3065" s="3">
        <f t="shared" si="94"/>
        <v>5.25</v>
      </c>
      <c r="L3065" s="3">
        <f t="shared" si="95"/>
        <v>5.1189999999999998</v>
      </c>
    </row>
    <row r="3066" spans="1:12" x14ac:dyDescent="0.3">
      <c r="A3066" s="2">
        <v>39583</v>
      </c>
      <c r="B3066" t="s">
        <v>13</v>
      </c>
      <c r="D3066" s="2">
        <v>40314</v>
      </c>
      <c r="E3066">
        <v>5.25</v>
      </c>
      <c r="G3066" s="2">
        <v>40314</v>
      </c>
      <c r="H3066">
        <v>5.1139999999999999</v>
      </c>
      <c r="J3066" s="2">
        <v>40321</v>
      </c>
      <c r="K3066" s="3">
        <f t="shared" si="94"/>
        <v>5.25</v>
      </c>
      <c r="L3066" s="3">
        <f t="shared" si="95"/>
        <v>5.1189999999999998</v>
      </c>
    </row>
    <row r="3067" spans="1:12" x14ac:dyDescent="0.3">
      <c r="A3067" s="2">
        <v>39584</v>
      </c>
      <c r="B3067" t="s">
        <v>13</v>
      </c>
      <c r="D3067" s="2">
        <v>40315</v>
      </c>
      <c r="E3067">
        <v>5.25</v>
      </c>
      <c r="G3067" s="2">
        <v>40315</v>
      </c>
      <c r="H3067">
        <v>5.0650000000000004</v>
      </c>
      <c r="J3067" s="2">
        <v>40322</v>
      </c>
      <c r="K3067" s="3">
        <f t="shared" si="94"/>
        <v>5.25</v>
      </c>
      <c r="L3067" s="3">
        <f t="shared" si="95"/>
        <v>5.0819999999999999</v>
      </c>
    </row>
    <row r="3068" spans="1:12" x14ac:dyDescent="0.3">
      <c r="A3068" s="2">
        <v>39585</v>
      </c>
      <c r="B3068" t="s">
        <v>13</v>
      </c>
      <c r="D3068" s="2">
        <v>40316</v>
      </c>
      <c r="E3068">
        <v>5.25</v>
      </c>
      <c r="G3068" s="2">
        <v>40316</v>
      </c>
      <c r="H3068">
        <v>5.0990000000000002</v>
      </c>
      <c r="J3068" s="2">
        <v>40323</v>
      </c>
      <c r="K3068" s="3">
        <f t="shared" si="94"/>
        <v>5.25</v>
      </c>
      <c r="L3068" s="3">
        <f t="shared" si="95"/>
        <v>5.1109999999999998</v>
      </c>
    </row>
    <row r="3069" spans="1:12" x14ac:dyDescent="0.3">
      <c r="A3069" s="2">
        <v>39586</v>
      </c>
      <c r="B3069" t="s">
        <v>13</v>
      </c>
      <c r="D3069" s="2">
        <v>40317</v>
      </c>
      <c r="E3069">
        <v>5.25</v>
      </c>
      <c r="G3069" s="2">
        <v>40317</v>
      </c>
      <c r="H3069">
        <v>5.1059999999999999</v>
      </c>
      <c r="J3069" s="2">
        <v>40324</v>
      </c>
      <c r="K3069" s="3">
        <f t="shared" si="94"/>
        <v>5.25</v>
      </c>
      <c r="L3069" s="3">
        <f t="shared" si="95"/>
        <v>5.0869999999999997</v>
      </c>
    </row>
    <row r="3070" spans="1:12" x14ac:dyDescent="0.3">
      <c r="A3070" s="2">
        <v>39587</v>
      </c>
      <c r="B3070" t="s">
        <v>13</v>
      </c>
      <c r="D3070" s="2">
        <v>40318</v>
      </c>
      <c r="E3070">
        <v>5.25</v>
      </c>
      <c r="G3070" s="2">
        <v>40318</v>
      </c>
      <c r="H3070">
        <v>5.0869999999999997</v>
      </c>
      <c r="J3070" s="2">
        <v>40325</v>
      </c>
      <c r="K3070" s="3">
        <f t="shared" si="94"/>
        <v>5.25</v>
      </c>
      <c r="L3070" s="3">
        <f t="shared" si="95"/>
        <v>5.0869999999999997</v>
      </c>
    </row>
    <row r="3071" spans="1:12" x14ac:dyDescent="0.3">
      <c r="A3071" s="2">
        <v>39588</v>
      </c>
      <c r="B3071" t="s">
        <v>13</v>
      </c>
      <c r="D3071" s="2">
        <v>40319</v>
      </c>
      <c r="E3071">
        <v>5.25</v>
      </c>
      <c r="G3071" s="2">
        <v>40319</v>
      </c>
      <c r="H3071">
        <v>5.1189999999999998</v>
      </c>
      <c r="J3071" s="2">
        <v>40326</v>
      </c>
      <c r="K3071" s="3">
        <f t="shared" si="94"/>
        <v>5.25</v>
      </c>
      <c r="L3071" s="3">
        <f t="shared" si="95"/>
        <v>5.0949999999999998</v>
      </c>
    </row>
    <row r="3072" spans="1:12" x14ac:dyDescent="0.3">
      <c r="A3072" s="2">
        <v>39589</v>
      </c>
      <c r="B3072" t="s">
        <v>13</v>
      </c>
      <c r="D3072" s="2">
        <v>40320</v>
      </c>
      <c r="E3072">
        <v>5.25</v>
      </c>
      <c r="G3072" s="2">
        <v>40320</v>
      </c>
      <c r="H3072">
        <v>5.1189999999999998</v>
      </c>
      <c r="J3072" s="2">
        <v>40327</v>
      </c>
      <c r="K3072" s="3">
        <f t="shared" si="94"/>
        <v>5.25</v>
      </c>
      <c r="L3072" s="3">
        <f t="shared" si="95"/>
        <v>5.0949999999999998</v>
      </c>
    </row>
    <row r="3073" spans="1:12" x14ac:dyDescent="0.3">
      <c r="A3073" s="2">
        <v>39590</v>
      </c>
      <c r="B3073" t="s">
        <v>13</v>
      </c>
      <c r="D3073" s="2">
        <v>40321</v>
      </c>
      <c r="E3073">
        <v>5.25</v>
      </c>
      <c r="G3073" s="2">
        <v>40321</v>
      </c>
      <c r="H3073">
        <v>5.1189999999999998</v>
      </c>
      <c r="J3073" s="2">
        <v>40328</v>
      </c>
      <c r="K3073" s="3">
        <f t="shared" si="94"/>
        <v>5.25</v>
      </c>
      <c r="L3073" s="3">
        <f t="shared" si="95"/>
        <v>5.0949999999999998</v>
      </c>
    </row>
    <row r="3074" spans="1:12" x14ac:dyDescent="0.3">
      <c r="A3074" s="2">
        <v>39591</v>
      </c>
      <c r="B3074" t="s">
        <v>13</v>
      </c>
      <c r="D3074" s="2">
        <v>40322</v>
      </c>
      <c r="E3074">
        <v>5.25</v>
      </c>
      <c r="G3074" s="2">
        <v>40322</v>
      </c>
      <c r="H3074">
        <v>5.0819999999999999</v>
      </c>
      <c r="J3074" s="2">
        <v>40329</v>
      </c>
      <c r="K3074" s="3">
        <f t="shared" si="94"/>
        <v>5.25</v>
      </c>
      <c r="L3074" s="3">
        <f t="shared" si="95"/>
        <v>5.1050000000000004</v>
      </c>
    </row>
    <row r="3075" spans="1:12" x14ac:dyDescent="0.3">
      <c r="A3075" s="2">
        <v>39592</v>
      </c>
      <c r="B3075" t="s">
        <v>13</v>
      </c>
      <c r="D3075" s="2">
        <v>40323</v>
      </c>
      <c r="E3075">
        <v>5.25</v>
      </c>
      <c r="G3075" s="2">
        <v>40323</v>
      </c>
      <c r="H3075">
        <v>5.1109999999999998</v>
      </c>
      <c r="J3075" s="2">
        <v>40330</v>
      </c>
      <c r="K3075" s="3">
        <f t="shared" ref="K3075:K3138" si="96">E3082</f>
        <v>5.25</v>
      </c>
      <c r="L3075" s="3">
        <f t="shared" ref="L3075:L3138" si="97">H3082</f>
        <v>5.1349999999999998</v>
      </c>
    </row>
    <row r="3076" spans="1:12" x14ac:dyDescent="0.3">
      <c r="A3076" s="2">
        <v>39593</v>
      </c>
      <c r="B3076" t="s">
        <v>13</v>
      </c>
      <c r="D3076" s="2">
        <v>40324</v>
      </c>
      <c r="E3076">
        <v>5.25</v>
      </c>
      <c r="G3076" s="2">
        <v>40324</v>
      </c>
      <c r="H3076">
        <v>5.0869999999999997</v>
      </c>
      <c r="J3076" s="2">
        <v>40331</v>
      </c>
      <c r="K3076" s="3">
        <f t="shared" si="96"/>
        <v>5.25</v>
      </c>
      <c r="L3076" s="3">
        <f t="shared" si="97"/>
        <v>5.0869999999999997</v>
      </c>
    </row>
    <row r="3077" spans="1:12" x14ac:dyDescent="0.3">
      <c r="A3077" s="2">
        <v>39594</v>
      </c>
      <c r="B3077" t="s">
        <v>13</v>
      </c>
      <c r="D3077" s="2">
        <v>40325</v>
      </c>
      <c r="E3077">
        <v>5.25</v>
      </c>
      <c r="G3077" s="2">
        <v>40325</v>
      </c>
      <c r="H3077">
        <v>5.0869999999999997</v>
      </c>
      <c r="J3077" s="2">
        <v>40332</v>
      </c>
      <c r="K3077" s="3">
        <f t="shared" si="96"/>
        <v>5.25</v>
      </c>
      <c r="L3077" s="3">
        <f t="shared" si="97"/>
        <v>5.09</v>
      </c>
    </row>
    <row r="3078" spans="1:12" x14ac:dyDescent="0.3">
      <c r="A3078" s="2">
        <v>39595</v>
      </c>
      <c r="B3078" t="s">
        <v>13</v>
      </c>
      <c r="D3078" s="2">
        <v>40326</v>
      </c>
      <c r="E3078">
        <v>5.25</v>
      </c>
      <c r="G3078" s="2">
        <v>40326</v>
      </c>
      <c r="H3078">
        <v>5.0949999999999998</v>
      </c>
      <c r="J3078" s="2">
        <v>40333</v>
      </c>
      <c r="K3078" s="3">
        <f t="shared" si="96"/>
        <v>5.25</v>
      </c>
      <c r="L3078" s="3">
        <f t="shared" si="97"/>
        <v>5.0609999999999999</v>
      </c>
    </row>
    <row r="3079" spans="1:12" x14ac:dyDescent="0.3">
      <c r="A3079" s="2">
        <v>39596</v>
      </c>
      <c r="B3079" t="s">
        <v>13</v>
      </c>
      <c r="D3079" s="2">
        <v>40327</v>
      </c>
      <c r="E3079">
        <v>5.25</v>
      </c>
      <c r="G3079" s="2">
        <v>40327</v>
      </c>
      <c r="H3079">
        <v>5.0949999999999998</v>
      </c>
      <c r="J3079" s="2">
        <v>40334</v>
      </c>
      <c r="K3079" s="3">
        <f t="shared" si="96"/>
        <v>5.25</v>
      </c>
      <c r="L3079" s="3">
        <f t="shared" si="97"/>
        <v>5.0609999999999999</v>
      </c>
    </row>
    <row r="3080" spans="1:12" x14ac:dyDescent="0.3">
      <c r="A3080" s="2">
        <v>39597</v>
      </c>
      <c r="B3080" t="s">
        <v>13</v>
      </c>
      <c r="D3080" s="2">
        <v>40328</v>
      </c>
      <c r="E3080">
        <v>5.25</v>
      </c>
      <c r="G3080" s="2">
        <v>40328</v>
      </c>
      <c r="H3080">
        <v>5.0949999999999998</v>
      </c>
      <c r="J3080" s="2">
        <v>40335</v>
      </c>
      <c r="K3080" s="3">
        <f t="shared" si="96"/>
        <v>5.25</v>
      </c>
      <c r="L3080" s="3">
        <f t="shared" si="97"/>
        <v>5.0609999999999999</v>
      </c>
    </row>
    <row r="3081" spans="1:12" x14ac:dyDescent="0.3">
      <c r="A3081" s="2">
        <v>39598</v>
      </c>
      <c r="B3081" t="s">
        <v>13</v>
      </c>
      <c r="D3081" s="2">
        <v>40329</v>
      </c>
      <c r="E3081">
        <v>5.25</v>
      </c>
      <c r="G3081" s="2">
        <v>40329</v>
      </c>
      <c r="H3081">
        <v>5.1050000000000004</v>
      </c>
      <c r="J3081" s="2">
        <v>40336</v>
      </c>
      <c r="K3081" s="3">
        <f t="shared" si="96"/>
        <v>5.25</v>
      </c>
      <c r="L3081" s="3">
        <f t="shared" si="97"/>
        <v>5.0460000000000003</v>
      </c>
    </row>
    <row r="3082" spans="1:12" x14ac:dyDescent="0.3">
      <c r="A3082" s="2">
        <v>39599</v>
      </c>
      <c r="B3082" t="s">
        <v>13</v>
      </c>
      <c r="D3082" s="2">
        <v>40330</v>
      </c>
      <c r="E3082">
        <v>5.25</v>
      </c>
      <c r="G3082" s="2">
        <v>40330</v>
      </c>
      <c r="H3082">
        <v>5.1349999999999998</v>
      </c>
      <c r="J3082" s="2">
        <v>40337</v>
      </c>
      <c r="K3082" s="3">
        <f t="shared" si="96"/>
        <v>5.25</v>
      </c>
      <c r="L3082" s="3">
        <f t="shared" si="97"/>
        <v>5.1210000000000004</v>
      </c>
    </row>
    <row r="3083" spans="1:12" x14ac:dyDescent="0.3">
      <c r="A3083" s="2">
        <v>39600</v>
      </c>
      <c r="B3083" t="s">
        <v>13</v>
      </c>
      <c r="D3083" s="2">
        <v>40331</v>
      </c>
      <c r="E3083">
        <v>5.25</v>
      </c>
      <c r="G3083" s="2">
        <v>40331</v>
      </c>
      <c r="H3083">
        <v>5.0869999999999997</v>
      </c>
      <c r="J3083" s="2">
        <v>40338</v>
      </c>
      <c r="K3083" s="3">
        <f t="shared" si="96"/>
        <v>5.25</v>
      </c>
      <c r="L3083" s="3">
        <f t="shared" si="97"/>
        <v>5.0590000000000002</v>
      </c>
    </row>
    <row r="3084" spans="1:12" x14ac:dyDescent="0.3">
      <c r="A3084" s="2">
        <v>39601</v>
      </c>
      <c r="B3084" t="s">
        <v>13</v>
      </c>
      <c r="D3084" s="2">
        <v>40332</v>
      </c>
      <c r="E3084">
        <v>5.25</v>
      </c>
      <c r="G3084" s="2">
        <v>40332</v>
      </c>
      <c r="H3084">
        <v>5.09</v>
      </c>
      <c r="J3084" s="2">
        <v>40339</v>
      </c>
      <c r="K3084" s="3">
        <f t="shared" si="96"/>
        <v>5.25</v>
      </c>
      <c r="L3084" s="3">
        <f t="shared" si="97"/>
        <v>5.0730000000000004</v>
      </c>
    </row>
    <row r="3085" spans="1:12" x14ac:dyDescent="0.3">
      <c r="A3085" s="2">
        <v>39602</v>
      </c>
      <c r="B3085" t="s">
        <v>13</v>
      </c>
      <c r="D3085" s="2">
        <v>40333</v>
      </c>
      <c r="E3085">
        <v>5.25</v>
      </c>
      <c r="G3085" s="2">
        <v>40333</v>
      </c>
      <c r="H3085">
        <v>5.0609999999999999</v>
      </c>
      <c r="J3085" s="2">
        <v>40340</v>
      </c>
      <c r="K3085" s="3">
        <f t="shared" si="96"/>
        <v>5.25</v>
      </c>
      <c r="L3085" s="3">
        <f t="shared" si="97"/>
        <v>5.1150000000000002</v>
      </c>
    </row>
    <row r="3086" spans="1:12" x14ac:dyDescent="0.3">
      <c r="A3086" s="2">
        <v>39603</v>
      </c>
      <c r="B3086" t="s">
        <v>13</v>
      </c>
      <c r="D3086" s="2">
        <v>40334</v>
      </c>
      <c r="E3086">
        <v>5.25</v>
      </c>
      <c r="G3086" s="2">
        <v>40334</v>
      </c>
      <c r="H3086">
        <v>5.0609999999999999</v>
      </c>
      <c r="J3086" s="2">
        <v>40341</v>
      </c>
      <c r="K3086" s="3">
        <f t="shared" si="96"/>
        <v>5.25</v>
      </c>
      <c r="L3086" s="3">
        <f t="shared" si="97"/>
        <v>5.1150000000000002</v>
      </c>
    </row>
    <row r="3087" spans="1:12" x14ac:dyDescent="0.3">
      <c r="A3087" s="2">
        <v>39604</v>
      </c>
      <c r="B3087" t="s">
        <v>13</v>
      </c>
      <c r="D3087" s="2">
        <v>40335</v>
      </c>
      <c r="E3087">
        <v>5.25</v>
      </c>
      <c r="G3087" s="2">
        <v>40335</v>
      </c>
      <c r="H3087">
        <v>5.0609999999999999</v>
      </c>
      <c r="J3087" s="2">
        <v>40342</v>
      </c>
      <c r="K3087" s="3">
        <f t="shared" si="96"/>
        <v>5.25</v>
      </c>
      <c r="L3087" s="3">
        <f t="shared" si="97"/>
        <v>5.1150000000000002</v>
      </c>
    </row>
    <row r="3088" spans="1:12" x14ac:dyDescent="0.3">
      <c r="A3088" s="2">
        <v>39605</v>
      </c>
      <c r="B3088" t="s">
        <v>13</v>
      </c>
      <c r="D3088" s="2">
        <v>40336</v>
      </c>
      <c r="E3088">
        <v>5.25</v>
      </c>
      <c r="G3088" s="2">
        <v>40336</v>
      </c>
      <c r="H3088">
        <v>5.0460000000000003</v>
      </c>
      <c r="J3088" s="2">
        <v>40343</v>
      </c>
      <c r="K3088" s="3">
        <f t="shared" si="96"/>
        <v>5.25</v>
      </c>
      <c r="L3088" s="3">
        <f t="shared" si="97"/>
        <v>5.2770000000000001</v>
      </c>
    </row>
    <row r="3089" spans="1:12" x14ac:dyDescent="0.3">
      <c r="A3089" s="2">
        <v>39606</v>
      </c>
      <c r="B3089" t="s">
        <v>13</v>
      </c>
      <c r="D3089" s="2">
        <v>40337</v>
      </c>
      <c r="E3089">
        <v>5.25</v>
      </c>
      <c r="G3089" s="2">
        <v>40337</v>
      </c>
      <c r="H3089">
        <v>5.1210000000000004</v>
      </c>
      <c r="J3089" s="2">
        <v>40344</v>
      </c>
      <c r="K3089" s="3">
        <f t="shared" si="96"/>
        <v>5.25</v>
      </c>
      <c r="L3089" s="3">
        <f t="shared" si="97"/>
        <v>5.4039999999999999</v>
      </c>
    </row>
    <row r="3090" spans="1:12" x14ac:dyDescent="0.3">
      <c r="A3090" s="2">
        <v>39607</v>
      </c>
      <c r="B3090" t="s">
        <v>13</v>
      </c>
      <c r="D3090" s="2">
        <v>40338</v>
      </c>
      <c r="E3090">
        <v>5.25</v>
      </c>
      <c r="G3090" s="2">
        <v>40338</v>
      </c>
      <c r="H3090">
        <v>5.0590000000000002</v>
      </c>
      <c r="J3090" s="2">
        <v>40345</v>
      </c>
      <c r="K3090" s="3">
        <f t="shared" si="96"/>
        <v>5.25</v>
      </c>
      <c r="L3090" s="3">
        <f t="shared" si="97"/>
        <v>5.3449999999999998</v>
      </c>
    </row>
    <row r="3091" spans="1:12" x14ac:dyDescent="0.3">
      <c r="A3091" s="2">
        <v>39608</v>
      </c>
      <c r="B3091" t="s">
        <v>13</v>
      </c>
      <c r="D3091" s="2">
        <v>40339</v>
      </c>
      <c r="E3091">
        <v>5.25</v>
      </c>
      <c r="G3091" s="2">
        <v>40339</v>
      </c>
      <c r="H3091">
        <v>5.0730000000000004</v>
      </c>
      <c r="J3091" s="2">
        <v>40346</v>
      </c>
      <c r="K3091" s="3">
        <f t="shared" si="96"/>
        <v>5.25</v>
      </c>
      <c r="L3091" s="3">
        <f t="shared" si="97"/>
        <v>5.3220000000000001</v>
      </c>
    </row>
    <row r="3092" spans="1:12" x14ac:dyDescent="0.3">
      <c r="A3092" s="2">
        <v>39609</v>
      </c>
      <c r="B3092" t="s">
        <v>13</v>
      </c>
      <c r="D3092" s="2">
        <v>40340</v>
      </c>
      <c r="E3092">
        <v>5.25</v>
      </c>
      <c r="G3092" s="2">
        <v>40340</v>
      </c>
      <c r="H3092">
        <v>5.1150000000000002</v>
      </c>
      <c r="J3092" s="2">
        <v>40347</v>
      </c>
      <c r="K3092" s="3">
        <f t="shared" si="96"/>
        <v>5.25</v>
      </c>
      <c r="L3092" s="3">
        <f t="shared" si="97"/>
        <v>5.3739999999999997</v>
      </c>
    </row>
    <row r="3093" spans="1:12" x14ac:dyDescent="0.3">
      <c r="A3093" s="2">
        <v>39610</v>
      </c>
      <c r="B3093" t="s">
        <v>13</v>
      </c>
      <c r="D3093" s="2">
        <v>40341</v>
      </c>
      <c r="E3093">
        <v>5.25</v>
      </c>
      <c r="G3093" s="2">
        <v>40341</v>
      </c>
      <c r="H3093">
        <v>5.1150000000000002</v>
      </c>
      <c r="J3093" s="2">
        <v>40348</v>
      </c>
      <c r="K3093" s="3">
        <f t="shared" si="96"/>
        <v>5.25</v>
      </c>
      <c r="L3093" s="3">
        <f t="shared" si="97"/>
        <v>5.3739999999999997</v>
      </c>
    </row>
    <row r="3094" spans="1:12" x14ac:dyDescent="0.3">
      <c r="A3094" s="2">
        <v>39611</v>
      </c>
      <c r="B3094" t="s">
        <v>13</v>
      </c>
      <c r="D3094" s="2">
        <v>40342</v>
      </c>
      <c r="E3094">
        <v>5.25</v>
      </c>
      <c r="G3094" s="2">
        <v>40342</v>
      </c>
      <c r="H3094">
        <v>5.1150000000000002</v>
      </c>
      <c r="J3094" s="2">
        <v>40349</v>
      </c>
      <c r="K3094" s="3">
        <f t="shared" si="96"/>
        <v>5.25</v>
      </c>
      <c r="L3094" s="3">
        <f t="shared" si="97"/>
        <v>5.3739999999999997</v>
      </c>
    </row>
    <row r="3095" spans="1:12" x14ac:dyDescent="0.3">
      <c r="A3095" s="2">
        <v>39612</v>
      </c>
      <c r="B3095" t="s">
        <v>13</v>
      </c>
      <c r="D3095" s="2">
        <v>40343</v>
      </c>
      <c r="E3095">
        <v>5.25</v>
      </c>
      <c r="G3095" s="2">
        <v>40343</v>
      </c>
      <c r="H3095">
        <v>5.2770000000000001</v>
      </c>
      <c r="J3095" s="2">
        <v>40350</v>
      </c>
      <c r="K3095" s="3">
        <f t="shared" si="96"/>
        <v>5.25</v>
      </c>
      <c r="L3095" s="3">
        <f t="shared" si="97"/>
        <v>5.367</v>
      </c>
    </row>
    <row r="3096" spans="1:12" x14ac:dyDescent="0.3">
      <c r="A3096" s="2">
        <v>39613</v>
      </c>
      <c r="B3096" t="s">
        <v>13</v>
      </c>
      <c r="D3096" s="2">
        <v>40344</v>
      </c>
      <c r="E3096">
        <v>5.25</v>
      </c>
      <c r="G3096" s="2">
        <v>40344</v>
      </c>
      <c r="H3096">
        <v>5.4039999999999999</v>
      </c>
      <c r="J3096" s="2">
        <v>40351</v>
      </c>
      <c r="K3096" s="3">
        <f t="shared" si="96"/>
        <v>5.25</v>
      </c>
      <c r="L3096" s="3">
        <f t="shared" si="97"/>
        <v>5.3890000000000002</v>
      </c>
    </row>
    <row r="3097" spans="1:12" x14ac:dyDescent="0.3">
      <c r="A3097" s="2">
        <v>39614</v>
      </c>
      <c r="B3097" t="s">
        <v>13</v>
      </c>
      <c r="D3097" s="2">
        <v>40345</v>
      </c>
      <c r="E3097">
        <v>5.25</v>
      </c>
      <c r="G3097" s="2">
        <v>40345</v>
      </c>
      <c r="H3097">
        <v>5.3449999999999998</v>
      </c>
      <c r="J3097" s="2">
        <v>40352</v>
      </c>
      <c r="K3097" s="3">
        <f t="shared" si="96"/>
        <v>5.25</v>
      </c>
      <c r="L3097" s="3">
        <f t="shared" si="97"/>
        <v>5.3630000000000004</v>
      </c>
    </row>
    <row r="3098" spans="1:12" x14ac:dyDescent="0.3">
      <c r="A3098" s="2">
        <v>39615</v>
      </c>
      <c r="B3098" t="s">
        <v>13</v>
      </c>
      <c r="D3098" s="2">
        <v>40346</v>
      </c>
      <c r="E3098">
        <v>5.25</v>
      </c>
      <c r="G3098" s="2">
        <v>40346</v>
      </c>
      <c r="H3098">
        <v>5.3220000000000001</v>
      </c>
      <c r="J3098" s="2">
        <v>40353</v>
      </c>
      <c r="K3098" s="3">
        <f t="shared" si="96"/>
        <v>5.25</v>
      </c>
      <c r="L3098" s="3">
        <f t="shared" si="97"/>
        <v>5.3739999999999997</v>
      </c>
    </row>
    <row r="3099" spans="1:12" x14ac:dyDescent="0.3">
      <c r="A3099" s="2">
        <v>39616</v>
      </c>
      <c r="B3099" t="s">
        <v>13</v>
      </c>
      <c r="D3099" s="2">
        <v>40347</v>
      </c>
      <c r="E3099">
        <v>5.25</v>
      </c>
      <c r="G3099" s="2">
        <v>40347</v>
      </c>
      <c r="H3099">
        <v>5.3739999999999997</v>
      </c>
      <c r="J3099" s="2">
        <v>40354</v>
      </c>
      <c r="K3099" s="3">
        <f t="shared" si="96"/>
        <v>5.25</v>
      </c>
      <c r="L3099" s="3">
        <f t="shared" si="97"/>
        <v>5.319</v>
      </c>
    </row>
    <row r="3100" spans="1:12" x14ac:dyDescent="0.3">
      <c r="A3100" s="2">
        <v>39617</v>
      </c>
      <c r="B3100" t="s">
        <v>13</v>
      </c>
      <c r="D3100" s="2">
        <v>40348</v>
      </c>
      <c r="E3100">
        <v>5.25</v>
      </c>
      <c r="G3100" s="2">
        <v>40348</v>
      </c>
      <c r="H3100">
        <v>5.3739999999999997</v>
      </c>
      <c r="J3100" s="2">
        <v>40355</v>
      </c>
      <c r="K3100" s="3">
        <f t="shared" si="96"/>
        <v>5.25</v>
      </c>
      <c r="L3100" s="3">
        <f t="shared" si="97"/>
        <v>5.319</v>
      </c>
    </row>
    <row r="3101" spans="1:12" x14ac:dyDescent="0.3">
      <c r="A3101" s="2">
        <v>39618</v>
      </c>
      <c r="B3101" t="s">
        <v>13</v>
      </c>
      <c r="D3101" s="2">
        <v>40349</v>
      </c>
      <c r="E3101">
        <v>5.25</v>
      </c>
      <c r="G3101" s="2">
        <v>40349</v>
      </c>
      <c r="H3101">
        <v>5.3739999999999997</v>
      </c>
      <c r="J3101" s="2">
        <v>40356</v>
      </c>
      <c r="K3101" s="3">
        <f t="shared" si="96"/>
        <v>5.25</v>
      </c>
      <c r="L3101" s="3">
        <f t="shared" si="97"/>
        <v>5.319</v>
      </c>
    </row>
    <row r="3102" spans="1:12" x14ac:dyDescent="0.3">
      <c r="A3102" s="2">
        <v>39619</v>
      </c>
      <c r="B3102" t="s">
        <v>13</v>
      </c>
      <c r="D3102" s="2">
        <v>40350</v>
      </c>
      <c r="E3102">
        <v>5.25</v>
      </c>
      <c r="G3102" s="2">
        <v>40350</v>
      </c>
      <c r="H3102">
        <v>5.367</v>
      </c>
      <c r="J3102" s="2">
        <v>40357</v>
      </c>
      <c r="K3102" s="3">
        <f t="shared" si="96"/>
        <v>5.25</v>
      </c>
      <c r="L3102" s="3">
        <f t="shared" si="97"/>
        <v>5.4249999999999998</v>
      </c>
    </row>
    <row r="3103" spans="1:12" x14ac:dyDescent="0.3">
      <c r="A3103" s="2">
        <v>39620</v>
      </c>
      <c r="B3103" t="s">
        <v>13</v>
      </c>
      <c r="D3103" s="2">
        <v>40351</v>
      </c>
      <c r="E3103">
        <v>5.25</v>
      </c>
      <c r="G3103" s="2">
        <v>40351</v>
      </c>
      <c r="H3103">
        <v>5.3890000000000002</v>
      </c>
      <c r="J3103" s="2">
        <v>40358</v>
      </c>
      <c r="K3103" s="3">
        <f t="shared" si="96"/>
        <v>5.25</v>
      </c>
      <c r="L3103" s="3">
        <f t="shared" si="97"/>
        <v>5.4720000000000004</v>
      </c>
    </row>
    <row r="3104" spans="1:12" x14ac:dyDescent="0.3">
      <c r="A3104" s="2">
        <v>39621</v>
      </c>
      <c r="B3104" t="s">
        <v>13</v>
      </c>
      <c r="D3104" s="2">
        <v>40352</v>
      </c>
      <c r="E3104">
        <v>5.25</v>
      </c>
      <c r="G3104" s="2">
        <v>40352</v>
      </c>
      <c r="H3104">
        <v>5.3630000000000004</v>
      </c>
      <c r="J3104" s="2">
        <v>40359</v>
      </c>
      <c r="K3104" s="3">
        <f t="shared" si="96"/>
        <v>5.25</v>
      </c>
      <c r="L3104" s="3">
        <f t="shared" si="97"/>
        <v>5.4180000000000001</v>
      </c>
    </row>
    <row r="3105" spans="1:12" x14ac:dyDescent="0.3">
      <c r="A3105" s="2">
        <v>39622</v>
      </c>
      <c r="B3105" t="s">
        <v>13</v>
      </c>
      <c r="D3105" s="2">
        <v>40353</v>
      </c>
      <c r="E3105">
        <v>5.25</v>
      </c>
      <c r="G3105" s="2">
        <v>40353</v>
      </c>
      <c r="H3105">
        <v>5.3739999999999997</v>
      </c>
      <c r="J3105" s="2">
        <v>40360</v>
      </c>
      <c r="K3105" s="3">
        <f t="shared" si="96"/>
        <v>5.25</v>
      </c>
      <c r="L3105" s="3">
        <f t="shared" si="97"/>
        <v>5.4710000000000001</v>
      </c>
    </row>
    <row r="3106" spans="1:12" x14ac:dyDescent="0.3">
      <c r="A3106" s="2">
        <v>39623</v>
      </c>
      <c r="B3106" t="s">
        <v>13</v>
      </c>
      <c r="D3106" s="2">
        <v>40354</v>
      </c>
      <c r="E3106">
        <v>5.25</v>
      </c>
      <c r="G3106" s="2">
        <v>40354</v>
      </c>
      <c r="H3106">
        <v>5.319</v>
      </c>
      <c r="J3106" s="2">
        <v>40361</v>
      </c>
      <c r="K3106" s="3">
        <f t="shared" si="96"/>
        <v>5.5</v>
      </c>
      <c r="L3106" s="3">
        <f t="shared" si="97"/>
        <v>5.3639999999999999</v>
      </c>
    </row>
    <row r="3107" spans="1:12" x14ac:dyDescent="0.3">
      <c r="A3107" s="2">
        <v>39624</v>
      </c>
      <c r="B3107" t="s">
        <v>13</v>
      </c>
      <c r="D3107" s="2">
        <v>40355</v>
      </c>
      <c r="E3107">
        <v>5.25</v>
      </c>
      <c r="G3107" s="2">
        <v>40355</v>
      </c>
      <c r="H3107">
        <v>5.319</v>
      </c>
      <c r="J3107" s="2">
        <v>40362</v>
      </c>
      <c r="K3107" s="3">
        <f t="shared" si="96"/>
        <v>5.5</v>
      </c>
      <c r="L3107" s="3">
        <f t="shared" si="97"/>
        <v>5.3639999999999999</v>
      </c>
    </row>
    <row r="3108" spans="1:12" x14ac:dyDescent="0.3">
      <c r="A3108" s="2">
        <v>39625</v>
      </c>
      <c r="B3108" t="s">
        <v>13</v>
      </c>
      <c r="D3108" s="2">
        <v>40356</v>
      </c>
      <c r="E3108">
        <v>5.25</v>
      </c>
      <c r="G3108" s="2">
        <v>40356</v>
      </c>
      <c r="H3108">
        <v>5.319</v>
      </c>
      <c r="J3108" s="2">
        <v>40363</v>
      </c>
      <c r="K3108" s="3">
        <f t="shared" si="96"/>
        <v>5.5</v>
      </c>
      <c r="L3108" s="3">
        <f t="shared" si="97"/>
        <v>5.3639999999999999</v>
      </c>
    </row>
    <row r="3109" spans="1:12" x14ac:dyDescent="0.3">
      <c r="A3109" s="2">
        <v>39626</v>
      </c>
      <c r="B3109" t="s">
        <v>13</v>
      </c>
      <c r="D3109" s="2">
        <v>40357</v>
      </c>
      <c r="E3109">
        <v>5.25</v>
      </c>
      <c r="G3109" s="2">
        <v>40357</v>
      </c>
      <c r="H3109">
        <v>5.4249999999999998</v>
      </c>
      <c r="J3109" s="2">
        <v>40364</v>
      </c>
      <c r="K3109" s="3">
        <f t="shared" si="96"/>
        <v>5.5</v>
      </c>
      <c r="L3109" s="3">
        <f t="shared" si="97"/>
        <v>5.7169999999999996</v>
      </c>
    </row>
    <row r="3110" spans="1:12" x14ac:dyDescent="0.3">
      <c r="A3110" s="2">
        <v>39627</v>
      </c>
      <c r="B3110" t="s">
        <v>13</v>
      </c>
      <c r="D3110" s="2">
        <v>40358</v>
      </c>
      <c r="E3110">
        <v>5.25</v>
      </c>
      <c r="G3110" s="2">
        <v>40358</v>
      </c>
      <c r="H3110">
        <v>5.4720000000000004</v>
      </c>
      <c r="J3110" s="2">
        <v>40365</v>
      </c>
      <c r="K3110" s="3">
        <f t="shared" si="96"/>
        <v>5.5</v>
      </c>
      <c r="L3110" s="3">
        <f t="shared" si="97"/>
        <v>5.7169999999999996</v>
      </c>
    </row>
    <row r="3111" spans="1:12" x14ac:dyDescent="0.3">
      <c r="A3111" s="2">
        <v>39628</v>
      </c>
      <c r="B3111" t="s">
        <v>13</v>
      </c>
      <c r="D3111" s="2">
        <v>40359</v>
      </c>
      <c r="E3111">
        <v>5.25</v>
      </c>
      <c r="G3111" s="2">
        <v>40359</v>
      </c>
      <c r="H3111">
        <v>5.4180000000000001</v>
      </c>
      <c r="J3111" s="2">
        <v>40366</v>
      </c>
      <c r="K3111" s="3">
        <f t="shared" si="96"/>
        <v>5.5</v>
      </c>
      <c r="L3111" s="3">
        <f t="shared" si="97"/>
        <v>5.7210000000000001</v>
      </c>
    </row>
    <row r="3112" spans="1:12" x14ac:dyDescent="0.3">
      <c r="A3112" s="2">
        <v>39629</v>
      </c>
      <c r="B3112" t="s">
        <v>13</v>
      </c>
      <c r="D3112" s="2">
        <v>40360</v>
      </c>
      <c r="E3112">
        <v>5.25</v>
      </c>
      <c r="G3112" s="2">
        <v>40360</v>
      </c>
      <c r="H3112">
        <v>5.4710000000000001</v>
      </c>
      <c r="J3112" s="2">
        <v>40367</v>
      </c>
      <c r="K3112" s="3">
        <f t="shared" si="96"/>
        <v>5.5</v>
      </c>
      <c r="L3112" s="3">
        <f t="shared" si="97"/>
        <v>5.758</v>
      </c>
    </row>
    <row r="3113" spans="1:12" x14ac:dyDescent="0.3">
      <c r="A3113" s="2">
        <v>39630</v>
      </c>
      <c r="B3113" t="s">
        <v>13</v>
      </c>
      <c r="D3113" s="2">
        <v>40361</v>
      </c>
      <c r="E3113">
        <v>5.5</v>
      </c>
      <c r="G3113" s="2">
        <v>40361</v>
      </c>
      <c r="H3113">
        <v>5.3639999999999999</v>
      </c>
      <c r="J3113" s="2">
        <v>40368</v>
      </c>
      <c r="K3113" s="3">
        <f t="shared" si="96"/>
        <v>5.5</v>
      </c>
      <c r="L3113" s="3">
        <f t="shared" si="97"/>
        <v>5.7990000000000004</v>
      </c>
    </row>
    <row r="3114" spans="1:12" x14ac:dyDescent="0.3">
      <c r="A3114" s="2">
        <v>39631</v>
      </c>
      <c r="B3114" t="s">
        <v>13</v>
      </c>
      <c r="D3114" s="2">
        <v>40362</v>
      </c>
      <c r="E3114">
        <v>5.5</v>
      </c>
      <c r="G3114" s="2">
        <v>40362</v>
      </c>
      <c r="H3114">
        <v>5.3639999999999999</v>
      </c>
      <c r="J3114" s="2">
        <v>40369</v>
      </c>
      <c r="K3114" s="3">
        <f t="shared" si="96"/>
        <v>5.5</v>
      </c>
      <c r="L3114" s="3">
        <f t="shared" si="97"/>
        <v>5.7990000000000004</v>
      </c>
    </row>
    <row r="3115" spans="1:12" x14ac:dyDescent="0.3">
      <c r="A3115" s="2">
        <v>39632</v>
      </c>
      <c r="B3115" t="s">
        <v>13</v>
      </c>
      <c r="D3115" s="2">
        <v>40363</v>
      </c>
      <c r="E3115">
        <v>5.5</v>
      </c>
      <c r="G3115" s="2">
        <v>40363</v>
      </c>
      <c r="H3115">
        <v>5.3639999999999999</v>
      </c>
      <c r="J3115" s="2">
        <v>40370</v>
      </c>
      <c r="K3115" s="3">
        <f t="shared" si="96"/>
        <v>5.5</v>
      </c>
      <c r="L3115" s="3">
        <f t="shared" si="97"/>
        <v>5.7990000000000004</v>
      </c>
    </row>
    <row r="3116" spans="1:12" x14ac:dyDescent="0.3">
      <c r="A3116" s="2">
        <v>39633</v>
      </c>
      <c r="B3116" t="s">
        <v>13</v>
      </c>
      <c r="D3116" s="2">
        <v>40364</v>
      </c>
      <c r="E3116">
        <v>5.5</v>
      </c>
      <c r="G3116" s="2">
        <v>40364</v>
      </c>
      <c r="H3116">
        <v>5.7169999999999996</v>
      </c>
      <c r="J3116" s="2">
        <v>40371</v>
      </c>
      <c r="K3116" s="3">
        <f t="shared" si="96"/>
        <v>5.5</v>
      </c>
      <c r="L3116" s="3">
        <f t="shared" si="97"/>
        <v>5.702</v>
      </c>
    </row>
    <row r="3117" spans="1:12" x14ac:dyDescent="0.3">
      <c r="A3117" s="2">
        <v>39634</v>
      </c>
      <c r="B3117" t="s">
        <v>13</v>
      </c>
      <c r="D3117" s="2">
        <v>40365</v>
      </c>
      <c r="E3117">
        <v>5.5</v>
      </c>
      <c r="G3117" s="2">
        <v>40365</v>
      </c>
      <c r="H3117">
        <v>5.7169999999999996</v>
      </c>
      <c r="J3117" s="2">
        <v>40372</v>
      </c>
      <c r="K3117" s="3">
        <f t="shared" si="96"/>
        <v>5.5</v>
      </c>
      <c r="L3117" s="3">
        <f t="shared" si="97"/>
        <v>5.7590000000000003</v>
      </c>
    </row>
    <row r="3118" spans="1:12" x14ac:dyDescent="0.3">
      <c r="A3118" s="2">
        <v>39635</v>
      </c>
      <c r="B3118" t="s">
        <v>13</v>
      </c>
      <c r="D3118" s="2">
        <v>40366</v>
      </c>
      <c r="E3118">
        <v>5.5</v>
      </c>
      <c r="G3118" s="2">
        <v>40366</v>
      </c>
      <c r="H3118">
        <v>5.7210000000000001</v>
      </c>
      <c r="J3118" s="2">
        <v>40373</v>
      </c>
      <c r="K3118" s="3">
        <f t="shared" si="96"/>
        <v>5.5</v>
      </c>
      <c r="L3118" s="3">
        <f t="shared" si="97"/>
        <v>5.7590000000000003</v>
      </c>
    </row>
    <row r="3119" spans="1:12" x14ac:dyDescent="0.3">
      <c r="A3119" s="2">
        <v>39636</v>
      </c>
      <c r="B3119" t="s">
        <v>13</v>
      </c>
      <c r="D3119" s="2">
        <v>40367</v>
      </c>
      <c r="E3119">
        <v>5.5</v>
      </c>
      <c r="G3119" s="2">
        <v>40367</v>
      </c>
      <c r="H3119">
        <v>5.758</v>
      </c>
      <c r="J3119" s="2">
        <v>40374</v>
      </c>
      <c r="K3119" s="3">
        <f t="shared" si="96"/>
        <v>5.5</v>
      </c>
      <c r="L3119" s="3">
        <f t="shared" si="97"/>
        <v>5.7690000000000001</v>
      </c>
    </row>
    <row r="3120" spans="1:12" x14ac:dyDescent="0.3">
      <c r="A3120" s="2">
        <v>39637</v>
      </c>
      <c r="B3120" t="s">
        <v>13</v>
      </c>
      <c r="D3120" s="2">
        <v>40368</v>
      </c>
      <c r="E3120">
        <v>5.5</v>
      </c>
      <c r="G3120" s="2">
        <v>40368</v>
      </c>
      <c r="H3120">
        <v>5.7990000000000004</v>
      </c>
      <c r="J3120" s="2">
        <v>40375</v>
      </c>
      <c r="K3120" s="3">
        <f t="shared" si="96"/>
        <v>5.5</v>
      </c>
      <c r="L3120" s="3">
        <f t="shared" si="97"/>
        <v>5.7220000000000004</v>
      </c>
    </row>
    <row r="3121" spans="1:12" x14ac:dyDescent="0.3">
      <c r="A3121" s="2">
        <v>39638</v>
      </c>
      <c r="B3121" t="s">
        <v>13</v>
      </c>
      <c r="D3121" s="2">
        <v>40369</v>
      </c>
      <c r="E3121">
        <v>5.5</v>
      </c>
      <c r="G3121" s="2">
        <v>40369</v>
      </c>
      <c r="H3121">
        <v>5.7990000000000004</v>
      </c>
      <c r="J3121" s="2">
        <v>40376</v>
      </c>
      <c r="K3121" s="3">
        <f t="shared" si="96"/>
        <v>5.5</v>
      </c>
      <c r="L3121" s="3">
        <f t="shared" si="97"/>
        <v>5.7220000000000004</v>
      </c>
    </row>
    <row r="3122" spans="1:12" x14ac:dyDescent="0.3">
      <c r="A3122" s="2">
        <v>39639</v>
      </c>
      <c r="B3122" t="s">
        <v>13</v>
      </c>
      <c r="D3122" s="2">
        <v>40370</v>
      </c>
      <c r="E3122">
        <v>5.5</v>
      </c>
      <c r="G3122" s="2">
        <v>40370</v>
      </c>
      <c r="H3122">
        <v>5.7990000000000004</v>
      </c>
      <c r="J3122" s="2">
        <v>40377</v>
      </c>
      <c r="K3122" s="3">
        <f t="shared" si="96"/>
        <v>5.5</v>
      </c>
      <c r="L3122" s="3">
        <f t="shared" si="97"/>
        <v>5.7220000000000004</v>
      </c>
    </row>
    <row r="3123" spans="1:12" x14ac:dyDescent="0.3">
      <c r="A3123" s="2">
        <v>39640</v>
      </c>
      <c r="B3123" t="s">
        <v>13</v>
      </c>
      <c r="D3123" s="2">
        <v>40371</v>
      </c>
      <c r="E3123">
        <v>5.5</v>
      </c>
      <c r="G3123" s="2">
        <v>40371</v>
      </c>
      <c r="H3123">
        <v>5.702</v>
      </c>
      <c r="J3123" s="2">
        <v>40378</v>
      </c>
      <c r="K3123" s="3">
        <f t="shared" si="96"/>
        <v>5.5</v>
      </c>
      <c r="L3123" s="3">
        <f t="shared" si="97"/>
        <v>5.6929999999999996</v>
      </c>
    </row>
    <row r="3124" spans="1:12" x14ac:dyDescent="0.3">
      <c r="A3124" s="2">
        <v>39641</v>
      </c>
      <c r="B3124" t="s">
        <v>13</v>
      </c>
      <c r="D3124" s="2">
        <v>40372</v>
      </c>
      <c r="E3124">
        <v>5.5</v>
      </c>
      <c r="G3124" s="2">
        <v>40372</v>
      </c>
      <c r="H3124">
        <v>5.7590000000000003</v>
      </c>
      <c r="J3124" s="2">
        <v>40379</v>
      </c>
      <c r="K3124" s="3">
        <f t="shared" si="96"/>
        <v>5.5</v>
      </c>
      <c r="L3124" s="3">
        <f t="shared" si="97"/>
        <v>5.7160000000000002</v>
      </c>
    </row>
    <row r="3125" spans="1:12" x14ac:dyDescent="0.3">
      <c r="A3125" s="2">
        <v>39642</v>
      </c>
      <c r="B3125" t="s">
        <v>13</v>
      </c>
      <c r="D3125" s="2">
        <v>40373</v>
      </c>
      <c r="E3125">
        <v>5.5</v>
      </c>
      <c r="G3125" s="2">
        <v>40373</v>
      </c>
      <c r="H3125">
        <v>5.7590000000000003</v>
      </c>
      <c r="J3125" s="2">
        <v>40380</v>
      </c>
      <c r="K3125" s="3">
        <f t="shared" si="96"/>
        <v>5.5</v>
      </c>
      <c r="L3125" s="3">
        <f t="shared" si="97"/>
        <v>5.7359999999999998</v>
      </c>
    </row>
    <row r="3126" spans="1:12" x14ac:dyDescent="0.3">
      <c r="A3126" s="2">
        <v>39643</v>
      </c>
      <c r="B3126" t="s">
        <v>13</v>
      </c>
      <c r="D3126" s="2">
        <v>40374</v>
      </c>
      <c r="E3126">
        <v>5.5</v>
      </c>
      <c r="G3126" s="2">
        <v>40374</v>
      </c>
      <c r="H3126">
        <v>5.7690000000000001</v>
      </c>
      <c r="J3126" s="2">
        <v>40381</v>
      </c>
      <c r="K3126" s="3">
        <f t="shared" si="96"/>
        <v>5.5</v>
      </c>
      <c r="L3126" s="3">
        <f t="shared" si="97"/>
        <v>5.681</v>
      </c>
    </row>
    <row r="3127" spans="1:12" x14ac:dyDescent="0.3">
      <c r="A3127" s="2">
        <v>39644</v>
      </c>
      <c r="B3127" t="s">
        <v>13</v>
      </c>
      <c r="D3127" s="2">
        <v>40375</v>
      </c>
      <c r="E3127">
        <v>5.5</v>
      </c>
      <c r="G3127" s="2">
        <v>40375</v>
      </c>
      <c r="H3127">
        <v>5.7220000000000004</v>
      </c>
      <c r="J3127" s="2">
        <v>40382</v>
      </c>
      <c r="K3127" s="3">
        <f t="shared" si="96"/>
        <v>5.5</v>
      </c>
      <c r="L3127" s="3">
        <f t="shared" si="97"/>
        <v>5.9160000000000004</v>
      </c>
    </row>
    <row r="3128" spans="1:12" x14ac:dyDescent="0.3">
      <c r="A3128" s="2">
        <v>39645</v>
      </c>
      <c r="B3128" t="s">
        <v>13</v>
      </c>
      <c r="D3128" s="2">
        <v>40376</v>
      </c>
      <c r="E3128">
        <v>5.5</v>
      </c>
      <c r="G3128" s="2">
        <v>40376</v>
      </c>
      <c r="H3128">
        <v>5.7220000000000004</v>
      </c>
      <c r="J3128" s="2">
        <v>40383</v>
      </c>
      <c r="K3128" s="3">
        <f t="shared" si="96"/>
        <v>5.5</v>
      </c>
      <c r="L3128" s="3">
        <f t="shared" si="97"/>
        <v>5.9160000000000004</v>
      </c>
    </row>
    <row r="3129" spans="1:12" x14ac:dyDescent="0.3">
      <c r="A3129" s="2">
        <v>39646</v>
      </c>
      <c r="B3129" t="s">
        <v>13</v>
      </c>
      <c r="D3129" s="2">
        <v>40377</v>
      </c>
      <c r="E3129">
        <v>5.5</v>
      </c>
      <c r="G3129" s="2">
        <v>40377</v>
      </c>
      <c r="H3129">
        <v>5.7220000000000004</v>
      </c>
      <c r="J3129" s="2">
        <v>40384</v>
      </c>
      <c r="K3129" s="3">
        <f t="shared" si="96"/>
        <v>5.5</v>
      </c>
      <c r="L3129" s="3">
        <f t="shared" si="97"/>
        <v>5.9160000000000004</v>
      </c>
    </row>
    <row r="3130" spans="1:12" x14ac:dyDescent="0.3">
      <c r="A3130" s="2">
        <v>39647</v>
      </c>
      <c r="B3130" t="s">
        <v>13</v>
      </c>
      <c r="D3130" s="2">
        <v>40378</v>
      </c>
      <c r="E3130">
        <v>5.5</v>
      </c>
      <c r="G3130" s="2">
        <v>40378</v>
      </c>
      <c r="H3130">
        <v>5.6929999999999996</v>
      </c>
      <c r="J3130" s="2">
        <v>40385</v>
      </c>
      <c r="K3130" s="3">
        <f t="shared" si="96"/>
        <v>5.5</v>
      </c>
      <c r="L3130" s="3">
        <f t="shared" si="97"/>
        <v>5.84</v>
      </c>
    </row>
    <row r="3131" spans="1:12" x14ac:dyDescent="0.3">
      <c r="A3131" s="2">
        <v>39648</v>
      </c>
      <c r="B3131" t="s">
        <v>13</v>
      </c>
      <c r="D3131" s="2">
        <v>40379</v>
      </c>
      <c r="E3131">
        <v>5.5</v>
      </c>
      <c r="G3131" s="2">
        <v>40379</v>
      </c>
      <c r="H3131">
        <v>5.7160000000000002</v>
      </c>
      <c r="J3131" s="2">
        <v>40386</v>
      </c>
      <c r="K3131" s="3">
        <f t="shared" si="96"/>
        <v>5.75</v>
      </c>
      <c r="L3131" s="3">
        <f t="shared" si="97"/>
        <v>5.8280000000000003</v>
      </c>
    </row>
    <row r="3132" spans="1:12" x14ac:dyDescent="0.3">
      <c r="A3132" s="2">
        <v>39649</v>
      </c>
      <c r="B3132" t="s">
        <v>13</v>
      </c>
      <c r="D3132" s="2">
        <v>40380</v>
      </c>
      <c r="E3132">
        <v>5.5</v>
      </c>
      <c r="G3132" s="2">
        <v>40380</v>
      </c>
      <c r="H3132">
        <v>5.7359999999999998</v>
      </c>
      <c r="J3132" s="2">
        <v>40387</v>
      </c>
      <c r="K3132" s="3">
        <f t="shared" si="96"/>
        <v>5.75</v>
      </c>
      <c r="L3132" s="3">
        <f t="shared" si="97"/>
        <v>5.8239999999999998</v>
      </c>
    </row>
    <row r="3133" spans="1:12" x14ac:dyDescent="0.3">
      <c r="A3133" s="2">
        <v>39650</v>
      </c>
      <c r="B3133" t="s">
        <v>13</v>
      </c>
      <c r="D3133" s="2">
        <v>40381</v>
      </c>
      <c r="E3133">
        <v>5.5</v>
      </c>
      <c r="G3133" s="2">
        <v>40381</v>
      </c>
      <c r="H3133">
        <v>5.681</v>
      </c>
      <c r="J3133" s="2">
        <v>40388</v>
      </c>
      <c r="K3133" s="3">
        <f t="shared" si="96"/>
        <v>5.75</v>
      </c>
      <c r="L3133" s="3">
        <f t="shared" si="97"/>
        <v>6.1369999999999996</v>
      </c>
    </row>
    <row r="3134" spans="1:12" x14ac:dyDescent="0.3">
      <c r="A3134" s="2">
        <v>39651</v>
      </c>
      <c r="B3134" t="s">
        <v>13</v>
      </c>
      <c r="D3134" s="2">
        <v>40382</v>
      </c>
      <c r="E3134">
        <v>5.5</v>
      </c>
      <c r="G3134" s="2">
        <v>40382</v>
      </c>
      <c r="H3134">
        <v>5.9160000000000004</v>
      </c>
      <c r="J3134" s="2">
        <v>40389</v>
      </c>
      <c r="K3134" s="3">
        <f t="shared" si="96"/>
        <v>5.75</v>
      </c>
      <c r="L3134" s="3">
        <f t="shared" si="97"/>
        <v>6.37</v>
      </c>
    </row>
    <row r="3135" spans="1:12" x14ac:dyDescent="0.3">
      <c r="A3135" s="2">
        <v>39652</v>
      </c>
      <c r="B3135" t="s">
        <v>13</v>
      </c>
      <c r="D3135" s="2">
        <v>40383</v>
      </c>
      <c r="E3135">
        <v>5.5</v>
      </c>
      <c r="G3135" s="2">
        <v>40383</v>
      </c>
      <c r="H3135">
        <v>5.9160000000000004</v>
      </c>
      <c r="J3135" s="2">
        <v>40390</v>
      </c>
      <c r="K3135" s="3">
        <f t="shared" si="96"/>
        <v>5.75</v>
      </c>
      <c r="L3135" s="3">
        <f t="shared" si="97"/>
        <v>6.37</v>
      </c>
    </row>
    <row r="3136" spans="1:12" x14ac:dyDescent="0.3">
      <c r="A3136" s="2">
        <v>39653</v>
      </c>
      <c r="B3136" t="s">
        <v>13</v>
      </c>
      <c r="D3136" s="2">
        <v>40384</v>
      </c>
      <c r="E3136">
        <v>5.5</v>
      </c>
      <c r="G3136" s="2">
        <v>40384</v>
      </c>
      <c r="H3136">
        <v>5.9160000000000004</v>
      </c>
      <c r="J3136" s="2">
        <v>40391</v>
      </c>
      <c r="K3136" s="3">
        <f t="shared" si="96"/>
        <v>5.75</v>
      </c>
      <c r="L3136" s="3">
        <f t="shared" si="97"/>
        <v>6.37</v>
      </c>
    </row>
    <row r="3137" spans="1:12" x14ac:dyDescent="0.3">
      <c r="A3137" s="2">
        <v>39654</v>
      </c>
      <c r="B3137" t="s">
        <v>13</v>
      </c>
      <c r="D3137" s="2">
        <v>40385</v>
      </c>
      <c r="E3137">
        <v>5.5</v>
      </c>
      <c r="G3137" s="2">
        <v>40385</v>
      </c>
      <c r="H3137">
        <v>5.84</v>
      </c>
      <c r="J3137" s="2">
        <v>40392</v>
      </c>
      <c r="K3137" s="3">
        <f t="shared" si="96"/>
        <v>5.75</v>
      </c>
      <c r="L3137" s="3">
        <f t="shared" si="97"/>
        <v>5.9160000000000004</v>
      </c>
    </row>
    <row r="3138" spans="1:12" x14ac:dyDescent="0.3">
      <c r="A3138" s="2">
        <v>39655</v>
      </c>
      <c r="B3138" t="s">
        <v>13</v>
      </c>
      <c r="D3138" s="2">
        <v>40386</v>
      </c>
      <c r="E3138">
        <v>5.75</v>
      </c>
      <c r="G3138" s="2">
        <v>40386</v>
      </c>
      <c r="H3138">
        <v>5.8280000000000003</v>
      </c>
      <c r="J3138" s="2">
        <v>40393</v>
      </c>
      <c r="K3138" s="3">
        <f t="shared" si="96"/>
        <v>5.75</v>
      </c>
      <c r="L3138" s="3">
        <f t="shared" si="97"/>
        <v>6.22</v>
      </c>
    </row>
    <row r="3139" spans="1:12" x14ac:dyDescent="0.3">
      <c r="A3139" s="2">
        <v>39656</v>
      </c>
      <c r="B3139" t="s">
        <v>13</v>
      </c>
      <c r="D3139" s="2">
        <v>40387</v>
      </c>
      <c r="E3139">
        <v>5.75</v>
      </c>
      <c r="G3139" s="2">
        <v>40387</v>
      </c>
      <c r="H3139">
        <v>5.8239999999999998</v>
      </c>
      <c r="J3139" s="2">
        <v>40394</v>
      </c>
      <c r="K3139" s="3">
        <f t="shared" ref="K3139:K3202" si="98">E3146</f>
        <v>5.75</v>
      </c>
      <c r="L3139" s="3">
        <f t="shared" ref="L3139:L3202" si="99">H3146</f>
        <v>6.32</v>
      </c>
    </row>
    <row r="3140" spans="1:12" x14ac:dyDescent="0.3">
      <c r="A3140" s="2">
        <v>39657</v>
      </c>
      <c r="B3140" t="s">
        <v>13</v>
      </c>
      <c r="D3140" s="2">
        <v>40388</v>
      </c>
      <c r="E3140">
        <v>5.75</v>
      </c>
      <c r="G3140" s="2">
        <v>40388</v>
      </c>
      <c r="H3140">
        <v>6.1369999999999996</v>
      </c>
      <c r="J3140" s="2">
        <v>40395</v>
      </c>
      <c r="K3140" s="3">
        <f t="shared" si="98"/>
        <v>5.75</v>
      </c>
      <c r="L3140" s="3">
        <f t="shared" si="99"/>
        <v>6.4710000000000001</v>
      </c>
    </row>
    <row r="3141" spans="1:12" x14ac:dyDescent="0.3">
      <c r="A3141" s="2">
        <v>39658</v>
      </c>
      <c r="B3141" t="s">
        <v>13</v>
      </c>
      <c r="D3141" s="2">
        <v>40389</v>
      </c>
      <c r="E3141">
        <v>5.75</v>
      </c>
      <c r="G3141" s="2">
        <v>40389</v>
      </c>
      <c r="H3141">
        <v>6.37</v>
      </c>
      <c r="J3141" s="2">
        <v>40396</v>
      </c>
      <c r="K3141" s="3">
        <f t="shared" si="98"/>
        <v>5.75</v>
      </c>
      <c r="L3141" s="3">
        <f t="shared" si="99"/>
        <v>6.468</v>
      </c>
    </row>
    <row r="3142" spans="1:12" x14ac:dyDescent="0.3">
      <c r="A3142" s="2">
        <v>39659</v>
      </c>
      <c r="B3142" t="s">
        <v>13</v>
      </c>
      <c r="D3142" s="2">
        <v>40390</v>
      </c>
      <c r="E3142">
        <v>5.75</v>
      </c>
      <c r="G3142" s="2">
        <v>40390</v>
      </c>
      <c r="H3142">
        <v>6.37</v>
      </c>
      <c r="J3142" s="2">
        <v>40397</v>
      </c>
      <c r="K3142" s="3">
        <f t="shared" si="98"/>
        <v>5.75</v>
      </c>
      <c r="L3142" s="3">
        <f t="shared" si="99"/>
        <v>6.468</v>
      </c>
    </row>
    <row r="3143" spans="1:12" x14ac:dyDescent="0.3">
      <c r="A3143" s="2">
        <v>39660</v>
      </c>
      <c r="B3143" t="s">
        <v>13</v>
      </c>
      <c r="D3143" s="2">
        <v>40391</v>
      </c>
      <c r="E3143">
        <v>5.75</v>
      </c>
      <c r="G3143" s="2">
        <v>40391</v>
      </c>
      <c r="H3143">
        <v>6.37</v>
      </c>
      <c r="J3143" s="2">
        <v>40398</v>
      </c>
      <c r="K3143" s="3">
        <f t="shared" si="98"/>
        <v>5.75</v>
      </c>
      <c r="L3143" s="3">
        <f t="shared" si="99"/>
        <v>6.468</v>
      </c>
    </row>
    <row r="3144" spans="1:12" x14ac:dyDescent="0.3">
      <c r="A3144" s="2">
        <v>39661</v>
      </c>
      <c r="B3144" t="s">
        <v>13</v>
      </c>
      <c r="D3144" s="2">
        <v>40392</v>
      </c>
      <c r="E3144">
        <v>5.75</v>
      </c>
      <c r="G3144" s="2">
        <v>40392</v>
      </c>
      <c r="H3144">
        <v>5.9160000000000004</v>
      </c>
      <c r="J3144" s="2">
        <v>40399</v>
      </c>
      <c r="K3144" s="3">
        <f t="shared" si="98"/>
        <v>5.75</v>
      </c>
      <c r="L3144" s="3">
        <f t="shared" si="99"/>
        <v>6.49</v>
      </c>
    </row>
    <row r="3145" spans="1:12" x14ac:dyDescent="0.3">
      <c r="A3145" s="2">
        <v>39662</v>
      </c>
      <c r="B3145" t="s">
        <v>13</v>
      </c>
      <c r="D3145" s="2">
        <v>40393</v>
      </c>
      <c r="E3145">
        <v>5.75</v>
      </c>
      <c r="G3145" s="2">
        <v>40393</v>
      </c>
      <c r="H3145">
        <v>6.22</v>
      </c>
      <c r="J3145" s="2">
        <v>40400</v>
      </c>
      <c r="K3145" s="3">
        <f t="shared" si="98"/>
        <v>5.75</v>
      </c>
      <c r="L3145" s="3">
        <f t="shared" si="99"/>
        <v>6.4160000000000004</v>
      </c>
    </row>
    <row r="3146" spans="1:12" x14ac:dyDescent="0.3">
      <c r="A3146" s="2">
        <v>39663</v>
      </c>
      <c r="B3146" t="s">
        <v>13</v>
      </c>
      <c r="D3146" s="2">
        <v>40394</v>
      </c>
      <c r="E3146">
        <v>5.75</v>
      </c>
      <c r="G3146" s="2">
        <v>40394</v>
      </c>
      <c r="H3146">
        <v>6.32</v>
      </c>
      <c r="J3146" s="2">
        <v>40401</v>
      </c>
      <c r="K3146" s="3">
        <f t="shared" si="98"/>
        <v>5.75</v>
      </c>
      <c r="L3146" s="3">
        <f t="shared" si="99"/>
        <v>6.4139999999999997</v>
      </c>
    </row>
    <row r="3147" spans="1:12" x14ac:dyDescent="0.3">
      <c r="A3147" s="2">
        <v>39664</v>
      </c>
      <c r="B3147" t="s">
        <v>13</v>
      </c>
      <c r="D3147" s="2">
        <v>40395</v>
      </c>
      <c r="E3147">
        <v>5.75</v>
      </c>
      <c r="G3147" s="2">
        <v>40395</v>
      </c>
      <c r="H3147">
        <v>6.4710000000000001</v>
      </c>
      <c r="J3147" s="2">
        <v>40402</v>
      </c>
      <c r="K3147" s="3">
        <f t="shared" si="98"/>
        <v>5.75</v>
      </c>
      <c r="L3147" s="3">
        <f t="shared" si="99"/>
        <v>6.4039999999999999</v>
      </c>
    </row>
    <row r="3148" spans="1:12" x14ac:dyDescent="0.3">
      <c r="A3148" s="2">
        <v>39665</v>
      </c>
      <c r="B3148" t="s">
        <v>13</v>
      </c>
      <c r="D3148" s="2">
        <v>40396</v>
      </c>
      <c r="E3148">
        <v>5.75</v>
      </c>
      <c r="G3148" s="2">
        <v>40396</v>
      </c>
      <c r="H3148">
        <v>6.468</v>
      </c>
      <c r="J3148" s="2">
        <v>40403</v>
      </c>
      <c r="K3148" s="3">
        <f t="shared" si="98"/>
        <v>5.75</v>
      </c>
      <c r="L3148" s="3">
        <f t="shared" si="99"/>
        <v>6.3780000000000001</v>
      </c>
    </row>
    <row r="3149" spans="1:12" x14ac:dyDescent="0.3">
      <c r="A3149" s="2">
        <v>39666</v>
      </c>
      <c r="B3149" t="s">
        <v>13</v>
      </c>
      <c r="D3149" s="2">
        <v>40397</v>
      </c>
      <c r="E3149">
        <v>5.75</v>
      </c>
      <c r="G3149" s="2">
        <v>40397</v>
      </c>
      <c r="H3149">
        <v>6.468</v>
      </c>
      <c r="J3149" s="2">
        <v>40404</v>
      </c>
      <c r="K3149" s="3">
        <f t="shared" si="98"/>
        <v>5.75</v>
      </c>
      <c r="L3149" s="3">
        <f t="shared" si="99"/>
        <v>6.3780000000000001</v>
      </c>
    </row>
    <row r="3150" spans="1:12" x14ac:dyDescent="0.3">
      <c r="A3150" s="2">
        <v>39667</v>
      </c>
      <c r="B3150" t="s">
        <v>13</v>
      </c>
      <c r="D3150" s="2">
        <v>40398</v>
      </c>
      <c r="E3150">
        <v>5.75</v>
      </c>
      <c r="G3150" s="2">
        <v>40398</v>
      </c>
      <c r="H3150">
        <v>6.468</v>
      </c>
      <c r="J3150" s="2">
        <v>40405</v>
      </c>
      <c r="K3150" s="3">
        <f t="shared" si="98"/>
        <v>5.75</v>
      </c>
      <c r="L3150" s="3">
        <f t="shared" si="99"/>
        <v>6.3780000000000001</v>
      </c>
    </row>
    <row r="3151" spans="1:12" x14ac:dyDescent="0.3">
      <c r="A3151" s="2">
        <v>39668</v>
      </c>
      <c r="B3151" t="s">
        <v>13</v>
      </c>
      <c r="D3151" s="2">
        <v>40399</v>
      </c>
      <c r="E3151">
        <v>5.75</v>
      </c>
      <c r="G3151" s="2">
        <v>40399</v>
      </c>
      <c r="H3151">
        <v>6.49</v>
      </c>
      <c r="J3151" s="2">
        <v>40406</v>
      </c>
      <c r="K3151" s="3">
        <f t="shared" si="98"/>
        <v>5.75</v>
      </c>
      <c r="L3151" s="3">
        <f t="shared" si="99"/>
        <v>6.3719999999999999</v>
      </c>
    </row>
    <row r="3152" spans="1:12" x14ac:dyDescent="0.3">
      <c r="A3152" s="2">
        <v>39669</v>
      </c>
      <c r="B3152" t="s">
        <v>13</v>
      </c>
      <c r="D3152" s="2">
        <v>40400</v>
      </c>
      <c r="E3152">
        <v>5.75</v>
      </c>
      <c r="G3152" s="2">
        <v>40400</v>
      </c>
      <c r="H3152">
        <v>6.4160000000000004</v>
      </c>
      <c r="J3152" s="2">
        <v>40407</v>
      </c>
      <c r="K3152" s="3">
        <f t="shared" si="98"/>
        <v>5.75</v>
      </c>
      <c r="L3152" s="3">
        <f t="shared" si="99"/>
        <v>6.3579999999999997</v>
      </c>
    </row>
    <row r="3153" spans="1:12" x14ac:dyDescent="0.3">
      <c r="A3153" s="2">
        <v>39670</v>
      </c>
      <c r="B3153" t="s">
        <v>13</v>
      </c>
      <c r="D3153" s="2">
        <v>40401</v>
      </c>
      <c r="E3153">
        <v>5.75</v>
      </c>
      <c r="G3153" s="2">
        <v>40401</v>
      </c>
      <c r="H3153">
        <v>6.4139999999999997</v>
      </c>
      <c r="J3153" s="2">
        <v>40408</v>
      </c>
      <c r="K3153" s="3">
        <f t="shared" si="98"/>
        <v>5.75</v>
      </c>
      <c r="L3153" s="3">
        <f t="shared" si="99"/>
        <v>6.39</v>
      </c>
    </row>
    <row r="3154" spans="1:12" x14ac:dyDescent="0.3">
      <c r="A3154" s="2">
        <v>39671</v>
      </c>
      <c r="B3154" t="s">
        <v>13</v>
      </c>
      <c r="D3154" s="2">
        <v>40402</v>
      </c>
      <c r="E3154">
        <v>5.75</v>
      </c>
      <c r="G3154" s="2">
        <v>40402</v>
      </c>
      <c r="H3154">
        <v>6.4039999999999999</v>
      </c>
      <c r="J3154" s="2">
        <v>40409</v>
      </c>
      <c r="K3154" s="3">
        <f t="shared" si="98"/>
        <v>5.75</v>
      </c>
      <c r="L3154" s="3">
        <f t="shared" si="99"/>
        <v>6.39</v>
      </c>
    </row>
    <row r="3155" spans="1:12" x14ac:dyDescent="0.3">
      <c r="A3155" s="2">
        <v>39672</v>
      </c>
      <c r="B3155" t="s">
        <v>13</v>
      </c>
      <c r="D3155" s="2">
        <v>40403</v>
      </c>
      <c r="E3155">
        <v>5.75</v>
      </c>
      <c r="G3155" s="2">
        <v>40403</v>
      </c>
      <c r="H3155">
        <v>6.3780000000000001</v>
      </c>
      <c r="J3155" s="2">
        <v>40410</v>
      </c>
      <c r="K3155" s="3">
        <f t="shared" si="98"/>
        <v>5.75</v>
      </c>
      <c r="L3155" s="3">
        <f t="shared" si="99"/>
        <v>6.43</v>
      </c>
    </row>
    <row r="3156" spans="1:12" x14ac:dyDescent="0.3">
      <c r="A3156" s="2">
        <v>39673</v>
      </c>
      <c r="B3156" t="s">
        <v>13</v>
      </c>
      <c r="D3156" s="2">
        <v>40404</v>
      </c>
      <c r="E3156">
        <v>5.75</v>
      </c>
      <c r="G3156" s="2">
        <v>40404</v>
      </c>
      <c r="H3156">
        <v>6.3780000000000001</v>
      </c>
      <c r="J3156" s="2">
        <v>40411</v>
      </c>
      <c r="K3156" s="3">
        <f t="shared" si="98"/>
        <v>5.75</v>
      </c>
      <c r="L3156" s="3">
        <f t="shared" si="99"/>
        <v>6.43</v>
      </c>
    </row>
    <row r="3157" spans="1:12" x14ac:dyDescent="0.3">
      <c r="A3157" s="2">
        <v>39674</v>
      </c>
      <c r="B3157" t="s">
        <v>13</v>
      </c>
      <c r="D3157" s="2">
        <v>40405</v>
      </c>
      <c r="E3157">
        <v>5.75</v>
      </c>
      <c r="G3157" s="2">
        <v>40405</v>
      </c>
      <c r="H3157">
        <v>6.3780000000000001</v>
      </c>
      <c r="J3157" s="2">
        <v>40412</v>
      </c>
      <c r="K3157" s="3">
        <f t="shared" si="98"/>
        <v>5.75</v>
      </c>
      <c r="L3157" s="3">
        <f t="shared" si="99"/>
        <v>6.43</v>
      </c>
    </row>
    <row r="3158" spans="1:12" x14ac:dyDescent="0.3">
      <c r="A3158" s="2">
        <v>39675</v>
      </c>
      <c r="B3158" t="s">
        <v>13</v>
      </c>
      <c r="D3158" s="2">
        <v>40406</v>
      </c>
      <c r="E3158">
        <v>5.75</v>
      </c>
      <c r="G3158" s="2">
        <v>40406</v>
      </c>
      <c r="H3158">
        <v>6.3719999999999999</v>
      </c>
      <c r="J3158" s="2">
        <v>40413</v>
      </c>
      <c r="K3158" s="3">
        <f t="shared" si="98"/>
        <v>5.75</v>
      </c>
      <c r="L3158" s="3">
        <f t="shared" si="99"/>
        <v>6.4580000000000002</v>
      </c>
    </row>
    <row r="3159" spans="1:12" x14ac:dyDescent="0.3">
      <c r="A3159" s="2">
        <v>39676</v>
      </c>
      <c r="B3159" t="s">
        <v>13</v>
      </c>
      <c r="D3159" s="2">
        <v>40407</v>
      </c>
      <c r="E3159">
        <v>5.75</v>
      </c>
      <c r="G3159" s="2">
        <v>40407</v>
      </c>
      <c r="H3159">
        <v>6.3579999999999997</v>
      </c>
      <c r="J3159" s="2">
        <v>40414</v>
      </c>
      <c r="K3159" s="3">
        <f t="shared" si="98"/>
        <v>5.75</v>
      </c>
      <c r="L3159" s="3">
        <f t="shared" si="99"/>
        <v>6.4359999999999999</v>
      </c>
    </row>
    <row r="3160" spans="1:12" x14ac:dyDescent="0.3">
      <c r="A3160" s="2">
        <v>39677</v>
      </c>
      <c r="B3160" t="s">
        <v>13</v>
      </c>
      <c r="D3160" s="2">
        <v>40408</v>
      </c>
      <c r="E3160">
        <v>5.75</v>
      </c>
      <c r="G3160" s="2">
        <v>40408</v>
      </c>
      <c r="H3160">
        <v>6.39</v>
      </c>
      <c r="J3160" s="2">
        <v>40415</v>
      </c>
      <c r="K3160" s="3">
        <f t="shared" si="98"/>
        <v>5.75</v>
      </c>
      <c r="L3160" s="3">
        <f t="shared" si="99"/>
        <v>6.4610000000000003</v>
      </c>
    </row>
    <row r="3161" spans="1:12" x14ac:dyDescent="0.3">
      <c r="A3161" s="2">
        <v>39678</v>
      </c>
      <c r="B3161" t="s">
        <v>13</v>
      </c>
      <c r="D3161" s="2">
        <v>40409</v>
      </c>
      <c r="E3161">
        <v>5.75</v>
      </c>
      <c r="G3161" s="2">
        <v>40409</v>
      </c>
      <c r="H3161">
        <v>6.39</v>
      </c>
      <c r="J3161" s="2">
        <v>40416</v>
      </c>
      <c r="K3161" s="3">
        <f t="shared" si="98"/>
        <v>5.75</v>
      </c>
      <c r="L3161" s="3">
        <f t="shared" si="99"/>
        <v>6.5510000000000002</v>
      </c>
    </row>
    <row r="3162" spans="1:12" x14ac:dyDescent="0.3">
      <c r="A3162" s="2">
        <v>39679</v>
      </c>
      <c r="B3162" t="s">
        <v>13</v>
      </c>
      <c r="D3162" s="2">
        <v>40410</v>
      </c>
      <c r="E3162">
        <v>5.75</v>
      </c>
      <c r="G3162" s="2">
        <v>40410</v>
      </c>
      <c r="H3162">
        <v>6.43</v>
      </c>
      <c r="J3162" s="2">
        <v>40417</v>
      </c>
      <c r="K3162" s="3">
        <f t="shared" si="98"/>
        <v>5.75</v>
      </c>
      <c r="L3162" s="3">
        <f t="shared" si="99"/>
        <v>6.5049999999999999</v>
      </c>
    </row>
    <row r="3163" spans="1:12" x14ac:dyDescent="0.3">
      <c r="A3163" s="2">
        <v>39680</v>
      </c>
      <c r="B3163" t="s">
        <v>13</v>
      </c>
      <c r="D3163" s="2">
        <v>40411</v>
      </c>
      <c r="E3163">
        <v>5.75</v>
      </c>
      <c r="G3163" s="2">
        <v>40411</v>
      </c>
      <c r="H3163">
        <v>6.43</v>
      </c>
      <c r="J3163" s="2">
        <v>40418</v>
      </c>
      <c r="K3163" s="3">
        <f t="shared" si="98"/>
        <v>5.75</v>
      </c>
      <c r="L3163" s="3">
        <f t="shared" si="99"/>
        <v>6.5049999999999999</v>
      </c>
    </row>
    <row r="3164" spans="1:12" x14ac:dyDescent="0.3">
      <c r="A3164" s="2">
        <v>39681</v>
      </c>
      <c r="B3164" t="s">
        <v>13</v>
      </c>
      <c r="D3164" s="2">
        <v>40412</v>
      </c>
      <c r="E3164">
        <v>5.75</v>
      </c>
      <c r="G3164" s="2">
        <v>40412</v>
      </c>
      <c r="H3164">
        <v>6.43</v>
      </c>
      <c r="J3164" s="2">
        <v>40419</v>
      </c>
      <c r="K3164" s="3">
        <f t="shared" si="98"/>
        <v>5.75</v>
      </c>
      <c r="L3164" s="3">
        <f t="shared" si="99"/>
        <v>6.5049999999999999</v>
      </c>
    </row>
    <row r="3165" spans="1:12" x14ac:dyDescent="0.3">
      <c r="A3165" s="2">
        <v>39682</v>
      </c>
      <c r="B3165" t="s">
        <v>13</v>
      </c>
      <c r="D3165" s="2">
        <v>40413</v>
      </c>
      <c r="E3165">
        <v>5.75</v>
      </c>
      <c r="G3165" s="2">
        <v>40413</v>
      </c>
      <c r="H3165">
        <v>6.4580000000000002</v>
      </c>
      <c r="J3165" s="2">
        <v>40420</v>
      </c>
      <c r="K3165" s="3">
        <f t="shared" si="98"/>
        <v>5.75</v>
      </c>
      <c r="L3165" s="3">
        <f t="shared" si="99"/>
        <v>6.5369999999999999</v>
      </c>
    </row>
    <row r="3166" spans="1:12" x14ac:dyDescent="0.3">
      <c r="A3166" s="2">
        <v>39683</v>
      </c>
      <c r="B3166" t="s">
        <v>13</v>
      </c>
      <c r="D3166" s="2">
        <v>40414</v>
      </c>
      <c r="E3166">
        <v>5.75</v>
      </c>
      <c r="G3166" s="2">
        <v>40414</v>
      </c>
      <c r="H3166">
        <v>6.4359999999999999</v>
      </c>
      <c r="J3166" s="2">
        <v>40421</v>
      </c>
      <c r="K3166" s="3">
        <f t="shared" si="98"/>
        <v>5.75</v>
      </c>
      <c r="L3166" s="3">
        <f t="shared" si="99"/>
        <v>6.5060000000000002</v>
      </c>
    </row>
    <row r="3167" spans="1:12" x14ac:dyDescent="0.3">
      <c r="A3167" s="2">
        <v>39684</v>
      </c>
      <c r="B3167" t="s">
        <v>13</v>
      </c>
      <c r="D3167" s="2">
        <v>40415</v>
      </c>
      <c r="E3167">
        <v>5.75</v>
      </c>
      <c r="G3167" s="2">
        <v>40415</v>
      </c>
      <c r="H3167">
        <v>6.4610000000000003</v>
      </c>
      <c r="J3167" s="2">
        <v>40422</v>
      </c>
      <c r="K3167" s="3">
        <f t="shared" si="98"/>
        <v>5.75</v>
      </c>
      <c r="L3167" s="3">
        <f t="shared" si="99"/>
        <v>6.4459999999999997</v>
      </c>
    </row>
    <row r="3168" spans="1:12" x14ac:dyDescent="0.3">
      <c r="A3168" s="2">
        <v>39685</v>
      </c>
      <c r="B3168" t="s">
        <v>13</v>
      </c>
      <c r="D3168" s="2">
        <v>40416</v>
      </c>
      <c r="E3168">
        <v>5.75</v>
      </c>
      <c r="G3168" s="2">
        <v>40416</v>
      </c>
      <c r="H3168">
        <v>6.5510000000000002</v>
      </c>
      <c r="J3168" s="2">
        <v>40423</v>
      </c>
      <c r="K3168" s="3">
        <f t="shared" si="98"/>
        <v>5.75</v>
      </c>
      <c r="L3168" s="3">
        <f t="shared" si="99"/>
        <v>6.4189999999999996</v>
      </c>
    </row>
    <row r="3169" spans="1:12" x14ac:dyDescent="0.3">
      <c r="A3169" s="2">
        <v>39686</v>
      </c>
      <c r="B3169" t="s">
        <v>13</v>
      </c>
      <c r="D3169" s="2">
        <v>40417</v>
      </c>
      <c r="E3169">
        <v>5.75</v>
      </c>
      <c r="G3169" s="2">
        <v>40417</v>
      </c>
      <c r="H3169">
        <v>6.5049999999999999</v>
      </c>
      <c r="J3169" s="2">
        <v>40424</v>
      </c>
      <c r="K3169" s="3">
        <f t="shared" si="98"/>
        <v>5.75</v>
      </c>
      <c r="L3169" s="3">
        <f t="shared" si="99"/>
        <v>6.3949999999999996</v>
      </c>
    </row>
    <row r="3170" spans="1:12" x14ac:dyDescent="0.3">
      <c r="A3170" s="2">
        <v>39687</v>
      </c>
      <c r="B3170" t="s">
        <v>13</v>
      </c>
      <c r="D3170" s="2">
        <v>40418</v>
      </c>
      <c r="E3170">
        <v>5.75</v>
      </c>
      <c r="G3170" s="2">
        <v>40418</v>
      </c>
      <c r="H3170">
        <v>6.5049999999999999</v>
      </c>
      <c r="J3170" s="2">
        <v>40425</v>
      </c>
      <c r="K3170" s="3">
        <f t="shared" si="98"/>
        <v>5.75</v>
      </c>
      <c r="L3170" s="3">
        <f t="shared" si="99"/>
        <v>6.3949999999999996</v>
      </c>
    </row>
    <row r="3171" spans="1:12" x14ac:dyDescent="0.3">
      <c r="A3171" s="2">
        <v>39688</v>
      </c>
      <c r="B3171" t="s">
        <v>13</v>
      </c>
      <c r="D3171" s="2">
        <v>40419</v>
      </c>
      <c r="E3171">
        <v>5.75</v>
      </c>
      <c r="G3171" s="2">
        <v>40419</v>
      </c>
      <c r="H3171">
        <v>6.5049999999999999</v>
      </c>
      <c r="J3171" s="2">
        <v>40426</v>
      </c>
      <c r="K3171" s="3">
        <f t="shared" si="98"/>
        <v>5.75</v>
      </c>
      <c r="L3171" s="3">
        <f t="shared" si="99"/>
        <v>6.3949999999999996</v>
      </c>
    </row>
    <row r="3172" spans="1:12" x14ac:dyDescent="0.3">
      <c r="A3172" s="2">
        <v>39689</v>
      </c>
      <c r="B3172" t="s">
        <v>13</v>
      </c>
      <c r="D3172" s="2">
        <v>40420</v>
      </c>
      <c r="E3172">
        <v>5.75</v>
      </c>
      <c r="G3172" s="2">
        <v>40420</v>
      </c>
      <c r="H3172">
        <v>6.5369999999999999</v>
      </c>
      <c r="J3172" s="2">
        <v>40427</v>
      </c>
      <c r="K3172" s="3">
        <f t="shared" si="98"/>
        <v>5.75</v>
      </c>
      <c r="L3172" s="3">
        <f t="shared" si="99"/>
        <v>6.415</v>
      </c>
    </row>
    <row r="3173" spans="1:12" x14ac:dyDescent="0.3">
      <c r="A3173" s="2">
        <v>39690</v>
      </c>
      <c r="B3173" t="s">
        <v>13</v>
      </c>
      <c r="D3173" s="2">
        <v>40421</v>
      </c>
      <c r="E3173">
        <v>5.75</v>
      </c>
      <c r="G3173" s="2">
        <v>40421</v>
      </c>
      <c r="H3173">
        <v>6.5060000000000002</v>
      </c>
      <c r="J3173" s="2">
        <v>40428</v>
      </c>
      <c r="K3173" s="3">
        <f t="shared" si="98"/>
        <v>5.75</v>
      </c>
      <c r="L3173" s="3">
        <f t="shared" si="99"/>
        <v>6.41</v>
      </c>
    </row>
    <row r="3174" spans="1:12" x14ac:dyDescent="0.3">
      <c r="A3174" s="2">
        <v>39691</v>
      </c>
      <c r="B3174" t="s">
        <v>13</v>
      </c>
      <c r="D3174" s="2">
        <v>40422</v>
      </c>
      <c r="E3174">
        <v>5.75</v>
      </c>
      <c r="G3174" s="2">
        <v>40422</v>
      </c>
      <c r="H3174">
        <v>6.4459999999999997</v>
      </c>
      <c r="J3174" s="2">
        <v>40429</v>
      </c>
      <c r="K3174" s="3">
        <f t="shared" si="98"/>
        <v>5.75</v>
      </c>
      <c r="L3174" s="3">
        <f t="shared" si="99"/>
        <v>6.3869999999999996</v>
      </c>
    </row>
    <row r="3175" spans="1:12" x14ac:dyDescent="0.3">
      <c r="A3175" s="2">
        <v>39692</v>
      </c>
      <c r="B3175" t="s">
        <v>13</v>
      </c>
      <c r="D3175" s="2">
        <v>40423</v>
      </c>
      <c r="E3175">
        <v>5.75</v>
      </c>
      <c r="G3175" s="2">
        <v>40423</v>
      </c>
      <c r="H3175">
        <v>6.4189999999999996</v>
      </c>
      <c r="J3175" s="2">
        <v>40430</v>
      </c>
      <c r="K3175" s="3">
        <f t="shared" si="98"/>
        <v>5.75</v>
      </c>
      <c r="L3175" s="3">
        <f t="shared" si="99"/>
        <v>6.4050000000000002</v>
      </c>
    </row>
    <row r="3176" spans="1:12" x14ac:dyDescent="0.3">
      <c r="A3176" s="2">
        <v>39693</v>
      </c>
      <c r="B3176" t="s">
        <v>13</v>
      </c>
      <c r="D3176" s="2">
        <v>40424</v>
      </c>
      <c r="E3176">
        <v>5.75</v>
      </c>
      <c r="G3176" s="2">
        <v>40424</v>
      </c>
      <c r="H3176">
        <v>6.3949999999999996</v>
      </c>
      <c r="J3176" s="2">
        <v>40431</v>
      </c>
      <c r="K3176" s="3">
        <f t="shared" si="98"/>
        <v>5.75</v>
      </c>
      <c r="L3176" s="3">
        <f t="shared" si="99"/>
        <v>6.4050000000000002</v>
      </c>
    </row>
    <row r="3177" spans="1:12" x14ac:dyDescent="0.3">
      <c r="A3177" s="2">
        <v>39694</v>
      </c>
      <c r="B3177" t="s">
        <v>13</v>
      </c>
      <c r="D3177" s="2">
        <v>40425</v>
      </c>
      <c r="E3177">
        <v>5.75</v>
      </c>
      <c r="G3177" s="2">
        <v>40425</v>
      </c>
      <c r="H3177">
        <v>6.3949999999999996</v>
      </c>
      <c r="J3177" s="2">
        <v>40432</v>
      </c>
      <c r="K3177" s="3">
        <f t="shared" si="98"/>
        <v>5.75</v>
      </c>
      <c r="L3177" s="3">
        <f t="shared" si="99"/>
        <v>6.4050000000000002</v>
      </c>
    </row>
    <row r="3178" spans="1:12" x14ac:dyDescent="0.3">
      <c r="A3178" s="2">
        <v>39695</v>
      </c>
      <c r="B3178" t="s">
        <v>13</v>
      </c>
      <c r="D3178" s="2">
        <v>40426</v>
      </c>
      <c r="E3178">
        <v>5.75</v>
      </c>
      <c r="G3178" s="2">
        <v>40426</v>
      </c>
      <c r="H3178">
        <v>6.3949999999999996</v>
      </c>
      <c r="J3178" s="2">
        <v>40433</v>
      </c>
      <c r="K3178" s="3">
        <f t="shared" si="98"/>
        <v>5.75</v>
      </c>
      <c r="L3178" s="3">
        <f t="shared" si="99"/>
        <v>6.4050000000000002</v>
      </c>
    </row>
    <row r="3179" spans="1:12" x14ac:dyDescent="0.3">
      <c r="A3179" s="2">
        <v>39696</v>
      </c>
      <c r="B3179" t="s">
        <v>13</v>
      </c>
      <c r="D3179" s="2">
        <v>40427</v>
      </c>
      <c r="E3179">
        <v>5.75</v>
      </c>
      <c r="G3179" s="2">
        <v>40427</v>
      </c>
      <c r="H3179">
        <v>6.415</v>
      </c>
      <c r="J3179" s="2">
        <v>40434</v>
      </c>
      <c r="K3179" s="3">
        <f t="shared" si="98"/>
        <v>5.75</v>
      </c>
      <c r="L3179" s="3">
        <f t="shared" si="99"/>
        <v>6.3860000000000001</v>
      </c>
    </row>
    <row r="3180" spans="1:12" x14ac:dyDescent="0.3">
      <c r="A3180" s="2">
        <v>39697</v>
      </c>
      <c r="B3180" t="s">
        <v>13</v>
      </c>
      <c r="D3180" s="2">
        <v>40428</v>
      </c>
      <c r="E3180">
        <v>5.75</v>
      </c>
      <c r="G3180" s="2">
        <v>40428</v>
      </c>
      <c r="H3180">
        <v>6.41</v>
      </c>
      <c r="J3180" s="2">
        <v>40435</v>
      </c>
      <c r="K3180" s="3">
        <f t="shared" si="98"/>
        <v>5.75</v>
      </c>
      <c r="L3180" s="3">
        <f t="shared" si="99"/>
        <v>6.4610000000000003</v>
      </c>
    </row>
    <row r="3181" spans="1:12" x14ac:dyDescent="0.3">
      <c r="A3181" s="2">
        <v>39698</v>
      </c>
      <c r="B3181" t="s">
        <v>13</v>
      </c>
      <c r="D3181" s="2">
        <v>40429</v>
      </c>
      <c r="E3181">
        <v>5.75</v>
      </c>
      <c r="G3181" s="2">
        <v>40429</v>
      </c>
      <c r="H3181">
        <v>6.3869999999999996</v>
      </c>
      <c r="J3181" s="2">
        <v>40436</v>
      </c>
      <c r="K3181" s="3">
        <f t="shared" si="98"/>
        <v>5.75</v>
      </c>
      <c r="L3181" s="3">
        <f t="shared" si="99"/>
        <v>6.3879999999999999</v>
      </c>
    </row>
    <row r="3182" spans="1:12" x14ac:dyDescent="0.3">
      <c r="A3182" s="2">
        <v>39699</v>
      </c>
      <c r="B3182" t="s">
        <v>13</v>
      </c>
      <c r="D3182" s="2">
        <v>40430</v>
      </c>
      <c r="E3182">
        <v>5.75</v>
      </c>
      <c r="G3182" s="2">
        <v>40430</v>
      </c>
      <c r="H3182">
        <v>6.4050000000000002</v>
      </c>
      <c r="J3182" s="2">
        <v>40437</v>
      </c>
      <c r="K3182" s="3">
        <f t="shared" si="98"/>
        <v>6</v>
      </c>
      <c r="L3182" s="3">
        <f t="shared" si="99"/>
        <v>6.5019999999999998</v>
      </c>
    </row>
    <row r="3183" spans="1:12" x14ac:dyDescent="0.3">
      <c r="A3183" s="2">
        <v>39700</v>
      </c>
      <c r="B3183" t="s">
        <v>13</v>
      </c>
      <c r="D3183" s="2">
        <v>40431</v>
      </c>
      <c r="E3183">
        <v>5.75</v>
      </c>
      <c r="G3183" s="2">
        <v>40431</v>
      </c>
      <c r="H3183">
        <v>6.4050000000000002</v>
      </c>
      <c r="J3183" s="2">
        <v>40438</v>
      </c>
      <c r="K3183" s="3">
        <f t="shared" si="98"/>
        <v>6</v>
      </c>
      <c r="L3183" s="3">
        <f t="shared" si="99"/>
        <v>6.5129999999999999</v>
      </c>
    </row>
    <row r="3184" spans="1:12" x14ac:dyDescent="0.3">
      <c r="A3184" s="2">
        <v>39701</v>
      </c>
      <c r="B3184" t="s">
        <v>13</v>
      </c>
      <c r="D3184" s="2">
        <v>40432</v>
      </c>
      <c r="E3184">
        <v>5.75</v>
      </c>
      <c r="G3184" s="2">
        <v>40432</v>
      </c>
      <c r="H3184">
        <v>6.4050000000000002</v>
      </c>
      <c r="J3184" s="2">
        <v>40439</v>
      </c>
      <c r="K3184" s="3">
        <f t="shared" si="98"/>
        <v>6</v>
      </c>
      <c r="L3184" s="3">
        <f t="shared" si="99"/>
        <v>6.5129999999999999</v>
      </c>
    </row>
    <row r="3185" spans="1:12" x14ac:dyDescent="0.3">
      <c r="A3185" s="2">
        <v>39702</v>
      </c>
      <c r="B3185" t="s">
        <v>13</v>
      </c>
      <c r="D3185" s="2">
        <v>40433</v>
      </c>
      <c r="E3185">
        <v>5.75</v>
      </c>
      <c r="G3185" s="2">
        <v>40433</v>
      </c>
      <c r="H3185">
        <v>6.4050000000000002</v>
      </c>
      <c r="J3185" s="2">
        <v>40440</v>
      </c>
      <c r="K3185" s="3">
        <f t="shared" si="98"/>
        <v>6</v>
      </c>
      <c r="L3185" s="3">
        <f t="shared" si="99"/>
        <v>6.5129999999999999</v>
      </c>
    </row>
    <row r="3186" spans="1:12" x14ac:dyDescent="0.3">
      <c r="A3186" s="2">
        <v>39703</v>
      </c>
      <c r="B3186" t="s">
        <v>13</v>
      </c>
      <c r="D3186" s="2">
        <v>40434</v>
      </c>
      <c r="E3186">
        <v>5.75</v>
      </c>
      <c r="G3186" s="2">
        <v>40434</v>
      </c>
      <c r="H3186">
        <v>6.3860000000000001</v>
      </c>
      <c r="J3186" s="2">
        <v>40441</v>
      </c>
      <c r="K3186" s="3">
        <f t="shared" si="98"/>
        <v>6</v>
      </c>
      <c r="L3186" s="3">
        <f t="shared" si="99"/>
        <v>6.4409999999999998</v>
      </c>
    </row>
    <row r="3187" spans="1:12" x14ac:dyDescent="0.3">
      <c r="A3187" s="2">
        <v>39704</v>
      </c>
      <c r="B3187" t="s">
        <v>13</v>
      </c>
      <c r="D3187" s="2">
        <v>40435</v>
      </c>
      <c r="E3187">
        <v>5.75</v>
      </c>
      <c r="G3187" s="2">
        <v>40435</v>
      </c>
      <c r="H3187">
        <v>6.4610000000000003</v>
      </c>
      <c r="J3187" s="2">
        <v>40442</v>
      </c>
      <c r="K3187" s="3">
        <f t="shared" si="98"/>
        <v>6</v>
      </c>
      <c r="L3187" s="3">
        <f t="shared" si="99"/>
        <v>6.4359999999999999</v>
      </c>
    </row>
    <row r="3188" spans="1:12" x14ac:dyDescent="0.3">
      <c r="A3188" s="2">
        <v>39705</v>
      </c>
      <c r="B3188" t="s">
        <v>13</v>
      </c>
      <c r="D3188" s="2">
        <v>40436</v>
      </c>
      <c r="E3188">
        <v>5.75</v>
      </c>
      <c r="G3188" s="2">
        <v>40436</v>
      </c>
      <c r="H3188">
        <v>6.3879999999999999</v>
      </c>
      <c r="J3188" s="2">
        <v>40443</v>
      </c>
      <c r="K3188" s="3">
        <f t="shared" si="98"/>
        <v>6</v>
      </c>
      <c r="L3188" s="3">
        <f t="shared" si="99"/>
        <v>6.5730000000000004</v>
      </c>
    </row>
    <row r="3189" spans="1:12" x14ac:dyDescent="0.3">
      <c r="A3189" s="2">
        <v>39706</v>
      </c>
      <c r="B3189" t="s">
        <v>13</v>
      </c>
      <c r="D3189" s="2">
        <v>40437</v>
      </c>
      <c r="E3189">
        <v>6</v>
      </c>
      <c r="G3189" s="2">
        <v>40437</v>
      </c>
      <c r="H3189">
        <v>6.5019999999999998</v>
      </c>
      <c r="J3189" s="2">
        <v>40444</v>
      </c>
      <c r="K3189" s="3">
        <f t="shared" si="98"/>
        <v>6</v>
      </c>
      <c r="L3189" s="3">
        <f t="shared" si="99"/>
        <v>6.6719999999999997</v>
      </c>
    </row>
    <row r="3190" spans="1:12" x14ac:dyDescent="0.3">
      <c r="A3190" s="2">
        <v>39707</v>
      </c>
      <c r="B3190" t="s">
        <v>13</v>
      </c>
      <c r="D3190" s="2">
        <v>40438</v>
      </c>
      <c r="E3190">
        <v>6</v>
      </c>
      <c r="G3190" s="2">
        <v>40438</v>
      </c>
      <c r="H3190">
        <v>6.5129999999999999</v>
      </c>
      <c r="J3190" s="2">
        <v>40445</v>
      </c>
      <c r="K3190" s="3">
        <f t="shared" si="98"/>
        <v>6</v>
      </c>
      <c r="L3190" s="3">
        <f t="shared" si="99"/>
        <v>6.5970000000000004</v>
      </c>
    </row>
    <row r="3191" spans="1:12" x14ac:dyDescent="0.3">
      <c r="A3191" s="2">
        <v>39708</v>
      </c>
      <c r="B3191" t="s">
        <v>13</v>
      </c>
      <c r="D3191" s="2">
        <v>40439</v>
      </c>
      <c r="E3191">
        <v>6</v>
      </c>
      <c r="G3191" s="2">
        <v>40439</v>
      </c>
      <c r="H3191">
        <v>6.5129999999999999</v>
      </c>
      <c r="J3191" s="2">
        <v>40446</v>
      </c>
      <c r="K3191" s="3">
        <f t="shared" si="98"/>
        <v>6</v>
      </c>
      <c r="L3191" s="3">
        <f t="shared" si="99"/>
        <v>6.5970000000000004</v>
      </c>
    </row>
    <row r="3192" spans="1:12" x14ac:dyDescent="0.3">
      <c r="A3192" s="2">
        <v>39709</v>
      </c>
      <c r="B3192" t="s">
        <v>13</v>
      </c>
      <c r="D3192" s="2">
        <v>40440</v>
      </c>
      <c r="E3192">
        <v>6</v>
      </c>
      <c r="G3192" s="2">
        <v>40440</v>
      </c>
      <c r="H3192">
        <v>6.5129999999999999</v>
      </c>
      <c r="J3192" s="2">
        <v>40447</v>
      </c>
      <c r="K3192" s="3">
        <f t="shared" si="98"/>
        <v>6</v>
      </c>
      <c r="L3192" s="3">
        <f t="shared" si="99"/>
        <v>6.5970000000000004</v>
      </c>
    </row>
    <row r="3193" spans="1:12" x14ac:dyDescent="0.3">
      <c r="A3193" s="2">
        <v>39710</v>
      </c>
      <c r="B3193" t="s">
        <v>13</v>
      </c>
      <c r="D3193" s="2">
        <v>40441</v>
      </c>
      <c r="E3193">
        <v>6</v>
      </c>
      <c r="G3193" s="2">
        <v>40441</v>
      </c>
      <c r="H3193">
        <v>6.4409999999999998</v>
      </c>
      <c r="J3193" s="2">
        <v>40448</v>
      </c>
      <c r="K3193" s="3">
        <f t="shared" si="98"/>
        <v>6</v>
      </c>
      <c r="L3193" s="3">
        <f t="shared" si="99"/>
        <v>6.5679999999999996</v>
      </c>
    </row>
    <row r="3194" spans="1:12" x14ac:dyDescent="0.3">
      <c r="A3194" s="2">
        <v>39711</v>
      </c>
      <c r="B3194" t="s">
        <v>13</v>
      </c>
      <c r="D3194" s="2">
        <v>40442</v>
      </c>
      <c r="E3194">
        <v>6</v>
      </c>
      <c r="G3194" s="2">
        <v>40442</v>
      </c>
      <c r="H3194">
        <v>6.4359999999999999</v>
      </c>
      <c r="J3194" s="2">
        <v>40449</v>
      </c>
      <c r="K3194" s="3">
        <f t="shared" si="98"/>
        <v>6</v>
      </c>
      <c r="L3194" s="3">
        <f t="shared" si="99"/>
        <v>6.5359999999999996</v>
      </c>
    </row>
    <row r="3195" spans="1:12" x14ac:dyDescent="0.3">
      <c r="A3195" s="2">
        <v>39712</v>
      </c>
      <c r="B3195" t="s">
        <v>13</v>
      </c>
      <c r="D3195" s="2">
        <v>40443</v>
      </c>
      <c r="E3195">
        <v>6</v>
      </c>
      <c r="G3195" s="2">
        <v>40443</v>
      </c>
      <c r="H3195">
        <v>6.5730000000000004</v>
      </c>
      <c r="J3195" s="2">
        <v>40450</v>
      </c>
      <c r="K3195" s="3">
        <f t="shared" si="98"/>
        <v>6</v>
      </c>
      <c r="L3195" s="3">
        <f t="shared" si="99"/>
        <v>6.5570000000000004</v>
      </c>
    </row>
    <row r="3196" spans="1:12" x14ac:dyDescent="0.3">
      <c r="A3196" s="2">
        <v>39713</v>
      </c>
      <c r="B3196" t="s">
        <v>13</v>
      </c>
      <c r="D3196" s="2">
        <v>40444</v>
      </c>
      <c r="E3196">
        <v>6</v>
      </c>
      <c r="G3196" s="2">
        <v>40444</v>
      </c>
      <c r="H3196">
        <v>6.6719999999999997</v>
      </c>
      <c r="J3196" s="2">
        <v>40451</v>
      </c>
      <c r="K3196" s="3">
        <f t="shared" si="98"/>
        <v>6</v>
      </c>
      <c r="L3196" s="3">
        <f t="shared" si="99"/>
        <v>6.5570000000000004</v>
      </c>
    </row>
    <row r="3197" spans="1:12" x14ac:dyDescent="0.3">
      <c r="A3197" s="2">
        <v>39714</v>
      </c>
      <c r="B3197" t="s">
        <v>13</v>
      </c>
      <c r="D3197" s="2">
        <v>40445</v>
      </c>
      <c r="E3197">
        <v>6</v>
      </c>
      <c r="G3197" s="2">
        <v>40445</v>
      </c>
      <c r="H3197">
        <v>6.5970000000000004</v>
      </c>
      <c r="J3197" s="2">
        <v>40452</v>
      </c>
      <c r="K3197" s="3">
        <f t="shared" si="98"/>
        <v>6</v>
      </c>
      <c r="L3197" s="3">
        <f t="shared" si="99"/>
        <v>6.5110000000000001</v>
      </c>
    </row>
    <row r="3198" spans="1:12" x14ac:dyDescent="0.3">
      <c r="A3198" s="2">
        <v>39715</v>
      </c>
      <c r="B3198" t="s">
        <v>13</v>
      </c>
      <c r="D3198" s="2">
        <v>40446</v>
      </c>
      <c r="E3198">
        <v>6</v>
      </c>
      <c r="G3198" s="2">
        <v>40446</v>
      </c>
      <c r="H3198">
        <v>6.5970000000000004</v>
      </c>
      <c r="J3198" s="2">
        <v>40453</v>
      </c>
      <c r="K3198" s="3">
        <f t="shared" si="98"/>
        <v>6</v>
      </c>
      <c r="L3198" s="3">
        <f t="shared" si="99"/>
        <v>6.5110000000000001</v>
      </c>
    </row>
    <row r="3199" spans="1:12" x14ac:dyDescent="0.3">
      <c r="A3199" s="2">
        <v>39716</v>
      </c>
      <c r="B3199" t="s">
        <v>13</v>
      </c>
      <c r="D3199" s="2">
        <v>40447</v>
      </c>
      <c r="E3199">
        <v>6</v>
      </c>
      <c r="G3199" s="2">
        <v>40447</v>
      </c>
      <c r="H3199">
        <v>6.5970000000000004</v>
      </c>
      <c r="J3199" s="2">
        <v>40454</v>
      </c>
      <c r="K3199" s="3">
        <f t="shared" si="98"/>
        <v>6</v>
      </c>
      <c r="L3199" s="3">
        <f t="shared" si="99"/>
        <v>6.5110000000000001</v>
      </c>
    </row>
    <row r="3200" spans="1:12" x14ac:dyDescent="0.3">
      <c r="A3200" s="2">
        <v>39717</v>
      </c>
      <c r="B3200" t="s">
        <v>13</v>
      </c>
      <c r="D3200" s="2">
        <v>40448</v>
      </c>
      <c r="E3200">
        <v>6</v>
      </c>
      <c r="G3200" s="2">
        <v>40448</v>
      </c>
      <c r="H3200">
        <v>6.5679999999999996</v>
      </c>
      <c r="J3200" s="2">
        <v>40455</v>
      </c>
      <c r="K3200" s="3">
        <f t="shared" si="98"/>
        <v>6</v>
      </c>
      <c r="L3200" s="3">
        <f t="shared" si="99"/>
        <v>6.4989999999999997</v>
      </c>
    </row>
    <row r="3201" spans="1:12" x14ac:dyDescent="0.3">
      <c r="A3201" s="2">
        <v>39718</v>
      </c>
      <c r="B3201" t="s">
        <v>13</v>
      </c>
      <c r="D3201" s="2">
        <v>40449</v>
      </c>
      <c r="E3201">
        <v>6</v>
      </c>
      <c r="G3201" s="2">
        <v>40449</v>
      </c>
      <c r="H3201">
        <v>6.5359999999999996</v>
      </c>
      <c r="J3201" s="2">
        <v>40456</v>
      </c>
      <c r="K3201" s="3">
        <f t="shared" si="98"/>
        <v>6</v>
      </c>
      <c r="L3201" s="3">
        <f t="shared" si="99"/>
        <v>6.5140000000000002</v>
      </c>
    </row>
    <row r="3202" spans="1:12" x14ac:dyDescent="0.3">
      <c r="A3202" s="2">
        <v>39719</v>
      </c>
      <c r="B3202" t="s">
        <v>13</v>
      </c>
      <c r="D3202" s="2">
        <v>40450</v>
      </c>
      <c r="E3202">
        <v>6</v>
      </c>
      <c r="G3202" s="2">
        <v>40450</v>
      </c>
      <c r="H3202">
        <v>6.5570000000000004</v>
      </c>
      <c r="J3202" s="2">
        <v>40457</v>
      </c>
      <c r="K3202" s="3">
        <f t="shared" si="98"/>
        <v>6</v>
      </c>
      <c r="L3202" s="3">
        <f t="shared" si="99"/>
        <v>6.5270000000000001</v>
      </c>
    </row>
    <row r="3203" spans="1:12" x14ac:dyDescent="0.3">
      <c r="A3203" s="2">
        <v>39720</v>
      </c>
      <c r="B3203" t="s">
        <v>13</v>
      </c>
      <c r="D3203" s="2">
        <v>40451</v>
      </c>
      <c r="E3203">
        <v>6</v>
      </c>
      <c r="G3203" s="2">
        <v>40451</v>
      </c>
      <c r="H3203">
        <v>6.5570000000000004</v>
      </c>
      <c r="J3203" s="2">
        <v>40458</v>
      </c>
      <c r="K3203" s="3">
        <f t="shared" ref="K3203:K3266" si="100">E3210</f>
        <v>6</v>
      </c>
      <c r="L3203" s="3">
        <f t="shared" ref="L3203:L3266" si="101">H3210</f>
        <v>6.6829999999999998</v>
      </c>
    </row>
    <row r="3204" spans="1:12" x14ac:dyDescent="0.3">
      <c r="A3204" s="2">
        <v>39721</v>
      </c>
      <c r="B3204" t="s">
        <v>13</v>
      </c>
      <c r="D3204" s="2">
        <v>40452</v>
      </c>
      <c r="E3204">
        <v>6</v>
      </c>
      <c r="G3204" s="2">
        <v>40452</v>
      </c>
      <c r="H3204">
        <v>6.5110000000000001</v>
      </c>
      <c r="J3204" s="2">
        <v>40459</v>
      </c>
      <c r="K3204" s="3">
        <f t="shared" si="100"/>
        <v>6</v>
      </c>
      <c r="L3204" s="3">
        <f t="shared" si="101"/>
        <v>6.62</v>
      </c>
    </row>
    <row r="3205" spans="1:12" x14ac:dyDescent="0.3">
      <c r="A3205" s="2">
        <v>39722</v>
      </c>
      <c r="B3205" t="s">
        <v>13</v>
      </c>
      <c r="D3205" s="2">
        <v>40453</v>
      </c>
      <c r="E3205">
        <v>6</v>
      </c>
      <c r="G3205" s="2">
        <v>40453</v>
      </c>
      <c r="H3205">
        <v>6.5110000000000001</v>
      </c>
      <c r="J3205" s="2">
        <v>40460</v>
      </c>
      <c r="K3205" s="3">
        <f t="shared" si="100"/>
        <v>6</v>
      </c>
      <c r="L3205" s="3">
        <f t="shared" si="101"/>
        <v>6.62</v>
      </c>
    </row>
    <row r="3206" spans="1:12" x14ac:dyDescent="0.3">
      <c r="A3206" s="2">
        <v>39723</v>
      </c>
      <c r="B3206" t="s">
        <v>13</v>
      </c>
      <c r="D3206" s="2">
        <v>40454</v>
      </c>
      <c r="E3206">
        <v>6</v>
      </c>
      <c r="G3206" s="2">
        <v>40454</v>
      </c>
      <c r="H3206">
        <v>6.5110000000000001</v>
      </c>
      <c r="J3206" s="2">
        <v>40461</v>
      </c>
      <c r="K3206" s="3">
        <f t="shared" si="100"/>
        <v>6</v>
      </c>
      <c r="L3206" s="3">
        <f t="shared" si="101"/>
        <v>6.62</v>
      </c>
    </row>
    <row r="3207" spans="1:12" x14ac:dyDescent="0.3">
      <c r="A3207" s="2">
        <v>39724</v>
      </c>
      <c r="B3207" t="s">
        <v>13</v>
      </c>
      <c r="D3207" s="2">
        <v>40455</v>
      </c>
      <c r="E3207">
        <v>6</v>
      </c>
      <c r="G3207" s="2">
        <v>40455</v>
      </c>
      <c r="H3207">
        <v>6.4989999999999997</v>
      </c>
      <c r="J3207" s="2">
        <v>40462</v>
      </c>
      <c r="K3207" s="3">
        <f t="shared" si="100"/>
        <v>6</v>
      </c>
      <c r="L3207" s="3">
        <f t="shared" si="101"/>
        <v>6.6349999999999998</v>
      </c>
    </row>
    <row r="3208" spans="1:12" x14ac:dyDescent="0.3">
      <c r="A3208" s="2">
        <v>39725</v>
      </c>
      <c r="B3208" t="s">
        <v>13</v>
      </c>
      <c r="D3208" s="2">
        <v>40456</v>
      </c>
      <c r="E3208">
        <v>6</v>
      </c>
      <c r="G3208" s="2">
        <v>40456</v>
      </c>
      <c r="H3208">
        <v>6.5140000000000002</v>
      </c>
      <c r="J3208" s="2">
        <v>40463</v>
      </c>
      <c r="K3208" s="3">
        <f t="shared" si="100"/>
        <v>6</v>
      </c>
      <c r="L3208" s="3">
        <f t="shared" si="101"/>
        <v>6.6710000000000003</v>
      </c>
    </row>
    <row r="3209" spans="1:12" x14ac:dyDescent="0.3">
      <c r="A3209" s="2">
        <v>39726</v>
      </c>
      <c r="B3209" t="s">
        <v>13</v>
      </c>
      <c r="D3209" s="2">
        <v>40457</v>
      </c>
      <c r="E3209">
        <v>6</v>
      </c>
      <c r="G3209" s="2">
        <v>40457</v>
      </c>
      <c r="H3209">
        <v>6.5270000000000001</v>
      </c>
      <c r="J3209" s="2">
        <v>40464</v>
      </c>
      <c r="K3209" s="3">
        <f t="shared" si="100"/>
        <v>6</v>
      </c>
      <c r="L3209" s="3">
        <f t="shared" si="101"/>
        <v>6.7130000000000001</v>
      </c>
    </row>
    <row r="3210" spans="1:12" x14ac:dyDescent="0.3">
      <c r="A3210" s="2">
        <v>39727</v>
      </c>
      <c r="B3210" t="s">
        <v>13</v>
      </c>
      <c r="D3210" s="2">
        <v>40458</v>
      </c>
      <c r="E3210">
        <v>6</v>
      </c>
      <c r="G3210" s="2">
        <v>40458</v>
      </c>
      <c r="H3210">
        <v>6.6829999999999998</v>
      </c>
      <c r="J3210" s="2">
        <v>40465</v>
      </c>
      <c r="K3210" s="3">
        <f t="shared" si="100"/>
        <v>6</v>
      </c>
      <c r="L3210" s="3">
        <f t="shared" si="101"/>
        <v>6.7320000000000002</v>
      </c>
    </row>
    <row r="3211" spans="1:12" x14ac:dyDescent="0.3">
      <c r="A3211" s="2">
        <v>39728</v>
      </c>
      <c r="B3211" t="s">
        <v>13</v>
      </c>
      <c r="D3211" s="2">
        <v>40459</v>
      </c>
      <c r="E3211">
        <v>6</v>
      </c>
      <c r="G3211" s="2">
        <v>40459</v>
      </c>
      <c r="H3211">
        <v>6.62</v>
      </c>
      <c r="J3211" s="2">
        <v>40466</v>
      </c>
      <c r="K3211" s="3">
        <f t="shared" si="100"/>
        <v>6</v>
      </c>
      <c r="L3211" s="3">
        <f t="shared" si="101"/>
        <v>6.7149999999999999</v>
      </c>
    </row>
    <row r="3212" spans="1:12" x14ac:dyDescent="0.3">
      <c r="A3212" s="2">
        <v>39729</v>
      </c>
      <c r="B3212" t="s">
        <v>13</v>
      </c>
      <c r="D3212" s="2">
        <v>40460</v>
      </c>
      <c r="E3212">
        <v>6</v>
      </c>
      <c r="G3212" s="2">
        <v>40460</v>
      </c>
      <c r="H3212">
        <v>6.62</v>
      </c>
      <c r="J3212" s="2">
        <v>40467</v>
      </c>
      <c r="K3212" s="3">
        <f t="shared" si="100"/>
        <v>6</v>
      </c>
      <c r="L3212" s="3">
        <f t="shared" si="101"/>
        <v>6.7149999999999999</v>
      </c>
    </row>
    <row r="3213" spans="1:12" x14ac:dyDescent="0.3">
      <c r="A3213" s="2">
        <v>39730</v>
      </c>
      <c r="B3213" t="s">
        <v>13</v>
      </c>
      <c r="D3213" s="2">
        <v>40461</v>
      </c>
      <c r="E3213">
        <v>6</v>
      </c>
      <c r="G3213" s="2">
        <v>40461</v>
      </c>
      <c r="H3213">
        <v>6.62</v>
      </c>
      <c r="J3213" s="2">
        <v>40468</v>
      </c>
      <c r="K3213" s="3">
        <f t="shared" si="100"/>
        <v>6</v>
      </c>
      <c r="L3213" s="3">
        <f t="shared" si="101"/>
        <v>6.7149999999999999</v>
      </c>
    </row>
    <row r="3214" spans="1:12" x14ac:dyDescent="0.3">
      <c r="A3214" s="2">
        <v>39731</v>
      </c>
      <c r="B3214" t="s">
        <v>13</v>
      </c>
      <c r="D3214" s="2">
        <v>40462</v>
      </c>
      <c r="E3214">
        <v>6</v>
      </c>
      <c r="G3214" s="2">
        <v>40462</v>
      </c>
      <c r="H3214">
        <v>6.6349999999999998</v>
      </c>
      <c r="J3214" s="2">
        <v>40469</v>
      </c>
      <c r="K3214" s="3">
        <f t="shared" si="100"/>
        <v>6</v>
      </c>
      <c r="L3214" s="3">
        <f t="shared" si="101"/>
        <v>6.7389999999999999</v>
      </c>
    </row>
    <row r="3215" spans="1:12" x14ac:dyDescent="0.3">
      <c r="A3215" s="2">
        <v>39732</v>
      </c>
      <c r="B3215" t="s">
        <v>13</v>
      </c>
      <c r="D3215" s="2">
        <v>40463</v>
      </c>
      <c r="E3215">
        <v>6</v>
      </c>
      <c r="G3215" s="2">
        <v>40463</v>
      </c>
      <c r="H3215">
        <v>6.6710000000000003</v>
      </c>
      <c r="J3215" s="2">
        <v>40470</v>
      </c>
      <c r="K3215" s="3">
        <f t="shared" si="100"/>
        <v>6</v>
      </c>
      <c r="L3215" s="3">
        <f t="shared" si="101"/>
        <v>6.7610000000000001</v>
      </c>
    </row>
    <row r="3216" spans="1:12" x14ac:dyDescent="0.3">
      <c r="A3216" s="2">
        <v>39733</v>
      </c>
      <c r="B3216" t="s">
        <v>13</v>
      </c>
      <c r="D3216" s="2">
        <v>40464</v>
      </c>
      <c r="E3216">
        <v>6</v>
      </c>
      <c r="G3216" s="2">
        <v>40464</v>
      </c>
      <c r="H3216">
        <v>6.7130000000000001</v>
      </c>
      <c r="J3216" s="2">
        <v>40471</v>
      </c>
      <c r="K3216" s="3">
        <f t="shared" si="100"/>
        <v>6</v>
      </c>
      <c r="L3216" s="3">
        <f t="shared" si="101"/>
        <v>6.8140000000000001</v>
      </c>
    </row>
    <row r="3217" spans="1:12" x14ac:dyDescent="0.3">
      <c r="A3217" s="2">
        <v>39734</v>
      </c>
      <c r="B3217" t="s">
        <v>13</v>
      </c>
      <c r="D3217" s="2">
        <v>40465</v>
      </c>
      <c r="E3217">
        <v>6</v>
      </c>
      <c r="G3217" s="2">
        <v>40465</v>
      </c>
      <c r="H3217">
        <v>6.7320000000000002</v>
      </c>
      <c r="J3217" s="2">
        <v>40472</v>
      </c>
      <c r="K3217" s="3">
        <f t="shared" si="100"/>
        <v>6</v>
      </c>
      <c r="L3217" s="3">
        <f t="shared" si="101"/>
        <v>6.8479999999999999</v>
      </c>
    </row>
    <row r="3218" spans="1:12" x14ac:dyDescent="0.3">
      <c r="A3218" s="2">
        <v>39735</v>
      </c>
      <c r="B3218" t="s">
        <v>13</v>
      </c>
      <c r="D3218" s="2">
        <v>40466</v>
      </c>
      <c r="E3218">
        <v>6</v>
      </c>
      <c r="G3218" s="2">
        <v>40466</v>
      </c>
      <c r="H3218">
        <v>6.7149999999999999</v>
      </c>
      <c r="J3218" s="2">
        <v>40473</v>
      </c>
      <c r="K3218" s="3">
        <f t="shared" si="100"/>
        <v>6</v>
      </c>
      <c r="L3218" s="3">
        <f t="shared" si="101"/>
        <v>6.907</v>
      </c>
    </row>
    <row r="3219" spans="1:12" x14ac:dyDescent="0.3">
      <c r="A3219" s="2">
        <v>39736</v>
      </c>
      <c r="B3219" t="s">
        <v>13</v>
      </c>
      <c r="D3219" s="2">
        <v>40467</v>
      </c>
      <c r="E3219">
        <v>6</v>
      </c>
      <c r="G3219" s="2">
        <v>40467</v>
      </c>
      <c r="H3219">
        <v>6.7149999999999999</v>
      </c>
      <c r="J3219" s="2">
        <v>40474</v>
      </c>
      <c r="K3219" s="3">
        <f t="shared" si="100"/>
        <v>6</v>
      </c>
      <c r="L3219" s="3">
        <f t="shared" si="101"/>
        <v>6.907</v>
      </c>
    </row>
    <row r="3220" spans="1:12" x14ac:dyDescent="0.3">
      <c r="A3220" s="2">
        <v>39737</v>
      </c>
      <c r="B3220" t="s">
        <v>13</v>
      </c>
      <c r="D3220" s="2">
        <v>40468</v>
      </c>
      <c r="E3220">
        <v>6</v>
      </c>
      <c r="G3220" s="2">
        <v>40468</v>
      </c>
      <c r="H3220">
        <v>6.7149999999999999</v>
      </c>
      <c r="J3220" s="2">
        <v>40475</v>
      </c>
      <c r="K3220" s="3">
        <f t="shared" si="100"/>
        <v>6</v>
      </c>
      <c r="L3220" s="3">
        <f t="shared" si="101"/>
        <v>6.907</v>
      </c>
    </row>
    <row r="3221" spans="1:12" x14ac:dyDescent="0.3">
      <c r="A3221" s="2">
        <v>39738</v>
      </c>
      <c r="B3221" t="s">
        <v>13</v>
      </c>
      <c r="D3221" s="2">
        <v>40469</v>
      </c>
      <c r="E3221">
        <v>6</v>
      </c>
      <c r="G3221" s="2">
        <v>40469</v>
      </c>
      <c r="H3221">
        <v>6.7389999999999999</v>
      </c>
      <c r="J3221" s="2">
        <v>40476</v>
      </c>
      <c r="K3221" s="3">
        <f t="shared" si="100"/>
        <v>6</v>
      </c>
      <c r="L3221" s="3">
        <f t="shared" si="101"/>
        <v>6.8570000000000002</v>
      </c>
    </row>
    <row r="3222" spans="1:12" x14ac:dyDescent="0.3">
      <c r="A3222" s="2">
        <v>39739</v>
      </c>
      <c r="B3222" t="s">
        <v>13</v>
      </c>
      <c r="D3222" s="2">
        <v>40470</v>
      </c>
      <c r="E3222">
        <v>6</v>
      </c>
      <c r="G3222" s="2">
        <v>40470</v>
      </c>
      <c r="H3222">
        <v>6.7610000000000001</v>
      </c>
      <c r="J3222" s="2">
        <v>40477</v>
      </c>
      <c r="K3222" s="3">
        <f t="shared" si="100"/>
        <v>6</v>
      </c>
      <c r="L3222" s="3">
        <f t="shared" si="101"/>
        <v>6.8730000000000002</v>
      </c>
    </row>
    <row r="3223" spans="1:12" x14ac:dyDescent="0.3">
      <c r="A3223" s="2">
        <v>39740</v>
      </c>
      <c r="B3223" t="s">
        <v>13</v>
      </c>
      <c r="D3223" s="2">
        <v>40471</v>
      </c>
      <c r="E3223">
        <v>6</v>
      </c>
      <c r="G3223" s="2">
        <v>40471</v>
      </c>
      <c r="H3223">
        <v>6.8140000000000001</v>
      </c>
      <c r="J3223" s="2">
        <v>40478</v>
      </c>
      <c r="K3223" s="3">
        <f t="shared" si="100"/>
        <v>6</v>
      </c>
      <c r="L3223" s="3">
        <f t="shared" si="101"/>
        <v>6.9050000000000002</v>
      </c>
    </row>
    <row r="3224" spans="1:12" x14ac:dyDescent="0.3">
      <c r="A3224" s="2">
        <v>39741</v>
      </c>
      <c r="B3224" t="s">
        <v>13</v>
      </c>
      <c r="D3224" s="2">
        <v>40472</v>
      </c>
      <c r="E3224">
        <v>6</v>
      </c>
      <c r="G3224" s="2">
        <v>40472</v>
      </c>
      <c r="H3224">
        <v>6.8479999999999999</v>
      </c>
      <c r="J3224" s="2">
        <v>40479</v>
      </c>
      <c r="K3224" s="3">
        <f t="shared" si="100"/>
        <v>6</v>
      </c>
      <c r="L3224" s="3">
        <f t="shared" si="101"/>
        <v>6.9219999999999997</v>
      </c>
    </row>
    <row r="3225" spans="1:12" x14ac:dyDescent="0.3">
      <c r="A3225" s="2">
        <v>39742</v>
      </c>
      <c r="B3225" t="s">
        <v>13</v>
      </c>
      <c r="D3225" s="2">
        <v>40473</v>
      </c>
      <c r="E3225">
        <v>6</v>
      </c>
      <c r="G3225" s="2">
        <v>40473</v>
      </c>
      <c r="H3225">
        <v>6.907</v>
      </c>
      <c r="J3225" s="2">
        <v>40480</v>
      </c>
      <c r="K3225" s="3">
        <f t="shared" si="100"/>
        <v>6</v>
      </c>
      <c r="L3225" s="3">
        <f t="shared" si="101"/>
        <v>6.883</v>
      </c>
    </row>
    <row r="3226" spans="1:12" x14ac:dyDescent="0.3">
      <c r="A3226" s="2">
        <v>39743</v>
      </c>
      <c r="B3226" t="s">
        <v>13</v>
      </c>
      <c r="D3226" s="2">
        <v>40474</v>
      </c>
      <c r="E3226">
        <v>6</v>
      </c>
      <c r="G3226" s="2">
        <v>40474</v>
      </c>
      <c r="H3226">
        <v>6.907</v>
      </c>
      <c r="J3226" s="2">
        <v>40481</v>
      </c>
      <c r="K3226" s="3">
        <f t="shared" si="100"/>
        <v>6</v>
      </c>
      <c r="L3226" s="3">
        <f t="shared" si="101"/>
        <v>6.883</v>
      </c>
    </row>
    <row r="3227" spans="1:12" x14ac:dyDescent="0.3">
      <c r="A3227" s="2">
        <v>39744</v>
      </c>
      <c r="B3227" t="s">
        <v>13</v>
      </c>
      <c r="D3227" s="2">
        <v>40475</v>
      </c>
      <c r="E3227">
        <v>6</v>
      </c>
      <c r="G3227" s="2">
        <v>40475</v>
      </c>
      <c r="H3227">
        <v>6.907</v>
      </c>
      <c r="J3227" s="2">
        <v>40482</v>
      </c>
      <c r="K3227" s="3">
        <f t="shared" si="100"/>
        <v>6</v>
      </c>
      <c r="L3227" s="3">
        <f t="shared" si="101"/>
        <v>6.883</v>
      </c>
    </row>
    <row r="3228" spans="1:12" x14ac:dyDescent="0.3">
      <c r="A3228" s="2">
        <v>39745</v>
      </c>
      <c r="B3228" t="s">
        <v>13</v>
      </c>
      <c r="D3228" s="2">
        <v>40476</v>
      </c>
      <c r="E3228">
        <v>6</v>
      </c>
      <c r="G3228" s="2">
        <v>40476</v>
      </c>
      <c r="H3228">
        <v>6.8570000000000002</v>
      </c>
      <c r="J3228" s="2">
        <v>40483</v>
      </c>
      <c r="K3228" s="3">
        <f t="shared" si="100"/>
        <v>6</v>
      </c>
      <c r="L3228" s="3">
        <f t="shared" si="101"/>
        <v>6.8689999999999998</v>
      </c>
    </row>
    <row r="3229" spans="1:12" x14ac:dyDescent="0.3">
      <c r="A3229" s="2">
        <v>39746</v>
      </c>
      <c r="B3229" t="s">
        <v>13</v>
      </c>
      <c r="D3229" s="2">
        <v>40477</v>
      </c>
      <c r="E3229">
        <v>6</v>
      </c>
      <c r="G3229" s="2">
        <v>40477</v>
      </c>
      <c r="H3229">
        <v>6.8730000000000002</v>
      </c>
      <c r="J3229" s="2">
        <v>40484</v>
      </c>
      <c r="K3229" s="3">
        <f t="shared" si="100"/>
        <v>6.25</v>
      </c>
      <c r="L3229" s="3">
        <f t="shared" si="101"/>
        <v>6.8</v>
      </c>
    </row>
    <row r="3230" spans="1:12" x14ac:dyDescent="0.3">
      <c r="A3230" s="2">
        <v>39747</v>
      </c>
      <c r="B3230" t="s">
        <v>13</v>
      </c>
      <c r="D3230" s="2">
        <v>40478</v>
      </c>
      <c r="E3230">
        <v>6</v>
      </c>
      <c r="G3230" s="2">
        <v>40478</v>
      </c>
      <c r="H3230">
        <v>6.9050000000000002</v>
      </c>
      <c r="J3230" s="2">
        <v>40485</v>
      </c>
      <c r="K3230" s="3">
        <f t="shared" si="100"/>
        <v>6.25</v>
      </c>
      <c r="L3230" s="3">
        <f t="shared" si="101"/>
        <v>6.8289999999999997</v>
      </c>
    </row>
    <row r="3231" spans="1:12" x14ac:dyDescent="0.3">
      <c r="A3231" s="2">
        <v>39748</v>
      </c>
      <c r="B3231" t="s">
        <v>13</v>
      </c>
      <c r="D3231" s="2">
        <v>40479</v>
      </c>
      <c r="E3231">
        <v>6</v>
      </c>
      <c r="G3231" s="2">
        <v>40479</v>
      </c>
      <c r="H3231">
        <v>6.9219999999999997</v>
      </c>
      <c r="J3231" s="2">
        <v>40486</v>
      </c>
      <c r="K3231" s="3">
        <f t="shared" si="100"/>
        <v>6.25</v>
      </c>
      <c r="L3231" s="3">
        <f t="shared" si="101"/>
        <v>6.7450000000000001</v>
      </c>
    </row>
    <row r="3232" spans="1:12" x14ac:dyDescent="0.3">
      <c r="A3232" s="2">
        <v>39749</v>
      </c>
      <c r="B3232" t="s">
        <v>13</v>
      </c>
      <c r="D3232" s="2">
        <v>40480</v>
      </c>
      <c r="E3232">
        <v>6</v>
      </c>
      <c r="G3232" s="2">
        <v>40480</v>
      </c>
      <c r="H3232">
        <v>6.883</v>
      </c>
      <c r="J3232" s="2">
        <v>40487</v>
      </c>
      <c r="K3232" s="3">
        <f t="shared" si="100"/>
        <v>6.25</v>
      </c>
      <c r="L3232" s="3">
        <f t="shared" si="101"/>
        <v>6.7450000000000001</v>
      </c>
    </row>
    <row r="3233" spans="1:12" x14ac:dyDescent="0.3">
      <c r="A3233" s="2">
        <v>39750</v>
      </c>
      <c r="B3233" t="s">
        <v>13</v>
      </c>
      <c r="D3233" s="2">
        <v>40481</v>
      </c>
      <c r="E3233">
        <v>6</v>
      </c>
      <c r="G3233" s="2">
        <v>40481</v>
      </c>
      <c r="H3233">
        <v>6.883</v>
      </c>
      <c r="J3233" s="2">
        <v>40488</v>
      </c>
      <c r="K3233" s="3">
        <f t="shared" si="100"/>
        <v>6.25</v>
      </c>
      <c r="L3233" s="3">
        <f t="shared" si="101"/>
        <v>6.7450000000000001</v>
      </c>
    </row>
    <row r="3234" spans="1:12" x14ac:dyDescent="0.3">
      <c r="A3234" s="2">
        <v>39751</v>
      </c>
      <c r="B3234" t="s">
        <v>13</v>
      </c>
      <c r="D3234" s="2">
        <v>40482</v>
      </c>
      <c r="E3234">
        <v>6</v>
      </c>
      <c r="G3234" s="2">
        <v>40482</v>
      </c>
      <c r="H3234">
        <v>6.883</v>
      </c>
      <c r="J3234" s="2">
        <v>40489</v>
      </c>
      <c r="K3234" s="3">
        <f t="shared" si="100"/>
        <v>6.25</v>
      </c>
      <c r="L3234" s="3">
        <f t="shared" si="101"/>
        <v>6.7450000000000001</v>
      </c>
    </row>
    <row r="3235" spans="1:12" x14ac:dyDescent="0.3">
      <c r="A3235" s="2">
        <v>39752</v>
      </c>
      <c r="B3235" t="s">
        <v>13</v>
      </c>
      <c r="D3235" s="2">
        <v>40483</v>
      </c>
      <c r="E3235">
        <v>6</v>
      </c>
      <c r="G3235" s="2">
        <v>40483</v>
      </c>
      <c r="H3235">
        <v>6.8689999999999998</v>
      </c>
      <c r="J3235" s="2">
        <v>40490</v>
      </c>
      <c r="K3235" s="3">
        <f t="shared" si="100"/>
        <v>6.25</v>
      </c>
      <c r="L3235" s="3">
        <f t="shared" si="101"/>
        <v>6.7380000000000004</v>
      </c>
    </row>
    <row r="3236" spans="1:12" x14ac:dyDescent="0.3">
      <c r="A3236" s="2">
        <v>39753</v>
      </c>
      <c r="B3236" t="s">
        <v>13</v>
      </c>
      <c r="D3236" s="2">
        <v>40484</v>
      </c>
      <c r="E3236">
        <v>6.25</v>
      </c>
      <c r="G3236" s="2">
        <v>40484</v>
      </c>
      <c r="H3236">
        <v>6.8</v>
      </c>
      <c r="J3236" s="2">
        <v>40491</v>
      </c>
      <c r="K3236" s="3">
        <f t="shared" si="100"/>
        <v>6.25</v>
      </c>
      <c r="L3236" s="3">
        <f t="shared" si="101"/>
        <v>6.7640000000000002</v>
      </c>
    </row>
    <row r="3237" spans="1:12" x14ac:dyDescent="0.3">
      <c r="A3237" s="2">
        <v>39754</v>
      </c>
      <c r="B3237" t="s">
        <v>13</v>
      </c>
      <c r="D3237" s="2">
        <v>40485</v>
      </c>
      <c r="E3237">
        <v>6.25</v>
      </c>
      <c r="G3237" s="2">
        <v>40485</v>
      </c>
      <c r="H3237">
        <v>6.8289999999999997</v>
      </c>
      <c r="J3237" s="2">
        <v>40492</v>
      </c>
      <c r="K3237" s="3">
        <f t="shared" si="100"/>
        <v>6.25</v>
      </c>
      <c r="L3237" s="3">
        <f t="shared" si="101"/>
        <v>6.78</v>
      </c>
    </row>
    <row r="3238" spans="1:12" x14ac:dyDescent="0.3">
      <c r="A3238" s="2">
        <v>39755</v>
      </c>
      <c r="B3238" t="s">
        <v>13</v>
      </c>
      <c r="D3238" s="2">
        <v>40486</v>
      </c>
      <c r="E3238">
        <v>6.25</v>
      </c>
      <c r="G3238" s="2">
        <v>40486</v>
      </c>
      <c r="H3238">
        <v>6.7450000000000001</v>
      </c>
      <c r="J3238" s="2">
        <v>40493</v>
      </c>
      <c r="K3238" s="3">
        <f t="shared" si="100"/>
        <v>6.25</v>
      </c>
      <c r="L3238" s="3">
        <f t="shared" si="101"/>
        <v>7.0730000000000004</v>
      </c>
    </row>
    <row r="3239" spans="1:12" x14ac:dyDescent="0.3">
      <c r="A3239" s="2">
        <v>39756</v>
      </c>
      <c r="B3239" t="s">
        <v>13</v>
      </c>
      <c r="D3239" s="2">
        <v>40487</v>
      </c>
      <c r="E3239">
        <v>6.25</v>
      </c>
      <c r="G3239" s="2">
        <v>40487</v>
      </c>
      <c r="H3239">
        <v>6.7450000000000001</v>
      </c>
      <c r="J3239" s="2">
        <v>40494</v>
      </c>
      <c r="K3239" s="3">
        <f t="shared" si="100"/>
        <v>6.25</v>
      </c>
      <c r="L3239" s="3">
        <f t="shared" si="101"/>
        <v>7.0720000000000001</v>
      </c>
    </row>
    <row r="3240" spans="1:12" x14ac:dyDescent="0.3">
      <c r="A3240" s="2">
        <v>39757</v>
      </c>
      <c r="B3240" t="s">
        <v>13</v>
      </c>
      <c r="D3240" s="2">
        <v>40488</v>
      </c>
      <c r="E3240">
        <v>6.25</v>
      </c>
      <c r="G3240" s="2">
        <v>40488</v>
      </c>
      <c r="H3240">
        <v>6.7450000000000001</v>
      </c>
      <c r="J3240" s="2">
        <v>40495</v>
      </c>
      <c r="K3240" s="3">
        <f t="shared" si="100"/>
        <v>6.25</v>
      </c>
      <c r="L3240" s="3">
        <f t="shared" si="101"/>
        <v>7.0720000000000001</v>
      </c>
    </row>
    <row r="3241" spans="1:12" x14ac:dyDescent="0.3">
      <c r="A3241" s="2">
        <v>39758</v>
      </c>
      <c r="B3241" t="s">
        <v>13</v>
      </c>
      <c r="D3241" s="2">
        <v>40489</v>
      </c>
      <c r="E3241">
        <v>6.25</v>
      </c>
      <c r="G3241" s="2">
        <v>40489</v>
      </c>
      <c r="H3241">
        <v>6.7450000000000001</v>
      </c>
      <c r="J3241" s="2">
        <v>40496</v>
      </c>
      <c r="K3241" s="3">
        <f t="shared" si="100"/>
        <v>6.25</v>
      </c>
      <c r="L3241" s="3">
        <f t="shared" si="101"/>
        <v>7.0720000000000001</v>
      </c>
    </row>
    <row r="3242" spans="1:12" x14ac:dyDescent="0.3">
      <c r="A3242" s="2">
        <v>39759</v>
      </c>
      <c r="B3242" t="s">
        <v>13</v>
      </c>
      <c r="D3242" s="2">
        <v>40490</v>
      </c>
      <c r="E3242">
        <v>6.25</v>
      </c>
      <c r="G3242" s="2">
        <v>40490</v>
      </c>
      <c r="H3242">
        <v>6.7380000000000004</v>
      </c>
      <c r="J3242" s="2">
        <v>40497</v>
      </c>
      <c r="K3242" s="3">
        <f t="shared" si="100"/>
        <v>6.25</v>
      </c>
      <c r="L3242" s="3">
        <f t="shared" si="101"/>
        <v>7.0810000000000004</v>
      </c>
    </row>
    <row r="3243" spans="1:12" x14ac:dyDescent="0.3">
      <c r="A3243" s="2">
        <v>39760</v>
      </c>
      <c r="B3243" t="s">
        <v>13</v>
      </c>
      <c r="D3243" s="2">
        <v>40491</v>
      </c>
      <c r="E3243">
        <v>6.25</v>
      </c>
      <c r="G3243" s="2">
        <v>40491</v>
      </c>
      <c r="H3243">
        <v>6.7640000000000002</v>
      </c>
      <c r="J3243" s="2">
        <v>40498</v>
      </c>
      <c r="K3243" s="3">
        <f t="shared" si="100"/>
        <v>6.25</v>
      </c>
      <c r="L3243" s="3">
        <f t="shared" si="101"/>
        <v>7.1139999999999999</v>
      </c>
    </row>
    <row r="3244" spans="1:12" x14ac:dyDescent="0.3">
      <c r="A3244" s="2">
        <v>39761</v>
      </c>
      <c r="B3244" t="s">
        <v>13</v>
      </c>
      <c r="D3244" s="2">
        <v>40492</v>
      </c>
      <c r="E3244">
        <v>6.25</v>
      </c>
      <c r="G3244" s="2">
        <v>40492</v>
      </c>
      <c r="H3244">
        <v>6.78</v>
      </c>
      <c r="J3244" s="2">
        <v>40499</v>
      </c>
      <c r="K3244" s="3">
        <f t="shared" si="100"/>
        <v>6.25</v>
      </c>
      <c r="L3244" s="3">
        <f t="shared" si="101"/>
        <v>7.1139999999999999</v>
      </c>
    </row>
    <row r="3245" spans="1:12" x14ac:dyDescent="0.3">
      <c r="A3245" s="2">
        <v>39762</v>
      </c>
      <c r="B3245" t="s">
        <v>13</v>
      </c>
      <c r="D3245" s="2">
        <v>40493</v>
      </c>
      <c r="E3245">
        <v>6.25</v>
      </c>
      <c r="G3245" s="2">
        <v>40493</v>
      </c>
      <c r="H3245">
        <v>7.0730000000000004</v>
      </c>
      <c r="J3245" s="2">
        <v>40500</v>
      </c>
      <c r="K3245" s="3">
        <f t="shared" si="100"/>
        <v>6.25</v>
      </c>
      <c r="L3245" s="3">
        <f t="shared" si="101"/>
        <v>7.0659999999999998</v>
      </c>
    </row>
    <row r="3246" spans="1:12" x14ac:dyDescent="0.3">
      <c r="A3246" s="2">
        <v>39763</v>
      </c>
      <c r="B3246" t="s">
        <v>13</v>
      </c>
      <c r="D3246" s="2">
        <v>40494</v>
      </c>
      <c r="E3246">
        <v>6.25</v>
      </c>
      <c r="G3246" s="2">
        <v>40494</v>
      </c>
      <c r="H3246">
        <v>7.0720000000000001</v>
      </c>
      <c r="J3246" s="2">
        <v>40501</v>
      </c>
      <c r="K3246" s="3">
        <f t="shared" si="100"/>
        <v>6.25</v>
      </c>
      <c r="L3246" s="3">
        <f t="shared" si="101"/>
        <v>7.0720000000000001</v>
      </c>
    </row>
    <row r="3247" spans="1:12" x14ac:dyDescent="0.3">
      <c r="A3247" s="2">
        <v>39764</v>
      </c>
      <c r="B3247" t="s">
        <v>13</v>
      </c>
      <c r="D3247" s="2">
        <v>40495</v>
      </c>
      <c r="E3247">
        <v>6.25</v>
      </c>
      <c r="G3247" s="2">
        <v>40495</v>
      </c>
      <c r="H3247">
        <v>7.0720000000000001</v>
      </c>
      <c r="J3247" s="2">
        <v>40502</v>
      </c>
      <c r="K3247" s="3">
        <f t="shared" si="100"/>
        <v>6.25</v>
      </c>
      <c r="L3247" s="3">
        <f t="shared" si="101"/>
        <v>7.0720000000000001</v>
      </c>
    </row>
    <row r="3248" spans="1:12" x14ac:dyDescent="0.3">
      <c r="A3248" s="2">
        <v>39765</v>
      </c>
      <c r="B3248" t="s">
        <v>13</v>
      </c>
      <c r="D3248" s="2">
        <v>40496</v>
      </c>
      <c r="E3248">
        <v>6.25</v>
      </c>
      <c r="G3248" s="2">
        <v>40496</v>
      </c>
      <c r="H3248">
        <v>7.0720000000000001</v>
      </c>
      <c r="J3248" s="2">
        <v>40503</v>
      </c>
      <c r="K3248" s="3">
        <f t="shared" si="100"/>
        <v>6.25</v>
      </c>
      <c r="L3248" s="3">
        <f t="shared" si="101"/>
        <v>7.0720000000000001</v>
      </c>
    </row>
    <row r="3249" spans="1:12" x14ac:dyDescent="0.3">
      <c r="A3249" s="2">
        <v>39766</v>
      </c>
      <c r="B3249" t="s">
        <v>13</v>
      </c>
      <c r="D3249" s="2">
        <v>40497</v>
      </c>
      <c r="E3249">
        <v>6.25</v>
      </c>
      <c r="G3249" s="2">
        <v>40497</v>
      </c>
      <c r="H3249">
        <v>7.0810000000000004</v>
      </c>
      <c r="J3249" s="2">
        <v>40504</v>
      </c>
      <c r="K3249" s="3">
        <f t="shared" si="100"/>
        <v>6.25</v>
      </c>
      <c r="L3249" s="3">
        <f t="shared" si="101"/>
        <v>7.0910000000000002</v>
      </c>
    </row>
    <row r="3250" spans="1:12" x14ac:dyDescent="0.3">
      <c r="A3250" s="2">
        <v>39767</v>
      </c>
      <c r="B3250" t="s">
        <v>13</v>
      </c>
      <c r="D3250" s="2">
        <v>40498</v>
      </c>
      <c r="E3250">
        <v>6.25</v>
      </c>
      <c r="G3250" s="2">
        <v>40498</v>
      </c>
      <c r="H3250">
        <v>7.1139999999999999</v>
      </c>
      <c r="J3250" s="2">
        <v>40505</v>
      </c>
      <c r="K3250" s="3">
        <f t="shared" si="100"/>
        <v>6.25</v>
      </c>
      <c r="L3250" s="3">
        <f t="shared" si="101"/>
        <v>7.0460000000000003</v>
      </c>
    </row>
    <row r="3251" spans="1:12" x14ac:dyDescent="0.3">
      <c r="A3251" s="2">
        <v>39768</v>
      </c>
      <c r="B3251" t="s">
        <v>13</v>
      </c>
      <c r="D3251" s="2">
        <v>40499</v>
      </c>
      <c r="E3251">
        <v>6.25</v>
      </c>
      <c r="G3251" s="2">
        <v>40499</v>
      </c>
      <c r="H3251">
        <v>7.1139999999999999</v>
      </c>
      <c r="J3251" s="2">
        <v>40506</v>
      </c>
      <c r="K3251" s="3">
        <f t="shared" si="100"/>
        <v>6.25</v>
      </c>
      <c r="L3251" s="3">
        <f t="shared" si="101"/>
        <v>7.0270000000000001</v>
      </c>
    </row>
    <row r="3252" spans="1:12" x14ac:dyDescent="0.3">
      <c r="A3252" s="2">
        <v>39769</v>
      </c>
      <c r="B3252" t="s">
        <v>13</v>
      </c>
      <c r="D3252" s="2">
        <v>40500</v>
      </c>
      <c r="E3252">
        <v>6.25</v>
      </c>
      <c r="G3252" s="2">
        <v>40500</v>
      </c>
      <c r="H3252">
        <v>7.0659999999999998</v>
      </c>
      <c r="J3252" s="2">
        <v>40507</v>
      </c>
      <c r="K3252" s="3">
        <f t="shared" si="100"/>
        <v>6.25</v>
      </c>
      <c r="L3252" s="3">
        <f t="shared" si="101"/>
        <v>6.9539999999999997</v>
      </c>
    </row>
    <row r="3253" spans="1:12" x14ac:dyDescent="0.3">
      <c r="A3253" s="2">
        <v>39770</v>
      </c>
      <c r="B3253" t="s">
        <v>13</v>
      </c>
      <c r="D3253" s="2">
        <v>40501</v>
      </c>
      <c r="E3253">
        <v>6.25</v>
      </c>
      <c r="G3253" s="2">
        <v>40501</v>
      </c>
      <c r="H3253">
        <v>7.0720000000000001</v>
      </c>
      <c r="J3253" s="2">
        <v>40508</v>
      </c>
      <c r="K3253" s="3">
        <f t="shared" si="100"/>
        <v>6.25</v>
      </c>
      <c r="L3253" s="3">
        <f t="shared" si="101"/>
        <v>6.92</v>
      </c>
    </row>
    <row r="3254" spans="1:12" x14ac:dyDescent="0.3">
      <c r="A3254" s="2">
        <v>39771</v>
      </c>
      <c r="B3254" t="s">
        <v>13</v>
      </c>
      <c r="D3254" s="2">
        <v>40502</v>
      </c>
      <c r="E3254">
        <v>6.25</v>
      </c>
      <c r="G3254" s="2">
        <v>40502</v>
      </c>
      <c r="H3254">
        <v>7.0720000000000001</v>
      </c>
      <c r="J3254" s="2">
        <v>40509</v>
      </c>
      <c r="K3254" s="3">
        <f t="shared" si="100"/>
        <v>6.25</v>
      </c>
      <c r="L3254" s="3">
        <f t="shared" si="101"/>
        <v>6.92</v>
      </c>
    </row>
    <row r="3255" spans="1:12" x14ac:dyDescent="0.3">
      <c r="A3255" s="2">
        <v>39772</v>
      </c>
      <c r="B3255" t="s">
        <v>13</v>
      </c>
      <c r="D3255" s="2">
        <v>40503</v>
      </c>
      <c r="E3255">
        <v>6.25</v>
      </c>
      <c r="G3255" s="2">
        <v>40503</v>
      </c>
      <c r="H3255">
        <v>7.0720000000000001</v>
      </c>
      <c r="J3255" s="2">
        <v>40510</v>
      </c>
      <c r="K3255" s="3">
        <f t="shared" si="100"/>
        <v>6.25</v>
      </c>
      <c r="L3255" s="3">
        <f t="shared" si="101"/>
        <v>6.92</v>
      </c>
    </row>
    <row r="3256" spans="1:12" x14ac:dyDescent="0.3">
      <c r="A3256" s="2">
        <v>39773</v>
      </c>
      <c r="B3256" t="s">
        <v>13</v>
      </c>
      <c r="D3256" s="2">
        <v>40504</v>
      </c>
      <c r="E3256">
        <v>6.25</v>
      </c>
      <c r="G3256" s="2">
        <v>40504</v>
      </c>
      <c r="H3256">
        <v>7.0910000000000002</v>
      </c>
      <c r="J3256" s="2">
        <v>40511</v>
      </c>
      <c r="K3256" s="3">
        <f t="shared" si="100"/>
        <v>6.25</v>
      </c>
      <c r="L3256" s="3">
        <f t="shared" si="101"/>
        <v>6.8490000000000002</v>
      </c>
    </row>
    <row r="3257" spans="1:12" x14ac:dyDescent="0.3">
      <c r="A3257" s="2">
        <v>39774</v>
      </c>
      <c r="B3257" t="s">
        <v>13</v>
      </c>
      <c r="D3257" s="2">
        <v>40505</v>
      </c>
      <c r="E3257">
        <v>6.25</v>
      </c>
      <c r="G3257" s="2">
        <v>40505</v>
      </c>
      <c r="H3257">
        <v>7.0460000000000003</v>
      </c>
      <c r="J3257" s="2">
        <v>40512</v>
      </c>
      <c r="K3257" s="3">
        <f t="shared" si="100"/>
        <v>6.25</v>
      </c>
      <c r="L3257" s="3">
        <f t="shared" si="101"/>
        <v>6.875</v>
      </c>
    </row>
    <row r="3258" spans="1:12" x14ac:dyDescent="0.3">
      <c r="A3258" s="2">
        <v>39775</v>
      </c>
      <c r="B3258" t="s">
        <v>13</v>
      </c>
      <c r="D3258" s="2">
        <v>40506</v>
      </c>
      <c r="E3258">
        <v>6.25</v>
      </c>
      <c r="G3258" s="2">
        <v>40506</v>
      </c>
      <c r="H3258">
        <v>7.0270000000000001</v>
      </c>
      <c r="J3258" s="2">
        <v>40513</v>
      </c>
      <c r="K3258" s="3">
        <f t="shared" si="100"/>
        <v>6.25</v>
      </c>
      <c r="L3258" s="3">
        <f t="shared" si="101"/>
        <v>6.9039999999999999</v>
      </c>
    </row>
    <row r="3259" spans="1:12" x14ac:dyDescent="0.3">
      <c r="A3259" s="2">
        <v>39776</v>
      </c>
      <c r="B3259" t="s">
        <v>13</v>
      </c>
      <c r="D3259" s="2">
        <v>40507</v>
      </c>
      <c r="E3259">
        <v>6.25</v>
      </c>
      <c r="G3259" s="2">
        <v>40507</v>
      </c>
      <c r="H3259">
        <v>6.9539999999999997</v>
      </c>
      <c r="J3259" s="2">
        <v>40514</v>
      </c>
      <c r="K3259" s="3">
        <f t="shared" si="100"/>
        <v>6.25</v>
      </c>
      <c r="L3259" s="3">
        <f t="shared" si="101"/>
        <v>7.0949999999999998</v>
      </c>
    </row>
    <row r="3260" spans="1:12" x14ac:dyDescent="0.3">
      <c r="A3260" s="2">
        <v>39777</v>
      </c>
      <c r="B3260" t="s">
        <v>13</v>
      </c>
      <c r="D3260" s="2">
        <v>40508</v>
      </c>
      <c r="E3260">
        <v>6.25</v>
      </c>
      <c r="G3260" s="2">
        <v>40508</v>
      </c>
      <c r="H3260">
        <v>6.92</v>
      </c>
      <c r="J3260" s="2">
        <v>40515</v>
      </c>
      <c r="K3260" s="3">
        <f t="shared" si="100"/>
        <v>6.25</v>
      </c>
      <c r="L3260" s="3">
        <f t="shared" si="101"/>
        <v>7.1</v>
      </c>
    </row>
    <row r="3261" spans="1:12" x14ac:dyDescent="0.3">
      <c r="A3261" s="2">
        <v>39778</v>
      </c>
      <c r="B3261" t="s">
        <v>13</v>
      </c>
      <c r="D3261" s="2">
        <v>40509</v>
      </c>
      <c r="E3261">
        <v>6.25</v>
      </c>
      <c r="G3261" s="2">
        <v>40509</v>
      </c>
      <c r="H3261">
        <v>6.92</v>
      </c>
      <c r="J3261" s="2">
        <v>40516</v>
      </c>
      <c r="K3261" s="3">
        <f t="shared" si="100"/>
        <v>6.25</v>
      </c>
      <c r="L3261" s="3">
        <f t="shared" si="101"/>
        <v>7.1</v>
      </c>
    </row>
    <row r="3262" spans="1:12" x14ac:dyDescent="0.3">
      <c r="A3262" s="2">
        <v>39779</v>
      </c>
      <c r="B3262" t="s">
        <v>13</v>
      </c>
      <c r="D3262" s="2">
        <v>40510</v>
      </c>
      <c r="E3262">
        <v>6.25</v>
      </c>
      <c r="G3262" s="2">
        <v>40510</v>
      </c>
      <c r="H3262">
        <v>6.92</v>
      </c>
      <c r="J3262" s="2">
        <v>40517</v>
      </c>
      <c r="K3262" s="3">
        <f t="shared" si="100"/>
        <v>6.25</v>
      </c>
      <c r="L3262" s="3">
        <f t="shared" si="101"/>
        <v>7.1</v>
      </c>
    </row>
    <row r="3263" spans="1:12" x14ac:dyDescent="0.3">
      <c r="A3263" s="2">
        <v>39780</v>
      </c>
      <c r="B3263" t="s">
        <v>13</v>
      </c>
      <c r="D3263" s="2">
        <v>40511</v>
      </c>
      <c r="E3263">
        <v>6.25</v>
      </c>
      <c r="G3263" s="2">
        <v>40511</v>
      </c>
      <c r="H3263">
        <v>6.8490000000000002</v>
      </c>
      <c r="J3263" s="2">
        <v>40518</v>
      </c>
      <c r="K3263" s="3">
        <f t="shared" si="100"/>
        <v>6.25</v>
      </c>
      <c r="L3263" s="3">
        <f t="shared" si="101"/>
        <v>7.19</v>
      </c>
    </row>
    <row r="3264" spans="1:12" x14ac:dyDescent="0.3">
      <c r="A3264" s="2">
        <v>39781</v>
      </c>
      <c r="B3264" t="s">
        <v>13</v>
      </c>
      <c r="D3264" s="2">
        <v>40512</v>
      </c>
      <c r="E3264">
        <v>6.25</v>
      </c>
      <c r="G3264" s="2">
        <v>40512</v>
      </c>
      <c r="H3264">
        <v>6.875</v>
      </c>
      <c r="J3264" s="2">
        <v>40519</v>
      </c>
      <c r="K3264" s="3">
        <f t="shared" si="100"/>
        <v>6.25</v>
      </c>
      <c r="L3264" s="3">
        <f t="shared" si="101"/>
        <v>7.1970000000000001</v>
      </c>
    </row>
    <row r="3265" spans="1:12" x14ac:dyDescent="0.3">
      <c r="A3265" s="2">
        <v>39782</v>
      </c>
      <c r="B3265" t="s">
        <v>13</v>
      </c>
      <c r="D3265" s="2">
        <v>40513</v>
      </c>
      <c r="E3265">
        <v>6.25</v>
      </c>
      <c r="G3265" s="2">
        <v>40513</v>
      </c>
      <c r="H3265">
        <v>6.9039999999999999</v>
      </c>
      <c r="J3265" s="2">
        <v>40520</v>
      </c>
      <c r="K3265" s="3">
        <f t="shared" si="100"/>
        <v>6.25</v>
      </c>
      <c r="L3265" s="3">
        <f t="shared" si="101"/>
        <v>7.1479999999999997</v>
      </c>
    </row>
    <row r="3266" spans="1:12" x14ac:dyDescent="0.3">
      <c r="A3266" s="2">
        <v>39783</v>
      </c>
      <c r="B3266" t="s">
        <v>13</v>
      </c>
      <c r="D3266" s="2">
        <v>40514</v>
      </c>
      <c r="E3266">
        <v>6.25</v>
      </c>
      <c r="G3266" s="2">
        <v>40514</v>
      </c>
      <c r="H3266">
        <v>7.0949999999999998</v>
      </c>
      <c r="J3266" s="2">
        <v>40521</v>
      </c>
      <c r="K3266" s="3">
        <f t="shared" si="100"/>
        <v>6.25</v>
      </c>
      <c r="L3266" s="3">
        <f t="shared" si="101"/>
        <v>7.19</v>
      </c>
    </row>
    <row r="3267" spans="1:12" x14ac:dyDescent="0.3">
      <c r="A3267" s="2">
        <v>39784</v>
      </c>
      <c r="B3267" t="s">
        <v>13</v>
      </c>
      <c r="D3267" s="2">
        <v>40515</v>
      </c>
      <c r="E3267">
        <v>6.25</v>
      </c>
      <c r="G3267" s="2">
        <v>40515</v>
      </c>
      <c r="H3267">
        <v>7.1</v>
      </c>
      <c r="J3267" s="2">
        <v>40522</v>
      </c>
      <c r="K3267" s="3">
        <f t="shared" ref="K3267:K3330" si="102">E3274</f>
        <v>6.25</v>
      </c>
      <c r="L3267" s="3">
        <f t="shared" ref="L3267:L3330" si="103">H3274</f>
        <v>7.4029999999999996</v>
      </c>
    </row>
    <row r="3268" spans="1:12" x14ac:dyDescent="0.3">
      <c r="A3268" s="2">
        <v>39785</v>
      </c>
      <c r="B3268" t="s">
        <v>13</v>
      </c>
      <c r="D3268" s="2">
        <v>40516</v>
      </c>
      <c r="E3268">
        <v>6.25</v>
      </c>
      <c r="G3268" s="2">
        <v>40516</v>
      </c>
      <c r="H3268">
        <v>7.1</v>
      </c>
      <c r="J3268" s="2">
        <v>40523</v>
      </c>
      <c r="K3268" s="3">
        <f t="shared" si="102"/>
        <v>6.25</v>
      </c>
      <c r="L3268" s="3">
        <f t="shared" si="103"/>
        <v>7.4029999999999996</v>
      </c>
    </row>
    <row r="3269" spans="1:12" x14ac:dyDescent="0.3">
      <c r="A3269" s="2">
        <v>39786</v>
      </c>
      <c r="B3269" t="s">
        <v>13</v>
      </c>
      <c r="D3269" s="2">
        <v>40517</v>
      </c>
      <c r="E3269">
        <v>6.25</v>
      </c>
      <c r="G3269" s="2">
        <v>40517</v>
      </c>
      <c r="H3269">
        <v>7.1</v>
      </c>
      <c r="J3269" s="2">
        <v>40524</v>
      </c>
      <c r="K3269" s="3">
        <f t="shared" si="102"/>
        <v>6.25</v>
      </c>
      <c r="L3269" s="3">
        <f t="shared" si="103"/>
        <v>7.4029999999999996</v>
      </c>
    </row>
    <row r="3270" spans="1:12" x14ac:dyDescent="0.3">
      <c r="A3270" s="2">
        <v>39787</v>
      </c>
      <c r="B3270" t="s">
        <v>13</v>
      </c>
      <c r="D3270" s="2">
        <v>40518</v>
      </c>
      <c r="E3270">
        <v>6.25</v>
      </c>
      <c r="G3270" s="2">
        <v>40518</v>
      </c>
      <c r="H3270">
        <v>7.19</v>
      </c>
      <c r="J3270" s="2">
        <v>40525</v>
      </c>
      <c r="K3270" s="3">
        <f t="shared" si="102"/>
        <v>6.25</v>
      </c>
      <c r="L3270" s="3">
        <f t="shared" si="103"/>
        <v>7.4509999999999996</v>
      </c>
    </row>
    <row r="3271" spans="1:12" x14ac:dyDescent="0.3">
      <c r="A3271" s="2">
        <v>39788</v>
      </c>
      <c r="B3271" t="s">
        <v>13</v>
      </c>
      <c r="D3271" s="2">
        <v>40519</v>
      </c>
      <c r="E3271">
        <v>6.25</v>
      </c>
      <c r="G3271" s="2">
        <v>40519</v>
      </c>
      <c r="H3271">
        <v>7.1970000000000001</v>
      </c>
      <c r="J3271" s="2">
        <v>40526</v>
      </c>
      <c r="K3271" s="3">
        <f t="shared" si="102"/>
        <v>6.25</v>
      </c>
      <c r="L3271" s="3">
        <f t="shared" si="103"/>
        <v>7.4470000000000001</v>
      </c>
    </row>
    <row r="3272" spans="1:12" x14ac:dyDescent="0.3">
      <c r="A3272" s="2">
        <v>39789</v>
      </c>
      <c r="B3272" t="s">
        <v>13</v>
      </c>
      <c r="D3272" s="2">
        <v>40520</v>
      </c>
      <c r="E3272">
        <v>6.25</v>
      </c>
      <c r="G3272" s="2">
        <v>40520</v>
      </c>
      <c r="H3272">
        <v>7.1479999999999997</v>
      </c>
      <c r="J3272" s="2">
        <v>40527</v>
      </c>
      <c r="K3272" s="3">
        <f t="shared" si="102"/>
        <v>6.25</v>
      </c>
      <c r="L3272" s="3">
        <f t="shared" si="103"/>
        <v>7.4980000000000002</v>
      </c>
    </row>
    <row r="3273" spans="1:12" x14ac:dyDescent="0.3">
      <c r="A3273" s="2">
        <v>39790</v>
      </c>
      <c r="B3273" t="s">
        <v>13</v>
      </c>
      <c r="D3273" s="2">
        <v>40521</v>
      </c>
      <c r="E3273">
        <v>6.25</v>
      </c>
      <c r="G3273" s="2">
        <v>40521</v>
      </c>
      <c r="H3273">
        <v>7.19</v>
      </c>
      <c r="J3273" s="2">
        <v>40528</v>
      </c>
      <c r="K3273" s="3">
        <f t="shared" si="102"/>
        <v>6.25</v>
      </c>
      <c r="L3273" s="3">
        <f t="shared" si="103"/>
        <v>7.4210000000000003</v>
      </c>
    </row>
    <row r="3274" spans="1:12" x14ac:dyDescent="0.3">
      <c r="A3274" s="2">
        <v>39791</v>
      </c>
      <c r="B3274" t="s">
        <v>13</v>
      </c>
      <c r="D3274" s="2">
        <v>40522</v>
      </c>
      <c r="E3274">
        <v>6.25</v>
      </c>
      <c r="G3274" s="2">
        <v>40522</v>
      </c>
      <c r="H3274">
        <v>7.4029999999999996</v>
      </c>
      <c r="J3274" s="2">
        <v>40529</v>
      </c>
      <c r="K3274" s="3">
        <f t="shared" si="102"/>
        <v>6.25</v>
      </c>
      <c r="L3274" s="3">
        <f t="shared" si="103"/>
        <v>7.4210000000000003</v>
      </c>
    </row>
    <row r="3275" spans="1:12" x14ac:dyDescent="0.3">
      <c r="A3275" s="2">
        <v>39792</v>
      </c>
      <c r="B3275" t="s">
        <v>13</v>
      </c>
      <c r="D3275" s="2">
        <v>40523</v>
      </c>
      <c r="E3275">
        <v>6.25</v>
      </c>
      <c r="G3275" s="2">
        <v>40523</v>
      </c>
      <c r="H3275">
        <v>7.4029999999999996</v>
      </c>
      <c r="J3275" s="2">
        <v>40530</v>
      </c>
      <c r="K3275" s="3">
        <f t="shared" si="102"/>
        <v>6.25</v>
      </c>
      <c r="L3275" s="3">
        <f t="shared" si="103"/>
        <v>7.4210000000000003</v>
      </c>
    </row>
    <row r="3276" spans="1:12" x14ac:dyDescent="0.3">
      <c r="A3276" s="2">
        <v>39793</v>
      </c>
      <c r="B3276" t="s">
        <v>13</v>
      </c>
      <c r="D3276" s="2">
        <v>40524</v>
      </c>
      <c r="E3276">
        <v>6.25</v>
      </c>
      <c r="G3276" s="2">
        <v>40524</v>
      </c>
      <c r="H3276">
        <v>7.4029999999999996</v>
      </c>
      <c r="J3276" s="2">
        <v>40531</v>
      </c>
      <c r="K3276" s="3">
        <f t="shared" si="102"/>
        <v>6.25</v>
      </c>
      <c r="L3276" s="3">
        <f t="shared" si="103"/>
        <v>7.4210000000000003</v>
      </c>
    </row>
    <row r="3277" spans="1:12" x14ac:dyDescent="0.3">
      <c r="A3277" s="2">
        <v>39794</v>
      </c>
      <c r="B3277" t="s">
        <v>13</v>
      </c>
      <c r="D3277" s="2">
        <v>40525</v>
      </c>
      <c r="E3277">
        <v>6.25</v>
      </c>
      <c r="G3277" s="2">
        <v>40525</v>
      </c>
      <c r="H3277">
        <v>7.4509999999999996</v>
      </c>
      <c r="J3277" s="2">
        <v>40532</v>
      </c>
      <c r="K3277" s="3">
        <f t="shared" si="102"/>
        <v>6.25</v>
      </c>
      <c r="L3277" s="3">
        <f t="shared" si="103"/>
        <v>7.4320000000000004</v>
      </c>
    </row>
    <row r="3278" spans="1:12" x14ac:dyDescent="0.3">
      <c r="A3278" s="2">
        <v>39795</v>
      </c>
      <c r="B3278" t="s">
        <v>13</v>
      </c>
      <c r="D3278" s="2">
        <v>40526</v>
      </c>
      <c r="E3278">
        <v>6.25</v>
      </c>
      <c r="G3278" s="2">
        <v>40526</v>
      </c>
      <c r="H3278">
        <v>7.4470000000000001</v>
      </c>
      <c r="J3278" s="2">
        <v>40533</v>
      </c>
      <c r="K3278" s="3">
        <f t="shared" si="102"/>
        <v>6.25</v>
      </c>
      <c r="L3278" s="3">
        <f t="shared" si="103"/>
        <v>7.391</v>
      </c>
    </row>
    <row r="3279" spans="1:12" x14ac:dyDescent="0.3">
      <c r="A3279" s="2">
        <v>39796</v>
      </c>
      <c r="B3279" t="s">
        <v>13</v>
      </c>
      <c r="D3279" s="2">
        <v>40527</v>
      </c>
      <c r="E3279">
        <v>6.25</v>
      </c>
      <c r="G3279" s="2">
        <v>40527</v>
      </c>
      <c r="H3279">
        <v>7.4980000000000002</v>
      </c>
      <c r="J3279" s="2">
        <v>40534</v>
      </c>
      <c r="K3279" s="3">
        <f t="shared" si="102"/>
        <v>6.25</v>
      </c>
      <c r="L3279" s="3">
        <f t="shared" si="103"/>
        <v>7.3620000000000001</v>
      </c>
    </row>
    <row r="3280" spans="1:12" x14ac:dyDescent="0.3">
      <c r="A3280" s="2">
        <v>39797</v>
      </c>
      <c r="B3280" t="s">
        <v>13</v>
      </c>
      <c r="D3280" s="2">
        <v>40528</v>
      </c>
      <c r="E3280">
        <v>6.25</v>
      </c>
      <c r="G3280" s="2">
        <v>40528</v>
      </c>
      <c r="H3280">
        <v>7.4210000000000003</v>
      </c>
      <c r="J3280" s="2">
        <v>40535</v>
      </c>
      <c r="K3280" s="3">
        <f t="shared" si="102"/>
        <v>6.25</v>
      </c>
      <c r="L3280" s="3">
        <f t="shared" si="103"/>
        <v>7.431</v>
      </c>
    </row>
    <row r="3281" spans="1:12" x14ac:dyDescent="0.3">
      <c r="A3281" s="2">
        <v>39798</v>
      </c>
      <c r="B3281" t="s">
        <v>13</v>
      </c>
      <c r="D3281" s="2">
        <v>40529</v>
      </c>
      <c r="E3281">
        <v>6.25</v>
      </c>
      <c r="G3281" s="2">
        <v>40529</v>
      </c>
      <c r="H3281">
        <v>7.4210000000000003</v>
      </c>
      <c r="J3281" s="2">
        <v>40536</v>
      </c>
      <c r="K3281" s="3">
        <f t="shared" si="102"/>
        <v>6.25</v>
      </c>
      <c r="L3281" s="3">
        <f t="shared" si="103"/>
        <v>7.3769999999999998</v>
      </c>
    </row>
    <row r="3282" spans="1:12" x14ac:dyDescent="0.3">
      <c r="A3282" s="2">
        <v>39799</v>
      </c>
      <c r="B3282" t="s">
        <v>13</v>
      </c>
      <c r="D3282" s="2">
        <v>40530</v>
      </c>
      <c r="E3282">
        <v>6.25</v>
      </c>
      <c r="G3282" s="2">
        <v>40530</v>
      </c>
      <c r="H3282">
        <v>7.4210000000000003</v>
      </c>
      <c r="J3282" s="2">
        <v>40537</v>
      </c>
      <c r="K3282" s="3">
        <f t="shared" si="102"/>
        <v>6.25</v>
      </c>
      <c r="L3282" s="3">
        <f t="shared" si="103"/>
        <v>7.3769999999999998</v>
      </c>
    </row>
    <row r="3283" spans="1:12" x14ac:dyDescent="0.3">
      <c r="A3283" s="2">
        <v>39800</v>
      </c>
      <c r="B3283" t="s">
        <v>13</v>
      </c>
      <c r="D3283" s="2">
        <v>40531</v>
      </c>
      <c r="E3283">
        <v>6.25</v>
      </c>
      <c r="G3283" s="2">
        <v>40531</v>
      </c>
      <c r="H3283">
        <v>7.4210000000000003</v>
      </c>
      <c r="J3283" s="2">
        <v>40538</v>
      </c>
      <c r="K3283" s="3">
        <f t="shared" si="102"/>
        <v>6.25</v>
      </c>
      <c r="L3283" s="3">
        <f t="shared" si="103"/>
        <v>7.3769999999999998</v>
      </c>
    </row>
    <row r="3284" spans="1:12" x14ac:dyDescent="0.3">
      <c r="A3284" s="2">
        <v>39801</v>
      </c>
      <c r="B3284" t="s">
        <v>13</v>
      </c>
      <c r="D3284" s="2">
        <v>40532</v>
      </c>
      <c r="E3284">
        <v>6.25</v>
      </c>
      <c r="G3284" s="2">
        <v>40532</v>
      </c>
      <c r="H3284">
        <v>7.4320000000000004</v>
      </c>
      <c r="J3284" s="2">
        <v>40539</v>
      </c>
      <c r="K3284" s="3">
        <f t="shared" si="102"/>
        <v>6.25</v>
      </c>
      <c r="L3284" s="3">
        <f t="shared" si="103"/>
        <v>7.3630000000000004</v>
      </c>
    </row>
    <row r="3285" spans="1:12" x14ac:dyDescent="0.3">
      <c r="A3285" s="2">
        <v>39802</v>
      </c>
      <c r="B3285" t="s">
        <v>13</v>
      </c>
      <c r="D3285" s="2">
        <v>40533</v>
      </c>
      <c r="E3285">
        <v>6.25</v>
      </c>
      <c r="G3285" s="2">
        <v>40533</v>
      </c>
      <c r="H3285">
        <v>7.391</v>
      </c>
      <c r="J3285" s="2">
        <v>40540</v>
      </c>
      <c r="K3285" s="3">
        <f t="shared" si="102"/>
        <v>6.25</v>
      </c>
      <c r="L3285" s="3">
        <f t="shared" si="103"/>
        <v>7.33</v>
      </c>
    </row>
    <row r="3286" spans="1:12" x14ac:dyDescent="0.3">
      <c r="A3286" s="2">
        <v>39803</v>
      </c>
      <c r="B3286" t="s">
        <v>13</v>
      </c>
      <c r="D3286" s="2">
        <v>40534</v>
      </c>
      <c r="E3286">
        <v>6.25</v>
      </c>
      <c r="G3286" s="2">
        <v>40534</v>
      </c>
      <c r="H3286">
        <v>7.3620000000000001</v>
      </c>
      <c r="J3286" s="2">
        <v>40541</v>
      </c>
      <c r="K3286" s="3">
        <f t="shared" si="102"/>
        <v>6.25</v>
      </c>
      <c r="L3286" s="3">
        <f t="shared" si="103"/>
        <v>7.4080000000000004</v>
      </c>
    </row>
    <row r="3287" spans="1:12" x14ac:dyDescent="0.3">
      <c r="A3287" s="2">
        <v>39804</v>
      </c>
      <c r="B3287" t="s">
        <v>13</v>
      </c>
      <c r="D3287" s="2">
        <v>40535</v>
      </c>
      <c r="E3287">
        <v>6.25</v>
      </c>
      <c r="G3287" s="2">
        <v>40535</v>
      </c>
      <c r="H3287">
        <v>7.431</v>
      </c>
      <c r="J3287" s="2">
        <v>40542</v>
      </c>
      <c r="K3287" s="3">
        <f t="shared" si="102"/>
        <v>6.25</v>
      </c>
      <c r="L3287" s="3">
        <f t="shared" si="103"/>
        <v>7.3639999999999999</v>
      </c>
    </row>
    <row r="3288" spans="1:12" x14ac:dyDescent="0.3">
      <c r="A3288" s="2">
        <v>39805</v>
      </c>
      <c r="B3288" t="s">
        <v>13</v>
      </c>
      <c r="D3288" s="2">
        <v>40536</v>
      </c>
      <c r="E3288">
        <v>6.25</v>
      </c>
      <c r="G3288" s="2">
        <v>40536</v>
      </c>
      <c r="H3288">
        <v>7.3769999999999998</v>
      </c>
      <c r="J3288" s="2">
        <v>40543</v>
      </c>
      <c r="K3288" s="3">
        <f t="shared" si="102"/>
        <v>6.25</v>
      </c>
      <c r="L3288" s="3">
        <f t="shared" si="103"/>
        <v>7.2880000000000003</v>
      </c>
    </row>
    <row r="3289" spans="1:12" x14ac:dyDescent="0.3">
      <c r="A3289" s="2">
        <v>39806</v>
      </c>
      <c r="B3289" t="s">
        <v>13</v>
      </c>
      <c r="D3289" s="2">
        <v>40537</v>
      </c>
      <c r="E3289">
        <v>6.25</v>
      </c>
      <c r="G3289" s="2">
        <v>40537</v>
      </c>
      <c r="H3289">
        <v>7.3769999999999998</v>
      </c>
      <c r="J3289" s="2">
        <v>40544</v>
      </c>
      <c r="K3289" s="3">
        <f t="shared" si="102"/>
        <v>6.25</v>
      </c>
      <c r="L3289" s="3">
        <f t="shared" si="103"/>
        <v>7.2880000000000003</v>
      </c>
    </row>
    <row r="3290" spans="1:12" x14ac:dyDescent="0.3">
      <c r="A3290" s="2">
        <v>39807</v>
      </c>
      <c r="B3290" t="s">
        <v>13</v>
      </c>
      <c r="D3290" s="2">
        <v>40538</v>
      </c>
      <c r="E3290">
        <v>6.25</v>
      </c>
      <c r="G3290" s="2">
        <v>40538</v>
      </c>
      <c r="H3290">
        <v>7.3769999999999998</v>
      </c>
      <c r="J3290" s="2">
        <v>40545</v>
      </c>
      <c r="K3290" s="3">
        <f t="shared" si="102"/>
        <v>6.25</v>
      </c>
      <c r="L3290" s="3">
        <f t="shared" si="103"/>
        <v>7.2880000000000003</v>
      </c>
    </row>
    <row r="3291" spans="1:12" x14ac:dyDescent="0.3">
      <c r="A3291" s="2">
        <v>39808</v>
      </c>
      <c r="B3291" t="s">
        <v>13</v>
      </c>
      <c r="D3291" s="2">
        <v>40539</v>
      </c>
      <c r="E3291">
        <v>6.25</v>
      </c>
      <c r="G3291" s="2">
        <v>40539</v>
      </c>
      <c r="H3291">
        <v>7.3630000000000004</v>
      </c>
      <c r="J3291" s="2">
        <v>40546</v>
      </c>
      <c r="K3291" s="3">
        <f t="shared" si="102"/>
        <v>6.25</v>
      </c>
      <c r="L3291" s="3">
        <f t="shared" si="103"/>
        <v>7.4909999999999997</v>
      </c>
    </row>
    <row r="3292" spans="1:12" x14ac:dyDescent="0.3">
      <c r="A3292" s="2">
        <v>39809</v>
      </c>
      <c r="B3292" t="s">
        <v>13</v>
      </c>
      <c r="D3292" s="2">
        <v>40540</v>
      </c>
      <c r="E3292">
        <v>6.25</v>
      </c>
      <c r="G3292" s="2">
        <v>40540</v>
      </c>
      <c r="H3292">
        <v>7.33</v>
      </c>
      <c r="J3292" s="2">
        <v>40547</v>
      </c>
      <c r="K3292" s="3">
        <f t="shared" si="102"/>
        <v>6.25</v>
      </c>
      <c r="L3292" s="3">
        <f t="shared" si="103"/>
        <v>7.4580000000000002</v>
      </c>
    </row>
    <row r="3293" spans="1:12" x14ac:dyDescent="0.3">
      <c r="A3293" s="2">
        <v>39810</v>
      </c>
      <c r="B3293" t="s">
        <v>13</v>
      </c>
      <c r="D3293" s="2">
        <v>40541</v>
      </c>
      <c r="E3293">
        <v>6.25</v>
      </c>
      <c r="G3293" s="2">
        <v>40541</v>
      </c>
      <c r="H3293">
        <v>7.4080000000000004</v>
      </c>
      <c r="J3293" s="2">
        <v>40548</v>
      </c>
      <c r="K3293" s="3">
        <f t="shared" si="102"/>
        <v>6.25</v>
      </c>
      <c r="L3293" s="3">
        <f t="shared" si="103"/>
        <v>7.3959999999999999</v>
      </c>
    </row>
    <row r="3294" spans="1:12" x14ac:dyDescent="0.3">
      <c r="A3294" s="2">
        <v>39811</v>
      </c>
      <c r="B3294" t="s">
        <v>13</v>
      </c>
      <c r="D3294" s="2">
        <v>40542</v>
      </c>
      <c r="E3294">
        <v>6.25</v>
      </c>
      <c r="G3294" s="2">
        <v>40542</v>
      </c>
      <c r="H3294">
        <v>7.3639999999999999</v>
      </c>
      <c r="J3294" s="2">
        <v>40549</v>
      </c>
      <c r="K3294" s="3">
        <f t="shared" si="102"/>
        <v>6.25</v>
      </c>
      <c r="L3294" s="3">
        <f t="shared" si="103"/>
        <v>7.4089999999999998</v>
      </c>
    </row>
    <row r="3295" spans="1:12" x14ac:dyDescent="0.3">
      <c r="A3295" s="2">
        <v>39812</v>
      </c>
      <c r="B3295" t="s">
        <v>13</v>
      </c>
      <c r="D3295" s="2">
        <v>40543</v>
      </c>
      <c r="E3295">
        <v>6.25</v>
      </c>
      <c r="G3295" s="2">
        <v>40543</v>
      </c>
      <c r="H3295">
        <v>7.2880000000000003</v>
      </c>
      <c r="J3295" s="2">
        <v>40550</v>
      </c>
      <c r="K3295" s="3">
        <f t="shared" si="102"/>
        <v>6.25</v>
      </c>
      <c r="L3295" s="3">
        <f t="shared" si="103"/>
        <v>7.4169999999999998</v>
      </c>
    </row>
    <row r="3296" spans="1:12" x14ac:dyDescent="0.3">
      <c r="A3296" s="2">
        <v>39813</v>
      </c>
      <c r="B3296" t="s">
        <v>13</v>
      </c>
      <c r="D3296" s="2">
        <v>40544</v>
      </c>
      <c r="E3296">
        <v>6.25</v>
      </c>
      <c r="G3296" s="2">
        <v>40544</v>
      </c>
      <c r="H3296">
        <v>7.2880000000000003</v>
      </c>
      <c r="J3296" s="2">
        <v>40551</v>
      </c>
      <c r="K3296" s="3">
        <f t="shared" si="102"/>
        <v>6.25</v>
      </c>
      <c r="L3296" s="3">
        <f t="shared" si="103"/>
        <v>7.4169999999999998</v>
      </c>
    </row>
    <row r="3297" spans="1:12" x14ac:dyDescent="0.3">
      <c r="A3297" s="2">
        <v>39814</v>
      </c>
      <c r="B3297" t="s">
        <v>13</v>
      </c>
      <c r="D3297" s="2">
        <v>40545</v>
      </c>
      <c r="E3297">
        <v>6.25</v>
      </c>
      <c r="G3297" s="2">
        <v>40545</v>
      </c>
      <c r="H3297">
        <v>7.2880000000000003</v>
      </c>
      <c r="J3297" s="2">
        <v>40552</v>
      </c>
      <c r="K3297" s="3">
        <f t="shared" si="102"/>
        <v>6.25</v>
      </c>
      <c r="L3297" s="3">
        <f t="shared" si="103"/>
        <v>7.4169999999999998</v>
      </c>
    </row>
    <row r="3298" spans="1:12" x14ac:dyDescent="0.3">
      <c r="A3298" s="2">
        <v>39815</v>
      </c>
      <c r="B3298" t="s">
        <v>13</v>
      </c>
      <c r="D3298" s="2">
        <v>40546</v>
      </c>
      <c r="E3298">
        <v>6.25</v>
      </c>
      <c r="G3298" s="2">
        <v>40546</v>
      </c>
      <c r="H3298">
        <v>7.4909999999999997</v>
      </c>
      <c r="J3298" s="2">
        <v>40553</v>
      </c>
      <c r="K3298" s="3">
        <f t="shared" si="102"/>
        <v>6.25</v>
      </c>
      <c r="L3298" s="3">
        <f t="shared" si="103"/>
        <v>7.4569999999999999</v>
      </c>
    </row>
    <row r="3299" spans="1:12" x14ac:dyDescent="0.3">
      <c r="A3299" s="2">
        <v>39816</v>
      </c>
      <c r="B3299" t="s">
        <v>13</v>
      </c>
      <c r="D3299" s="2">
        <v>40547</v>
      </c>
      <c r="E3299">
        <v>6.25</v>
      </c>
      <c r="G3299" s="2">
        <v>40547</v>
      </c>
      <c r="H3299">
        <v>7.4580000000000002</v>
      </c>
      <c r="J3299" s="2">
        <v>40554</v>
      </c>
      <c r="K3299" s="3">
        <f t="shared" si="102"/>
        <v>6.25</v>
      </c>
      <c r="L3299" s="3">
        <f t="shared" si="103"/>
        <v>7.4640000000000004</v>
      </c>
    </row>
    <row r="3300" spans="1:12" x14ac:dyDescent="0.3">
      <c r="A3300" s="2">
        <v>39817</v>
      </c>
      <c r="B3300" t="s">
        <v>13</v>
      </c>
      <c r="D3300" s="2">
        <v>40548</v>
      </c>
      <c r="E3300">
        <v>6.25</v>
      </c>
      <c r="G3300" s="2">
        <v>40548</v>
      </c>
      <c r="H3300">
        <v>7.3959999999999999</v>
      </c>
      <c r="J3300" s="2">
        <v>40555</v>
      </c>
      <c r="K3300" s="3">
        <f t="shared" si="102"/>
        <v>6.25</v>
      </c>
      <c r="L3300" s="3">
        <f t="shared" si="103"/>
        <v>7.4930000000000003</v>
      </c>
    </row>
    <row r="3301" spans="1:12" x14ac:dyDescent="0.3">
      <c r="A3301" s="2">
        <v>39818</v>
      </c>
      <c r="B3301" t="s">
        <v>13</v>
      </c>
      <c r="D3301" s="2">
        <v>40549</v>
      </c>
      <c r="E3301">
        <v>6.25</v>
      </c>
      <c r="G3301" s="2">
        <v>40549</v>
      </c>
      <c r="H3301">
        <v>7.4089999999999998</v>
      </c>
      <c r="J3301" s="2">
        <v>40556</v>
      </c>
      <c r="K3301" s="3">
        <f t="shared" si="102"/>
        <v>6.25</v>
      </c>
      <c r="L3301" s="3">
        <f t="shared" si="103"/>
        <v>7.5179999999999998</v>
      </c>
    </row>
    <row r="3302" spans="1:12" x14ac:dyDescent="0.3">
      <c r="A3302" s="2">
        <v>39819</v>
      </c>
      <c r="B3302" t="s">
        <v>13</v>
      </c>
      <c r="D3302" s="2">
        <v>40550</v>
      </c>
      <c r="E3302">
        <v>6.25</v>
      </c>
      <c r="G3302" s="2">
        <v>40550</v>
      </c>
      <c r="H3302">
        <v>7.4169999999999998</v>
      </c>
      <c r="J3302" s="2">
        <v>40557</v>
      </c>
      <c r="K3302" s="3">
        <f t="shared" si="102"/>
        <v>6.25</v>
      </c>
      <c r="L3302" s="3">
        <f t="shared" si="103"/>
        <v>7.516</v>
      </c>
    </row>
    <row r="3303" spans="1:12" x14ac:dyDescent="0.3">
      <c r="A3303" s="2">
        <v>39820</v>
      </c>
      <c r="B3303" t="s">
        <v>13</v>
      </c>
      <c r="D3303" s="2">
        <v>40551</v>
      </c>
      <c r="E3303">
        <v>6.25</v>
      </c>
      <c r="G3303" s="2">
        <v>40551</v>
      </c>
      <c r="H3303">
        <v>7.4169999999999998</v>
      </c>
      <c r="J3303" s="2">
        <v>40558</v>
      </c>
      <c r="K3303" s="3">
        <f t="shared" si="102"/>
        <v>6.25</v>
      </c>
      <c r="L3303" s="3">
        <f t="shared" si="103"/>
        <v>7.516</v>
      </c>
    </row>
    <row r="3304" spans="1:12" x14ac:dyDescent="0.3">
      <c r="A3304" s="2">
        <v>39821</v>
      </c>
      <c r="B3304" t="s">
        <v>13</v>
      </c>
      <c r="D3304" s="2">
        <v>40552</v>
      </c>
      <c r="E3304">
        <v>6.25</v>
      </c>
      <c r="G3304" s="2">
        <v>40552</v>
      </c>
      <c r="H3304">
        <v>7.4169999999999998</v>
      </c>
      <c r="J3304" s="2">
        <v>40559</v>
      </c>
      <c r="K3304" s="3">
        <f t="shared" si="102"/>
        <v>6.25</v>
      </c>
      <c r="L3304" s="3">
        <f t="shared" si="103"/>
        <v>7.516</v>
      </c>
    </row>
    <row r="3305" spans="1:12" x14ac:dyDescent="0.3">
      <c r="A3305" s="2">
        <v>39822</v>
      </c>
      <c r="B3305" t="s">
        <v>13</v>
      </c>
      <c r="D3305" s="2">
        <v>40553</v>
      </c>
      <c r="E3305">
        <v>6.25</v>
      </c>
      <c r="G3305" s="2">
        <v>40553</v>
      </c>
      <c r="H3305">
        <v>7.4569999999999999</v>
      </c>
      <c r="J3305" s="2">
        <v>40560</v>
      </c>
      <c r="K3305" s="3">
        <f t="shared" si="102"/>
        <v>6.25</v>
      </c>
      <c r="L3305" s="3">
        <f t="shared" si="103"/>
        <v>7.548</v>
      </c>
    </row>
    <row r="3306" spans="1:12" x14ac:dyDescent="0.3">
      <c r="A3306" s="2">
        <v>39823</v>
      </c>
      <c r="B3306" t="s">
        <v>13</v>
      </c>
      <c r="D3306" s="2">
        <v>40554</v>
      </c>
      <c r="E3306">
        <v>6.25</v>
      </c>
      <c r="G3306" s="2">
        <v>40554</v>
      </c>
      <c r="H3306">
        <v>7.4640000000000004</v>
      </c>
      <c r="J3306" s="2">
        <v>40561</v>
      </c>
      <c r="K3306" s="3">
        <f t="shared" si="102"/>
        <v>6.25</v>
      </c>
      <c r="L3306" s="3">
        <f t="shared" si="103"/>
        <v>7.6260000000000003</v>
      </c>
    </row>
    <row r="3307" spans="1:12" x14ac:dyDescent="0.3">
      <c r="A3307" s="2">
        <v>39824</v>
      </c>
      <c r="B3307" t="s">
        <v>13</v>
      </c>
      <c r="D3307" s="2">
        <v>40555</v>
      </c>
      <c r="E3307">
        <v>6.25</v>
      </c>
      <c r="G3307" s="2">
        <v>40555</v>
      </c>
      <c r="H3307">
        <v>7.4930000000000003</v>
      </c>
      <c r="J3307" s="2">
        <v>40562</v>
      </c>
      <c r="K3307" s="3">
        <f t="shared" si="102"/>
        <v>6.25</v>
      </c>
      <c r="L3307" s="3">
        <f t="shared" si="103"/>
        <v>7.6589999999999998</v>
      </c>
    </row>
    <row r="3308" spans="1:12" x14ac:dyDescent="0.3">
      <c r="A3308" s="2">
        <v>39825</v>
      </c>
      <c r="B3308" t="s">
        <v>13</v>
      </c>
      <c r="D3308" s="2">
        <v>40556</v>
      </c>
      <c r="E3308">
        <v>6.25</v>
      </c>
      <c r="G3308" s="2">
        <v>40556</v>
      </c>
      <c r="H3308">
        <v>7.5179999999999998</v>
      </c>
      <c r="J3308" s="2">
        <v>40563</v>
      </c>
      <c r="K3308" s="3">
        <f t="shared" si="102"/>
        <v>6.25</v>
      </c>
      <c r="L3308" s="3">
        <f t="shared" si="103"/>
        <v>7.6719999999999997</v>
      </c>
    </row>
    <row r="3309" spans="1:12" x14ac:dyDescent="0.3">
      <c r="A3309" s="2">
        <v>39826</v>
      </c>
      <c r="B3309" t="s">
        <v>13</v>
      </c>
      <c r="D3309" s="2">
        <v>40557</v>
      </c>
      <c r="E3309">
        <v>6.25</v>
      </c>
      <c r="G3309" s="2">
        <v>40557</v>
      </c>
      <c r="H3309">
        <v>7.516</v>
      </c>
      <c r="J3309" s="2">
        <v>40564</v>
      </c>
      <c r="K3309" s="3">
        <f t="shared" si="102"/>
        <v>6.25</v>
      </c>
      <c r="L3309" s="3">
        <f t="shared" si="103"/>
        <v>7.6150000000000002</v>
      </c>
    </row>
    <row r="3310" spans="1:12" x14ac:dyDescent="0.3">
      <c r="A3310" s="2">
        <v>39827</v>
      </c>
      <c r="B3310" t="s">
        <v>13</v>
      </c>
      <c r="D3310" s="2">
        <v>40558</v>
      </c>
      <c r="E3310">
        <v>6.25</v>
      </c>
      <c r="G3310" s="2">
        <v>40558</v>
      </c>
      <c r="H3310">
        <v>7.516</v>
      </c>
      <c r="J3310" s="2">
        <v>40565</v>
      </c>
      <c r="K3310" s="3">
        <f t="shared" si="102"/>
        <v>6.25</v>
      </c>
      <c r="L3310" s="3">
        <f t="shared" si="103"/>
        <v>7.6150000000000002</v>
      </c>
    </row>
    <row r="3311" spans="1:12" x14ac:dyDescent="0.3">
      <c r="A3311" s="2">
        <v>39828</v>
      </c>
      <c r="B3311" t="s">
        <v>13</v>
      </c>
      <c r="D3311" s="2">
        <v>40559</v>
      </c>
      <c r="E3311">
        <v>6.25</v>
      </c>
      <c r="G3311" s="2">
        <v>40559</v>
      </c>
      <c r="H3311">
        <v>7.516</v>
      </c>
      <c r="J3311" s="2">
        <v>40566</v>
      </c>
      <c r="K3311" s="3">
        <f t="shared" si="102"/>
        <v>6.25</v>
      </c>
      <c r="L3311" s="3">
        <f t="shared" si="103"/>
        <v>7.6150000000000002</v>
      </c>
    </row>
    <row r="3312" spans="1:12" x14ac:dyDescent="0.3">
      <c r="A3312" s="2">
        <v>39829</v>
      </c>
      <c r="B3312" t="s">
        <v>13</v>
      </c>
      <c r="D3312" s="2">
        <v>40560</v>
      </c>
      <c r="E3312">
        <v>6.25</v>
      </c>
      <c r="G3312" s="2">
        <v>40560</v>
      </c>
      <c r="H3312">
        <v>7.548</v>
      </c>
      <c r="J3312" s="2">
        <v>40567</v>
      </c>
      <c r="K3312" s="3">
        <f t="shared" si="102"/>
        <v>6.25</v>
      </c>
      <c r="L3312" s="3">
        <f t="shared" si="103"/>
        <v>7.7089999999999996</v>
      </c>
    </row>
    <row r="3313" spans="1:12" x14ac:dyDescent="0.3">
      <c r="A3313" s="2">
        <v>39830</v>
      </c>
      <c r="B3313" t="s">
        <v>13</v>
      </c>
      <c r="D3313" s="2">
        <v>40561</v>
      </c>
      <c r="E3313">
        <v>6.25</v>
      </c>
      <c r="G3313" s="2">
        <v>40561</v>
      </c>
      <c r="H3313">
        <v>7.6260000000000003</v>
      </c>
      <c r="J3313" s="2">
        <v>40568</v>
      </c>
      <c r="K3313" s="3">
        <f t="shared" si="102"/>
        <v>6.5</v>
      </c>
      <c r="L3313" s="3">
        <f t="shared" si="103"/>
        <v>7.5540000000000003</v>
      </c>
    </row>
    <row r="3314" spans="1:12" x14ac:dyDescent="0.3">
      <c r="A3314" s="2">
        <v>39831</v>
      </c>
      <c r="B3314" t="s">
        <v>13</v>
      </c>
      <c r="D3314" s="2">
        <v>40562</v>
      </c>
      <c r="E3314">
        <v>6.25</v>
      </c>
      <c r="G3314" s="2">
        <v>40562</v>
      </c>
      <c r="H3314">
        <v>7.6589999999999998</v>
      </c>
      <c r="J3314" s="2">
        <v>40569</v>
      </c>
      <c r="K3314" s="3">
        <f t="shared" si="102"/>
        <v>6.5</v>
      </c>
      <c r="L3314" s="3">
        <f t="shared" si="103"/>
        <v>7.5540000000000003</v>
      </c>
    </row>
    <row r="3315" spans="1:12" x14ac:dyDescent="0.3">
      <c r="A3315" s="2">
        <v>39832</v>
      </c>
      <c r="B3315" t="s">
        <v>13</v>
      </c>
      <c r="D3315" s="2">
        <v>40563</v>
      </c>
      <c r="E3315">
        <v>6.25</v>
      </c>
      <c r="G3315" s="2">
        <v>40563</v>
      </c>
      <c r="H3315">
        <v>7.6719999999999997</v>
      </c>
      <c r="J3315" s="2">
        <v>40570</v>
      </c>
      <c r="K3315" s="3">
        <f t="shared" si="102"/>
        <v>6.5</v>
      </c>
      <c r="L3315" s="3">
        <f t="shared" si="103"/>
        <v>7.5529999999999999</v>
      </c>
    </row>
    <row r="3316" spans="1:12" x14ac:dyDescent="0.3">
      <c r="A3316" s="2">
        <v>39833</v>
      </c>
      <c r="B3316" t="s">
        <v>13</v>
      </c>
      <c r="D3316" s="2">
        <v>40564</v>
      </c>
      <c r="E3316">
        <v>6.25</v>
      </c>
      <c r="G3316" s="2">
        <v>40564</v>
      </c>
      <c r="H3316">
        <v>7.6150000000000002</v>
      </c>
      <c r="J3316" s="2">
        <v>40571</v>
      </c>
      <c r="K3316" s="3">
        <f t="shared" si="102"/>
        <v>6.5</v>
      </c>
      <c r="L3316" s="3">
        <f t="shared" si="103"/>
        <v>7.5720000000000001</v>
      </c>
    </row>
    <row r="3317" spans="1:12" x14ac:dyDescent="0.3">
      <c r="A3317" s="2">
        <v>39834</v>
      </c>
      <c r="B3317" t="s">
        <v>13</v>
      </c>
      <c r="D3317" s="2">
        <v>40565</v>
      </c>
      <c r="E3317">
        <v>6.25</v>
      </c>
      <c r="G3317" s="2">
        <v>40565</v>
      </c>
      <c r="H3317">
        <v>7.6150000000000002</v>
      </c>
      <c r="J3317" s="2">
        <v>40572</v>
      </c>
      <c r="K3317" s="3">
        <f t="shared" si="102"/>
        <v>6.5</v>
      </c>
      <c r="L3317" s="3">
        <f t="shared" si="103"/>
        <v>7.5720000000000001</v>
      </c>
    </row>
    <row r="3318" spans="1:12" x14ac:dyDescent="0.3">
      <c r="A3318" s="2">
        <v>39835</v>
      </c>
      <c r="B3318" t="s">
        <v>13</v>
      </c>
      <c r="D3318" s="2">
        <v>40566</v>
      </c>
      <c r="E3318">
        <v>6.25</v>
      </c>
      <c r="G3318" s="2">
        <v>40566</v>
      </c>
      <c r="H3318">
        <v>7.6150000000000002</v>
      </c>
      <c r="J3318" s="2">
        <v>40573</v>
      </c>
      <c r="K3318" s="3">
        <f t="shared" si="102"/>
        <v>6.5</v>
      </c>
      <c r="L3318" s="3">
        <f t="shared" si="103"/>
        <v>7.5720000000000001</v>
      </c>
    </row>
    <row r="3319" spans="1:12" x14ac:dyDescent="0.3">
      <c r="A3319" s="2">
        <v>39836</v>
      </c>
      <c r="B3319" t="s">
        <v>13</v>
      </c>
      <c r="D3319" s="2">
        <v>40567</v>
      </c>
      <c r="E3319">
        <v>6.25</v>
      </c>
      <c r="G3319" s="2">
        <v>40567</v>
      </c>
      <c r="H3319">
        <v>7.7089999999999996</v>
      </c>
      <c r="J3319" s="2">
        <v>40574</v>
      </c>
      <c r="K3319" s="3">
        <f t="shared" si="102"/>
        <v>6.5</v>
      </c>
      <c r="L3319" s="3">
        <f t="shared" si="103"/>
        <v>7.5919999999999996</v>
      </c>
    </row>
    <row r="3320" spans="1:12" x14ac:dyDescent="0.3">
      <c r="A3320" s="2">
        <v>39837</v>
      </c>
      <c r="B3320" t="s">
        <v>13</v>
      </c>
      <c r="D3320" s="2">
        <v>40568</v>
      </c>
      <c r="E3320">
        <v>6.5</v>
      </c>
      <c r="G3320" s="2">
        <v>40568</v>
      </c>
      <c r="H3320">
        <v>7.5540000000000003</v>
      </c>
      <c r="J3320" s="2">
        <v>40575</v>
      </c>
      <c r="K3320" s="3">
        <f t="shared" si="102"/>
        <v>6.5</v>
      </c>
      <c r="L3320" s="3">
        <f t="shared" si="103"/>
        <v>7.6269999999999998</v>
      </c>
    </row>
    <row r="3321" spans="1:12" x14ac:dyDescent="0.3">
      <c r="A3321" s="2">
        <v>39838</v>
      </c>
      <c r="B3321" t="s">
        <v>13</v>
      </c>
      <c r="D3321" s="2">
        <v>40569</v>
      </c>
      <c r="E3321">
        <v>6.5</v>
      </c>
      <c r="G3321" s="2">
        <v>40569</v>
      </c>
      <c r="H3321">
        <v>7.5540000000000003</v>
      </c>
      <c r="J3321" s="2">
        <v>40576</v>
      </c>
      <c r="K3321" s="3">
        <f t="shared" si="102"/>
        <v>6.5</v>
      </c>
      <c r="L3321" s="3">
        <f t="shared" si="103"/>
        <v>7.5869999999999997</v>
      </c>
    </row>
    <row r="3322" spans="1:12" x14ac:dyDescent="0.3">
      <c r="A3322" s="2">
        <v>39839</v>
      </c>
      <c r="B3322" t="s">
        <v>13</v>
      </c>
      <c r="D3322" s="2">
        <v>40570</v>
      </c>
      <c r="E3322">
        <v>6.5</v>
      </c>
      <c r="G3322" s="2">
        <v>40570</v>
      </c>
      <c r="H3322">
        <v>7.5529999999999999</v>
      </c>
      <c r="J3322" s="2">
        <v>40577</v>
      </c>
      <c r="K3322" s="3">
        <f t="shared" si="102"/>
        <v>6.5</v>
      </c>
      <c r="L3322" s="3">
        <f t="shared" si="103"/>
        <v>7.56</v>
      </c>
    </row>
    <row r="3323" spans="1:12" x14ac:dyDescent="0.3">
      <c r="A3323" s="2">
        <v>39840</v>
      </c>
      <c r="B3323" t="s">
        <v>13</v>
      </c>
      <c r="D3323" s="2">
        <v>40571</v>
      </c>
      <c r="E3323">
        <v>6.5</v>
      </c>
      <c r="G3323" s="2">
        <v>40571</v>
      </c>
      <c r="H3323">
        <v>7.5720000000000001</v>
      </c>
      <c r="J3323" s="2">
        <v>40578</v>
      </c>
      <c r="K3323" s="3">
        <f t="shared" si="102"/>
        <v>6.5</v>
      </c>
      <c r="L3323" s="3">
        <f t="shared" si="103"/>
        <v>7.609</v>
      </c>
    </row>
    <row r="3324" spans="1:12" x14ac:dyDescent="0.3">
      <c r="A3324" s="2">
        <v>39841</v>
      </c>
      <c r="B3324" t="s">
        <v>13</v>
      </c>
      <c r="D3324" s="2">
        <v>40572</v>
      </c>
      <c r="E3324">
        <v>6.5</v>
      </c>
      <c r="G3324" s="2">
        <v>40572</v>
      </c>
      <c r="H3324">
        <v>7.5720000000000001</v>
      </c>
      <c r="J3324" s="2">
        <v>40579</v>
      </c>
      <c r="K3324" s="3">
        <f t="shared" si="102"/>
        <v>6.5</v>
      </c>
      <c r="L3324" s="3">
        <f t="shared" si="103"/>
        <v>7.609</v>
      </c>
    </row>
    <row r="3325" spans="1:12" x14ac:dyDescent="0.3">
      <c r="A3325" s="2">
        <v>39842</v>
      </c>
      <c r="B3325" t="s">
        <v>13</v>
      </c>
      <c r="D3325" s="2">
        <v>40573</v>
      </c>
      <c r="E3325">
        <v>6.5</v>
      </c>
      <c r="G3325" s="2">
        <v>40573</v>
      </c>
      <c r="H3325">
        <v>7.5720000000000001</v>
      </c>
      <c r="J3325" s="2">
        <v>40580</v>
      </c>
      <c r="K3325" s="3">
        <f t="shared" si="102"/>
        <v>6.5</v>
      </c>
      <c r="L3325" s="3">
        <f t="shared" si="103"/>
        <v>7.609</v>
      </c>
    </row>
    <row r="3326" spans="1:12" x14ac:dyDescent="0.3">
      <c r="A3326" s="2">
        <v>39843</v>
      </c>
      <c r="B3326" t="s">
        <v>13</v>
      </c>
      <c r="D3326" s="2">
        <v>40574</v>
      </c>
      <c r="E3326">
        <v>6.5</v>
      </c>
      <c r="G3326" s="2">
        <v>40574</v>
      </c>
      <c r="H3326">
        <v>7.5919999999999996</v>
      </c>
      <c r="J3326" s="2">
        <v>40581</v>
      </c>
      <c r="K3326" s="3">
        <f t="shared" si="102"/>
        <v>6.5</v>
      </c>
      <c r="L3326" s="3">
        <f t="shared" si="103"/>
        <v>7.6429999999999998</v>
      </c>
    </row>
    <row r="3327" spans="1:12" x14ac:dyDescent="0.3">
      <c r="A3327" s="2">
        <v>39844</v>
      </c>
      <c r="B3327" t="s">
        <v>13</v>
      </c>
      <c r="D3327" s="2">
        <v>40575</v>
      </c>
      <c r="E3327">
        <v>6.5</v>
      </c>
      <c r="G3327" s="2">
        <v>40575</v>
      </c>
      <c r="H3327">
        <v>7.6269999999999998</v>
      </c>
      <c r="J3327" s="2">
        <v>40582</v>
      </c>
      <c r="K3327" s="3">
        <f t="shared" si="102"/>
        <v>6.5</v>
      </c>
      <c r="L3327" s="3">
        <f t="shared" si="103"/>
        <v>7.6109999999999998</v>
      </c>
    </row>
    <row r="3328" spans="1:12" x14ac:dyDescent="0.3">
      <c r="A3328" s="2">
        <v>39845</v>
      </c>
      <c r="B3328" t="s">
        <v>13</v>
      </c>
      <c r="D3328" s="2">
        <v>40576</v>
      </c>
      <c r="E3328">
        <v>6.5</v>
      </c>
      <c r="G3328" s="2">
        <v>40576</v>
      </c>
      <c r="H3328">
        <v>7.5869999999999997</v>
      </c>
      <c r="J3328" s="2">
        <v>40583</v>
      </c>
      <c r="K3328" s="3">
        <f t="shared" si="102"/>
        <v>6.5</v>
      </c>
      <c r="L3328" s="3">
        <f t="shared" si="103"/>
        <v>7.6020000000000003</v>
      </c>
    </row>
    <row r="3329" spans="1:12" x14ac:dyDescent="0.3">
      <c r="A3329" s="2">
        <v>39846</v>
      </c>
      <c r="B3329" t="s">
        <v>13</v>
      </c>
      <c r="D3329" s="2">
        <v>40577</v>
      </c>
      <c r="E3329">
        <v>6.5</v>
      </c>
      <c r="G3329" s="2">
        <v>40577</v>
      </c>
      <c r="H3329">
        <v>7.56</v>
      </c>
      <c r="J3329" s="2">
        <v>40584</v>
      </c>
      <c r="K3329" s="3">
        <f t="shared" si="102"/>
        <v>6.5</v>
      </c>
      <c r="L3329" s="3">
        <f t="shared" si="103"/>
        <v>7.5730000000000004</v>
      </c>
    </row>
    <row r="3330" spans="1:12" x14ac:dyDescent="0.3">
      <c r="A3330" s="2">
        <v>39847</v>
      </c>
      <c r="B3330" t="s">
        <v>13</v>
      </c>
      <c r="D3330" s="2">
        <v>40578</v>
      </c>
      <c r="E3330">
        <v>6.5</v>
      </c>
      <c r="G3330" s="2">
        <v>40578</v>
      </c>
      <c r="H3330">
        <v>7.609</v>
      </c>
      <c r="J3330" s="2">
        <v>40585</v>
      </c>
      <c r="K3330" s="3">
        <f t="shared" si="102"/>
        <v>6.5</v>
      </c>
      <c r="L3330" s="3">
        <f t="shared" si="103"/>
        <v>7.5590000000000002</v>
      </c>
    </row>
    <row r="3331" spans="1:12" x14ac:dyDescent="0.3">
      <c r="A3331" s="2">
        <v>39848</v>
      </c>
      <c r="B3331" t="s">
        <v>13</v>
      </c>
      <c r="D3331" s="2">
        <v>40579</v>
      </c>
      <c r="E3331">
        <v>6.5</v>
      </c>
      <c r="G3331" s="2">
        <v>40579</v>
      </c>
      <c r="H3331">
        <v>7.609</v>
      </c>
      <c r="J3331" s="2">
        <v>40586</v>
      </c>
      <c r="K3331" s="3">
        <f t="shared" ref="K3331:K3394" si="104">E3338</f>
        <v>6.5</v>
      </c>
      <c r="L3331" s="3">
        <f t="shared" ref="L3331:L3394" si="105">H3338</f>
        <v>7.5590000000000002</v>
      </c>
    </row>
    <row r="3332" spans="1:12" x14ac:dyDescent="0.3">
      <c r="A3332" s="2">
        <v>39849</v>
      </c>
      <c r="B3332" t="s">
        <v>13</v>
      </c>
      <c r="D3332" s="2">
        <v>40580</v>
      </c>
      <c r="E3332">
        <v>6.5</v>
      </c>
      <c r="G3332" s="2">
        <v>40580</v>
      </c>
      <c r="H3332">
        <v>7.609</v>
      </c>
      <c r="J3332" s="2">
        <v>40587</v>
      </c>
      <c r="K3332" s="3">
        <f t="shared" si="104"/>
        <v>6.5</v>
      </c>
      <c r="L3332" s="3">
        <f t="shared" si="105"/>
        <v>7.5590000000000002</v>
      </c>
    </row>
    <row r="3333" spans="1:12" x14ac:dyDescent="0.3">
      <c r="A3333" s="2">
        <v>39850</v>
      </c>
      <c r="B3333" t="s">
        <v>13</v>
      </c>
      <c r="D3333" s="2">
        <v>40581</v>
      </c>
      <c r="E3333">
        <v>6.5</v>
      </c>
      <c r="G3333" s="2">
        <v>40581</v>
      </c>
      <c r="H3333">
        <v>7.6429999999999998</v>
      </c>
      <c r="J3333" s="2">
        <v>40588</v>
      </c>
      <c r="K3333" s="3">
        <f t="shared" si="104"/>
        <v>6.5</v>
      </c>
      <c r="L3333" s="3">
        <f t="shared" si="105"/>
        <v>7.5380000000000003</v>
      </c>
    </row>
    <row r="3334" spans="1:12" x14ac:dyDescent="0.3">
      <c r="A3334" s="2">
        <v>39851</v>
      </c>
      <c r="B3334" t="s">
        <v>13</v>
      </c>
      <c r="D3334" s="2">
        <v>40582</v>
      </c>
      <c r="E3334">
        <v>6.5</v>
      </c>
      <c r="G3334" s="2">
        <v>40582</v>
      </c>
      <c r="H3334">
        <v>7.6109999999999998</v>
      </c>
      <c r="J3334" s="2">
        <v>40589</v>
      </c>
      <c r="K3334" s="3">
        <f t="shared" si="104"/>
        <v>6.5</v>
      </c>
      <c r="L3334" s="3">
        <f t="shared" si="105"/>
        <v>7.4829999999999997</v>
      </c>
    </row>
    <row r="3335" spans="1:12" x14ac:dyDescent="0.3">
      <c r="A3335" s="2">
        <v>39852</v>
      </c>
      <c r="B3335" t="s">
        <v>13</v>
      </c>
      <c r="D3335" s="2">
        <v>40583</v>
      </c>
      <c r="E3335">
        <v>6.5</v>
      </c>
      <c r="G3335" s="2">
        <v>40583</v>
      </c>
      <c r="H3335">
        <v>7.6020000000000003</v>
      </c>
      <c r="J3335" s="2">
        <v>40590</v>
      </c>
      <c r="K3335" s="3">
        <f t="shared" si="104"/>
        <v>6.5</v>
      </c>
      <c r="L3335" s="3">
        <f t="shared" si="105"/>
        <v>7.4829999999999997</v>
      </c>
    </row>
    <row r="3336" spans="1:12" x14ac:dyDescent="0.3">
      <c r="A3336" s="2">
        <v>39853</v>
      </c>
      <c r="B3336" t="s">
        <v>13</v>
      </c>
      <c r="D3336" s="2">
        <v>40584</v>
      </c>
      <c r="E3336">
        <v>6.5</v>
      </c>
      <c r="G3336" s="2">
        <v>40584</v>
      </c>
      <c r="H3336">
        <v>7.5730000000000004</v>
      </c>
      <c r="J3336" s="2">
        <v>40591</v>
      </c>
      <c r="K3336" s="3">
        <f t="shared" si="104"/>
        <v>6.5</v>
      </c>
      <c r="L3336" s="3">
        <f t="shared" si="105"/>
        <v>7.49</v>
      </c>
    </row>
    <row r="3337" spans="1:12" x14ac:dyDescent="0.3">
      <c r="A3337" s="2">
        <v>39854</v>
      </c>
      <c r="B3337" t="s">
        <v>13</v>
      </c>
      <c r="D3337" s="2">
        <v>40585</v>
      </c>
      <c r="E3337">
        <v>6.5</v>
      </c>
      <c r="G3337" s="2">
        <v>40585</v>
      </c>
      <c r="H3337">
        <v>7.5590000000000002</v>
      </c>
      <c r="J3337" s="2">
        <v>40592</v>
      </c>
      <c r="K3337" s="3">
        <f t="shared" si="104"/>
        <v>6.5</v>
      </c>
      <c r="L3337" s="3">
        <f t="shared" si="105"/>
        <v>7.5289999999999999</v>
      </c>
    </row>
    <row r="3338" spans="1:12" x14ac:dyDescent="0.3">
      <c r="A3338" s="2">
        <v>39855</v>
      </c>
      <c r="B3338" t="s">
        <v>13</v>
      </c>
      <c r="D3338" s="2">
        <v>40586</v>
      </c>
      <c r="E3338">
        <v>6.5</v>
      </c>
      <c r="G3338" s="2">
        <v>40586</v>
      </c>
      <c r="H3338">
        <v>7.5590000000000002</v>
      </c>
      <c r="J3338" s="2">
        <v>40593</v>
      </c>
      <c r="K3338" s="3">
        <f t="shared" si="104"/>
        <v>6.5</v>
      </c>
      <c r="L3338" s="3">
        <f t="shared" si="105"/>
        <v>7.5289999999999999</v>
      </c>
    </row>
    <row r="3339" spans="1:12" x14ac:dyDescent="0.3">
      <c r="A3339" s="2">
        <v>39856</v>
      </c>
      <c r="B3339" t="s">
        <v>13</v>
      </c>
      <c r="D3339" s="2">
        <v>40587</v>
      </c>
      <c r="E3339">
        <v>6.5</v>
      </c>
      <c r="G3339" s="2">
        <v>40587</v>
      </c>
      <c r="H3339">
        <v>7.5590000000000002</v>
      </c>
      <c r="J3339" s="2">
        <v>40594</v>
      </c>
      <c r="K3339" s="3">
        <f t="shared" si="104"/>
        <v>6.5</v>
      </c>
      <c r="L3339" s="3">
        <f t="shared" si="105"/>
        <v>7.5289999999999999</v>
      </c>
    </row>
    <row r="3340" spans="1:12" x14ac:dyDescent="0.3">
      <c r="A3340" s="2">
        <v>39857</v>
      </c>
      <c r="B3340" t="s">
        <v>13</v>
      </c>
      <c r="D3340" s="2">
        <v>40588</v>
      </c>
      <c r="E3340">
        <v>6.5</v>
      </c>
      <c r="G3340" s="2">
        <v>40588</v>
      </c>
      <c r="H3340">
        <v>7.5380000000000003</v>
      </c>
      <c r="J3340" s="2">
        <v>40595</v>
      </c>
      <c r="K3340" s="3">
        <f t="shared" si="104"/>
        <v>6.5</v>
      </c>
      <c r="L3340" s="3">
        <f t="shared" si="105"/>
        <v>7.5640000000000001</v>
      </c>
    </row>
    <row r="3341" spans="1:12" x14ac:dyDescent="0.3">
      <c r="A3341" s="2">
        <v>39858</v>
      </c>
      <c r="B3341" t="s">
        <v>13</v>
      </c>
      <c r="D3341" s="2">
        <v>40589</v>
      </c>
      <c r="E3341">
        <v>6.5</v>
      </c>
      <c r="G3341" s="2">
        <v>40589</v>
      </c>
      <c r="H3341">
        <v>7.4829999999999997</v>
      </c>
      <c r="J3341" s="2">
        <v>40596</v>
      </c>
      <c r="K3341" s="3">
        <f t="shared" si="104"/>
        <v>6.5</v>
      </c>
      <c r="L3341" s="3">
        <f t="shared" si="105"/>
        <v>7.5579999999999998</v>
      </c>
    </row>
    <row r="3342" spans="1:12" x14ac:dyDescent="0.3">
      <c r="A3342" s="2">
        <v>39859</v>
      </c>
      <c r="B3342" t="s">
        <v>13</v>
      </c>
      <c r="D3342" s="2">
        <v>40590</v>
      </c>
      <c r="E3342">
        <v>6.5</v>
      </c>
      <c r="G3342" s="2">
        <v>40590</v>
      </c>
      <c r="H3342">
        <v>7.4829999999999997</v>
      </c>
      <c r="J3342" s="2">
        <v>40597</v>
      </c>
      <c r="K3342" s="3">
        <f t="shared" si="104"/>
        <v>6.5</v>
      </c>
      <c r="L3342" s="3">
        <f t="shared" si="105"/>
        <v>7.5449999999999999</v>
      </c>
    </row>
    <row r="3343" spans="1:12" x14ac:dyDescent="0.3">
      <c r="A3343" s="2">
        <v>39860</v>
      </c>
      <c r="B3343" t="s">
        <v>13</v>
      </c>
      <c r="D3343" s="2">
        <v>40591</v>
      </c>
      <c r="E3343">
        <v>6.5</v>
      </c>
      <c r="G3343" s="2">
        <v>40591</v>
      </c>
      <c r="H3343">
        <v>7.49</v>
      </c>
      <c r="J3343" s="2">
        <v>40598</v>
      </c>
      <c r="K3343" s="3">
        <f t="shared" si="104"/>
        <v>6.5</v>
      </c>
      <c r="L3343" s="3">
        <f t="shared" si="105"/>
        <v>7.56</v>
      </c>
    </row>
    <row r="3344" spans="1:12" x14ac:dyDescent="0.3">
      <c r="A3344" s="2">
        <v>39861</v>
      </c>
      <c r="B3344" t="s">
        <v>13</v>
      </c>
      <c r="D3344" s="2">
        <v>40592</v>
      </c>
      <c r="E3344">
        <v>6.5</v>
      </c>
      <c r="G3344" s="2">
        <v>40592</v>
      </c>
      <c r="H3344">
        <v>7.5289999999999999</v>
      </c>
      <c r="J3344" s="2">
        <v>40599</v>
      </c>
      <c r="K3344" s="3">
        <f t="shared" si="104"/>
        <v>6.5</v>
      </c>
      <c r="L3344" s="3">
        <f t="shared" si="105"/>
        <v>7.5949999999999998</v>
      </c>
    </row>
    <row r="3345" spans="1:12" x14ac:dyDescent="0.3">
      <c r="A3345" s="2">
        <v>39862</v>
      </c>
      <c r="B3345" t="s">
        <v>13</v>
      </c>
      <c r="D3345" s="2">
        <v>40593</v>
      </c>
      <c r="E3345">
        <v>6.5</v>
      </c>
      <c r="G3345" s="2">
        <v>40593</v>
      </c>
      <c r="H3345">
        <v>7.5289999999999999</v>
      </c>
      <c r="J3345" s="2">
        <v>40600</v>
      </c>
      <c r="K3345" s="3">
        <f t="shared" si="104"/>
        <v>6.5</v>
      </c>
      <c r="L3345" s="3">
        <f t="shared" si="105"/>
        <v>7.5949999999999998</v>
      </c>
    </row>
    <row r="3346" spans="1:12" x14ac:dyDescent="0.3">
      <c r="A3346" s="2">
        <v>39863</v>
      </c>
      <c r="B3346" t="s">
        <v>13</v>
      </c>
      <c r="D3346" s="2">
        <v>40594</v>
      </c>
      <c r="E3346">
        <v>6.5</v>
      </c>
      <c r="G3346" s="2">
        <v>40594</v>
      </c>
      <c r="H3346">
        <v>7.5289999999999999</v>
      </c>
      <c r="J3346" s="2">
        <v>40601</v>
      </c>
      <c r="K3346" s="3">
        <f t="shared" si="104"/>
        <v>6.5</v>
      </c>
      <c r="L3346" s="3">
        <f t="shared" si="105"/>
        <v>7.5949999999999998</v>
      </c>
    </row>
    <row r="3347" spans="1:12" x14ac:dyDescent="0.3">
      <c r="A3347" s="2">
        <v>39864</v>
      </c>
      <c r="B3347" t="s">
        <v>13</v>
      </c>
      <c r="D3347" s="2">
        <v>40595</v>
      </c>
      <c r="E3347">
        <v>6.5</v>
      </c>
      <c r="G3347" s="2">
        <v>40595</v>
      </c>
      <c r="H3347">
        <v>7.5640000000000001</v>
      </c>
      <c r="J3347" s="2">
        <v>40602</v>
      </c>
      <c r="K3347" s="3">
        <f t="shared" si="104"/>
        <v>6.5</v>
      </c>
      <c r="L3347" s="3">
        <f t="shared" si="105"/>
        <v>7.5220000000000002</v>
      </c>
    </row>
    <row r="3348" spans="1:12" x14ac:dyDescent="0.3">
      <c r="A3348" s="2">
        <v>39865</v>
      </c>
      <c r="B3348" t="s">
        <v>13</v>
      </c>
      <c r="D3348" s="2">
        <v>40596</v>
      </c>
      <c r="E3348">
        <v>6.5</v>
      </c>
      <c r="G3348" s="2">
        <v>40596</v>
      </c>
      <c r="H3348">
        <v>7.5579999999999998</v>
      </c>
      <c r="J3348" s="2">
        <v>40603</v>
      </c>
      <c r="K3348" s="3">
        <f t="shared" si="104"/>
        <v>6.5</v>
      </c>
      <c r="L3348" s="3">
        <f t="shared" si="105"/>
        <v>7.5679999999999996</v>
      </c>
    </row>
    <row r="3349" spans="1:12" x14ac:dyDescent="0.3">
      <c r="A3349" s="2">
        <v>39866</v>
      </c>
      <c r="B3349" t="s">
        <v>13</v>
      </c>
      <c r="D3349" s="2">
        <v>40597</v>
      </c>
      <c r="E3349">
        <v>6.5</v>
      </c>
      <c r="G3349" s="2">
        <v>40597</v>
      </c>
      <c r="H3349">
        <v>7.5449999999999999</v>
      </c>
      <c r="J3349" s="2">
        <v>40604</v>
      </c>
      <c r="K3349" s="3">
        <f t="shared" si="104"/>
        <v>6.5</v>
      </c>
      <c r="L3349" s="3">
        <f t="shared" si="105"/>
        <v>7.5679999999999996</v>
      </c>
    </row>
    <row r="3350" spans="1:12" x14ac:dyDescent="0.3">
      <c r="A3350" s="2">
        <v>39867</v>
      </c>
      <c r="B3350" t="s">
        <v>13</v>
      </c>
      <c r="D3350" s="2">
        <v>40598</v>
      </c>
      <c r="E3350">
        <v>6.5</v>
      </c>
      <c r="G3350" s="2">
        <v>40598</v>
      </c>
      <c r="H3350">
        <v>7.56</v>
      </c>
      <c r="J3350" s="2">
        <v>40605</v>
      </c>
      <c r="K3350" s="3">
        <f t="shared" si="104"/>
        <v>6.5</v>
      </c>
      <c r="L3350" s="3">
        <f t="shared" si="105"/>
        <v>7.4720000000000004</v>
      </c>
    </row>
    <row r="3351" spans="1:12" x14ac:dyDescent="0.3">
      <c r="A3351" s="2">
        <v>39868</v>
      </c>
      <c r="B3351" t="s">
        <v>13</v>
      </c>
      <c r="D3351" s="2">
        <v>40599</v>
      </c>
      <c r="E3351">
        <v>6.5</v>
      </c>
      <c r="G3351" s="2">
        <v>40599</v>
      </c>
      <c r="H3351">
        <v>7.5949999999999998</v>
      </c>
      <c r="J3351" s="2">
        <v>40606</v>
      </c>
      <c r="K3351" s="3">
        <f t="shared" si="104"/>
        <v>6.5</v>
      </c>
      <c r="L3351" s="3">
        <f t="shared" si="105"/>
        <v>7.5609999999999999</v>
      </c>
    </row>
    <row r="3352" spans="1:12" x14ac:dyDescent="0.3">
      <c r="A3352" s="2">
        <v>39869</v>
      </c>
      <c r="B3352" t="s">
        <v>13</v>
      </c>
      <c r="D3352" s="2">
        <v>40600</v>
      </c>
      <c r="E3352">
        <v>6.5</v>
      </c>
      <c r="G3352" s="2">
        <v>40600</v>
      </c>
      <c r="H3352">
        <v>7.5949999999999998</v>
      </c>
      <c r="J3352" s="2">
        <v>40607</v>
      </c>
      <c r="K3352" s="3">
        <f t="shared" si="104"/>
        <v>6.5</v>
      </c>
      <c r="L3352" s="3">
        <f t="shared" si="105"/>
        <v>7.5609999999999999</v>
      </c>
    </row>
    <row r="3353" spans="1:12" x14ac:dyDescent="0.3">
      <c r="A3353" s="2">
        <v>39870</v>
      </c>
      <c r="B3353" t="s">
        <v>13</v>
      </c>
      <c r="D3353" s="2">
        <v>40601</v>
      </c>
      <c r="E3353">
        <v>6.5</v>
      </c>
      <c r="G3353" s="2">
        <v>40601</v>
      </c>
      <c r="H3353">
        <v>7.5949999999999998</v>
      </c>
      <c r="J3353" s="2">
        <v>40608</v>
      </c>
      <c r="K3353" s="3">
        <f t="shared" si="104"/>
        <v>6.5</v>
      </c>
      <c r="L3353" s="3">
        <f t="shared" si="105"/>
        <v>7.5609999999999999</v>
      </c>
    </row>
    <row r="3354" spans="1:12" x14ac:dyDescent="0.3">
      <c r="A3354" s="2">
        <v>39871</v>
      </c>
      <c r="B3354" t="s">
        <v>13</v>
      </c>
      <c r="D3354" s="2">
        <v>40602</v>
      </c>
      <c r="E3354">
        <v>6.5</v>
      </c>
      <c r="G3354" s="2">
        <v>40602</v>
      </c>
      <c r="H3354">
        <v>7.5220000000000002</v>
      </c>
      <c r="J3354" s="2">
        <v>40609</v>
      </c>
      <c r="K3354" s="3">
        <f t="shared" si="104"/>
        <v>6.5</v>
      </c>
      <c r="L3354" s="3">
        <f t="shared" si="105"/>
        <v>7.5179999999999998</v>
      </c>
    </row>
    <row r="3355" spans="1:12" x14ac:dyDescent="0.3">
      <c r="A3355" s="2">
        <v>39872</v>
      </c>
      <c r="B3355" t="s">
        <v>13</v>
      </c>
      <c r="D3355" s="2">
        <v>40603</v>
      </c>
      <c r="E3355">
        <v>6.5</v>
      </c>
      <c r="G3355" s="2">
        <v>40603</v>
      </c>
      <c r="H3355">
        <v>7.5679999999999996</v>
      </c>
      <c r="J3355" s="2">
        <v>40610</v>
      </c>
      <c r="K3355" s="3">
        <f t="shared" si="104"/>
        <v>6.5</v>
      </c>
      <c r="L3355" s="3">
        <f t="shared" si="105"/>
        <v>7.5369999999999999</v>
      </c>
    </row>
    <row r="3356" spans="1:12" x14ac:dyDescent="0.3">
      <c r="A3356" s="2">
        <v>39873</v>
      </c>
      <c r="B3356" t="s">
        <v>13</v>
      </c>
      <c r="D3356" s="2">
        <v>40604</v>
      </c>
      <c r="E3356">
        <v>6.5</v>
      </c>
      <c r="G3356" s="2">
        <v>40604</v>
      </c>
      <c r="H3356">
        <v>7.5679999999999996</v>
      </c>
      <c r="J3356" s="2">
        <v>40611</v>
      </c>
      <c r="K3356" s="3">
        <f t="shared" si="104"/>
        <v>6.5</v>
      </c>
      <c r="L3356" s="3">
        <f t="shared" si="105"/>
        <v>7.5579999999999998</v>
      </c>
    </row>
    <row r="3357" spans="1:12" x14ac:dyDescent="0.3">
      <c r="A3357" s="2">
        <v>39874</v>
      </c>
      <c r="B3357" t="s">
        <v>13</v>
      </c>
      <c r="D3357" s="2">
        <v>40605</v>
      </c>
      <c r="E3357">
        <v>6.5</v>
      </c>
      <c r="G3357" s="2">
        <v>40605</v>
      </c>
      <c r="H3357">
        <v>7.4720000000000004</v>
      </c>
      <c r="J3357" s="2">
        <v>40612</v>
      </c>
      <c r="K3357" s="3">
        <f t="shared" si="104"/>
        <v>6.5</v>
      </c>
      <c r="L3357" s="3">
        <f t="shared" si="105"/>
        <v>7.5620000000000003</v>
      </c>
    </row>
    <row r="3358" spans="1:12" x14ac:dyDescent="0.3">
      <c r="A3358" s="2">
        <v>39875</v>
      </c>
      <c r="B3358" t="s">
        <v>13</v>
      </c>
      <c r="D3358" s="2">
        <v>40606</v>
      </c>
      <c r="E3358">
        <v>6.5</v>
      </c>
      <c r="G3358" s="2">
        <v>40606</v>
      </c>
      <c r="H3358">
        <v>7.5609999999999999</v>
      </c>
      <c r="J3358" s="2">
        <v>40613</v>
      </c>
      <c r="K3358" s="3">
        <f t="shared" si="104"/>
        <v>6.5</v>
      </c>
      <c r="L3358" s="3">
        <f t="shared" si="105"/>
        <v>7.5209999999999999</v>
      </c>
    </row>
    <row r="3359" spans="1:12" x14ac:dyDescent="0.3">
      <c r="A3359" s="2">
        <v>39876</v>
      </c>
      <c r="B3359" t="s">
        <v>13</v>
      </c>
      <c r="D3359" s="2">
        <v>40607</v>
      </c>
      <c r="E3359">
        <v>6.5</v>
      </c>
      <c r="G3359" s="2">
        <v>40607</v>
      </c>
      <c r="H3359">
        <v>7.5609999999999999</v>
      </c>
      <c r="J3359" s="2">
        <v>40614</v>
      </c>
      <c r="K3359" s="3">
        <f t="shared" si="104"/>
        <v>6.5</v>
      </c>
      <c r="L3359" s="3">
        <f t="shared" si="105"/>
        <v>7.5209999999999999</v>
      </c>
    </row>
    <row r="3360" spans="1:12" x14ac:dyDescent="0.3">
      <c r="A3360" s="2">
        <v>39877</v>
      </c>
      <c r="B3360" t="s">
        <v>13</v>
      </c>
      <c r="D3360" s="2">
        <v>40608</v>
      </c>
      <c r="E3360">
        <v>6.5</v>
      </c>
      <c r="G3360" s="2">
        <v>40608</v>
      </c>
      <c r="H3360">
        <v>7.5609999999999999</v>
      </c>
      <c r="J3360" s="2">
        <v>40615</v>
      </c>
      <c r="K3360" s="3">
        <f t="shared" si="104"/>
        <v>6.5</v>
      </c>
      <c r="L3360" s="3">
        <f t="shared" si="105"/>
        <v>7.5209999999999999</v>
      </c>
    </row>
    <row r="3361" spans="1:12" x14ac:dyDescent="0.3">
      <c r="A3361" s="2">
        <v>39878</v>
      </c>
      <c r="B3361" t="s">
        <v>13</v>
      </c>
      <c r="D3361" s="2">
        <v>40609</v>
      </c>
      <c r="E3361">
        <v>6.5</v>
      </c>
      <c r="G3361" s="2">
        <v>40609</v>
      </c>
      <c r="H3361">
        <v>7.5179999999999998</v>
      </c>
      <c r="J3361" s="2">
        <v>40616</v>
      </c>
      <c r="K3361" s="3">
        <f t="shared" si="104"/>
        <v>6.5</v>
      </c>
      <c r="L3361" s="3">
        <f t="shared" si="105"/>
        <v>7.4720000000000004</v>
      </c>
    </row>
    <row r="3362" spans="1:12" x14ac:dyDescent="0.3">
      <c r="A3362" s="2">
        <v>39879</v>
      </c>
      <c r="B3362" t="s">
        <v>13</v>
      </c>
      <c r="D3362" s="2">
        <v>40610</v>
      </c>
      <c r="E3362">
        <v>6.5</v>
      </c>
      <c r="G3362" s="2">
        <v>40610</v>
      </c>
      <c r="H3362">
        <v>7.5369999999999999</v>
      </c>
      <c r="J3362" s="2">
        <v>40617</v>
      </c>
      <c r="K3362" s="3">
        <f t="shared" si="104"/>
        <v>6.5</v>
      </c>
      <c r="L3362" s="3">
        <f t="shared" si="105"/>
        <v>7.4850000000000003</v>
      </c>
    </row>
    <row r="3363" spans="1:12" x14ac:dyDescent="0.3">
      <c r="A3363" s="2">
        <v>39880</v>
      </c>
      <c r="B3363" t="s">
        <v>13</v>
      </c>
      <c r="D3363" s="2">
        <v>40611</v>
      </c>
      <c r="E3363">
        <v>6.5</v>
      </c>
      <c r="G3363" s="2">
        <v>40611</v>
      </c>
      <c r="H3363">
        <v>7.5579999999999998</v>
      </c>
      <c r="J3363" s="2">
        <v>40618</v>
      </c>
      <c r="K3363" s="3">
        <f t="shared" si="104"/>
        <v>6.5</v>
      </c>
      <c r="L3363" s="3">
        <f t="shared" si="105"/>
        <v>7.4820000000000002</v>
      </c>
    </row>
    <row r="3364" spans="1:12" x14ac:dyDescent="0.3">
      <c r="A3364" s="2">
        <v>39881</v>
      </c>
      <c r="B3364" t="s">
        <v>13</v>
      </c>
      <c r="D3364" s="2">
        <v>40612</v>
      </c>
      <c r="E3364">
        <v>6.5</v>
      </c>
      <c r="G3364" s="2">
        <v>40612</v>
      </c>
      <c r="H3364">
        <v>7.5620000000000003</v>
      </c>
      <c r="J3364" s="2">
        <v>40619</v>
      </c>
      <c r="K3364" s="3">
        <f t="shared" si="104"/>
        <v>6.75</v>
      </c>
      <c r="L3364" s="3">
        <f t="shared" si="105"/>
        <v>7.4930000000000003</v>
      </c>
    </row>
    <row r="3365" spans="1:12" x14ac:dyDescent="0.3">
      <c r="A3365" s="2">
        <v>39882</v>
      </c>
      <c r="B3365" t="s">
        <v>13</v>
      </c>
      <c r="D3365" s="2">
        <v>40613</v>
      </c>
      <c r="E3365">
        <v>6.5</v>
      </c>
      <c r="G3365" s="2">
        <v>40613</v>
      </c>
      <c r="H3365">
        <v>7.5209999999999999</v>
      </c>
      <c r="J3365" s="2">
        <v>40620</v>
      </c>
      <c r="K3365" s="3">
        <f t="shared" si="104"/>
        <v>6.75</v>
      </c>
      <c r="L3365" s="3">
        <f t="shared" si="105"/>
        <v>7.4969999999999999</v>
      </c>
    </row>
    <row r="3366" spans="1:12" x14ac:dyDescent="0.3">
      <c r="A3366" s="2">
        <v>39883</v>
      </c>
      <c r="B3366" t="s">
        <v>13</v>
      </c>
      <c r="D3366" s="2">
        <v>40614</v>
      </c>
      <c r="E3366">
        <v>6.5</v>
      </c>
      <c r="G3366" s="2">
        <v>40614</v>
      </c>
      <c r="H3366">
        <v>7.5209999999999999</v>
      </c>
      <c r="J3366" s="2">
        <v>40621</v>
      </c>
      <c r="K3366" s="3">
        <f t="shared" si="104"/>
        <v>6.75</v>
      </c>
      <c r="L3366" s="3">
        <f t="shared" si="105"/>
        <v>7.4969999999999999</v>
      </c>
    </row>
    <row r="3367" spans="1:12" x14ac:dyDescent="0.3">
      <c r="A3367" s="2">
        <v>39884</v>
      </c>
      <c r="B3367" t="s">
        <v>13</v>
      </c>
      <c r="D3367" s="2">
        <v>40615</v>
      </c>
      <c r="E3367">
        <v>6.5</v>
      </c>
      <c r="G3367" s="2">
        <v>40615</v>
      </c>
      <c r="H3367">
        <v>7.5209999999999999</v>
      </c>
      <c r="J3367" s="2">
        <v>40622</v>
      </c>
      <c r="K3367" s="3">
        <f t="shared" si="104"/>
        <v>6.75</v>
      </c>
      <c r="L3367" s="3">
        <f t="shared" si="105"/>
        <v>7.4969999999999999</v>
      </c>
    </row>
    <row r="3368" spans="1:12" x14ac:dyDescent="0.3">
      <c r="A3368" s="2">
        <v>39885</v>
      </c>
      <c r="B3368" t="s">
        <v>13</v>
      </c>
      <c r="D3368" s="2">
        <v>40616</v>
      </c>
      <c r="E3368">
        <v>6.5</v>
      </c>
      <c r="G3368" s="2">
        <v>40616</v>
      </c>
      <c r="H3368">
        <v>7.4720000000000004</v>
      </c>
      <c r="J3368" s="2">
        <v>40623</v>
      </c>
      <c r="K3368" s="3">
        <f t="shared" si="104"/>
        <v>6.75</v>
      </c>
      <c r="L3368" s="3">
        <f t="shared" si="105"/>
        <v>7.5170000000000003</v>
      </c>
    </row>
    <row r="3369" spans="1:12" x14ac:dyDescent="0.3">
      <c r="A3369" s="2">
        <v>39886</v>
      </c>
      <c r="B3369" t="s">
        <v>13</v>
      </c>
      <c r="D3369" s="2">
        <v>40617</v>
      </c>
      <c r="E3369">
        <v>6.5</v>
      </c>
      <c r="G3369" s="2">
        <v>40617</v>
      </c>
      <c r="H3369">
        <v>7.4850000000000003</v>
      </c>
      <c r="J3369" s="2">
        <v>40624</v>
      </c>
      <c r="K3369" s="3">
        <f t="shared" si="104"/>
        <v>6.75</v>
      </c>
      <c r="L3369" s="3">
        <f t="shared" si="105"/>
        <v>7.532</v>
      </c>
    </row>
    <row r="3370" spans="1:12" x14ac:dyDescent="0.3">
      <c r="A3370" s="2">
        <v>39887</v>
      </c>
      <c r="B3370" t="s">
        <v>13</v>
      </c>
      <c r="D3370" s="2">
        <v>40618</v>
      </c>
      <c r="E3370">
        <v>6.5</v>
      </c>
      <c r="G3370" s="2">
        <v>40618</v>
      </c>
      <c r="H3370">
        <v>7.4820000000000002</v>
      </c>
      <c r="J3370" s="2">
        <v>40625</v>
      </c>
      <c r="K3370" s="3">
        <f t="shared" si="104"/>
        <v>6.75</v>
      </c>
      <c r="L3370" s="3">
        <f t="shared" si="105"/>
        <v>7.5369999999999999</v>
      </c>
    </row>
    <row r="3371" spans="1:12" x14ac:dyDescent="0.3">
      <c r="A3371" s="2">
        <v>39888</v>
      </c>
      <c r="B3371" t="s">
        <v>13</v>
      </c>
      <c r="D3371" s="2">
        <v>40619</v>
      </c>
      <c r="E3371">
        <v>6.75</v>
      </c>
      <c r="G3371" s="2">
        <v>40619</v>
      </c>
      <c r="H3371">
        <v>7.4930000000000003</v>
      </c>
      <c r="J3371" s="2">
        <v>40626</v>
      </c>
      <c r="K3371" s="3">
        <f t="shared" si="104"/>
        <v>6.75</v>
      </c>
      <c r="L3371" s="3">
        <f t="shared" si="105"/>
        <v>7.5919999999999996</v>
      </c>
    </row>
    <row r="3372" spans="1:12" x14ac:dyDescent="0.3">
      <c r="A3372" s="2">
        <v>39889</v>
      </c>
      <c r="B3372" t="s">
        <v>13</v>
      </c>
      <c r="D3372" s="2">
        <v>40620</v>
      </c>
      <c r="E3372">
        <v>6.75</v>
      </c>
      <c r="G3372" s="2">
        <v>40620</v>
      </c>
      <c r="H3372">
        <v>7.4969999999999999</v>
      </c>
      <c r="J3372" s="2">
        <v>40627</v>
      </c>
      <c r="K3372" s="3">
        <f t="shared" si="104"/>
        <v>6.75</v>
      </c>
      <c r="L3372" s="3">
        <f t="shared" si="105"/>
        <v>7.5369999999999999</v>
      </c>
    </row>
    <row r="3373" spans="1:12" x14ac:dyDescent="0.3">
      <c r="A3373" s="2">
        <v>39890</v>
      </c>
      <c r="B3373" t="s">
        <v>13</v>
      </c>
      <c r="D3373" s="2">
        <v>40621</v>
      </c>
      <c r="E3373">
        <v>6.75</v>
      </c>
      <c r="G3373" s="2">
        <v>40621</v>
      </c>
      <c r="H3373">
        <v>7.4969999999999999</v>
      </c>
      <c r="J3373" s="2">
        <v>40628</v>
      </c>
      <c r="K3373" s="3">
        <f t="shared" si="104"/>
        <v>6.75</v>
      </c>
      <c r="L3373" s="3">
        <f t="shared" si="105"/>
        <v>7.5369999999999999</v>
      </c>
    </row>
    <row r="3374" spans="1:12" x14ac:dyDescent="0.3">
      <c r="A3374" s="2">
        <v>39891</v>
      </c>
      <c r="B3374" t="s">
        <v>13</v>
      </c>
      <c r="D3374" s="2">
        <v>40622</v>
      </c>
      <c r="E3374">
        <v>6.75</v>
      </c>
      <c r="G3374" s="2">
        <v>40622</v>
      </c>
      <c r="H3374">
        <v>7.4969999999999999</v>
      </c>
      <c r="J3374" s="2">
        <v>40629</v>
      </c>
      <c r="K3374" s="3">
        <f t="shared" si="104"/>
        <v>6.75</v>
      </c>
      <c r="L3374" s="3">
        <f t="shared" si="105"/>
        <v>7.5369999999999999</v>
      </c>
    </row>
    <row r="3375" spans="1:12" x14ac:dyDescent="0.3">
      <c r="A3375" s="2">
        <v>39892</v>
      </c>
      <c r="B3375" t="s">
        <v>13</v>
      </c>
      <c r="D3375" s="2">
        <v>40623</v>
      </c>
      <c r="E3375">
        <v>6.75</v>
      </c>
      <c r="G3375" s="2">
        <v>40623</v>
      </c>
      <c r="H3375">
        <v>7.5170000000000003</v>
      </c>
      <c r="J3375" s="2">
        <v>40630</v>
      </c>
      <c r="K3375" s="3">
        <f t="shared" si="104"/>
        <v>6.75</v>
      </c>
      <c r="L3375" s="3">
        <f t="shared" si="105"/>
        <v>7.53</v>
      </c>
    </row>
    <row r="3376" spans="1:12" x14ac:dyDescent="0.3">
      <c r="A3376" s="2">
        <v>39893</v>
      </c>
      <c r="B3376" t="s">
        <v>13</v>
      </c>
      <c r="D3376" s="2">
        <v>40624</v>
      </c>
      <c r="E3376">
        <v>6.75</v>
      </c>
      <c r="G3376" s="2">
        <v>40624</v>
      </c>
      <c r="H3376">
        <v>7.532</v>
      </c>
      <c r="J3376" s="2">
        <v>40631</v>
      </c>
      <c r="K3376" s="3">
        <f t="shared" si="104"/>
        <v>6.75</v>
      </c>
      <c r="L3376" s="3">
        <f t="shared" si="105"/>
        <v>7.5389999999999997</v>
      </c>
    </row>
    <row r="3377" spans="1:12" x14ac:dyDescent="0.3">
      <c r="A3377" s="2">
        <v>39894</v>
      </c>
      <c r="B3377" t="s">
        <v>13</v>
      </c>
      <c r="D3377" s="2">
        <v>40625</v>
      </c>
      <c r="E3377">
        <v>6.75</v>
      </c>
      <c r="G3377" s="2">
        <v>40625</v>
      </c>
      <c r="H3377">
        <v>7.5369999999999999</v>
      </c>
      <c r="J3377" s="2">
        <v>40632</v>
      </c>
      <c r="K3377" s="3">
        <f t="shared" si="104"/>
        <v>6.75</v>
      </c>
      <c r="L3377" s="3">
        <f t="shared" si="105"/>
        <v>7.5620000000000003</v>
      </c>
    </row>
    <row r="3378" spans="1:12" x14ac:dyDescent="0.3">
      <c r="A3378" s="2">
        <v>39895</v>
      </c>
      <c r="B3378" t="s">
        <v>13</v>
      </c>
      <c r="D3378" s="2">
        <v>40626</v>
      </c>
      <c r="E3378">
        <v>6.75</v>
      </c>
      <c r="G3378" s="2">
        <v>40626</v>
      </c>
      <c r="H3378">
        <v>7.5919999999999996</v>
      </c>
      <c r="J3378" s="2">
        <v>40633</v>
      </c>
      <c r="K3378" s="3">
        <f t="shared" si="104"/>
        <v>6.75</v>
      </c>
      <c r="L3378" s="3">
        <f t="shared" si="105"/>
        <v>7.5259999999999998</v>
      </c>
    </row>
    <row r="3379" spans="1:12" x14ac:dyDescent="0.3">
      <c r="A3379" s="2">
        <v>39896</v>
      </c>
      <c r="B3379" t="s">
        <v>13</v>
      </c>
      <c r="D3379" s="2">
        <v>40627</v>
      </c>
      <c r="E3379">
        <v>6.75</v>
      </c>
      <c r="G3379" s="2">
        <v>40627</v>
      </c>
      <c r="H3379">
        <v>7.5369999999999999</v>
      </c>
      <c r="J3379" s="2">
        <v>40634</v>
      </c>
      <c r="K3379" s="3">
        <f t="shared" si="104"/>
        <v>6.75</v>
      </c>
      <c r="L3379" s="3">
        <f t="shared" si="105"/>
        <v>7.5259999999999998</v>
      </c>
    </row>
    <row r="3380" spans="1:12" x14ac:dyDescent="0.3">
      <c r="A3380" s="2">
        <v>39897</v>
      </c>
      <c r="B3380" t="s">
        <v>13</v>
      </c>
      <c r="D3380" s="2">
        <v>40628</v>
      </c>
      <c r="E3380">
        <v>6.75</v>
      </c>
      <c r="G3380" s="2">
        <v>40628</v>
      </c>
      <c r="H3380">
        <v>7.5369999999999999</v>
      </c>
      <c r="J3380" s="2">
        <v>40635</v>
      </c>
      <c r="K3380" s="3">
        <f t="shared" si="104"/>
        <v>6.75</v>
      </c>
      <c r="L3380" s="3">
        <f t="shared" si="105"/>
        <v>7.5259999999999998</v>
      </c>
    </row>
    <row r="3381" spans="1:12" x14ac:dyDescent="0.3">
      <c r="A3381" s="2">
        <v>39898</v>
      </c>
      <c r="B3381" t="s">
        <v>13</v>
      </c>
      <c r="D3381" s="2">
        <v>40629</v>
      </c>
      <c r="E3381">
        <v>6.75</v>
      </c>
      <c r="G3381" s="2">
        <v>40629</v>
      </c>
      <c r="H3381">
        <v>7.5369999999999999</v>
      </c>
      <c r="J3381" s="2">
        <v>40636</v>
      </c>
      <c r="K3381" s="3">
        <f t="shared" si="104"/>
        <v>6.75</v>
      </c>
      <c r="L3381" s="3">
        <f t="shared" si="105"/>
        <v>7.5259999999999998</v>
      </c>
    </row>
    <row r="3382" spans="1:12" x14ac:dyDescent="0.3">
      <c r="A3382" s="2">
        <v>39899</v>
      </c>
      <c r="B3382" t="s">
        <v>13</v>
      </c>
      <c r="D3382" s="2">
        <v>40630</v>
      </c>
      <c r="E3382">
        <v>6.75</v>
      </c>
      <c r="G3382" s="2">
        <v>40630</v>
      </c>
      <c r="H3382">
        <v>7.53</v>
      </c>
      <c r="J3382" s="2">
        <v>40637</v>
      </c>
      <c r="K3382" s="3">
        <f t="shared" si="104"/>
        <v>6.75</v>
      </c>
      <c r="L3382" s="3">
        <f t="shared" si="105"/>
        <v>7.5259999999999998</v>
      </c>
    </row>
    <row r="3383" spans="1:12" x14ac:dyDescent="0.3">
      <c r="A3383" s="2">
        <v>39900</v>
      </c>
      <c r="B3383" t="s">
        <v>13</v>
      </c>
      <c r="D3383" s="2">
        <v>40631</v>
      </c>
      <c r="E3383">
        <v>6.75</v>
      </c>
      <c r="G3383" s="2">
        <v>40631</v>
      </c>
      <c r="H3383">
        <v>7.5389999999999997</v>
      </c>
      <c r="J3383" s="2">
        <v>40638</v>
      </c>
      <c r="K3383" s="3">
        <f t="shared" si="104"/>
        <v>6.75</v>
      </c>
      <c r="L3383" s="3">
        <f t="shared" si="105"/>
        <v>7.4889999999999999</v>
      </c>
    </row>
    <row r="3384" spans="1:12" x14ac:dyDescent="0.3">
      <c r="A3384" s="2">
        <v>39901</v>
      </c>
      <c r="B3384" t="s">
        <v>13</v>
      </c>
      <c r="D3384" s="2">
        <v>40632</v>
      </c>
      <c r="E3384">
        <v>6.75</v>
      </c>
      <c r="G3384" s="2">
        <v>40632</v>
      </c>
      <c r="H3384">
        <v>7.5620000000000003</v>
      </c>
      <c r="J3384" s="2">
        <v>40639</v>
      </c>
      <c r="K3384" s="3">
        <f t="shared" si="104"/>
        <v>6.75</v>
      </c>
      <c r="L3384" s="3">
        <f t="shared" si="105"/>
        <v>7.4909999999999997</v>
      </c>
    </row>
    <row r="3385" spans="1:12" x14ac:dyDescent="0.3">
      <c r="A3385" s="2">
        <v>39902</v>
      </c>
      <c r="B3385" t="s">
        <v>13</v>
      </c>
      <c r="D3385" s="2">
        <v>40633</v>
      </c>
      <c r="E3385">
        <v>6.75</v>
      </c>
      <c r="G3385" s="2">
        <v>40633</v>
      </c>
      <c r="H3385">
        <v>7.5259999999999998</v>
      </c>
      <c r="J3385" s="2">
        <v>40640</v>
      </c>
      <c r="K3385" s="3">
        <f t="shared" si="104"/>
        <v>6.75</v>
      </c>
      <c r="L3385" s="3">
        <f t="shared" si="105"/>
        <v>7.5170000000000003</v>
      </c>
    </row>
    <row r="3386" spans="1:12" x14ac:dyDescent="0.3">
      <c r="A3386" s="2">
        <v>39903</v>
      </c>
      <c r="B3386" t="s">
        <v>13</v>
      </c>
      <c r="D3386" s="2">
        <v>40634</v>
      </c>
      <c r="E3386">
        <v>6.75</v>
      </c>
      <c r="G3386" s="2">
        <v>40634</v>
      </c>
      <c r="H3386">
        <v>7.5259999999999998</v>
      </c>
      <c r="J3386" s="2">
        <v>40641</v>
      </c>
      <c r="K3386" s="3">
        <f t="shared" si="104"/>
        <v>6.75</v>
      </c>
      <c r="L3386" s="3">
        <f t="shared" si="105"/>
        <v>7.5229999999999997</v>
      </c>
    </row>
    <row r="3387" spans="1:12" x14ac:dyDescent="0.3">
      <c r="A3387" s="2">
        <v>39904</v>
      </c>
      <c r="B3387" t="s">
        <v>13</v>
      </c>
      <c r="D3387" s="2">
        <v>40635</v>
      </c>
      <c r="E3387">
        <v>6.75</v>
      </c>
      <c r="G3387" s="2">
        <v>40635</v>
      </c>
      <c r="H3387">
        <v>7.5259999999999998</v>
      </c>
      <c r="J3387" s="2">
        <v>40642</v>
      </c>
      <c r="K3387" s="3">
        <f t="shared" si="104"/>
        <v>6.75</v>
      </c>
      <c r="L3387" s="3">
        <f t="shared" si="105"/>
        <v>7.5229999999999997</v>
      </c>
    </row>
    <row r="3388" spans="1:12" x14ac:dyDescent="0.3">
      <c r="A3388" s="2">
        <v>39905</v>
      </c>
      <c r="B3388" t="s">
        <v>13</v>
      </c>
      <c r="D3388" s="2">
        <v>40636</v>
      </c>
      <c r="E3388">
        <v>6.75</v>
      </c>
      <c r="G3388" s="2">
        <v>40636</v>
      </c>
      <c r="H3388">
        <v>7.5259999999999998</v>
      </c>
      <c r="J3388" s="2">
        <v>40643</v>
      </c>
      <c r="K3388" s="3">
        <f t="shared" si="104"/>
        <v>6.75</v>
      </c>
      <c r="L3388" s="3">
        <f t="shared" si="105"/>
        <v>7.5229999999999997</v>
      </c>
    </row>
    <row r="3389" spans="1:12" x14ac:dyDescent="0.3">
      <c r="A3389" s="2">
        <v>39906</v>
      </c>
      <c r="B3389" t="s">
        <v>13</v>
      </c>
      <c r="D3389" s="2">
        <v>40637</v>
      </c>
      <c r="E3389">
        <v>6.75</v>
      </c>
      <c r="G3389" s="2">
        <v>40637</v>
      </c>
      <c r="H3389">
        <v>7.5259999999999998</v>
      </c>
      <c r="J3389" s="2">
        <v>40644</v>
      </c>
      <c r="K3389" s="3">
        <f t="shared" si="104"/>
        <v>6.75</v>
      </c>
      <c r="L3389" s="3">
        <f t="shared" si="105"/>
        <v>7.6050000000000004</v>
      </c>
    </row>
    <row r="3390" spans="1:12" x14ac:dyDescent="0.3">
      <c r="A3390" s="2">
        <v>39907</v>
      </c>
      <c r="B3390" t="s">
        <v>13</v>
      </c>
      <c r="D3390" s="2">
        <v>40638</v>
      </c>
      <c r="E3390">
        <v>6.75</v>
      </c>
      <c r="G3390" s="2">
        <v>40638</v>
      </c>
      <c r="H3390">
        <v>7.4889999999999999</v>
      </c>
      <c r="J3390" s="2">
        <v>40645</v>
      </c>
      <c r="K3390" s="3">
        <f t="shared" si="104"/>
        <v>6.75</v>
      </c>
      <c r="L3390" s="3">
        <f t="shared" si="105"/>
        <v>7.6050000000000004</v>
      </c>
    </row>
    <row r="3391" spans="1:12" x14ac:dyDescent="0.3">
      <c r="A3391" s="2">
        <v>39908</v>
      </c>
      <c r="B3391" t="s">
        <v>13</v>
      </c>
      <c r="D3391" s="2">
        <v>40639</v>
      </c>
      <c r="E3391">
        <v>6.75</v>
      </c>
      <c r="G3391" s="2">
        <v>40639</v>
      </c>
      <c r="H3391">
        <v>7.4909999999999997</v>
      </c>
      <c r="J3391" s="2">
        <v>40646</v>
      </c>
      <c r="K3391" s="3">
        <f t="shared" si="104"/>
        <v>6.75</v>
      </c>
      <c r="L3391" s="3">
        <f t="shared" si="105"/>
        <v>7.5869999999999997</v>
      </c>
    </row>
    <row r="3392" spans="1:12" x14ac:dyDescent="0.3">
      <c r="A3392" s="2">
        <v>39909</v>
      </c>
      <c r="B3392" t="s">
        <v>13</v>
      </c>
      <c r="D3392" s="2">
        <v>40640</v>
      </c>
      <c r="E3392">
        <v>6.75</v>
      </c>
      <c r="G3392" s="2">
        <v>40640</v>
      </c>
      <c r="H3392">
        <v>7.5170000000000003</v>
      </c>
      <c r="J3392" s="2">
        <v>40647</v>
      </c>
      <c r="K3392" s="3">
        <f t="shared" si="104"/>
        <v>6.75</v>
      </c>
      <c r="L3392" s="3">
        <f t="shared" si="105"/>
        <v>7.5869999999999997</v>
      </c>
    </row>
    <row r="3393" spans="1:12" x14ac:dyDescent="0.3">
      <c r="A3393" s="2">
        <v>39910</v>
      </c>
      <c r="B3393" t="s">
        <v>13</v>
      </c>
      <c r="D3393" s="2">
        <v>40641</v>
      </c>
      <c r="E3393">
        <v>6.75</v>
      </c>
      <c r="G3393" s="2">
        <v>40641</v>
      </c>
      <c r="H3393">
        <v>7.5229999999999997</v>
      </c>
      <c r="J3393" s="2">
        <v>40648</v>
      </c>
      <c r="K3393" s="3">
        <f t="shared" si="104"/>
        <v>6.75</v>
      </c>
      <c r="L3393" s="3">
        <f t="shared" si="105"/>
        <v>7.5979999999999999</v>
      </c>
    </row>
    <row r="3394" spans="1:12" x14ac:dyDescent="0.3">
      <c r="A3394" s="2">
        <v>39911</v>
      </c>
      <c r="B3394" t="s">
        <v>13</v>
      </c>
      <c r="D3394" s="2">
        <v>40642</v>
      </c>
      <c r="E3394">
        <v>6.75</v>
      </c>
      <c r="G3394" s="2">
        <v>40642</v>
      </c>
      <c r="H3394">
        <v>7.5229999999999997</v>
      </c>
      <c r="J3394" s="2">
        <v>40649</v>
      </c>
      <c r="K3394" s="3">
        <f t="shared" si="104"/>
        <v>6.75</v>
      </c>
      <c r="L3394" s="3">
        <f t="shared" si="105"/>
        <v>7.5979999999999999</v>
      </c>
    </row>
    <row r="3395" spans="1:12" x14ac:dyDescent="0.3">
      <c r="A3395" s="2">
        <v>39912</v>
      </c>
      <c r="B3395" t="s">
        <v>13</v>
      </c>
      <c r="D3395" s="2">
        <v>40643</v>
      </c>
      <c r="E3395">
        <v>6.75</v>
      </c>
      <c r="G3395" s="2">
        <v>40643</v>
      </c>
      <c r="H3395">
        <v>7.5229999999999997</v>
      </c>
      <c r="J3395" s="2">
        <v>40650</v>
      </c>
      <c r="K3395" s="3">
        <f t="shared" ref="K3395:K3458" si="106">E3402</f>
        <v>6.75</v>
      </c>
      <c r="L3395" s="3">
        <f t="shared" ref="L3395:L3458" si="107">H3402</f>
        <v>7.5979999999999999</v>
      </c>
    </row>
    <row r="3396" spans="1:12" x14ac:dyDescent="0.3">
      <c r="A3396" s="2">
        <v>39913</v>
      </c>
      <c r="B3396" t="s">
        <v>13</v>
      </c>
      <c r="D3396" s="2">
        <v>40644</v>
      </c>
      <c r="E3396">
        <v>6.75</v>
      </c>
      <c r="G3396" s="2">
        <v>40644</v>
      </c>
      <c r="H3396">
        <v>7.6050000000000004</v>
      </c>
      <c r="J3396" s="2">
        <v>40651</v>
      </c>
      <c r="K3396" s="3">
        <f t="shared" si="106"/>
        <v>6.75</v>
      </c>
      <c r="L3396" s="3">
        <f t="shared" si="107"/>
        <v>7.6070000000000002</v>
      </c>
    </row>
    <row r="3397" spans="1:12" x14ac:dyDescent="0.3">
      <c r="A3397" s="2">
        <v>39914</v>
      </c>
      <c r="B3397" t="s">
        <v>13</v>
      </c>
      <c r="D3397" s="2">
        <v>40645</v>
      </c>
      <c r="E3397">
        <v>6.75</v>
      </c>
      <c r="G3397" s="2">
        <v>40645</v>
      </c>
      <c r="H3397">
        <v>7.6050000000000004</v>
      </c>
      <c r="J3397" s="2">
        <v>40652</v>
      </c>
      <c r="K3397" s="3">
        <f t="shared" si="106"/>
        <v>6.75</v>
      </c>
      <c r="L3397" s="3">
        <f t="shared" si="107"/>
        <v>7.6749999999999998</v>
      </c>
    </row>
    <row r="3398" spans="1:12" x14ac:dyDescent="0.3">
      <c r="A3398" s="2">
        <v>39915</v>
      </c>
      <c r="B3398" t="s">
        <v>13</v>
      </c>
      <c r="D3398" s="2">
        <v>40646</v>
      </c>
      <c r="E3398">
        <v>6.75</v>
      </c>
      <c r="G3398" s="2">
        <v>40646</v>
      </c>
      <c r="H3398">
        <v>7.5869999999999997</v>
      </c>
      <c r="J3398" s="2">
        <v>40653</v>
      </c>
      <c r="K3398" s="3">
        <f t="shared" si="106"/>
        <v>6.75</v>
      </c>
      <c r="L3398" s="3">
        <f t="shared" si="107"/>
        <v>7.7220000000000004</v>
      </c>
    </row>
    <row r="3399" spans="1:12" x14ac:dyDescent="0.3">
      <c r="A3399" s="2">
        <v>39916</v>
      </c>
      <c r="B3399" t="s">
        <v>13</v>
      </c>
      <c r="D3399" s="2">
        <v>40647</v>
      </c>
      <c r="E3399">
        <v>6.75</v>
      </c>
      <c r="G3399" s="2">
        <v>40647</v>
      </c>
      <c r="H3399">
        <v>7.5869999999999997</v>
      </c>
      <c r="J3399" s="2">
        <v>40654</v>
      </c>
      <c r="K3399" s="3">
        <f t="shared" si="106"/>
        <v>6.75</v>
      </c>
      <c r="L3399" s="3">
        <f t="shared" si="107"/>
        <v>7.782</v>
      </c>
    </row>
    <row r="3400" spans="1:12" x14ac:dyDescent="0.3">
      <c r="A3400" s="2">
        <v>39917</v>
      </c>
      <c r="B3400" t="s">
        <v>13</v>
      </c>
      <c r="D3400" s="2">
        <v>40648</v>
      </c>
      <c r="E3400">
        <v>6.75</v>
      </c>
      <c r="G3400" s="2">
        <v>40648</v>
      </c>
      <c r="H3400">
        <v>7.5979999999999999</v>
      </c>
      <c r="J3400" s="2">
        <v>40655</v>
      </c>
      <c r="K3400" s="3">
        <f t="shared" si="106"/>
        <v>6.75</v>
      </c>
      <c r="L3400" s="3">
        <f t="shared" si="107"/>
        <v>7.782</v>
      </c>
    </row>
    <row r="3401" spans="1:12" x14ac:dyDescent="0.3">
      <c r="A3401" s="2">
        <v>39918</v>
      </c>
      <c r="B3401" t="s">
        <v>13</v>
      </c>
      <c r="D3401" s="2">
        <v>40649</v>
      </c>
      <c r="E3401">
        <v>6.75</v>
      </c>
      <c r="G3401" s="2">
        <v>40649</v>
      </c>
      <c r="H3401">
        <v>7.5979999999999999</v>
      </c>
      <c r="J3401" s="2">
        <v>40656</v>
      </c>
      <c r="K3401" s="3">
        <f t="shared" si="106"/>
        <v>6.75</v>
      </c>
      <c r="L3401" s="3">
        <f t="shared" si="107"/>
        <v>7.782</v>
      </c>
    </row>
    <row r="3402" spans="1:12" x14ac:dyDescent="0.3">
      <c r="A3402" s="2">
        <v>39919</v>
      </c>
      <c r="B3402" t="s">
        <v>13</v>
      </c>
      <c r="D3402" s="2">
        <v>40650</v>
      </c>
      <c r="E3402">
        <v>6.75</v>
      </c>
      <c r="G3402" s="2">
        <v>40650</v>
      </c>
      <c r="H3402">
        <v>7.5979999999999999</v>
      </c>
      <c r="J3402" s="2">
        <v>40657</v>
      </c>
      <c r="K3402" s="3">
        <f t="shared" si="106"/>
        <v>6.75</v>
      </c>
      <c r="L3402" s="3">
        <f t="shared" si="107"/>
        <v>7.782</v>
      </c>
    </row>
    <row r="3403" spans="1:12" x14ac:dyDescent="0.3">
      <c r="A3403" s="2">
        <v>39920</v>
      </c>
      <c r="B3403" t="s">
        <v>13</v>
      </c>
      <c r="D3403" s="2">
        <v>40651</v>
      </c>
      <c r="E3403">
        <v>6.75</v>
      </c>
      <c r="G3403" s="2">
        <v>40651</v>
      </c>
      <c r="H3403">
        <v>7.6070000000000002</v>
      </c>
      <c r="J3403" s="2">
        <v>40658</v>
      </c>
      <c r="K3403" s="3">
        <f t="shared" si="106"/>
        <v>6.75</v>
      </c>
      <c r="L3403" s="3">
        <f t="shared" si="107"/>
        <v>7.7750000000000004</v>
      </c>
    </row>
    <row r="3404" spans="1:12" x14ac:dyDescent="0.3">
      <c r="A3404" s="2">
        <v>39921</v>
      </c>
      <c r="B3404" t="s">
        <v>13</v>
      </c>
      <c r="D3404" s="2">
        <v>40652</v>
      </c>
      <c r="E3404">
        <v>6.75</v>
      </c>
      <c r="G3404" s="2">
        <v>40652</v>
      </c>
      <c r="H3404">
        <v>7.6749999999999998</v>
      </c>
      <c r="J3404" s="2">
        <v>40659</v>
      </c>
      <c r="K3404" s="3">
        <f t="shared" si="106"/>
        <v>6.75</v>
      </c>
      <c r="L3404" s="3">
        <f t="shared" si="107"/>
        <v>7.8150000000000004</v>
      </c>
    </row>
    <row r="3405" spans="1:12" x14ac:dyDescent="0.3">
      <c r="A3405" s="2">
        <v>39922</v>
      </c>
      <c r="B3405" t="s">
        <v>13</v>
      </c>
      <c r="D3405" s="2">
        <v>40653</v>
      </c>
      <c r="E3405">
        <v>6.75</v>
      </c>
      <c r="G3405" s="2">
        <v>40653</v>
      </c>
      <c r="H3405">
        <v>7.7220000000000004</v>
      </c>
      <c r="J3405" s="2">
        <v>40660</v>
      </c>
      <c r="K3405" s="3">
        <f t="shared" si="106"/>
        <v>6.75</v>
      </c>
      <c r="L3405" s="3">
        <f t="shared" si="107"/>
        <v>7.8179999999999996</v>
      </c>
    </row>
    <row r="3406" spans="1:12" x14ac:dyDescent="0.3">
      <c r="A3406" s="2">
        <v>39923</v>
      </c>
      <c r="B3406" t="s">
        <v>13</v>
      </c>
      <c r="D3406" s="2">
        <v>40654</v>
      </c>
      <c r="E3406">
        <v>6.75</v>
      </c>
      <c r="G3406" s="2">
        <v>40654</v>
      </c>
      <c r="H3406">
        <v>7.782</v>
      </c>
      <c r="J3406" s="2">
        <v>40661</v>
      </c>
      <c r="K3406" s="3">
        <f t="shared" si="106"/>
        <v>6.75</v>
      </c>
      <c r="L3406" s="3">
        <f t="shared" si="107"/>
        <v>7.819</v>
      </c>
    </row>
    <row r="3407" spans="1:12" x14ac:dyDescent="0.3">
      <c r="A3407" s="2">
        <v>39924</v>
      </c>
      <c r="B3407" t="s">
        <v>13</v>
      </c>
      <c r="D3407" s="2">
        <v>40655</v>
      </c>
      <c r="E3407">
        <v>6.75</v>
      </c>
      <c r="G3407" s="2">
        <v>40655</v>
      </c>
      <c r="H3407">
        <v>7.782</v>
      </c>
      <c r="J3407" s="2">
        <v>40662</v>
      </c>
      <c r="K3407" s="3">
        <f t="shared" si="106"/>
        <v>6.75</v>
      </c>
      <c r="L3407" s="3">
        <f t="shared" si="107"/>
        <v>7.8280000000000003</v>
      </c>
    </row>
    <row r="3408" spans="1:12" x14ac:dyDescent="0.3">
      <c r="A3408" s="2">
        <v>39925</v>
      </c>
      <c r="B3408" t="s">
        <v>13</v>
      </c>
      <c r="D3408" s="2">
        <v>40656</v>
      </c>
      <c r="E3408">
        <v>6.75</v>
      </c>
      <c r="G3408" s="2">
        <v>40656</v>
      </c>
      <c r="H3408">
        <v>7.782</v>
      </c>
      <c r="J3408" s="2">
        <v>40663</v>
      </c>
      <c r="K3408" s="3">
        <f t="shared" si="106"/>
        <v>6.75</v>
      </c>
      <c r="L3408" s="3">
        <f t="shared" si="107"/>
        <v>7.8280000000000003</v>
      </c>
    </row>
    <row r="3409" spans="1:12" x14ac:dyDescent="0.3">
      <c r="A3409" s="2">
        <v>39926</v>
      </c>
      <c r="B3409" t="s">
        <v>13</v>
      </c>
      <c r="D3409" s="2">
        <v>40657</v>
      </c>
      <c r="E3409">
        <v>6.75</v>
      </c>
      <c r="G3409" s="2">
        <v>40657</v>
      </c>
      <c r="H3409">
        <v>7.782</v>
      </c>
      <c r="J3409" s="2">
        <v>40664</v>
      </c>
      <c r="K3409" s="3">
        <f t="shared" si="106"/>
        <v>6.75</v>
      </c>
      <c r="L3409" s="3">
        <f t="shared" si="107"/>
        <v>7.8280000000000003</v>
      </c>
    </row>
    <row r="3410" spans="1:12" x14ac:dyDescent="0.3">
      <c r="A3410" s="2">
        <v>39927</v>
      </c>
      <c r="B3410" t="s">
        <v>13</v>
      </c>
      <c r="D3410" s="2">
        <v>40658</v>
      </c>
      <c r="E3410">
        <v>6.75</v>
      </c>
      <c r="G3410" s="2">
        <v>40658</v>
      </c>
      <c r="H3410">
        <v>7.7750000000000004</v>
      </c>
      <c r="J3410" s="2">
        <v>40665</v>
      </c>
      <c r="K3410" s="3">
        <f t="shared" si="106"/>
        <v>6.75</v>
      </c>
      <c r="L3410" s="3">
        <f t="shared" si="107"/>
        <v>7.835</v>
      </c>
    </row>
    <row r="3411" spans="1:12" x14ac:dyDescent="0.3">
      <c r="A3411" s="2">
        <v>39928</v>
      </c>
      <c r="B3411" t="s">
        <v>13</v>
      </c>
      <c r="D3411" s="2">
        <v>40659</v>
      </c>
      <c r="E3411">
        <v>6.75</v>
      </c>
      <c r="G3411" s="2">
        <v>40659</v>
      </c>
      <c r="H3411">
        <v>7.8150000000000004</v>
      </c>
      <c r="J3411" s="2">
        <v>40666</v>
      </c>
      <c r="K3411" s="3">
        <f t="shared" si="106"/>
        <v>7.25</v>
      </c>
      <c r="L3411" s="3">
        <f t="shared" si="107"/>
        <v>7.8869999999999996</v>
      </c>
    </row>
    <row r="3412" spans="1:12" x14ac:dyDescent="0.3">
      <c r="A3412" s="2">
        <v>39929</v>
      </c>
      <c r="B3412" t="s">
        <v>13</v>
      </c>
      <c r="D3412" s="2">
        <v>40660</v>
      </c>
      <c r="E3412">
        <v>6.75</v>
      </c>
      <c r="G3412" s="2">
        <v>40660</v>
      </c>
      <c r="H3412">
        <v>7.8179999999999996</v>
      </c>
      <c r="J3412" s="2">
        <v>40667</v>
      </c>
      <c r="K3412" s="3">
        <f t="shared" si="106"/>
        <v>7.25</v>
      </c>
      <c r="L3412" s="3">
        <f t="shared" si="107"/>
        <v>7.9649999999999999</v>
      </c>
    </row>
    <row r="3413" spans="1:12" x14ac:dyDescent="0.3">
      <c r="A3413" s="2">
        <v>39930</v>
      </c>
      <c r="B3413" t="s">
        <v>13</v>
      </c>
      <c r="D3413" s="2">
        <v>40661</v>
      </c>
      <c r="E3413">
        <v>6.75</v>
      </c>
      <c r="G3413" s="2">
        <v>40661</v>
      </c>
      <c r="H3413">
        <v>7.819</v>
      </c>
      <c r="J3413" s="2">
        <v>40668</v>
      </c>
      <c r="K3413" s="3">
        <f t="shared" si="106"/>
        <v>7.25</v>
      </c>
      <c r="L3413" s="3">
        <f t="shared" si="107"/>
        <v>8.0449999999999999</v>
      </c>
    </row>
    <row r="3414" spans="1:12" x14ac:dyDescent="0.3">
      <c r="A3414" s="2">
        <v>39931</v>
      </c>
      <c r="B3414" t="s">
        <v>13</v>
      </c>
      <c r="D3414" s="2">
        <v>40662</v>
      </c>
      <c r="E3414">
        <v>6.75</v>
      </c>
      <c r="G3414" s="2">
        <v>40662</v>
      </c>
      <c r="H3414">
        <v>7.8280000000000003</v>
      </c>
      <c r="J3414" s="2">
        <v>40669</v>
      </c>
      <c r="K3414" s="3">
        <f t="shared" si="106"/>
        <v>7.25</v>
      </c>
      <c r="L3414" s="3">
        <f t="shared" si="107"/>
        <v>8.0440000000000005</v>
      </c>
    </row>
    <row r="3415" spans="1:12" x14ac:dyDescent="0.3">
      <c r="A3415" s="2">
        <v>39932</v>
      </c>
      <c r="B3415" t="s">
        <v>13</v>
      </c>
      <c r="D3415" s="2">
        <v>40663</v>
      </c>
      <c r="E3415">
        <v>6.75</v>
      </c>
      <c r="G3415" s="2">
        <v>40663</v>
      </c>
      <c r="H3415">
        <v>7.8280000000000003</v>
      </c>
      <c r="J3415" s="2">
        <v>40670</v>
      </c>
      <c r="K3415" s="3">
        <f t="shared" si="106"/>
        <v>7.25</v>
      </c>
      <c r="L3415" s="3">
        <f t="shared" si="107"/>
        <v>8.0440000000000005</v>
      </c>
    </row>
    <row r="3416" spans="1:12" x14ac:dyDescent="0.3">
      <c r="A3416" s="2">
        <v>39933</v>
      </c>
      <c r="B3416" t="s">
        <v>13</v>
      </c>
      <c r="D3416" s="2">
        <v>40664</v>
      </c>
      <c r="E3416">
        <v>6.75</v>
      </c>
      <c r="G3416" s="2">
        <v>40664</v>
      </c>
      <c r="H3416">
        <v>7.8280000000000003</v>
      </c>
      <c r="J3416" s="2">
        <v>40671</v>
      </c>
      <c r="K3416" s="3">
        <f t="shared" si="106"/>
        <v>7.25</v>
      </c>
      <c r="L3416" s="3">
        <f t="shared" si="107"/>
        <v>8.0440000000000005</v>
      </c>
    </row>
    <row r="3417" spans="1:12" x14ac:dyDescent="0.3">
      <c r="A3417" s="2">
        <v>39934</v>
      </c>
      <c r="B3417" t="s">
        <v>13</v>
      </c>
      <c r="D3417" s="2">
        <v>40665</v>
      </c>
      <c r="E3417">
        <v>6.75</v>
      </c>
      <c r="G3417" s="2">
        <v>40665</v>
      </c>
      <c r="H3417">
        <v>7.835</v>
      </c>
      <c r="J3417" s="2">
        <v>40672</v>
      </c>
      <c r="K3417" s="3">
        <f t="shared" si="106"/>
        <v>7.25</v>
      </c>
      <c r="L3417" s="3">
        <f t="shared" si="107"/>
        <v>8.0410000000000004</v>
      </c>
    </row>
    <row r="3418" spans="1:12" x14ac:dyDescent="0.3">
      <c r="A3418" s="2">
        <v>39935</v>
      </c>
      <c r="B3418" t="s">
        <v>13</v>
      </c>
      <c r="D3418" s="2">
        <v>40666</v>
      </c>
      <c r="E3418">
        <v>7.25</v>
      </c>
      <c r="G3418" s="2">
        <v>40666</v>
      </c>
      <c r="H3418">
        <v>7.8869999999999996</v>
      </c>
      <c r="J3418" s="2">
        <v>40673</v>
      </c>
      <c r="K3418" s="3">
        <f t="shared" si="106"/>
        <v>7.25</v>
      </c>
      <c r="L3418" s="3">
        <f t="shared" si="107"/>
        <v>8.0589999999999993</v>
      </c>
    </row>
    <row r="3419" spans="1:12" x14ac:dyDescent="0.3">
      <c r="A3419" s="2">
        <v>39936</v>
      </c>
      <c r="B3419" t="s">
        <v>13</v>
      </c>
      <c r="D3419" s="2">
        <v>40667</v>
      </c>
      <c r="E3419">
        <v>7.25</v>
      </c>
      <c r="G3419" s="2">
        <v>40667</v>
      </c>
      <c r="H3419">
        <v>7.9649999999999999</v>
      </c>
      <c r="J3419" s="2">
        <v>40674</v>
      </c>
      <c r="K3419" s="3">
        <f t="shared" si="106"/>
        <v>7.25</v>
      </c>
      <c r="L3419" s="3">
        <f t="shared" si="107"/>
        <v>8.1020000000000003</v>
      </c>
    </row>
    <row r="3420" spans="1:12" x14ac:dyDescent="0.3">
      <c r="A3420" s="2">
        <v>39937</v>
      </c>
      <c r="B3420" t="s">
        <v>13</v>
      </c>
      <c r="D3420" s="2">
        <v>40668</v>
      </c>
      <c r="E3420">
        <v>7.25</v>
      </c>
      <c r="G3420" s="2">
        <v>40668</v>
      </c>
      <c r="H3420">
        <v>8.0449999999999999</v>
      </c>
      <c r="J3420" s="2">
        <v>40675</v>
      </c>
      <c r="K3420" s="3">
        <f t="shared" si="106"/>
        <v>7.25</v>
      </c>
      <c r="L3420" s="3">
        <f t="shared" si="107"/>
        <v>8.1010000000000009</v>
      </c>
    </row>
    <row r="3421" spans="1:12" x14ac:dyDescent="0.3">
      <c r="A3421" s="2">
        <v>39938</v>
      </c>
      <c r="B3421" t="s">
        <v>13</v>
      </c>
      <c r="D3421" s="2">
        <v>40669</v>
      </c>
      <c r="E3421">
        <v>7.25</v>
      </c>
      <c r="G3421" s="2">
        <v>40669</v>
      </c>
      <c r="H3421">
        <v>8.0440000000000005</v>
      </c>
      <c r="J3421" s="2">
        <v>40676</v>
      </c>
      <c r="K3421" s="3">
        <f t="shared" si="106"/>
        <v>7.25</v>
      </c>
      <c r="L3421" s="3">
        <f t="shared" si="107"/>
        <v>8.0879999999999992</v>
      </c>
    </row>
    <row r="3422" spans="1:12" x14ac:dyDescent="0.3">
      <c r="A3422" s="2">
        <v>39939</v>
      </c>
      <c r="B3422" t="s">
        <v>13</v>
      </c>
      <c r="D3422" s="2">
        <v>40670</v>
      </c>
      <c r="E3422">
        <v>7.25</v>
      </c>
      <c r="G3422" s="2">
        <v>40670</v>
      </c>
      <c r="H3422">
        <v>8.0440000000000005</v>
      </c>
      <c r="J3422" s="2">
        <v>40677</v>
      </c>
      <c r="K3422" s="3">
        <f t="shared" si="106"/>
        <v>7.25</v>
      </c>
      <c r="L3422" s="3">
        <f t="shared" si="107"/>
        <v>8.0879999999999992</v>
      </c>
    </row>
    <row r="3423" spans="1:12" x14ac:dyDescent="0.3">
      <c r="A3423" s="2">
        <v>39940</v>
      </c>
      <c r="B3423" t="s">
        <v>13</v>
      </c>
      <c r="D3423" s="2">
        <v>40671</v>
      </c>
      <c r="E3423">
        <v>7.25</v>
      </c>
      <c r="G3423" s="2">
        <v>40671</v>
      </c>
      <c r="H3423">
        <v>8.0440000000000005</v>
      </c>
      <c r="J3423" s="2">
        <v>40678</v>
      </c>
      <c r="K3423" s="3">
        <f t="shared" si="106"/>
        <v>7.25</v>
      </c>
      <c r="L3423" s="3">
        <f t="shared" si="107"/>
        <v>8.0879999999999992</v>
      </c>
    </row>
    <row r="3424" spans="1:12" x14ac:dyDescent="0.3">
      <c r="A3424" s="2">
        <v>39941</v>
      </c>
      <c r="B3424" t="s">
        <v>13</v>
      </c>
      <c r="D3424" s="2">
        <v>40672</v>
      </c>
      <c r="E3424">
        <v>7.25</v>
      </c>
      <c r="G3424" s="2">
        <v>40672</v>
      </c>
      <c r="H3424">
        <v>8.0410000000000004</v>
      </c>
      <c r="J3424" s="2">
        <v>40679</v>
      </c>
      <c r="K3424" s="3">
        <f t="shared" si="106"/>
        <v>7.25</v>
      </c>
      <c r="L3424" s="3">
        <f t="shared" si="107"/>
        <v>8.0960000000000001</v>
      </c>
    </row>
    <row r="3425" spans="1:12" x14ac:dyDescent="0.3">
      <c r="A3425" s="2">
        <v>39942</v>
      </c>
      <c r="B3425" t="s">
        <v>13</v>
      </c>
      <c r="D3425" s="2">
        <v>40673</v>
      </c>
      <c r="E3425">
        <v>7.25</v>
      </c>
      <c r="G3425" s="2">
        <v>40673</v>
      </c>
      <c r="H3425">
        <v>8.0589999999999993</v>
      </c>
      <c r="J3425" s="2">
        <v>40680</v>
      </c>
      <c r="K3425" s="3">
        <f t="shared" si="106"/>
        <v>7.25</v>
      </c>
      <c r="L3425" s="3">
        <f t="shared" si="107"/>
        <v>8.0960000000000001</v>
      </c>
    </row>
    <row r="3426" spans="1:12" x14ac:dyDescent="0.3">
      <c r="A3426" s="2">
        <v>39943</v>
      </c>
      <c r="B3426" t="s">
        <v>13</v>
      </c>
      <c r="D3426" s="2">
        <v>40674</v>
      </c>
      <c r="E3426">
        <v>7.25</v>
      </c>
      <c r="G3426" s="2">
        <v>40674</v>
      </c>
      <c r="H3426">
        <v>8.1020000000000003</v>
      </c>
      <c r="J3426" s="2">
        <v>40681</v>
      </c>
      <c r="K3426" s="3">
        <f t="shared" si="106"/>
        <v>7.25</v>
      </c>
      <c r="L3426" s="3">
        <f t="shared" si="107"/>
        <v>8.125</v>
      </c>
    </row>
    <row r="3427" spans="1:12" x14ac:dyDescent="0.3">
      <c r="A3427" s="2">
        <v>39944</v>
      </c>
      <c r="B3427" t="s">
        <v>13</v>
      </c>
      <c r="D3427" s="2">
        <v>40675</v>
      </c>
      <c r="E3427">
        <v>7.25</v>
      </c>
      <c r="G3427" s="2">
        <v>40675</v>
      </c>
      <c r="H3427">
        <v>8.1010000000000009</v>
      </c>
      <c r="J3427" s="2">
        <v>40682</v>
      </c>
      <c r="K3427" s="3">
        <f t="shared" si="106"/>
        <v>7.25</v>
      </c>
      <c r="L3427" s="3">
        <f t="shared" si="107"/>
        <v>8.1669999999999998</v>
      </c>
    </row>
    <row r="3428" spans="1:12" x14ac:dyDescent="0.3">
      <c r="A3428" s="2">
        <v>39945</v>
      </c>
      <c r="B3428" t="s">
        <v>13</v>
      </c>
      <c r="D3428" s="2">
        <v>40676</v>
      </c>
      <c r="E3428">
        <v>7.25</v>
      </c>
      <c r="G3428" s="2">
        <v>40676</v>
      </c>
      <c r="H3428">
        <v>8.0879999999999992</v>
      </c>
      <c r="J3428" s="2">
        <v>40683</v>
      </c>
      <c r="K3428" s="3">
        <f t="shared" si="106"/>
        <v>7.25</v>
      </c>
      <c r="L3428" s="3">
        <f t="shared" si="107"/>
        <v>8.1780000000000008</v>
      </c>
    </row>
    <row r="3429" spans="1:12" x14ac:dyDescent="0.3">
      <c r="A3429" s="2">
        <v>39946</v>
      </c>
      <c r="B3429" t="s">
        <v>13</v>
      </c>
      <c r="D3429" s="2">
        <v>40677</v>
      </c>
      <c r="E3429">
        <v>7.25</v>
      </c>
      <c r="G3429" s="2">
        <v>40677</v>
      </c>
      <c r="H3429">
        <v>8.0879999999999992</v>
      </c>
      <c r="J3429" s="2">
        <v>40684</v>
      </c>
      <c r="K3429" s="3">
        <f t="shared" si="106"/>
        <v>7.25</v>
      </c>
      <c r="L3429" s="3">
        <f t="shared" si="107"/>
        <v>8.1780000000000008</v>
      </c>
    </row>
    <row r="3430" spans="1:12" x14ac:dyDescent="0.3">
      <c r="A3430" s="2">
        <v>39947</v>
      </c>
      <c r="B3430" t="s">
        <v>13</v>
      </c>
      <c r="D3430" s="2">
        <v>40678</v>
      </c>
      <c r="E3430">
        <v>7.25</v>
      </c>
      <c r="G3430" s="2">
        <v>40678</v>
      </c>
      <c r="H3430">
        <v>8.0879999999999992</v>
      </c>
      <c r="J3430" s="2">
        <v>40685</v>
      </c>
      <c r="K3430" s="3">
        <f t="shared" si="106"/>
        <v>7.25</v>
      </c>
      <c r="L3430" s="3">
        <f t="shared" si="107"/>
        <v>8.1780000000000008</v>
      </c>
    </row>
    <row r="3431" spans="1:12" x14ac:dyDescent="0.3">
      <c r="A3431" s="2">
        <v>39948</v>
      </c>
      <c r="B3431" t="s">
        <v>13</v>
      </c>
      <c r="D3431" s="2">
        <v>40679</v>
      </c>
      <c r="E3431">
        <v>7.25</v>
      </c>
      <c r="G3431" s="2">
        <v>40679</v>
      </c>
      <c r="H3431">
        <v>8.0960000000000001</v>
      </c>
      <c r="J3431" s="2">
        <v>40686</v>
      </c>
      <c r="K3431" s="3">
        <f t="shared" si="106"/>
        <v>7.25</v>
      </c>
      <c r="L3431" s="3">
        <f t="shared" si="107"/>
        <v>8.2330000000000005</v>
      </c>
    </row>
    <row r="3432" spans="1:12" x14ac:dyDescent="0.3">
      <c r="A3432" s="2">
        <v>39949</v>
      </c>
      <c r="B3432" t="s">
        <v>13</v>
      </c>
      <c r="D3432" s="2">
        <v>40680</v>
      </c>
      <c r="E3432">
        <v>7.25</v>
      </c>
      <c r="G3432" s="2">
        <v>40680</v>
      </c>
      <c r="H3432">
        <v>8.0960000000000001</v>
      </c>
      <c r="J3432" s="2">
        <v>40687</v>
      </c>
      <c r="K3432" s="3">
        <f t="shared" si="106"/>
        <v>7.25</v>
      </c>
      <c r="L3432" s="3">
        <f t="shared" si="107"/>
        <v>8.2189999999999994</v>
      </c>
    </row>
    <row r="3433" spans="1:12" x14ac:dyDescent="0.3">
      <c r="A3433" s="2">
        <v>39950</v>
      </c>
      <c r="B3433" t="s">
        <v>13</v>
      </c>
      <c r="D3433" s="2">
        <v>40681</v>
      </c>
      <c r="E3433">
        <v>7.25</v>
      </c>
      <c r="G3433" s="2">
        <v>40681</v>
      </c>
      <c r="H3433">
        <v>8.125</v>
      </c>
      <c r="J3433" s="2">
        <v>40688</v>
      </c>
      <c r="K3433" s="3">
        <f t="shared" si="106"/>
        <v>7.25</v>
      </c>
      <c r="L3433" s="3">
        <f t="shared" si="107"/>
        <v>8.2249999999999996</v>
      </c>
    </row>
    <row r="3434" spans="1:12" x14ac:dyDescent="0.3">
      <c r="A3434" s="2">
        <v>39951</v>
      </c>
      <c r="B3434" t="s">
        <v>13</v>
      </c>
      <c r="D3434" s="2">
        <v>40682</v>
      </c>
      <c r="E3434">
        <v>7.25</v>
      </c>
      <c r="G3434" s="2">
        <v>40682</v>
      </c>
      <c r="H3434">
        <v>8.1669999999999998</v>
      </c>
      <c r="J3434" s="2">
        <v>40689</v>
      </c>
      <c r="K3434" s="3">
        <f t="shared" si="106"/>
        <v>7.25</v>
      </c>
      <c r="L3434" s="3">
        <f t="shared" si="107"/>
        <v>8.2230000000000008</v>
      </c>
    </row>
    <row r="3435" spans="1:12" x14ac:dyDescent="0.3">
      <c r="A3435" s="2">
        <v>39952</v>
      </c>
      <c r="B3435" t="s">
        <v>13</v>
      </c>
      <c r="D3435" s="2">
        <v>40683</v>
      </c>
      <c r="E3435">
        <v>7.25</v>
      </c>
      <c r="G3435" s="2">
        <v>40683</v>
      </c>
      <c r="H3435">
        <v>8.1780000000000008</v>
      </c>
      <c r="J3435" s="2">
        <v>40690</v>
      </c>
      <c r="K3435" s="3">
        <f t="shared" si="106"/>
        <v>7.25</v>
      </c>
      <c r="L3435" s="3">
        <f t="shared" si="107"/>
        <v>8.2289999999999992</v>
      </c>
    </row>
    <row r="3436" spans="1:12" x14ac:dyDescent="0.3">
      <c r="A3436" s="2">
        <v>39953</v>
      </c>
      <c r="B3436" t="s">
        <v>13</v>
      </c>
      <c r="D3436" s="2">
        <v>40684</v>
      </c>
      <c r="E3436">
        <v>7.25</v>
      </c>
      <c r="G3436" s="2">
        <v>40684</v>
      </c>
      <c r="H3436">
        <v>8.1780000000000008</v>
      </c>
      <c r="J3436" s="2">
        <v>40691</v>
      </c>
      <c r="K3436" s="3">
        <f t="shared" si="106"/>
        <v>7.25</v>
      </c>
      <c r="L3436" s="3">
        <f t="shared" si="107"/>
        <v>8.2289999999999992</v>
      </c>
    </row>
    <row r="3437" spans="1:12" x14ac:dyDescent="0.3">
      <c r="A3437" s="2">
        <v>39954</v>
      </c>
      <c r="B3437" t="s">
        <v>13</v>
      </c>
      <c r="D3437" s="2">
        <v>40685</v>
      </c>
      <c r="E3437">
        <v>7.25</v>
      </c>
      <c r="G3437" s="2">
        <v>40685</v>
      </c>
      <c r="H3437">
        <v>8.1780000000000008</v>
      </c>
      <c r="J3437" s="2">
        <v>40692</v>
      </c>
      <c r="K3437" s="3">
        <f t="shared" si="106"/>
        <v>7.25</v>
      </c>
      <c r="L3437" s="3">
        <f t="shared" si="107"/>
        <v>8.2289999999999992</v>
      </c>
    </row>
    <row r="3438" spans="1:12" x14ac:dyDescent="0.3">
      <c r="A3438" s="2">
        <v>39955</v>
      </c>
      <c r="B3438" t="s">
        <v>13</v>
      </c>
      <c r="D3438" s="2">
        <v>40686</v>
      </c>
      <c r="E3438">
        <v>7.25</v>
      </c>
      <c r="G3438" s="2">
        <v>40686</v>
      </c>
      <c r="H3438">
        <v>8.2330000000000005</v>
      </c>
      <c r="J3438" s="2">
        <v>40693</v>
      </c>
      <c r="K3438" s="3">
        <f t="shared" si="106"/>
        <v>7.25</v>
      </c>
      <c r="L3438" s="3">
        <f t="shared" si="107"/>
        <v>8.2569999999999997</v>
      </c>
    </row>
    <row r="3439" spans="1:12" x14ac:dyDescent="0.3">
      <c r="A3439" s="2">
        <v>39956</v>
      </c>
      <c r="B3439" t="s">
        <v>13</v>
      </c>
      <c r="D3439" s="2">
        <v>40687</v>
      </c>
      <c r="E3439">
        <v>7.25</v>
      </c>
      <c r="G3439" s="2">
        <v>40687</v>
      </c>
      <c r="H3439">
        <v>8.2189999999999994</v>
      </c>
      <c r="J3439" s="2">
        <v>40694</v>
      </c>
      <c r="K3439" s="3">
        <f t="shared" si="106"/>
        <v>7.25</v>
      </c>
      <c r="L3439" s="3">
        <f t="shared" si="107"/>
        <v>8.25</v>
      </c>
    </row>
    <row r="3440" spans="1:12" x14ac:dyDescent="0.3">
      <c r="A3440" s="2">
        <v>39957</v>
      </c>
      <c r="B3440" t="s">
        <v>13</v>
      </c>
      <c r="D3440" s="2">
        <v>40688</v>
      </c>
      <c r="E3440">
        <v>7.25</v>
      </c>
      <c r="G3440" s="2">
        <v>40688</v>
      </c>
      <c r="H3440">
        <v>8.2249999999999996</v>
      </c>
      <c r="J3440" s="2">
        <v>40695</v>
      </c>
      <c r="K3440" s="3">
        <f t="shared" si="106"/>
        <v>7.25</v>
      </c>
      <c r="L3440" s="3">
        <f t="shared" si="107"/>
        <v>8.266</v>
      </c>
    </row>
    <row r="3441" spans="1:12" x14ac:dyDescent="0.3">
      <c r="A3441" s="2">
        <v>39958</v>
      </c>
      <c r="B3441" t="s">
        <v>13</v>
      </c>
      <c r="D3441" s="2">
        <v>40689</v>
      </c>
      <c r="E3441">
        <v>7.25</v>
      </c>
      <c r="G3441" s="2">
        <v>40689</v>
      </c>
      <c r="H3441">
        <v>8.2230000000000008</v>
      </c>
      <c r="J3441" s="2">
        <v>40696</v>
      </c>
      <c r="K3441" s="3">
        <f t="shared" si="106"/>
        <v>7.25</v>
      </c>
      <c r="L3441" s="3">
        <f t="shared" si="107"/>
        <v>8.2319999999999993</v>
      </c>
    </row>
    <row r="3442" spans="1:12" x14ac:dyDescent="0.3">
      <c r="A3442" s="2">
        <v>39959</v>
      </c>
      <c r="B3442" t="s">
        <v>13</v>
      </c>
      <c r="D3442" s="2">
        <v>40690</v>
      </c>
      <c r="E3442">
        <v>7.25</v>
      </c>
      <c r="G3442" s="2">
        <v>40690</v>
      </c>
      <c r="H3442">
        <v>8.2289999999999992</v>
      </c>
      <c r="J3442" s="2">
        <v>40697</v>
      </c>
      <c r="K3442" s="3">
        <f t="shared" si="106"/>
        <v>7.25</v>
      </c>
      <c r="L3442" s="3">
        <f t="shared" si="107"/>
        <v>8.2260000000000009</v>
      </c>
    </row>
    <row r="3443" spans="1:12" x14ac:dyDescent="0.3">
      <c r="A3443" s="2">
        <v>39960</v>
      </c>
      <c r="B3443" t="s">
        <v>13</v>
      </c>
      <c r="D3443" s="2">
        <v>40691</v>
      </c>
      <c r="E3443">
        <v>7.25</v>
      </c>
      <c r="G3443" s="2">
        <v>40691</v>
      </c>
      <c r="H3443">
        <v>8.2289999999999992</v>
      </c>
      <c r="J3443" s="2">
        <v>40698</v>
      </c>
      <c r="K3443" s="3">
        <f t="shared" si="106"/>
        <v>7.25</v>
      </c>
      <c r="L3443" s="3">
        <f t="shared" si="107"/>
        <v>8.2260000000000009</v>
      </c>
    </row>
    <row r="3444" spans="1:12" x14ac:dyDescent="0.3">
      <c r="A3444" s="2">
        <v>39961</v>
      </c>
      <c r="B3444" t="s">
        <v>13</v>
      </c>
      <c r="D3444" s="2">
        <v>40692</v>
      </c>
      <c r="E3444">
        <v>7.25</v>
      </c>
      <c r="G3444" s="2">
        <v>40692</v>
      </c>
      <c r="H3444">
        <v>8.2289999999999992</v>
      </c>
      <c r="J3444" s="2">
        <v>40699</v>
      </c>
      <c r="K3444" s="3">
        <f t="shared" si="106"/>
        <v>7.25</v>
      </c>
      <c r="L3444" s="3">
        <f t="shared" si="107"/>
        <v>8.2260000000000009</v>
      </c>
    </row>
    <row r="3445" spans="1:12" x14ac:dyDescent="0.3">
      <c r="A3445" s="2">
        <v>39962</v>
      </c>
      <c r="B3445" t="s">
        <v>13</v>
      </c>
      <c r="D3445" s="2">
        <v>40693</v>
      </c>
      <c r="E3445">
        <v>7.25</v>
      </c>
      <c r="G3445" s="2">
        <v>40693</v>
      </c>
      <c r="H3445">
        <v>8.2569999999999997</v>
      </c>
      <c r="J3445" s="2">
        <v>40700</v>
      </c>
      <c r="K3445" s="3">
        <f t="shared" si="106"/>
        <v>7.25</v>
      </c>
      <c r="L3445" s="3">
        <f t="shared" si="107"/>
        <v>8.2119999999999997</v>
      </c>
    </row>
    <row r="3446" spans="1:12" x14ac:dyDescent="0.3">
      <c r="A3446" s="2">
        <v>39963</v>
      </c>
      <c r="B3446" t="s">
        <v>13</v>
      </c>
      <c r="D3446" s="2">
        <v>40694</v>
      </c>
      <c r="E3446">
        <v>7.25</v>
      </c>
      <c r="G3446" s="2">
        <v>40694</v>
      </c>
      <c r="H3446">
        <v>8.25</v>
      </c>
      <c r="J3446" s="2">
        <v>40701</v>
      </c>
      <c r="K3446" s="3">
        <f t="shared" si="106"/>
        <v>7.25</v>
      </c>
      <c r="L3446" s="3">
        <f t="shared" si="107"/>
        <v>8.2279999999999998</v>
      </c>
    </row>
    <row r="3447" spans="1:12" x14ac:dyDescent="0.3">
      <c r="A3447" s="2">
        <v>39964</v>
      </c>
      <c r="B3447" t="s">
        <v>13</v>
      </c>
      <c r="D3447" s="2">
        <v>40695</v>
      </c>
      <c r="E3447">
        <v>7.25</v>
      </c>
      <c r="G3447" s="2">
        <v>40695</v>
      </c>
      <c r="H3447">
        <v>8.266</v>
      </c>
      <c r="J3447" s="2">
        <v>40702</v>
      </c>
      <c r="K3447" s="3">
        <f t="shared" si="106"/>
        <v>7.25</v>
      </c>
      <c r="L3447" s="3">
        <f t="shared" si="107"/>
        <v>8.2360000000000007</v>
      </c>
    </row>
    <row r="3448" spans="1:12" x14ac:dyDescent="0.3">
      <c r="A3448" s="2">
        <v>39965</v>
      </c>
      <c r="B3448" t="s">
        <v>13</v>
      </c>
      <c r="D3448" s="2">
        <v>40696</v>
      </c>
      <c r="E3448">
        <v>7.25</v>
      </c>
      <c r="G3448" s="2">
        <v>40696</v>
      </c>
      <c r="H3448">
        <v>8.2319999999999993</v>
      </c>
      <c r="J3448" s="2">
        <v>40703</v>
      </c>
      <c r="K3448" s="3">
        <f t="shared" si="106"/>
        <v>7.25</v>
      </c>
      <c r="L3448" s="3">
        <f t="shared" si="107"/>
        <v>8.19</v>
      </c>
    </row>
    <row r="3449" spans="1:12" x14ac:dyDescent="0.3">
      <c r="A3449" s="2">
        <v>39966</v>
      </c>
      <c r="B3449" t="s">
        <v>13</v>
      </c>
      <c r="D3449" s="2">
        <v>40697</v>
      </c>
      <c r="E3449">
        <v>7.25</v>
      </c>
      <c r="G3449" s="2">
        <v>40697</v>
      </c>
      <c r="H3449">
        <v>8.2260000000000009</v>
      </c>
      <c r="J3449" s="2">
        <v>40704</v>
      </c>
      <c r="K3449" s="3">
        <f t="shared" si="106"/>
        <v>7.25</v>
      </c>
      <c r="L3449" s="3">
        <f t="shared" si="107"/>
        <v>8.2140000000000004</v>
      </c>
    </row>
    <row r="3450" spans="1:12" x14ac:dyDescent="0.3">
      <c r="A3450" s="2">
        <v>39967</v>
      </c>
      <c r="B3450" t="s">
        <v>13</v>
      </c>
      <c r="D3450" s="2">
        <v>40698</v>
      </c>
      <c r="E3450">
        <v>7.25</v>
      </c>
      <c r="G3450" s="2">
        <v>40698</v>
      </c>
      <c r="H3450">
        <v>8.2260000000000009</v>
      </c>
      <c r="J3450" s="2">
        <v>40705</v>
      </c>
      <c r="K3450" s="3">
        <f t="shared" si="106"/>
        <v>7.25</v>
      </c>
      <c r="L3450" s="3">
        <f t="shared" si="107"/>
        <v>8.2140000000000004</v>
      </c>
    </row>
    <row r="3451" spans="1:12" x14ac:dyDescent="0.3">
      <c r="A3451" s="2">
        <v>39968</v>
      </c>
      <c r="B3451" t="s">
        <v>13</v>
      </c>
      <c r="D3451" s="2">
        <v>40699</v>
      </c>
      <c r="E3451">
        <v>7.25</v>
      </c>
      <c r="G3451" s="2">
        <v>40699</v>
      </c>
      <c r="H3451">
        <v>8.2260000000000009</v>
      </c>
      <c r="J3451" s="2">
        <v>40706</v>
      </c>
      <c r="K3451" s="3">
        <f t="shared" si="106"/>
        <v>7.25</v>
      </c>
      <c r="L3451" s="3">
        <f t="shared" si="107"/>
        <v>8.2140000000000004</v>
      </c>
    </row>
    <row r="3452" spans="1:12" x14ac:dyDescent="0.3">
      <c r="A3452" s="2">
        <v>39969</v>
      </c>
      <c r="B3452" t="s">
        <v>13</v>
      </c>
      <c r="D3452" s="2">
        <v>40700</v>
      </c>
      <c r="E3452">
        <v>7.25</v>
      </c>
      <c r="G3452" s="2">
        <v>40700</v>
      </c>
      <c r="H3452">
        <v>8.2119999999999997</v>
      </c>
      <c r="J3452" s="2">
        <v>40707</v>
      </c>
      <c r="K3452" s="3">
        <f t="shared" si="106"/>
        <v>7.25</v>
      </c>
      <c r="L3452" s="3">
        <f t="shared" si="107"/>
        <v>8.27</v>
      </c>
    </row>
    <row r="3453" spans="1:12" x14ac:dyDescent="0.3">
      <c r="A3453" s="2">
        <v>39970</v>
      </c>
      <c r="B3453" t="s">
        <v>13</v>
      </c>
      <c r="D3453" s="2">
        <v>40701</v>
      </c>
      <c r="E3453">
        <v>7.25</v>
      </c>
      <c r="G3453" s="2">
        <v>40701</v>
      </c>
      <c r="H3453">
        <v>8.2279999999999998</v>
      </c>
      <c r="J3453" s="2">
        <v>40708</v>
      </c>
      <c r="K3453" s="3">
        <f t="shared" si="106"/>
        <v>7.25</v>
      </c>
      <c r="L3453" s="3">
        <f t="shared" si="107"/>
        <v>8.2240000000000002</v>
      </c>
    </row>
    <row r="3454" spans="1:12" x14ac:dyDescent="0.3">
      <c r="A3454" s="2">
        <v>39971</v>
      </c>
      <c r="B3454" t="s">
        <v>13</v>
      </c>
      <c r="D3454" s="2">
        <v>40702</v>
      </c>
      <c r="E3454">
        <v>7.25</v>
      </c>
      <c r="G3454" s="2">
        <v>40702</v>
      </c>
      <c r="H3454">
        <v>8.2360000000000007</v>
      </c>
      <c r="J3454" s="2">
        <v>40709</v>
      </c>
      <c r="K3454" s="3">
        <f t="shared" si="106"/>
        <v>7.25</v>
      </c>
      <c r="L3454" s="3">
        <f t="shared" si="107"/>
        <v>8.2449999999999992</v>
      </c>
    </row>
    <row r="3455" spans="1:12" x14ac:dyDescent="0.3">
      <c r="A3455" s="2">
        <v>39972</v>
      </c>
      <c r="B3455" t="s">
        <v>13</v>
      </c>
      <c r="D3455" s="2">
        <v>40703</v>
      </c>
      <c r="E3455">
        <v>7.25</v>
      </c>
      <c r="G3455" s="2">
        <v>40703</v>
      </c>
      <c r="H3455">
        <v>8.19</v>
      </c>
      <c r="J3455" s="2">
        <v>40710</v>
      </c>
      <c r="K3455" s="3">
        <f t="shared" si="106"/>
        <v>7.5</v>
      </c>
      <c r="L3455" s="3">
        <f t="shared" si="107"/>
        <v>8.2189999999999994</v>
      </c>
    </row>
    <row r="3456" spans="1:12" x14ac:dyDescent="0.3">
      <c r="A3456" s="2">
        <v>39973</v>
      </c>
      <c r="B3456" t="s">
        <v>13</v>
      </c>
      <c r="D3456" s="2">
        <v>40704</v>
      </c>
      <c r="E3456">
        <v>7.25</v>
      </c>
      <c r="G3456" s="2">
        <v>40704</v>
      </c>
      <c r="H3456">
        <v>8.2140000000000004</v>
      </c>
      <c r="J3456" s="2">
        <v>40711</v>
      </c>
      <c r="K3456" s="3">
        <f t="shared" si="106"/>
        <v>7.5</v>
      </c>
      <c r="L3456" s="3">
        <f t="shared" si="107"/>
        <v>8.18</v>
      </c>
    </row>
    <row r="3457" spans="1:12" x14ac:dyDescent="0.3">
      <c r="A3457" s="2">
        <v>39974</v>
      </c>
      <c r="B3457" t="s">
        <v>13</v>
      </c>
      <c r="D3457" s="2">
        <v>40705</v>
      </c>
      <c r="E3457">
        <v>7.25</v>
      </c>
      <c r="G3457" s="2">
        <v>40705</v>
      </c>
      <c r="H3457">
        <v>8.2140000000000004</v>
      </c>
      <c r="J3457" s="2">
        <v>40712</v>
      </c>
      <c r="K3457" s="3">
        <f t="shared" si="106"/>
        <v>7.5</v>
      </c>
      <c r="L3457" s="3">
        <f t="shared" si="107"/>
        <v>8.18</v>
      </c>
    </row>
    <row r="3458" spans="1:12" x14ac:dyDescent="0.3">
      <c r="A3458" s="2">
        <v>39975</v>
      </c>
      <c r="B3458" t="s">
        <v>13</v>
      </c>
      <c r="D3458" s="2">
        <v>40706</v>
      </c>
      <c r="E3458">
        <v>7.25</v>
      </c>
      <c r="G3458" s="2">
        <v>40706</v>
      </c>
      <c r="H3458">
        <v>8.2140000000000004</v>
      </c>
      <c r="J3458" s="2">
        <v>40713</v>
      </c>
      <c r="K3458" s="3">
        <f t="shared" si="106"/>
        <v>7.5</v>
      </c>
      <c r="L3458" s="3">
        <f t="shared" si="107"/>
        <v>8.18</v>
      </c>
    </row>
    <row r="3459" spans="1:12" x14ac:dyDescent="0.3">
      <c r="A3459" s="2">
        <v>39976</v>
      </c>
      <c r="B3459" t="s">
        <v>13</v>
      </c>
      <c r="D3459" s="2">
        <v>40707</v>
      </c>
      <c r="E3459">
        <v>7.25</v>
      </c>
      <c r="G3459" s="2">
        <v>40707</v>
      </c>
      <c r="H3459">
        <v>8.27</v>
      </c>
      <c r="J3459" s="2">
        <v>40714</v>
      </c>
      <c r="K3459" s="3">
        <f t="shared" ref="K3459:K3522" si="108">E3466</f>
        <v>7.5</v>
      </c>
      <c r="L3459" s="3">
        <f t="shared" ref="L3459:L3522" si="109">H3466</f>
        <v>8.07</v>
      </c>
    </row>
    <row r="3460" spans="1:12" x14ac:dyDescent="0.3">
      <c r="A3460" s="2">
        <v>39977</v>
      </c>
      <c r="B3460" t="s">
        <v>13</v>
      </c>
      <c r="D3460" s="2">
        <v>40708</v>
      </c>
      <c r="E3460">
        <v>7.25</v>
      </c>
      <c r="G3460" s="2">
        <v>40708</v>
      </c>
      <c r="H3460">
        <v>8.2240000000000002</v>
      </c>
      <c r="J3460" s="2">
        <v>40715</v>
      </c>
      <c r="K3460" s="3">
        <f t="shared" si="108"/>
        <v>7.5</v>
      </c>
      <c r="L3460" s="3">
        <f t="shared" si="109"/>
        <v>8.0649999999999995</v>
      </c>
    </row>
    <row r="3461" spans="1:12" x14ac:dyDescent="0.3">
      <c r="A3461" s="2">
        <v>39978</v>
      </c>
      <c r="B3461" t="s">
        <v>13</v>
      </c>
      <c r="D3461" s="2">
        <v>40709</v>
      </c>
      <c r="E3461">
        <v>7.25</v>
      </c>
      <c r="G3461" s="2">
        <v>40709</v>
      </c>
      <c r="H3461">
        <v>8.2449999999999992</v>
      </c>
      <c r="J3461" s="2">
        <v>40716</v>
      </c>
      <c r="K3461" s="3">
        <f t="shared" si="108"/>
        <v>7.5</v>
      </c>
      <c r="L3461" s="3">
        <f t="shared" si="109"/>
        <v>8.0649999999999995</v>
      </c>
    </row>
    <row r="3462" spans="1:12" x14ac:dyDescent="0.3">
      <c r="A3462" s="2">
        <v>39979</v>
      </c>
      <c r="B3462" t="s">
        <v>13</v>
      </c>
      <c r="D3462" s="2">
        <v>40710</v>
      </c>
      <c r="E3462">
        <v>7.5</v>
      </c>
      <c r="G3462" s="2">
        <v>40710</v>
      </c>
      <c r="H3462">
        <v>8.2189999999999994</v>
      </c>
      <c r="J3462" s="2">
        <v>40717</v>
      </c>
      <c r="K3462" s="3">
        <f t="shared" si="108"/>
        <v>7.5</v>
      </c>
      <c r="L3462" s="3">
        <f t="shared" si="109"/>
        <v>8.0039999999999996</v>
      </c>
    </row>
    <row r="3463" spans="1:12" x14ac:dyDescent="0.3">
      <c r="A3463" s="2">
        <v>39980</v>
      </c>
      <c r="B3463" t="s">
        <v>13</v>
      </c>
      <c r="D3463" s="2">
        <v>40711</v>
      </c>
      <c r="E3463">
        <v>7.5</v>
      </c>
      <c r="G3463" s="2">
        <v>40711</v>
      </c>
      <c r="H3463">
        <v>8.18</v>
      </c>
      <c r="J3463" s="2">
        <v>40718</v>
      </c>
      <c r="K3463" s="3">
        <f t="shared" si="108"/>
        <v>7.5</v>
      </c>
      <c r="L3463" s="3">
        <f t="shared" si="109"/>
        <v>8.0660000000000007</v>
      </c>
    </row>
    <row r="3464" spans="1:12" x14ac:dyDescent="0.3">
      <c r="A3464" s="2">
        <v>39981</v>
      </c>
      <c r="B3464" t="s">
        <v>13</v>
      </c>
      <c r="D3464" s="2">
        <v>40712</v>
      </c>
      <c r="E3464">
        <v>7.5</v>
      </c>
      <c r="G3464" s="2">
        <v>40712</v>
      </c>
      <c r="H3464">
        <v>8.18</v>
      </c>
      <c r="J3464" s="2">
        <v>40719</v>
      </c>
      <c r="K3464" s="3">
        <f t="shared" si="108"/>
        <v>7.5</v>
      </c>
      <c r="L3464" s="3">
        <f t="shared" si="109"/>
        <v>8.0660000000000007</v>
      </c>
    </row>
    <row r="3465" spans="1:12" x14ac:dyDescent="0.3">
      <c r="A3465" s="2">
        <v>39982</v>
      </c>
      <c r="B3465" t="s">
        <v>13</v>
      </c>
      <c r="D3465" s="2">
        <v>40713</v>
      </c>
      <c r="E3465">
        <v>7.5</v>
      </c>
      <c r="G3465" s="2">
        <v>40713</v>
      </c>
      <c r="H3465">
        <v>8.18</v>
      </c>
      <c r="J3465" s="2">
        <v>40720</v>
      </c>
      <c r="K3465" s="3">
        <f t="shared" si="108"/>
        <v>7.5</v>
      </c>
      <c r="L3465" s="3">
        <f t="shared" si="109"/>
        <v>8.0660000000000007</v>
      </c>
    </row>
    <row r="3466" spans="1:12" x14ac:dyDescent="0.3">
      <c r="A3466" s="2">
        <v>39983</v>
      </c>
      <c r="B3466" t="s">
        <v>13</v>
      </c>
      <c r="D3466" s="2">
        <v>40714</v>
      </c>
      <c r="E3466">
        <v>7.5</v>
      </c>
      <c r="G3466" s="2">
        <v>40714</v>
      </c>
      <c r="H3466">
        <v>8.07</v>
      </c>
      <c r="J3466" s="2">
        <v>40721</v>
      </c>
      <c r="K3466" s="3">
        <f t="shared" si="108"/>
        <v>7.5</v>
      </c>
      <c r="L3466" s="3">
        <f t="shared" si="109"/>
        <v>8.0280000000000005</v>
      </c>
    </row>
    <row r="3467" spans="1:12" x14ac:dyDescent="0.3">
      <c r="A3467" s="2">
        <v>39984</v>
      </c>
      <c r="B3467" t="s">
        <v>13</v>
      </c>
      <c r="D3467" s="2">
        <v>40715</v>
      </c>
      <c r="E3467">
        <v>7.5</v>
      </c>
      <c r="G3467" s="2">
        <v>40715</v>
      </c>
      <c r="H3467">
        <v>8.0649999999999995</v>
      </c>
      <c r="J3467" s="2">
        <v>40722</v>
      </c>
      <c r="K3467" s="3">
        <f t="shared" si="108"/>
        <v>7.5</v>
      </c>
      <c r="L3467" s="3">
        <f t="shared" si="109"/>
        <v>8.02</v>
      </c>
    </row>
    <row r="3468" spans="1:12" x14ac:dyDescent="0.3">
      <c r="A3468" s="2">
        <v>39985</v>
      </c>
      <c r="B3468" t="s">
        <v>13</v>
      </c>
      <c r="D3468" s="2">
        <v>40716</v>
      </c>
      <c r="E3468">
        <v>7.5</v>
      </c>
      <c r="G3468" s="2">
        <v>40716</v>
      </c>
      <c r="H3468">
        <v>8.0649999999999995</v>
      </c>
      <c r="J3468" s="2">
        <v>40723</v>
      </c>
      <c r="K3468" s="3">
        <f t="shared" si="108"/>
        <v>7.5</v>
      </c>
      <c r="L3468" s="3">
        <f t="shared" si="109"/>
        <v>8.1180000000000003</v>
      </c>
    </row>
    <row r="3469" spans="1:12" x14ac:dyDescent="0.3">
      <c r="A3469" s="2">
        <v>39986</v>
      </c>
      <c r="B3469" t="s">
        <v>13</v>
      </c>
      <c r="D3469" s="2">
        <v>40717</v>
      </c>
      <c r="E3469">
        <v>7.5</v>
      </c>
      <c r="G3469" s="2">
        <v>40717</v>
      </c>
      <c r="H3469">
        <v>8.0039999999999996</v>
      </c>
      <c r="J3469" s="2">
        <v>40724</v>
      </c>
      <c r="K3469" s="3">
        <f t="shared" si="108"/>
        <v>7.5</v>
      </c>
      <c r="L3469" s="3">
        <f t="shared" si="109"/>
        <v>8.1289999999999996</v>
      </c>
    </row>
    <row r="3470" spans="1:12" x14ac:dyDescent="0.3">
      <c r="A3470" s="2">
        <v>39987</v>
      </c>
      <c r="B3470" t="s">
        <v>13</v>
      </c>
      <c r="D3470" s="2">
        <v>40718</v>
      </c>
      <c r="E3470">
        <v>7.5</v>
      </c>
      <c r="G3470" s="2">
        <v>40718</v>
      </c>
      <c r="H3470">
        <v>8.0660000000000007</v>
      </c>
      <c r="J3470" s="2">
        <v>40725</v>
      </c>
      <c r="K3470" s="3">
        <f t="shared" si="108"/>
        <v>7.5</v>
      </c>
      <c r="L3470" s="3">
        <f t="shared" si="109"/>
        <v>8.1319999999999997</v>
      </c>
    </row>
    <row r="3471" spans="1:12" x14ac:dyDescent="0.3">
      <c r="A3471" s="2">
        <v>39988</v>
      </c>
      <c r="B3471" t="s">
        <v>13</v>
      </c>
      <c r="D3471" s="2">
        <v>40719</v>
      </c>
      <c r="E3471">
        <v>7.5</v>
      </c>
      <c r="G3471" s="2">
        <v>40719</v>
      </c>
      <c r="H3471">
        <v>8.0660000000000007</v>
      </c>
      <c r="J3471" s="2">
        <v>40726</v>
      </c>
      <c r="K3471" s="3">
        <f t="shared" si="108"/>
        <v>7.5</v>
      </c>
      <c r="L3471" s="3">
        <f t="shared" si="109"/>
        <v>8.1319999999999997</v>
      </c>
    </row>
    <row r="3472" spans="1:12" x14ac:dyDescent="0.3">
      <c r="A3472" s="2">
        <v>39989</v>
      </c>
      <c r="B3472" t="s">
        <v>13</v>
      </c>
      <c r="D3472" s="2">
        <v>40720</v>
      </c>
      <c r="E3472">
        <v>7.5</v>
      </c>
      <c r="G3472" s="2">
        <v>40720</v>
      </c>
      <c r="H3472">
        <v>8.0660000000000007</v>
      </c>
      <c r="J3472" s="2">
        <v>40727</v>
      </c>
      <c r="K3472" s="3">
        <f t="shared" si="108"/>
        <v>7.5</v>
      </c>
      <c r="L3472" s="3">
        <f t="shared" si="109"/>
        <v>8.1319999999999997</v>
      </c>
    </row>
    <row r="3473" spans="1:12" x14ac:dyDescent="0.3">
      <c r="A3473" s="2">
        <v>39990</v>
      </c>
      <c r="B3473" t="s">
        <v>13</v>
      </c>
      <c r="D3473" s="2">
        <v>40721</v>
      </c>
      <c r="E3473">
        <v>7.5</v>
      </c>
      <c r="G3473" s="2">
        <v>40721</v>
      </c>
      <c r="H3473">
        <v>8.0280000000000005</v>
      </c>
      <c r="J3473" s="2">
        <v>40728</v>
      </c>
      <c r="K3473" s="3">
        <f t="shared" si="108"/>
        <v>7.5</v>
      </c>
      <c r="L3473" s="3">
        <f t="shared" si="109"/>
        <v>8.1579999999999995</v>
      </c>
    </row>
    <row r="3474" spans="1:12" x14ac:dyDescent="0.3">
      <c r="A3474" s="2">
        <v>39991</v>
      </c>
      <c r="B3474" t="s">
        <v>13</v>
      </c>
      <c r="D3474" s="2">
        <v>40722</v>
      </c>
      <c r="E3474">
        <v>7.5</v>
      </c>
      <c r="G3474" s="2">
        <v>40722</v>
      </c>
      <c r="H3474">
        <v>8.02</v>
      </c>
      <c r="J3474" s="2">
        <v>40729</v>
      </c>
      <c r="K3474" s="3">
        <f t="shared" si="108"/>
        <v>7.5</v>
      </c>
      <c r="L3474" s="3">
        <f t="shared" si="109"/>
        <v>8.0850000000000009</v>
      </c>
    </row>
    <row r="3475" spans="1:12" x14ac:dyDescent="0.3">
      <c r="A3475" s="2">
        <v>39992</v>
      </c>
      <c r="B3475" t="s">
        <v>13</v>
      </c>
      <c r="D3475" s="2">
        <v>40723</v>
      </c>
      <c r="E3475">
        <v>7.5</v>
      </c>
      <c r="G3475" s="2">
        <v>40723</v>
      </c>
      <c r="H3475">
        <v>8.1180000000000003</v>
      </c>
      <c r="J3475" s="2">
        <v>40730</v>
      </c>
      <c r="K3475" s="3">
        <f t="shared" si="108"/>
        <v>7.5</v>
      </c>
      <c r="L3475" s="3">
        <f t="shared" si="109"/>
        <v>8.173</v>
      </c>
    </row>
    <row r="3476" spans="1:12" x14ac:dyDescent="0.3">
      <c r="A3476" s="2">
        <v>39993</v>
      </c>
      <c r="B3476" t="s">
        <v>13</v>
      </c>
      <c r="D3476" s="2">
        <v>40724</v>
      </c>
      <c r="E3476">
        <v>7.5</v>
      </c>
      <c r="G3476" s="2">
        <v>40724</v>
      </c>
      <c r="H3476">
        <v>8.1289999999999996</v>
      </c>
      <c r="J3476" s="2">
        <v>40731</v>
      </c>
      <c r="K3476" s="3">
        <f t="shared" si="108"/>
        <v>7.5</v>
      </c>
      <c r="L3476" s="3">
        <f t="shared" si="109"/>
        <v>8.1329999999999991</v>
      </c>
    </row>
    <row r="3477" spans="1:12" x14ac:dyDescent="0.3">
      <c r="A3477" s="2">
        <v>39994</v>
      </c>
      <c r="B3477" t="s">
        <v>13</v>
      </c>
      <c r="D3477" s="2">
        <v>40725</v>
      </c>
      <c r="E3477">
        <v>7.5</v>
      </c>
      <c r="G3477" s="2">
        <v>40725</v>
      </c>
      <c r="H3477">
        <v>8.1319999999999997</v>
      </c>
      <c r="J3477" s="2">
        <v>40732</v>
      </c>
      <c r="K3477" s="3">
        <f t="shared" si="108"/>
        <v>7.5</v>
      </c>
      <c r="L3477" s="3">
        <f t="shared" si="109"/>
        <v>8.1</v>
      </c>
    </row>
    <row r="3478" spans="1:12" x14ac:dyDescent="0.3">
      <c r="A3478" s="2">
        <v>39995</v>
      </c>
      <c r="B3478" t="s">
        <v>13</v>
      </c>
      <c r="D3478" s="2">
        <v>40726</v>
      </c>
      <c r="E3478">
        <v>7.5</v>
      </c>
      <c r="G3478" s="2">
        <v>40726</v>
      </c>
      <c r="H3478">
        <v>8.1319999999999997</v>
      </c>
      <c r="J3478" s="2">
        <v>40733</v>
      </c>
      <c r="K3478" s="3">
        <f t="shared" si="108"/>
        <v>7.5</v>
      </c>
      <c r="L3478" s="3">
        <f t="shared" si="109"/>
        <v>8.1</v>
      </c>
    </row>
    <row r="3479" spans="1:12" x14ac:dyDescent="0.3">
      <c r="A3479" s="2">
        <v>39996</v>
      </c>
      <c r="B3479" t="s">
        <v>13</v>
      </c>
      <c r="D3479" s="2">
        <v>40727</v>
      </c>
      <c r="E3479">
        <v>7.5</v>
      </c>
      <c r="G3479" s="2">
        <v>40727</v>
      </c>
      <c r="H3479">
        <v>8.1319999999999997</v>
      </c>
      <c r="J3479" s="2">
        <v>40734</v>
      </c>
      <c r="K3479" s="3">
        <f t="shared" si="108"/>
        <v>7.5</v>
      </c>
      <c r="L3479" s="3">
        <f t="shared" si="109"/>
        <v>8.1</v>
      </c>
    </row>
    <row r="3480" spans="1:12" x14ac:dyDescent="0.3">
      <c r="A3480" s="2">
        <v>39997</v>
      </c>
      <c r="B3480" t="s">
        <v>13</v>
      </c>
      <c r="D3480" s="2">
        <v>40728</v>
      </c>
      <c r="E3480">
        <v>7.5</v>
      </c>
      <c r="G3480" s="2">
        <v>40728</v>
      </c>
      <c r="H3480">
        <v>8.1579999999999995</v>
      </c>
      <c r="J3480" s="2">
        <v>40735</v>
      </c>
      <c r="K3480" s="3">
        <f t="shared" si="108"/>
        <v>7.5</v>
      </c>
      <c r="L3480" s="3">
        <f t="shared" si="109"/>
        <v>8.0589999999999993</v>
      </c>
    </row>
    <row r="3481" spans="1:12" x14ac:dyDescent="0.3">
      <c r="A3481" s="2">
        <v>39998</v>
      </c>
      <c r="B3481" t="s">
        <v>13</v>
      </c>
      <c r="D3481" s="2">
        <v>40729</v>
      </c>
      <c r="E3481">
        <v>7.5</v>
      </c>
      <c r="G3481" s="2">
        <v>40729</v>
      </c>
      <c r="H3481">
        <v>8.0850000000000009</v>
      </c>
      <c r="J3481" s="2">
        <v>40736</v>
      </c>
      <c r="K3481" s="3">
        <f t="shared" si="108"/>
        <v>7.5</v>
      </c>
      <c r="L3481" s="3">
        <f t="shared" si="109"/>
        <v>8.077</v>
      </c>
    </row>
    <row r="3482" spans="1:12" x14ac:dyDescent="0.3">
      <c r="A3482" s="2">
        <v>39999</v>
      </c>
      <c r="B3482" t="s">
        <v>13</v>
      </c>
      <c r="D3482" s="2">
        <v>40730</v>
      </c>
      <c r="E3482">
        <v>7.5</v>
      </c>
      <c r="G3482" s="2">
        <v>40730</v>
      </c>
      <c r="H3482">
        <v>8.173</v>
      </c>
      <c r="J3482" s="2">
        <v>40737</v>
      </c>
      <c r="K3482" s="3">
        <f t="shared" si="108"/>
        <v>7.5</v>
      </c>
      <c r="L3482" s="3">
        <f t="shared" si="109"/>
        <v>8.1059999999999999</v>
      </c>
    </row>
    <row r="3483" spans="1:12" x14ac:dyDescent="0.3">
      <c r="A3483" s="2">
        <v>40000</v>
      </c>
      <c r="B3483" t="s">
        <v>13</v>
      </c>
      <c r="D3483" s="2">
        <v>40731</v>
      </c>
      <c r="E3483">
        <v>7.5</v>
      </c>
      <c r="G3483" s="2">
        <v>40731</v>
      </c>
      <c r="H3483">
        <v>8.1329999999999991</v>
      </c>
      <c r="J3483" s="2">
        <v>40738</v>
      </c>
      <c r="K3483" s="3">
        <f t="shared" si="108"/>
        <v>7.5</v>
      </c>
      <c r="L3483" s="3">
        <f t="shared" si="109"/>
        <v>8.093</v>
      </c>
    </row>
    <row r="3484" spans="1:12" x14ac:dyDescent="0.3">
      <c r="A3484" s="2">
        <v>40001</v>
      </c>
      <c r="B3484" t="s">
        <v>13</v>
      </c>
      <c r="D3484" s="2">
        <v>40732</v>
      </c>
      <c r="E3484">
        <v>7.5</v>
      </c>
      <c r="G3484" s="2">
        <v>40732</v>
      </c>
      <c r="H3484">
        <v>8.1</v>
      </c>
      <c r="J3484" s="2">
        <v>40739</v>
      </c>
      <c r="K3484" s="3">
        <f t="shared" si="108"/>
        <v>7.5</v>
      </c>
      <c r="L3484" s="3">
        <f t="shared" si="109"/>
        <v>8.048</v>
      </c>
    </row>
    <row r="3485" spans="1:12" x14ac:dyDescent="0.3">
      <c r="A3485" s="2">
        <v>40002</v>
      </c>
      <c r="B3485" t="s">
        <v>13</v>
      </c>
      <c r="D3485" s="2">
        <v>40733</v>
      </c>
      <c r="E3485">
        <v>7.5</v>
      </c>
      <c r="G3485" s="2">
        <v>40733</v>
      </c>
      <c r="H3485">
        <v>8.1</v>
      </c>
      <c r="J3485" s="2">
        <v>40740</v>
      </c>
      <c r="K3485" s="3">
        <f t="shared" si="108"/>
        <v>7.5</v>
      </c>
      <c r="L3485" s="3">
        <f t="shared" si="109"/>
        <v>8.048</v>
      </c>
    </row>
    <row r="3486" spans="1:12" x14ac:dyDescent="0.3">
      <c r="A3486" s="2">
        <v>40003</v>
      </c>
      <c r="B3486" t="s">
        <v>13</v>
      </c>
      <c r="D3486" s="2">
        <v>40734</v>
      </c>
      <c r="E3486">
        <v>7.5</v>
      </c>
      <c r="G3486" s="2">
        <v>40734</v>
      </c>
      <c r="H3486">
        <v>8.1</v>
      </c>
      <c r="J3486" s="2">
        <v>40741</v>
      </c>
      <c r="K3486" s="3">
        <f t="shared" si="108"/>
        <v>7.5</v>
      </c>
      <c r="L3486" s="3">
        <f t="shared" si="109"/>
        <v>8.048</v>
      </c>
    </row>
    <row r="3487" spans="1:12" x14ac:dyDescent="0.3">
      <c r="A3487" s="2">
        <v>40004</v>
      </c>
      <c r="B3487" t="s">
        <v>13</v>
      </c>
      <c r="D3487" s="2">
        <v>40735</v>
      </c>
      <c r="E3487">
        <v>7.5</v>
      </c>
      <c r="G3487" s="2">
        <v>40735</v>
      </c>
      <c r="H3487">
        <v>8.0589999999999993</v>
      </c>
      <c r="J3487" s="2">
        <v>40742</v>
      </c>
      <c r="K3487" s="3">
        <f t="shared" si="108"/>
        <v>7.5</v>
      </c>
      <c r="L3487" s="3">
        <f t="shared" si="109"/>
        <v>8.0419999999999998</v>
      </c>
    </row>
    <row r="3488" spans="1:12" x14ac:dyDescent="0.3">
      <c r="A3488" s="2">
        <v>40005</v>
      </c>
      <c r="B3488" t="s">
        <v>13</v>
      </c>
      <c r="D3488" s="2">
        <v>40736</v>
      </c>
      <c r="E3488">
        <v>7.5</v>
      </c>
      <c r="G3488" s="2">
        <v>40736</v>
      </c>
      <c r="H3488">
        <v>8.077</v>
      </c>
      <c r="J3488" s="2">
        <v>40743</v>
      </c>
      <c r="K3488" s="3">
        <f t="shared" si="108"/>
        <v>7.5</v>
      </c>
      <c r="L3488" s="3">
        <f t="shared" si="109"/>
        <v>8.0090000000000003</v>
      </c>
    </row>
    <row r="3489" spans="1:12" x14ac:dyDescent="0.3">
      <c r="A3489" s="2">
        <v>40006</v>
      </c>
      <c r="B3489" t="s">
        <v>13</v>
      </c>
      <c r="D3489" s="2">
        <v>40737</v>
      </c>
      <c r="E3489">
        <v>7.5</v>
      </c>
      <c r="G3489" s="2">
        <v>40737</v>
      </c>
      <c r="H3489">
        <v>8.1059999999999999</v>
      </c>
      <c r="J3489" s="2">
        <v>40744</v>
      </c>
      <c r="K3489" s="3">
        <f t="shared" si="108"/>
        <v>7.5</v>
      </c>
      <c r="L3489" s="3">
        <f t="shared" si="109"/>
        <v>8.0429999999999993</v>
      </c>
    </row>
    <row r="3490" spans="1:12" x14ac:dyDescent="0.3">
      <c r="A3490" s="2">
        <v>40007</v>
      </c>
      <c r="B3490" t="s">
        <v>13</v>
      </c>
      <c r="D3490" s="2">
        <v>40738</v>
      </c>
      <c r="E3490">
        <v>7.5</v>
      </c>
      <c r="G3490" s="2">
        <v>40738</v>
      </c>
      <c r="H3490">
        <v>8.093</v>
      </c>
      <c r="J3490" s="2">
        <v>40745</v>
      </c>
      <c r="K3490" s="3">
        <f t="shared" si="108"/>
        <v>7.5</v>
      </c>
      <c r="L3490" s="3">
        <f t="shared" si="109"/>
        <v>8.0619999999999994</v>
      </c>
    </row>
    <row r="3491" spans="1:12" x14ac:dyDescent="0.3">
      <c r="A3491" s="2">
        <v>40008</v>
      </c>
      <c r="B3491" t="s">
        <v>13</v>
      </c>
      <c r="D3491" s="2">
        <v>40739</v>
      </c>
      <c r="E3491">
        <v>7.5</v>
      </c>
      <c r="G3491" s="2">
        <v>40739</v>
      </c>
      <c r="H3491">
        <v>8.048</v>
      </c>
      <c r="J3491" s="2">
        <v>40746</v>
      </c>
      <c r="K3491" s="3">
        <f t="shared" si="108"/>
        <v>7.5</v>
      </c>
      <c r="L3491" s="3">
        <f t="shared" si="109"/>
        <v>8.1679999999999993</v>
      </c>
    </row>
    <row r="3492" spans="1:12" x14ac:dyDescent="0.3">
      <c r="A3492" s="2">
        <v>40009</v>
      </c>
      <c r="B3492" t="s">
        <v>13</v>
      </c>
      <c r="D3492" s="2">
        <v>40740</v>
      </c>
      <c r="E3492">
        <v>7.5</v>
      </c>
      <c r="G3492" s="2">
        <v>40740</v>
      </c>
      <c r="H3492">
        <v>8.048</v>
      </c>
      <c r="J3492" s="2">
        <v>40747</v>
      </c>
      <c r="K3492" s="3">
        <f t="shared" si="108"/>
        <v>7.5</v>
      </c>
      <c r="L3492" s="3">
        <f t="shared" si="109"/>
        <v>8.1679999999999993</v>
      </c>
    </row>
    <row r="3493" spans="1:12" x14ac:dyDescent="0.3">
      <c r="A3493" s="2">
        <v>40010</v>
      </c>
      <c r="B3493" t="s">
        <v>13</v>
      </c>
      <c r="D3493" s="2">
        <v>40741</v>
      </c>
      <c r="E3493">
        <v>7.5</v>
      </c>
      <c r="G3493" s="2">
        <v>40741</v>
      </c>
      <c r="H3493">
        <v>8.048</v>
      </c>
      <c r="J3493" s="2">
        <v>40748</v>
      </c>
      <c r="K3493" s="3">
        <f t="shared" si="108"/>
        <v>7.5</v>
      </c>
      <c r="L3493" s="3">
        <f t="shared" si="109"/>
        <v>8.1679999999999993</v>
      </c>
    </row>
    <row r="3494" spans="1:12" x14ac:dyDescent="0.3">
      <c r="A3494" s="2">
        <v>40011</v>
      </c>
      <c r="B3494" t="s">
        <v>13</v>
      </c>
      <c r="D3494" s="2">
        <v>40742</v>
      </c>
      <c r="E3494">
        <v>7.5</v>
      </c>
      <c r="G3494" s="2">
        <v>40742</v>
      </c>
      <c r="H3494">
        <v>8.0419999999999998</v>
      </c>
      <c r="J3494" s="2">
        <v>40749</v>
      </c>
      <c r="K3494" s="3">
        <f t="shared" si="108"/>
        <v>7.5</v>
      </c>
      <c r="L3494" s="3">
        <f t="shared" si="109"/>
        <v>8.2240000000000002</v>
      </c>
    </row>
    <row r="3495" spans="1:12" x14ac:dyDescent="0.3">
      <c r="A3495" s="2">
        <v>40012</v>
      </c>
      <c r="B3495" t="s">
        <v>13</v>
      </c>
      <c r="D3495" s="2">
        <v>40743</v>
      </c>
      <c r="E3495">
        <v>7.5</v>
      </c>
      <c r="G3495" s="2">
        <v>40743</v>
      </c>
      <c r="H3495">
        <v>8.0090000000000003</v>
      </c>
      <c r="J3495" s="2">
        <v>40750</v>
      </c>
      <c r="K3495" s="3">
        <f t="shared" si="108"/>
        <v>8</v>
      </c>
      <c r="L3495" s="3">
        <f t="shared" si="109"/>
        <v>8.2379999999999995</v>
      </c>
    </row>
    <row r="3496" spans="1:12" x14ac:dyDescent="0.3">
      <c r="A3496" s="2">
        <v>40013</v>
      </c>
      <c r="B3496" t="s">
        <v>13</v>
      </c>
      <c r="D3496" s="2">
        <v>40744</v>
      </c>
      <c r="E3496">
        <v>7.5</v>
      </c>
      <c r="G3496" s="2">
        <v>40744</v>
      </c>
      <c r="H3496">
        <v>8.0429999999999993</v>
      </c>
      <c r="J3496" s="2">
        <v>40751</v>
      </c>
      <c r="K3496" s="3">
        <f t="shared" si="108"/>
        <v>8</v>
      </c>
      <c r="L3496" s="3">
        <f t="shared" si="109"/>
        <v>8.3279999999999994</v>
      </c>
    </row>
    <row r="3497" spans="1:12" x14ac:dyDescent="0.3">
      <c r="A3497" s="2">
        <v>40014</v>
      </c>
      <c r="B3497" t="s">
        <v>13</v>
      </c>
      <c r="D3497" s="2">
        <v>40745</v>
      </c>
      <c r="E3497">
        <v>7.5</v>
      </c>
      <c r="G3497" s="2">
        <v>40745</v>
      </c>
      <c r="H3497">
        <v>8.0619999999999994</v>
      </c>
      <c r="J3497" s="2">
        <v>40752</v>
      </c>
      <c r="K3497" s="3">
        <f t="shared" si="108"/>
        <v>8</v>
      </c>
      <c r="L3497" s="3">
        <f t="shared" si="109"/>
        <v>8.3740000000000006</v>
      </c>
    </row>
    <row r="3498" spans="1:12" x14ac:dyDescent="0.3">
      <c r="A3498" s="2">
        <v>40015</v>
      </c>
      <c r="B3498" t="s">
        <v>13</v>
      </c>
      <c r="D3498" s="2">
        <v>40746</v>
      </c>
      <c r="E3498">
        <v>7.5</v>
      </c>
      <c r="G3498" s="2">
        <v>40746</v>
      </c>
      <c r="H3498">
        <v>8.1679999999999993</v>
      </c>
      <c r="J3498" s="2">
        <v>40753</v>
      </c>
      <c r="K3498" s="3">
        <f t="shared" si="108"/>
        <v>8</v>
      </c>
      <c r="L3498" s="3">
        <f t="shared" si="109"/>
        <v>8.3780000000000001</v>
      </c>
    </row>
    <row r="3499" spans="1:12" x14ac:dyDescent="0.3">
      <c r="A3499" s="2">
        <v>40016</v>
      </c>
      <c r="B3499" t="s">
        <v>13</v>
      </c>
      <c r="D3499" s="2">
        <v>40747</v>
      </c>
      <c r="E3499">
        <v>7.5</v>
      </c>
      <c r="G3499" s="2">
        <v>40747</v>
      </c>
      <c r="H3499">
        <v>8.1679999999999993</v>
      </c>
      <c r="J3499" s="2">
        <v>40754</v>
      </c>
      <c r="K3499" s="3">
        <f t="shared" si="108"/>
        <v>8</v>
      </c>
      <c r="L3499" s="3">
        <f t="shared" si="109"/>
        <v>8.3780000000000001</v>
      </c>
    </row>
    <row r="3500" spans="1:12" x14ac:dyDescent="0.3">
      <c r="A3500" s="2">
        <v>40017</v>
      </c>
      <c r="B3500" t="s">
        <v>13</v>
      </c>
      <c r="D3500" s="2">
        <v>40748</v>
      </c>
      <c r="E3500">
        <v>7.5</v>
      </c>
      <c r="G3500" s="2">
        <v>40748</v>
      </c>
      <c r="H3500">
        <v>8.1679999999999993</v>
      </c>
      <c r="J3500" s="2">
        <v>40755</v>
      </c>
      <c r="K3500" s="3">
        <f t="shared" si="108"/>
        <v>8</v>
      </c>
      <c r="L3500" s="3">
        <f t="shared" si="109"/>
        <v>8.3780000000000001</v>
      </c>
    </row>
    <row r="3501" spans="1:12" x14ac:dyDescent="0.3">
      <c r="A3501" s="2">
        <v>40018</v>
      </c>
      <c r="B3501" t="s">
        <v>13</v>
      </c>
      <c r="D3501" s="2">
        <v>40749</v>
      </c>
      <c r="E3501">
        <v>7.5</v>
      </c>
      <c r="G3501" s="2">
        <v>40749</v>
      </c>
      <c r="H3501">
        <v>8.2240000000000002</v>
      </c>
      <c r="J3501" s="2">
        <v>40756</v>
      </c>
      <c r="K3501" s="3">
        <f t="shared" si="108"/>
        <v>8</v>
      </c>
      <c r="L3501" s="3">
        <f t="shared" si="109"/>
        <v>8.3550000000000004</v>
      </c>
    </row>
    <row r="3502" spans="1:12" x14ac:dyDescent="0.3">
      <c r="A3502" s="2">
        <v>40019</v>
      </c>
      <c r="B3502" t="s">
        <v>13</v>
      </c>
      <c r="D3502" s="2">
        <v>40750</v>
      </c>
      <c r="E3502">
        <v>8</v>
      </c>
      <c r="G3502" s="2">
        <v>40750</v>
      </c>
      <c r="H3502">
        <v>8.2379999999999995</v>
      </c>
      <c r="J3502" s="2">
        <v>40757</v>
      </c>
      <c r="K3502" s="3">
        <f t="shared" si="108"/>
        <v>8</v>
      </c>
      <c r="L3502" s="3">
        <f t="shared" si="109"/>
        <v>8.4009999999999998</v>
      </c>
    </row>
    <row r="3503" spans="1:12" x14ac:dyDescent="0.3">
      <c r="A3503" s="2">
        <v>40020</v>
      </c>
      <c r="B3503" t="s">
        <v>13</v>
      </c>
      <c r="D3503" s="2">
        <v>40751</v>
      </c>
      <c r="E3503">
        <v>8</v>
      </c>
      <c r="G3503" s="2">
        <v>40751</v>
      </c>
      <c r="H3503">
        <v>8.3279999999999994</v>
      </c>
      <c r="J3503" s="2">
        <v>40758</v>
      </c>
      <c r="K3503" s="3">
        <f t="shared" si="108"/>
        <v>8</v>
      </c>
      <c r="L3503" s="3">
        <f t="shared" si="109"/>
        <v>8.3919999999999995</v>
      </c>
    </row>
    <row r="3504" spans="1:12" x14ac:dyDescent="0.3">
      <c r="A3504" s="2">
        <v>40021</v>
      </c>
      <c r="B3504" t="s">
        <v>13</v>
      </c>
      <c r="D3504" s="2">
        <v>40752</v>
      </c>
      <c r="E3504">
        <v>8</v>
      </c>
      <c r="G3504" s="2">
        <v>40752</v>
      </c>
      <c r="H3504">
        <v>8.3740000000000006</v>
      </c>
      <c r="J3504" s="2">
        <v>40759</v>
      </c>
      <c r="K3504" s="3">
        <f t="shared" si="108"/>
        <v>8</v>
      </c>
      <c r="L3504" s="3">
        <f t="shared" si="109"/>
        <v>8.3680000000000003</v>
      </c>
    </row>
    <row r="3505" spans="1:12" x14ac:dyDescent="0.3">
      <c r="A3505" s="2">
        <v>40022</v>
      </c>
      <c r="B3505" t="s">
        <v>13</v>
      </c>
      <c r="D3505" s="2">
        <v>40753</v>
      </c>
      <c r="E3505">
        <v>8</v>
      </c>
      <c r="G3505" s="2">
        <v>40753</v>
      </c>
      <c r="H3505">
        <v>8.3780000000000001</v>
      </c>
      <c r="J3505" s="2">
        <v>40760</v>
      </c>
      <c r="K3505" s="3">
        <f t="shared" si="108"/>
        <v>8</v>
      </c>
      <c r="L3505" s="3">
        <f t="shared" si="109"/>
        <v>8.3219999999999992</v>
      </c>
    </row>
    <row r="3506" spans="1:12" x14ac:dyDescent="0.3">
      <c r="A3506" s="2">
        <v>40023</v>
      </c>
      <c r="B3506" t="s">
        <v>13</v>
      </c>
      <c r="D3506" s="2">
        <v>40754</v>
      </c>
      <c r="E3506">
        <v>8</v>
      </c>
      <c r="G3506" s="2">
        <v>40754</v>
      </c>
      <c r="H3506">
        <v>8.3780000000000001</v>
      </c>
      <c r="J3506" s="2">
        <v>40761</v>
      </c>
      <c r="K3506" s="3">
        <f t="shared" si="108"/>
        <v>8</v>
      </c>
      <c r="L3506" s="3">
        <f t="shared" si="109"/>
        <v>8.3219999999999992</v>
      </c>
    </row>
    <row r="3507" spans="1:12" x14ac:dyDescent="0.3">
      <c r="A3507" s="2">
        <v>40024</v>
      </c>
      <c r="B3507" t="s">
        <v>13</v>
      </c>
      <c r="D3507" s="2">
        <v>40755</v>
      </c>
      <c r="E3507">
        <v>8</v>
      </c>
      <c r="G3507" s="2">
        <v>40755</v>
      </c>
      <c r="H3507">
        <v>8.3780000000000001</v>
      </c>
      <c r="J3507" s="2">
        <v>40762</v>
      </c>
      <c r="K3507" s="3">
        <f t="shared" si="108"/>
        <v>8</v>
      </c>
      <c r="L3507" s="3">
        <f t="shared" si="109"/>
        <v>8.3219999999999992</v>
      </c>
    </row>
    <row r="3508" spans="1:12" x14ac:dyDescent="0.3">
      <c r="A3508" s="2">
        <v>40025</v>
      </c>
      <c r="B3508" t="s">
        <v>13</v>
      </c>
      <c r="D3508" s="2">
        <v>40756</v>
      </c>
      <c r="E3508">
        <v>8</v>
      </c>
      <c r="G3508" s="2">
        <v>40756</v>
      </c>
      <c r="H3508">
        <v>8.3550000000000004</v>
      </c>
      <c r="J3508" s="2">
        <v>40763</v>
      </c>
      <c r="K3508" s="3">
        <f t="shared" si="108"/>
        <v>8</v>
      </c>
      <c r="L3508" s="3">
        <f t="shared" si="109"/>
        <v>8.19</v>
      </c>
    </row>
    <row r="3509" spans="1:12" x14ac:dyDescent="0.3">
      <c r="A3509" s="2">
        <v>40026</v>
      </c>
      <c r="B3509" t="s">
        <v>13</v>
      </c>
      <c r="D3509" s="2">
        <v>40757</v>
      </c>
      <c r="E3509">
        <v>8</v>
      </c>
      <c r="G3509" s="2">
        <v>40757</v>
      </c>
      <c r="H3509">
        <v>8.4009999999999998</v>
      </c>
      <c r="J3509" s="2">
        <v>40764</v>
      </c>
      <c r="K3509" s="3">
        <f t="shared" si="108"/>
        <v>8</v>
      </c>
      <c r="L3509" s="3">
        <f t="shared" si="109"/>
        <v>8.1890000000000001</v>
      </c>
    </row>
    <row r="3510" spans="1:12" x14ac:dyDescent="0.3">
      <c r="A3510" s="2">
        <v>40027</v>
      </c>
      <c r="B3510" t="s">
        <v>13</v>
      </c>
      <c r="D3510" s="2">
        <v>40758</v>
      </c>
      <c r="E3510">
        <v>8</v>
      </c>
      <c r="G3510" s="2">
        <v>40758</v>
      </c>
      <c r="H3510">
        <v>8.3919999999999995</v>
      </c>
      <c r="J3510" s="2">
        <v>40765</v>
      </c>
      <c r="K3510" s="3">
        <f t="shared" si="108"/>
        <v>8</v>
      </c>
      <c r="L3510" s="3">
        <f t="shared" si="109"/>
        <v>8.1539999999999999</v>
      </c>
    </row>
    <row r="3511" spans="1:12" x14ac:dyDescent="0.3">
      <c r="A3511" s="2">
        <v>40028</v>
      </c>
      <c r="B3511" t="s">
        <v>13</v>
      </c>
      <c r="D3511" s="2">
        <v>40759</v>
      </c>
      <c r="E3511">
        <v>8</v>
      </c>
      <c r="G3511" s="2">
        <v>40759</v>
      </c>
      <c r="H3511">
        <v>8.3680000000000003</v>
      </c>
      <c r="J3511" s="2">
        <v>40766</v>
      </c>
      <c r="K3511" s="3">
        <f t="shared" si="108"/>
        <v>8</v>
      </c>
      <c r="L3511" s="3">
        <f t="shared" si="109"/>
        <v>8.1639999999999997</v>
      </c>
    </row>
    <row r="3512" spans="1:12" x14ac:dyDescent="0.3">
      <c r="A3512" s="2">
        <v>40029</v>
      </c>
      <c r="B3512" t="s">
        <v>13</v>
      </c>
      <c r="D3512" s="2">
        <v>40760</v>
      </c>
      <c r="E3512">
        <v>8</v>
      </c>
      <c r="G3512" s="2">
        <v>40760</v>
      </c>
      <c r="H3512">
        <v>8.3219999999999992</v>
      </c>
      <c r="J3512" s="2">
        <v>40767</v>
      </c>
      <c r="K3512" s="3">
        <f t="shared" si="108"/>
        <v>8</v>
      </c>
      <c r="L3512" s="3">
        <f t="shared" si="109"/>
        <v>8.1720000000000006</v>
      </c>
    </row>
    <row r="3513" spans="1:12" x14ac:dyDescent="0.3">
      <c r="A3513" s="2">
        <v>40030</v>
      </c>
      <c r="B3513" t="s">
        <v>13</v>
      </c>
      <c r="D3513" s="2">
        <v>40761</v>
      </c>
      <c r="E3513">
        <v>8</v>
      </c>
      <c r="G3513" s="2">
        <v>40761</v>
      </c>
      <c r="H3513">
        <v>8.3219999999999992</v>
      </c>
      <c r="J3513" s="2">
        <v>40768</v>
      </c>
      <c r="K3513" s="3">
        <f t="shared" si="108"/>
        <v>8</v>
      </c>
      <c r="L3513" s="3">
        <f t="shared" si="109"/>
        <v>8.1720000000000006</v>
      </c>
    </row>
    <row r="3514" spans="1:12" x14ac:dyDescent="0.3">
      <c r="A3514" s="2">
        <v>40031</v>
      </c>
      <c r="B3514" t="s">
        <v>13</v>
      </c>
      <c r="D3514" s="2">
        <v>40762</v>
      </c>
      <c r="E3514">
        <v>8</v>
      </c>
      <c r="G3514" s="2">
        <v>40762</v>
      </c>
      <c r="H3514">
        <v>8.3219999999999992</v>
      </c>
      <c r="J3514" s="2">
        <v>40769</v>
      </c>
      <c r="K3514" s="3">
        <f t="shared" si="108"/>
        <v>8</v>
      </c>
      <c r="L3514" s="3">
        <f t="shared" si="109"/>
        <v>8.1720000000000006</v>
      </c>
    </row>
    <row r="3515" spans="1:12" x14ac:dyDescent="0.3">
      <c r="A3515" s="2">
        <v>40032</v>
      </c>
      <c r="B3515" t="s">
        <v>13</v>
      </c>
      <c r="D3515" s="2">
        <v>40763</v>
      </c>
      <c r="E3515">
        <v>8</v>
      </c>
      <c r="G3515" s="2">
        <v>40763</v>
      </c>
      <c r="H3515">
        <v>8.19</v>
      </c>
      <c r="J3515" s="2">
        <v>40770</v>
      </c>
      <c r="K3515" s="3">
        <f t="shared" si="108"/>
        <v>8</v>
      </c>
      <c r="L3515" s="3">
        <f t="shared" si="109"/>
        <v>8.1720000000000006</v>
      </c>
    </row>
    <row r="3516" spans="1:12" x14ac:dyDescent="0.3">
      <c r="A3516" s="2">
        <v>40033</v>
      </c>
      <c r="B3516" t="s">
        <v>13</v>
      </c>
      <c r="D3516" s="2">
        <v>40764</v>
      </c>
      <c r="E3516">
        <v>8</v>
      </c>
      <c r="G3516" s="2">
        <v>40764</v>
      </c>
      <c r="H3516">
        <v>8.1890000000000001</v>
      </c>
      <c r="J3516" s="2">
        <v>40771</v>
      </c>
      <c r="K3516" s="3">
        <f t="shared" si="108"/>
        <v>8</v>
      </c>
      <c r="L3516" s="3">
        <f t="shared" si="109"/>
        <v>8.2029999999999994</v>
      </c>
    </row>
    <row r="3517" spans="1:12" x14ac:dyDescent="0.3">
      <c r="A3517" s="2">
        <v>40034</v>
      </c>
      <c r="B3517" t="s">
        <v>13</v>
      </c>
      <c r="D3517" s="2">
        <v>40765</v>
      </c>
      <c r="E3517">
        <v>8</v>
      </c>
      <c r="G3517" s="2">
        <v>40765</v>
      </c>
      <c r="H3517">
        <v>8.1539999999999999</v>
      </c>
      <c r="J3517" s="2">
        <v>40772</v>
      </c>
      <c r="K3517" s="3">
        <f t="shared" si="108"/>
        <v>8</v>
      </c>
      <c r="L3517" s="3">
        <f t="shared" si="109"/>
        <v>8.31</v>
      </c>
    </row>
    <row r="3518" spans="1:12" x14ac:dyDescent="0.3">
      <c r="A3518" s="2">
        <v>40035</v>
      </c>
      <c r="B3518" t="s">
        <v>13</v>
      </c>
      <c r="D3518" s="2">
        <v>40766</v>
      </c>
      <c r="E3518">
        <v>8</v>
      </c>
      <c r="G3518" s="2">
        <v>40766</v>
      </c>
      <c r="H3518">
        <v>8.1639999999999997</v>
      </c>
      <c r="J3518" s="2">
        <v>40773</v>
      </c>
      <c r="K3518" s="3">
        <f t="shared" si="108"/>
        <v>8</v>
      </c>
      <c r="L3518" s="3">
        <f t="shared" si="109"/>
        <v>8.2420000000000009</v>
      </c>
    </row>
    <row r="3519" spans="1:12" x14ac:dyDescent="0.3">
      <c r="A3519" s="2">
        <v>40036</v>
      </c>
      <c r="B3519" t="s">
        <v>13</v>
      </c>
      <c r="D3519" s="2">
        <v>40767</v>
      </c>
      <c r="E3519">
        <v>8</v>
      </c>
      <c r="G3519" s="2">
        <v>40767</v>
      </c>
      <c r="H3519">
        <v>8.1720000000000006</v>
      </c>
      <c r="J3519" s="2">
        <v>40774</v>
      </c>
      <c r="K3519" s="3">
        <f t="shared" si="108"/>
        <v>8</v>
      </c>
      <c r="L3519" s="3">
        <f t="shared" si="109"/>
        <v>8.2210000000000001</v>
      </c>
    </row>
    <row r="3520" spans="1:12" x14ac:dyDescent="0.3">
      <c r="A3520" s="2">
        <v>40037</v>
      </c>
      <c r="B3520" t="s">
        <v>13</v>
      </c>
      <c r="D3520" s="2">
        <v>40768</v>
      </c>
      <c r="E3520">
        <v>8</v>
      </c>
      <c r="G3520" s="2">
        <v>40768</v>
      </c>
      <c r="H3520">
        <v>8.1720000000000006</v>
      </c>
      <c r="J3520" s="2">
        <v>40775</v>
      </c>
      <c r="K3520" s="3">
        <f t="shared" si="108"/>
        <v>8</v>
      </c>
      <c r="L3520" s="3">
        <f t="shared" si="109"/>
        <v>8.2210000000000001</v>
      </c>
    </row>
    <row r="3521" spans="1:12" x14ac:dyDescent="0.3">
      <c r="A3521" s="2">
        <v>40038</v>
      </c>
      <c r="B3521" t="s">
        <v>13</v>
      </c>
      <c r="D3521" s="2">
        <v>40769</v>
      </c>
      <c r="E3521">
        <v>8</v>
      </c>
      <c r="G3521" s="2">
        <v>40769</v>
      </c>
      <c r="H3521">
        <v>8.1720000000000006</v>
      </c>
      <c r="J3521" s="2">
        <v>40776</v>
      </c>
      <c r="K3521" s="3">
        <f t="shared" si="108"/>
        <v>8</v>
      </c>
      <c r="L3521" s="3">
        <f t="shared" si="109"/>
        <v>8.2210000000000001</v>
      </c>
    </row>
    <row r="3522" spans="1:12" x14ac:dyDescent="0.3">
      <c r="A3522" s="2">
        <v>40039</v>
      </c>
      <c r="B3522" t="s">
        <v>13</v>
      </c>
      <c r="D3522" s="2">
        <v>40770</v>
      </c>
      <c r="E3522">
        <v>8</v>
      </c>
      <c r="G3522" s="2">
        <v>40770</v>
      </c>
      <c r="H3522">
        <v>8.1720000000000006</v>
      </c>
      <c r="J3522" s="2">
        <v>40777</v>
      </c>
      <c r="K3522" s="3">
        <f t="shared" si="108"/>
        <v>8</v>
      </c>
      <c r="L3522" s="3">
        <f t="shared" si="109"/>
        <v>8.19</v>
      </c>
    </row>
    <row r="3523" spans="1:12" x14ac:dyDescent="0.3">
      <c r="A3523" s="2">
        <v>40040</v>
      </c>
      <c r="B3523" t="s">
        <v>13</v>
      </c>
      <c r="D3523" s="2">
        <v>40771</v>
      </c>
      <c r="E3523">
        <v>8</v>
      </c>
      <c r="G3523" s="2">
        <v>40771</v>
      </c>
      <c r="H3523">
        <v>8.2029999999999994</v>
      </c>
      <c r="J3523" s="2">
        <v>40778</v>
      </c>
      <c r="K3523" s="3">
        <f t="shared" ref="K3523:K3586" si="110">E3530</f>
        <v>8</v>
      </c>
      <c r="L3523" s="3">
        <f t="shared" ref="L3523:L3586" si="111">H3530</f>
        <v>8.2149999999999999</v>
      </c>
    </row>
    <row r="3524" spans="1:12" x14ac:dyDescent="0.3">
      <c r="A3524" s="2">
        <v>40041</v>
      </c>
      <c r="B3524" t="s">
        <v>13</v>
      </c>
      <c r="D3524" s="2">
        <v>40772</v>
      </c>
      <c r="E3524">
        <v>8</v>
      </c>
      <c r="G3524" s="2">
        <v>40772</v>
      </c>
      <c r="H3524">
        <v>8.31</v>
      </c>
      <c r="J3524" s="2">
        <v>40779</v>
      </c>
      <c r="K3524" s="3">
        <f t="shared" si="110"/>
        <v>8</v>
      </c>
      <c r="L3524" s="3">
        <f t="shared" si="111"/>
        <v>8.2059999999999995</v>
      </c>
    </row>
    <row r="3525" spans="1:12" x14ac:dyDescent="0.3">
      <c r="A3525" s="2">
        <v>40042</v>
      </c>
      <c r="B3525" t="s">
        <v>13</v>
      </c>
      <c r="D3525" s="2">
        <v>40773</v>
      </c>
      <c r="E3525">
        <v>8</v>
      </c>
      <c r="G3525" s="2">
        <v>40773</v>
      </c>
      <c r="H3525">
        <v>8.2420000000000009</v>
      </c>
      <c r="J3525" s="2">
        <v>40780</v>
      </c>
      <c r="K3525" s="3">
        <f t="shared" si="110"/>
        <v>8</v>
      </c>
      <c r="L3525" s="3">
        <f t="shared" si="111"/>
        <v>8.1850000000000005</v>
      </c>
    </row>
    <row r="3526" spans="1:12" x14ac:dyDescent="0.3">
      <c r="A3526" s="2">
        <v>40043</v>
      </c>
      <c r="B3526" t="s">
        <v>13</v>
      </c>
      <c r="D3526" s="2">
        <v>40774</v>
      </c>
      <c r="E3526">
        <v>8</v>
      </c>
      <c r="G3526" s="2">
        <v>40774</v>
      </c>
      <c r="H3526">
        <v>8.2210000000000001</v>
      </c>
      <c r="J3526" s="2">
        <v>40781</v>
      </c>
      <c r="K3526" s="3">
        <f t="shared" si="110"/>
        <v>8</v>
      </c>
      <c r="L3526" s="3">
        <f t="shared" si="111"/>
        <v>8.2720000000000002</v>
      </c>
    </row>
    <row r="3527" spans="1:12" x14ac:dyDescent="0.3">
      <c r="A3527" s="2">
        <v>40044</v>
      </c>
      <c r="B3527" t="s">
        <v>13</v>
      </c>
      <c r="D3527" s="2">
        <v>40775</v>
      </c>
      <c r="E3527">
        <v>8</v>
      </c>
      <c r="G3527" s="2">
        <v>40775</v>
      </c>
      <c r="H3527">
        <v>8.2210000000000001</v>
      </c>
      <c r="J3527" s="2">
        <v>40782</v>
      </c>
      <c r="K3527" s="3">
        <f t="shared" si="110"/>
        <v>8</v>
      </c>
      <c r="L3527" s="3">
        <f t="shared" si="111"/>
        <v>8.2720000000000002</v>
      </c>
    </row>
    <row r="3528" spans="1:12" x14ac:dyDescent="0.3">
      <c r="A3528" s="2">
        <v>40045</v>
      </c>
      <c r="B3528" t="s">
        <v>13</v>
      </c>
      <c r="D3528" s="2">
        <v>40776</v>
      </c>
      <c r="E3528">
        <v>8</v>
      </c>
      <c r="G3528" s="2">
        <v>40776</v>
      </c>
      <c r="H3528">
        <v>8.2210000000000001</v>
      </c>
      <c r="J3528" s="2">
        <v>40783</v>
      </c>
      <c r="K3528" s="3">
        <f t="shared" si="110"/>
        <v>8</v>
      </c>
      <c r="L3528" s="3">
        <f t="shared" si="111"/>
        <v>8.2720000000000002</v>
      </c>
    </row>
    <row r="3529" spans="1:12" x14ac:dyDescent="0.3">
      <c r="A3529" s="2">
        <v>40046</v>
      </c>
      <c r="B3529" t="s">
        <v>13</v>
      </c>
      <c r="D3529" s="2">
        <v>40777</v>
      </c>
      <c r="E3529">
        <v>8</v>
      </c>
      <c r="G3529" s="2">
        <v>40777</v>
      </c>
      <c r="H3529">
        <v>8.19</v>
      </c>
      <c r="J3529" s="2">
        <v>40784</v>
      </c>
      <c r="K3529" s="3">
        <f t="shared" si="110"/>
        <v>8</v>
      </c>
      <c r="L3529" s="3">
        <f t="shared" si="111"/>
        <v>8.2289999999999992</v>
      </c>
    </row>
    <row r="3530" spans="1:12" x14ac:dyDescent="0.3">
      <c r="A3530" s="2">
        <v>40047</v>
      </c>
      <c r="B3530" t="s">
        <v>13</v>
      </c>
      <c r="D3530" s="2">
        <v>40778</v>
      </c>
      <c r="E3530">
        <v>8</v>
      </c>
      <c r="G3530" s="2">
        <v>40778</v>
      </c>
      <c r="H3530">
        <v>8.2149999999999999</v>
      </c>
      <c r="J3530" s="2">
        <v>40785</v>
      </c>
      <c r="K3530" s="3">
        <f t="shared" si="110"/>
        <v>8</v>
      </c>
      <c r="L3530" s="3">
        <f t="shared" si="111"/>
        <v>8.26</v>
      </c>
    </row>
    <row r="3531" spans="1:12" x14ac:dyDescent="0.3">
      <c r="A3531" s="2">
        <v>40048</v>
      </c>
      <c r="B3531" t="s">
        <v>13</v>
      </c>
      <c r="D3531" s="2">
        <v>40779</v>
      </c>
      <c r="E3531">
        <v>8</v>
      </c>
      <c r="G3531" s="2">
        <v>40779</v>
      </c>
      <c r="H3531">
        <v>8.2059999999999995</v>
      </c>
      <c r="J3531" s="2">
        <v>40786</v>
      </c>
      <c r="K3531" s="3">
        <f t="shared" si="110"/>
        <v>8</v>
      </c>
      <c r="L3531" s="3">
        <f t="shared" si="111"/>
        <v>8.26</v>
      </c>
    </row>
    <row r="3532" spans="1:12" x14ac:dyDescent="0.3">
      <c r="A3532" s="2">
        <v>40049</v>
      </c>
      <c r="B3532" t="s">
        <v>13</v>
      </c>
      <c r="D3532" s="2">
        <v>40780</v>
      </c>
      <c r="E3532">
        <v>8</v>
      </c>
      <c r="G3532" s="2">
        <v>40780</v>
      </c>
      <c r="H3532">
        <v>8.1850000000000005</v>
      </c>
      <c r="J3532" s="2">
        <v>40787</v>
      </c>
      <c r="K3532" s="3">
        <f t="shared" si="110"/>
        <v>8</v>
      </c>
      <c r="L3532" s="3">
        <f t="shared" si="111"/>
        <v>8.26</v>
      </c>
    </row>
    <row r="3533" spans="1:12" x14ac:dyDescent="0.3">
      <c r="A3533" s="2">
        <v>40050</v>
      </c>
      <c r="B3533" t="s">
        <v>13</v>
      </c>
      <c r="D3533" s="2">
        <v>40781</v>
      </c>
      <c r="E3533">
        <v>8</v>
      </c>
      <c r="G3533" s="2">
        <v>40781</v>
      </c>
      <c r="H3533">
        <v>8.2720000000000002</v>
      </c>
      <c r="J3533" s="2">
        <v>40788</v>
      </c>
      <c r="K3533" s="3">
        <f t="shared" si="110"/>
        <v>8</v>
      </c>
      <c r="L3533" s="3">
        <f t="shared" si="111"/>
        <v>8.2550000000000008</v>
      </c>
    </row>
    <row r="3534" spans="1:12" x14ac:dyDescent="0.3">
      <c r="A3534" s="2">
        <v>40051</v>
      </c>
      <c r="B3534" t="s">
        <v>13</v>
      </c>
      <c r="D3534" s="2">
        <v>40782</v>
      </c>
      <c r="E3534">
        <v>8</v>
      </c>
      <c r="G3534" s="2">
        <v>40782</v>
      </c>
      <c r="H3534">
        <v>8.2720000000000002</v>
      </c>
      <c r="J3534" s="2">
        <v>40789</v>
      </c>
      <c r="K3534" s="3">
        <f t="shared" si="110"/>
        <v>8</v>
      </c>
      <c r="L3534" s="3">
        <f t="shared" si="111"/>
        <v>8.2550000000000008</v>
      </c>
    </row>
    <row r="3535" spans="1:12" x14ac:dyDescent="0.3">
      <c r="A3535" s="2">
        <v>40052</v>
      </c>
      <c r="B3535" t="s">
        <v>13</v>
      </c>
      <c r="D3535" s="2">
        <v>40783</v>
      </c>
      <c r="E3535">
        <v>8</v>
      </c>
      <c r="G3535" s="2">
        <v>40783</v>
      </c>
      <c r="H3535">
        <v>8.2720000000000002</v>
      </c>
      <c r="J3535" s="2">
        <v>40790</v>
      </c>
      <c r="K3535" s="3">
        <f t="shared" si="110"/>
        <v>8</v>
      </c>
      <c r="L3535" s="3">
        <f t="shared" si="111"/>
        <v>8.2550000000000008</v>
      </c>
    </row>
    <row r="3536" spans="1:12" x14ac:dyDescent="0.3">
      <c r="A3536" s="2">
        <v>40053</v>
      </c>
      <c r="B3536" t="s">
        <v>13</v>
      </c>
      <c r="D3536" s="2">
        <v>40784</v>
      </c>
      <c r="E3536">
        <v>8</v>
      </c>
      <c r="G3536" s="2">
        <v>40784</v>
      </c>
      <c r="H3536">
        <v>8.2289999999999992</v>
      </c>
      <c r="J3536" s="2">
        <v>40791</v>
      </c>
      <c r="K3536" s="3">
        <f t="shared" si="110"/>
        <v>8</v>
      </c>
      <c r="L3536" s="3">
        <f t="shared" si="111"/>
        <v>8.2929999999999993</v>
      </c>
    </row>
    <row r="3537" spans="1:12" x14ac:dyDescent="0.3">
      <c r="A3537" s="2">
        <v>40054</v>
      </c>
      <c r="B3537" t="s">
        <v>13</v>
      </c>
      <c r="D3537" s="2">
        <v>40785</v>
      </c>
      <c r="E3537">
        <v>8</v>
      </c>
      <c r="G3537" s="2">
        <v>40785</v>
      </c>
      <c r="H3537">
        <v>8.26</v>
      </c>
      <c r="J3537" s="2">
        <v>40792</v>
      </c>
      <c r="K3537" s="3">
        <f t="shared" si="110"/>
        <v>8</v>
      </c>
      <c r="L3537" s="3">
        <f t="shared" si="111"/>
        <v>8.2889999999999997</v>
      </c>
    </row>
    <row r="3538" spans="1:12" x14ac:dyDescent="0.3">
      <c r="A3538" s="2">
        <v>40055</v>
      </c>
      <c r="B3538" t="s">
        <v>13</v>
      </c>
      <c r="D3538" s="2">
        <v>40786</v>
      </c>
      <c r="E3538">
        <v>8</v>
      </c>
      <c r="G3538" s="2">
        <v>40786</v>
      </c>
      <c r="H3538">
        <v>8.26</v>
      </c>
      <c r="J3538" s="2">
        <v>40793</v>
      </c>
      <c r="K3538" s="3">
        <f t="shared" si="110"/>
        <v>8</v>
      </c>
      <c r="L3538" s="3">
        <f t="shared" si="111"/>
        <v>8.2970000000000006</v>
      </c>
    </row>
    <row r="3539" spans="1:12" x14ac:dyDescent="0.3">
      <c r="A3539" s="2">
        <v>40056</v>
      </c>
      <c r="B3539" t="s">
        <v>13</v>
      </c>
      <c r="D3539" s="2">
        <v>40787</v>
      </c>
      <c r="E3539">
        <v>8</v>
      </c>
      <c r="G3539" s="2">
        <v>40787</v>
      </c>
      <c r="H3539">
        <v>8.26</v>
      </c>
      <c r="J3539" s="2">
        <v>40794</v>
      </c>
      <c r="K3539" s="3">
        <f t="shared" si="110"/>
        <v>8</v>
      </c>
      <c r="L3539" s="3">
        <f t="shared" si="111"/>
        <v>8.2479999999999993</v>
      </c>
    </row>
    <row r="3540" spans="1:12" x14ac:dyDescent="0.3">
      <c r="A3540" s="2">
        <v>40057</v>
      </c>
      <c r="B3540" t="s">
        <v>13</v>
      </c>
      <c r="D3540" s="2">
        <v>40788</v>
      </c>
      <c r="E3540">
        <v>8</v>
      </c>
      <c r="G3540" s="2">
        <v>40788</v>
      </c>
      <c r="H3540">
        <v>8.2550000000000008</v>
      </c>
      <c r="J3540" s="2">
        <v>40795</v>
      </c>
      <c r="K3540" s="3">
        <f t="shared" si="110"/>
        <v>8</v>
      </c>
      <c r="L3540" s="3">
        <f t="shared" si="111"/>
        <v>8.2639999999999993</v>
      </c>
    </row>
    <row r="3541" spans="1:12" x14ac:dyDescent="0.3">
      <c r="A3541" s="2">
        <v>40058</v>
      </c>
      <c r="B3541" t="s">
        <v>13</v>
      </c>
      <c r="D3541" s="2">
        <v>40789</v>
      </c>
      <c r="E3541">
        <v>8</v>
      </c>
      <c r="G3541" s="2">
        <v>40789</v>
      </c>
      <c r="H3541">
        <v>8.2550000000000008</v>
      </c>
      <c r="J3541" s="2">
        <v>40796</v>
      </c>
      <c r="K3541" s="3">
        <f t="shared" si="110"/>
        <v>8</v>
      </c>
      <c r="L3541" s="3">
        <f t="shared" si="111"/>
        <v>8.2639999999999993</v>
      </c>
    </row>
    <row r="3542" spans="1:12" x14ac:dyDescent="0.3">
      <c r="A3542" s="2">
        <v>40059</v>
      </c>
      <c r="B3542" t="s">
        <v>13</v>
      </c>
      <c r="D3542" s="2">
        <v>40790</v>
      </c>
      <c r="E3542">
        <v>8</v>
      </c>
      <c r="G3542" s="2">
        <v>40790</v>
      </c>
      <c r="H3542">
        <v>8.2550000000000008</v>
      </c>
      <c r="J3542" s="2">
        <v>40797</v>
      </c>
      <c r="K3542" s="3">
        <f t="shared" si="110"/>
        <v>8</v>
      </c>
      <c r="L3542" s="3">
        <f t="shared" si="111"/>
        <v>8.2639999999999993</v>
      </c>
    </row>
    <row r="3543" spans="1:12" x14ac:dyDescent="0.3">
      <c r="A3543" s="2">
        <v>40060</v>
      </c>
      <c r="B3543" t="s">
        <v>13</v>
      </c>
      <c r="D3543" s="2">
        <v>40791</v>
      </c>
      <c r="E3543">
        <v>8</v>
      </c>
      <c r="G3543" s="2">
        <v>40791</v>
      </c>
      <c r="H3543">
        <v>8.2929999999999993</v>
      </c>
      <c r="J3543" s="2">
        <v>40798</v>
      </c>
      <c r="K3543" s="3">
        <f t="shared" si="110"/>
        <v>8</v>
      </c>
      <c r="L3543" s="3">
        <f t="shared" si="111"/>
        <v>8.2680000000000007</v>
      </c>
    </row>
    <row r="3544" spans="1:12" x14ac:dyDescent="0.3">
      <c r="A3544" s="2">
        <v>40061</v>
      </c>
      <c r="B3544" t="s">
        <v>13</v>
      </c>
      <c r="D3544" s="2">
        <v>40792</v>
      </c>
      <c r="E3544">
        <v>8</v>
      </c>
      <c r="G3544" s="2">
        <v>40792</v>
      </c>
      <c r="H3544">
        <v>8.2889999999999997</v>
      </c>
      <c r="J3544" s="2">
        <v>40799</v>
      </c>
      <c r="K3544" s="3">
        <f t="shared" si="110"/>
        <v>8</v>
      </c>
      <c r="L3544" s="3">
        <f t="shared" si="111"/>
        <v>8.3569999999999993</v>
      </c>
    </row>
    <row r="3545" spans="1:12" x14ac:dyDescent="0.3">
      <c r="A3545" s="2">
        <v>40062</v>
      </c>
      <c r="B3545" t="s">
        <v>13</v>
      </c>
      <c r="D3545" s="2">
        <v>40793</v>
      </c>
      <c r="E3545">
        <v>8</v>
      </c>
      <c r="G3545" s="2">
        <v>40793</v>
      </c>
      <c r="H3545">
        <v>8.2970000000000006</v>
      </c>
      <c r="J3545" s="2">
        <v>40800</v>
      </c>
      <c r="K3545" s="3">
        <f t="shared" si="110"/>
        <v>8</v>
      </c>
      <c r="L3545" s="3">
        <f t="shared" si="111"/>
        <v>8.3510000000000009</v>
      </c>
    </row>
    <row r="3546" spans="1:12" x14ac:dyDescent="0.3">
      <c r="A3546" s="2">
        <v>40063</v>
      </c>
      <c r="B3546" t="s">
        <v>13</v>
      </c>
      <c r="D3546" s="2">
        <v>40794</v>
      </c>
      <c r="E3546">
        <v>8</v>
      </c>
      <c r="G3546" s="2">
        <v>40794</v>
      </c>
      <c r="H3546">
        <v>8.2479999999999993</v>
      </c>
      <c r="J3546" s="2">
        <v>40801</v>
      </c>
      <c r="K3546" s="3">
        <f t="shared" si="110"/>
        <v>8</v>
      </c>
      <c r="L3546" s="3">
        <f t="shared" si="111"/>
        <v>8.3780000000000001</v>
      </c>
    </row>
    <row r="3547" spans="1:12" x14ac:dyDescent="0.3">
      <c r="A3547" s="2">
        <v>40064</v>
      </c>
      <c r="B3547" t="s">
        <v>13</v>
      </c>
      <c r="D3547" s="2">
        <v>40795</v>
      </c>
      <c r="E3547">
        <v>8</v>
      </c>
      <c r="G3547" s="2">
        <v>40795</v>
      </c>
      <c r="H3547">
        <v>8.2639999999999993</v>
      </c>
      <c r="J3547" s="2">
        <v>40802</v>
      </c>
      <c r="K3547" s="3">
        <f t="shared" si="110"/>
        <v>8.25</v>
      </c>
      <c r="L3547" s="3">
        <f t="shared" si="111"/>
        <v>8.3650000000000002</v>
      </c>
    </row>
    <row r="3548" spans="1:12" x14ac:dyDescent="0.3">
      <c r="A3548" s="2">
        <v>40065</v>
      </c>
      <c r="B3548" t="s">
        <v>13</v>
      </c>
      <c r="D3548" s="2">
        <v>40796</v>
      </c>
      <c r="E3548">
        <v>8</v>
      </c>
      <c r="G3548" s="2">
        <v>40796</v>
      </c>
      <c r="H3548">
        <v>8.2639999999999993</v>
      </c>
      <c r="J3548" s="2">
        <v>40803</v>
      </c>
      <c r="K3548" s="3">
        <f t="shared" si="110"/>
        <v>8.25</v>
      </c>
      <c r="L3548" s="3">
        <f t="shared" si="111"/>
        <v>8.3650000000000002</v>
      </c>
    </row>
    <row r="3549" spans="1:12" x14ac:dyDescent="0.3">
      <c r="A3549" s="2">
        <v>40066</v>
      </c>
      <c r="B3549" t="s">
        <v>13</v>
      </c>
      <c r="D3549" s="2">
        <v>40797</v>
      </c>
      <c r="E3549">
        <v>8</v>
      </c>
      <c r="G3549" s="2">
        <v>40797</v>
      </c>
      <c r="H3549">
        <v>8.2639999999999993</v>
      </c>
      <c r="J3549" s="2">
        <v>40804</v>
      </c>
      <c r="K3549" s="3">
        <f t="shared" si="110"/>
        <v>8.25</v>
      </c>
      <c r="L3549" s="3">
        <f t="shared" si="111"/>
        <v>8.3650000000000002</v>
      </c>
    </row>
    <row r="3550" spans="1:12" x14ac:dyDescent="0.3">
      <c r="A3550" s="2">
        <v>40067</v>
      </c>
      <c r="B3550" t="s">
        <v>13</v>
      </c>
      <c r="D3550" s="2">
        <v>40798</v>
      </c>
      <c r="E3550">
        <v>8</v>
      </c>
      <c r="G3550" s="2">
        <v>40798</v>
      </c>
      <c r="H3550">
        <v>8.2680000000000007</v>
      </c>
      <c r="J3550" s="2">
        <v>40805</v>
      </c>
      <c r="K3550" s="3">
        <f t="shared" si="110"/>
        <v>8.25</v>
      </c>
      <c r="L3550" s="3">
        <f t="shared" si="111"/>
        <v>8.3510000000000009</v>
      </c>
    </row>
    <row r="3551" spans="1:12" x14ac:dyDescent="0.3">
      <c r="A3551" s="2">
        <v>40068</v>
      </c>
      <c r="B3551" t="s">
        <v>13</v>
      </c>
      <c r="D3551" s="2">
        <v>40799</v>
      </c>
      <c r="E3551">
        <v>8</v>
      </c>
      <c r="G3551" s="2">
        <v>40799</v>
      </c>
      <c r="H3551">
        <v>8.3569999999999993</v>
      </c>
      <c r="J3551" s="2">
        <v>40806</v>
      </c>
      <c r="K3551" s="3">
        <f t="shared" si="110"/>
        <v>8.25</v>
      </c>
      <c r="L3551" s="3">
        <f t="shared" si="111"/>
        <v>8.3849999999999998</v>
      </c>
    </row>
    <row r="3552" spans="1:12" x14ac:dyDescent="0.3">
      <c r="A3552" s="2">
        <v>40069</v>
      </c>
      <c r="B3552" t="s">
        <v>13</v>
      </c>
      <c r="D3552" s="2">
        <v>40800</v>
      </c>
      <c r="E3552">
        <v>8</v>
      </c>
      <c r="G3552" s="2">
        <v>40800</v>
      </c>
      <c r="H3552">
        <v>8.3510000000000009</v>
      </c>
      <c r="J3552" s="2">
        <v>40807</v>
      </c>
      <c r="K3552" s="3">
        <f t="shared" si="110"/>
        <v>8.25</v>
      </c>
      <c r="L3552" s="3">
        <f t="shared" si="111"/>
        <v>8.3759999999999994</v>
      </c>
    </row>
    <row r="3553" spans="1:12" x14ac:dyDescent="0.3">
      <c r="A3553" s="2">
        <v>40070</v>
      </c>
      <c r="B3553" t="s">
        <v>13</v>
      </c>
      <c r="D3553" s="2">
        <v>40801</v>
      </c>
      <c r="E3553">
        <v>8</v>
      </c>
      <c r="G3553" s="2">
        <v>40801</v>
      </c>
      <c r="H3553">
        <v>8.3780000000000001</v>
      </c>
      <c r="J3553" s="2">
        <v>40808</v>
      </c>
      <c r="K3553" s="3">
        <f t="shared" si="110"/>
        <v>8.25</v>
      </c>
      <c r="L3553" s="3">
        <f t="shared" si="111"/>
        <v>8.3740000000000006</v>
      </c>
    </row>
    <row r="3554" spans="1:12" x14ac:dyDescent="0.3">
      <c r="A3554" s="2">
        <v>40071</v>
      </c>
      <c r="B3554" t="s">
        <v>13</v>
      </c>
      <c r="D3554" s="2">
        <v>40802</v>
      </c>
      <c r="E3554">
        <v>8.25</v>
      </c>
      <c r="G3554" s="2">
        <v>40802</v>
      </c>
      <c r="H3554">
        <v>8.3650000000000002</v>
      </c>
      <c r="J3554" s="2">
        <v>40809</v>
      </c>
      <c r="K3554" s="3">
        <f t="shared" si="110"/>
        <v>8.25</v>
      </c>
      <c r="L3554" s="3">
        <f t="shared" si="111"/>
        <v>8.3919999999999995</v>
      </c>
    </row>
    <row r="3555" spans="1:12" x14ac:dyDescent="0.3">
      <c r="A3555" s="2">
        <v>40072</v>
      </c>
      <c r="B3555" t="s">
        <v>13</v>
      </c>
      <c r="D3555" s="2">
        <v>40803</v>
      </c>
      <c r="E3555">
        <v>8.25</v>
      </c>
      <c r="G3555" s="2">
        <v>40803</v>
      </c>
      <c r="H3555">
        <v>8.3650000000000002</v>
      </c>
      <c r="J3555" s="2">
        <v>40810</v>
      </c>
      <c r="K3555" s="3">
        <f t="shared" si="110"/>
        <v>8.25</v>
      </c>
      <c r="L3555" s="3">
        <f t="shared" si="111"/>
        <v>8.3919999999999995</v>
      </c>
    </row>
    <row r="3556" spans="1:12" x14ac:dyDescent="0.3">
      <c r="A3556" s="2">
        <v>40073</v>
      </c>
      <c r="B3556" t="s">
        <v>13</v>
      </c>
      <c r="D3556" s="2">
        <v>40804</v>
      </c>
      <c r="E3556">
        <v>8.25</v>
      </c>
      <c r="G3556" s="2">
        <v>40804</v>
      </c>
      <c r="H3556">
        <v>8.3650000000000002</v>
      </c>
      <c r="J3556" s="2">
        <v>40811</v>
      </c>
      <c r="K3556" s="3">
        <f t="shared" si="110"/>
        <v>8.25</v>
      </c>
      <c r="L3556" s="3">
        <f t="shared" si="111"/>
        <v>8.3919999999999995</v>
      </c>
    </row>
    <row r="3557" spans="1:12" x14ac:dyDescent="0.3">
      <c r="A3557" s="2">
        <v>40074</v>
      </c>
      <c r="B3557" t="s">
        <v>13</v>
      </c>
      <c r="D3557" s="2">
        <v>40805</v>
      </c>
      <c r="E3557">
        <v>8.25</v>
      </c>
      <c r="G3557" s="2">
        <v>40805</v>
      </c>
      <c r="H3557">
        <v>8.3510000000000009</v>
      </c>
      <c r="J3557" s="2">
        <v>40812</v>
      </c>
      <c r="K3557" s="3">
        <f t="shared" si="110"/>
        <v>8.25</v>
      </c>
      <c r="L3557" s="3">
        <f t="shared" si="111"/>
        <v>8.4039999999999999</v>
      </c>
    </row>
    <row r="3558" spans="1:12" x14ac:dyDescent="0.3">
      <c r="A3558" s="2">
        <v>40075</v>
      </c>
      <c r="B3558" t="s">
        <v>13</v>
      </c>
      <c r="D3558" s="2">
        <v>40806</v>
      </c>
      <c r="E3558">
        <v>8.25</v>
      </c>
      <c r="G3558" s="2">
        <v>40806</v>
      </c>
      <c r="H3558">
        <v>8.3849999999999998</v>
      </c>
      <c r="J3558" s="2">
        <v>40813</v>
      </c>
      <c r="K3558" s="3">
        <f t="shared" si="110"/>
        <v>8.25</v>
      </c>
      <c r="L3558" s="3">
        <f t="shared" si="111"/>
        <v>8.3670000000000009</v>
      </c>
    </row>
    <row r="3559" spans="1:12" x14ac:dyDescent="0.3">
      <c r="A3559" s="2">
        <v>40076</v>
      </c>
      <c r="B3559" t="s">
        <v>13</v>
      </c>
      <c r="D3559" s="2">
        <v>40807</v>
      </c>
      <c r="E3559">
        <v>8.25</v>
      </c>
      <c r="G3559" s="2">
        <v>40807</v>
      </c>
      <c r="H3559">
        <v>8.3759999999999994</v>
      </c>
      <c r="J3559" s="2">
        <v>40814</v>
      </c>
      <c r="K3559" s="3">
        <f t="shared" si="110"/>
        <v>8.25</v>
      </c>
      <c r="L3559" s="3">
        <f t="shared" si="111"/>
        <v>8.3330000000000002</v>
      </c>
    </row>
    <row r="3560" spans="1:12" x14ac:dyDescent="0.3">
      <c r="A3560" s="2">
        <v>40077</v>
      </c>
      <c r="B3560" t="s">
        <v>13</v>
      </c>
      <c r="D3560" s="2">
        <v>40808</v>
      </c>
      <c r="E3560">
        <v>8.25</v>
      </c>
      <c r="G3560" s="2">
        <v>40808</v>
      </c>
      <c r="H3560">
        <v>8.3740000000000006</v>
      </c>
      <c r="J3560" s="2">
        <v>40815</v>
      </c>
      <c r="K3560" s="3">
        <f t="shared" si="110"/>
        <v>8.25</v>
      </c>
      <c r="L3560" s="3">
        <f t="shared" si="111"/>
        <v>8.3339999999999996</v>
      </c>
    </row>
    <row r="3561" spans="1:12" x14ac:dyDescent="0.3">
      <c r="A3561" s="2">
        <v>40078</v>
      </c>
      <c r="B3561" t="s">
        <v>13</v>
      </c>
      <c r="D3561" s="2">
        <v>40809</v>
      </c>
      <c r="E3561">
        <v>8.25</v>
      </c>
      <c r="G3561" s="2">
        <v>40809</v>
      </c>
      <c r="H3561">
        <v>8.3919999999999995</v>
      </c>
      <c r="J3561" s="2">
        <v>40816</v>
      </c>
      <c r="K3561" s="3">
        <f t="shared" si="110"/>
        <v>8.25</v>
      </c>
      <c r="L3561" s="3">
        <f t="shared" si="111"/>
        <v>8.327</v>
      </c>
    </row>
    <row r="3562" spans="1:12" x14ac:dyDescent="0.3">
      <c r="A3562" s="2">
        <v>40079</v>
      </c>
      <c r="B3562" t="s">
        <v>13</v>
      </c>
      <c r="D3562" s="2">
        <v>40810</v>
      </c>
      <c r="E3562">
        <v>8.25</v>
      </c>
      <c r="G3562" s="2">
        <v>40810</v>
      </c>
      <c r="H3562">
        <v>8.3919999999999995</v>
      </c>
      <c r="J3562" s="2">
        <v>40817</v>
      </c>
      <c r="K3562" s="3">
        <f t="shared" si="110"/>
        <v>8.25</v>
      </c>
      <c r="L3562" s="3">
        <f t="shared" si="111"/>
        <v>8.327</v>
      </c>
    </row>
    <row r="3563" spans="1:12" x14ac:dyDescent="0.3">
      <c r="A3563" s="2">
        <v>40080</v>
      </c>
      <c r="B3563" t="s">
        <v>13</v>
      </c>
      <c r="D3563" s="2">
        <v>40811</v>
      </c>
      <c r="E3563">
        <v>8.25</v>
      </c>
      <c r="G3563" s="2">
        <v>40811</v>
      </c>
      <c r="H3563">
        <v>8.3919999999999995</v>
      </c>
      <c r="J3563" s="2">
        <v>40818</v>
      </c>
      <c r="K3563" s="3">
        <f t="shared" si="110"/>
        <v>8.25</v>
      </c>
      <c r="L3563" s="3">
        <f t="shared" si="111"/>
        <v>8.327</v>
      </c>
    </row>
    <row r="3564" spans="1:12" x14ac:dyDescent="0.3">
      <c r="A3564" s="2">
        <v>40081</v>
      </c>
      <c r="B3564" t="s">
        <v>13</v>
      </c>
      <c r="D3564" s="2">
        <v>40812</v>
      </c>
      <c r="E3564">
        <v>8.25</v>
      </c>
      <c r="G3564" s="2">
        <v>40812</v>
      </c>
      <c r="H3564">
        <v>8.4039999999999999</v>
      </c>
      <c r="J3564" s="2">
        <v>40819</v>
      </c>
      <c r="K3564" s="3">
        <f t="shared" si="110"/>
        <v>8.25</v>
      </c>
      <c r="L3564" s="3">
        <f t="shared" si="111"/>
        <v>8.3699999999999992</v>
      </c>
    </row>
    <row r="3565" spans="1:12" x14ac:dyDescent="0.3">
      <c r="A3565" s="2">
        <v>40082</v>
      </c>
      <c r="B3565" t="s">
        <v>13</v>
      </c>
      <c r="D3565" s="2">
        <v>40813</v>
      </c>
      <c r="E3565">
        <v>8.25</v>
      </c>
      <c r="G3565" s="2">
        <v>40813</v>
      </c>
      <c r="H3565">
        <v>8.3670000000000009</v>
      </c>
      <c r="J3565" s="2">
        <v>40820</v>
      </c>
      <c r="K3565" s="3">
        <f t="shared" si="110"/>
        <v>8.25</v>
      </c>
      <c r="L3565" s="3">
        <f t="shared" si="111"/>
        <v>8.3770000000000007</v>
      </c>
    </row>
    <row r="3566" spans="1:12" x14ac:dyDescent="0.3">
      <c r="A3566" s="2">
        <v>40083</v>
      </c>
      <c r="B3566" t="s">
        <v>13</v>
      </c>
      <c r="D3566" s="2">
        <v>40814</v>
      </c>
      <c r="E3566">
        <v>8.25</v>
      </c>
      <c r="G3566" s="2">
        <v>40814</v>
      </c>
      <c r="H3566">
        <v>8.3330000000000002</v>
      </c>
      <c r="J3566" s="2">
        <v>40821</v>
      </c>
      <c r="K3566" s="3">
        <f t="shared" si="110"/>
        <v>8.25</v>
      </c>
      <c r="L3566" s="3">
        <f t="shared" si="111"/>
        <v>8.4290000000000003</v>
      </c>
    </row>
    <row r="3567" spans="1:12" x14ac:dyDescent="0.3">
      <c r="A3567" s="2">
        <v>40084</v>
      </c>
      <c r="B3567" t="s">
        <v>13</v>
      </c>
      <c r="D3567" s="2">
        <v>40815</v>
      </c>
      <c r="E3567">
        <v>8.25</v>
      </c>
      <c r="G3567" s="2">
        <v>40815</v>
      </c>
      <c r="H3567">
        <v>8.3339999999999996</v>
      </c>
      <c r="J3567" s="2">
        <v>40822</v>
      </c>
      <c r="K3567" s="3">
        <f t="shared" si="110"/>
        <v>8.25</v>
      </c>
      <c r="L3567" s="3">
        <f t="shared" si="111"/>
        <v>8.5329999999999995</v>
      </c>
    </row>
    <row r="3568" spans="1:12" x14ac:dyDescent="0.3">
      <c r="A3568" s="2">
        <v>40085</v>
      </c>
      <c r="B3568" t="s">
        <v>13</v>
      </c>
      <c r="D3568" s="2">
        <v>40816</v>
      </c>
      <c r="E3568">
        <v>8.25</v>
      </c>
      <c r="G3568" s="2">
        <v>40816</v>
      </c>
      <c r="H3568">
        <v>8.327</v>
      </c>
      <c r="J3568" s="2">
        <v>40823</v>
      </c>
      <c r="K3568" s="3">
        <f t="shared" si="110"/>
        <v>8.25</v>
      </c>
      <c r="L3568" s="3">
        <f t="shared" si="111"/>
        <v>8.4309999999999992</v>
      </c>
    </row>
    <row r="3569" spans="1:12" x14ac:dyDescent="0.3">
      <c r="A3569" s="2">
        <v>40086</v>
      </c>
      <c r="B3569" t="s">
        <v>13</v>
      </c>
      <c r="D3569" s="2">
        <v>40817</v>
      </c>
      <c r="E3569">
        <v>8.25</v>
      </c>
      <c r="G3569" s="2">
        <v>40817</v>
      </c>
      <c r="H3569">
        <v>8.327</v>
      </c>
      <c r="J3569" s="2">
        <v>40824</v>
      </c>
      <c r="K3569" s="3">
        <f t="shared" si="110"/>
        <v>8.25</v>
      </c>
      <c r="L3569" s="3">
        <f t="shared" si="111"/>
        <v>8.4309999999999992</v>
      </c>
    </row>
    <row r="3570" spans="1:12" x14ac:dyDescent="0.3">
      <c r="A3570" s="2">
        <v>40087</v>
      </c>
      <c r="B3570" t="s">
        <v>13</v>
      </c>
      <c r="D3570" s="2">
        <v>40818</v>
      </c>
      <c r="E3570">
        <v>8.25</v>
      </c>
      <c r="G3570" s="2">
        <v>40818</v>
      </c>
      <c r="H3570">
        <v>8.327</v>
      </c>
      <c r="J3570" s="2">
        <v>40825</v>
      </c>
      <c r="K3570" s="3">
        <f t="shared" si="110"/>
        <v>8.25</v>
      </c>
      <c r="L3570" s="3">
        <f t="shared" si="111"/>
        <v>8.4309999999999992</v>
      </c>
    </row>
    <row r="3571" spans="1:12" x14ac:dyDescent="0.3">
      <c r="A3571" s="2">
        <v>40088</v>
      </c>
      <c r="B3571" t="s">
        <v>13</v>
      </c>
      <c r="D3571" s="2">
        <v>40819</v>
      </c>
      <c r="E3571">
        <v>8.25</v>
      </c>
      <c r="G3571" s="2">
        <v>40819</v>
      </c>
      <c r="H3571">
        <v>8.3699999999999992</v>
      </c>
      <c r="J3571" s="2">
        <v>40826</v>
      </c>
      <c r="K3571" s="3">
        <f t="shared" si="110"/>
        <v>8.25</v>
      </c>
      <c r="L3571" s="3">
        <f t="shared" si="111"/>
        <v>8.4139999999999997</v>
      </c>
    </row>
    <row r="3572" spans="1:12" x14ac:dyDescent="0.3">
      <c r="A3572" s="2">
        <v>40089</v>
      </c>
      <c r="B3572" t="s">
        <v>13</v>
      </c>
      <c r="D3572" s="2">
        <v>40820</v>
      </c>
      <c r="E3572">
        <v>8.25</v>
      </c>
      <c r="G3572" s="2">
        <v>40820</v>
      </c>
      <c r="H3572">
        <v>8.3770000000000007</v>
      </c>
      <c r="J3572" s="2">
        <v>40827</v>
      </c>
      <c r="K3572" s="3">
        <f t="shared" si="110"/>
        <v>8.25</v>
      </c>
      <c r="L3572" s="3">
        <f t="shared" si="111"/>
        <v>8.5060000000000002</v>
      </c>
    </row>
    <row r="3573" spans="1:12" x14ac:dyDescent="0.3">
      <c r="A3573" s="2">
        <v>40090</v>
      </c>
      <c r="B3573" t="s">
        <v>13</v>
      </c>
      <c r="D3573" s="2">
        <v>40821</v>
      </c>
      <c r="E3573">
        <v>8.25</v>
      </c>
      <c r="G3573" s="2">
        <v>40821</v>
      </c>
      <c r="H3573">
        <v>8.4290000000000003</v>
      </c>
      <c r="J3573" s="2">
        <v>40828</v>
      </c>
      <c r="K3573" s="3">
        <f t="shared" si="110"/>
        <v>8.25</v>
      </c>
      <c r="L3573" s="3">
        <f t="shared" si="111"/>
        <v>8.5990000000000002</v>
      </c>
    </row>
    <row r="3574" spans="1:12" x14ac:dyDescent="0.3">
      <c r="A3574" s="2">
        <v>40091</v>
      </c>
      <c r="B3574" t="s">
        <v>13</v>
      </c>
      <c r="D3574" s="2">
        <v>40822</v>
      </c>
      <c r="E3574">
        <v>8.25</v>
      </c>
      <c r="G3574" s="2">
        <v>40822</v>
      </c>
      <c r="H3574">
        <v>8.5329999999999995</v>
      </c>
      <c r="J3574" s="2">
        <v>40829</v>
      </c>
      <c r="K3574" s="3">
        <f t="shared" si="110"/>
        <v>8.25</v>
      </c>
      <c r="L3574" s="3">
        <f t="shared" si="111"/>
        <v>8.4710000000000001</v>
      </c>
    </row>
    <row r="3575" spans="1:12" x14ac:dyDescent="0.3">
      <c r="A3575" s="2">
        <v>40092</v>
      </c>
      <c r="B3575" t="s">
        <v>13</v>
      </c>
      <c r="D3575" s="2">
        <v>40823</v>
      </c>
      <c r="E3575">
        <v>8.25</v>
      </c>
      <c r="G3575" s="2">
        <v>40823</v>
      </c>
      <c r="H3575">
        <v>8.4309999999999992</v>
      </c>
      <c r="J3575" s="2">
        <v>40830</v>
      </c>
      <c r="K3575" s="3">
        <f t="shared" si="110"/>
        <v>8.25</v>
      </c>
      <c r="L3575" s="3">
        <f t="shared" si="111"/>
        <v>8.4930000000000003</v>
      </c>
    </row>
    <row r="3576" spans="1:12" x14ac:dyDescent="0.3">
      <c r="A3576" s="2">
        <v>40093</v>
      </c>
      <c r="B3576" t="s">
        <v>13</v>
      </c>
      <c r="D3576" s="2">
        <v>40824</v>
      </c>
      <c r="E3576">
        <v>8.25</v>
      </c>
      <c r="G3576" s="2">
        <v>40824</v>
      </c>
      <c r="H3576">
        <v>8.4309999999999992</v>
      </c>
      <c r="J3576" s="2">
        <v>40831</v>
      </c>
      <c r="K3576" s="3">
        <f t="shared" si="110"/>
        <v>8.25</v>
      </c>
      <c r="L3576" s="3">
        <f t="shared" si="111"/>
        <v>8.4930000000000003</v>
      </c>
    </row>
    <row r="3577" spans="1:12" x14ac:dyDescent="0.3">
      <c r="A3577" s="2">
        <v>40094</v>
      </c>
      <c r="B3577" t="s">
        <v>13</v>
      </c>
      <c r="D3577" s="2">
        <v>40825</v>
      </c>
      <c r="E3577">
        <v>8.25</v>
      </c>
      <c r="G3577" s="2">
        <v>40825</v>
      </c>
      <c r="H3577">
        <v>8.4309999999999992</v>
      </c>
      <c r="J3577" s="2">
        <v>40832</v>
      </c>
      <c r="K3577" s="3">
        <f t="shared" si="110"/>
        <v>8.25</v>
      </c>
      <c r="L3577" s="3">
        <f t="shared" si="111"/>
        <v>8.4930000000000003</v>
      </c>
    </row>
    <row r="3578" spans="1:12" x14ac:dyDescent="0.3">
      <c r="A3578" s="2">
        <v>40095</v>
      </c>
      <c r="B3578" t="s">
        <v>13</v>
      </c>
      <c r="D3578" s="2">
        <v>40826</v>
      </c>
      <c r="E3578">
        <v>8.25</v>
      </c>
      <c r="G3578" s="2">
        <v>40826</v>
      </c>
      <c r="H3578">
        <v>8.4139999999999997</v>
      </c>
      <c r="J3578" s="2">
        <v>40833</v>
      </c>
      <c r="K3578" s="3">
        <f t="shared" si="110"/>
        <v>8.25</v>
      </c>
      <c r="L3578" s="3">
        <f t="shared" si="111"/>
        <v>8.532</v>
      </c>
    </row>
    <row r="3579" spans="1:12" x14ac:dyDescent="0.3">
      <c r="A3579" s="2">
        <v>40096</v>
      </c>
      <c r="B3579" t="s">
        <v>13</v>
      </c>
      <c r="D3579" s="2">
        <v>40827</v>
      </c>
      <c r="E3579">
        <v>8.25</v>
      </c>
      <c r="G3579" s="2">
        <v>40827</v>
      </c>
      <c r="H3579">
        <v>8.5060000000000002</v>
      </c>
      <c r="J3579" s="2">
        <v>40834</v>
      </c>
      <c r="K3579" s="3">
        <f t="shared" si="110"/>
        <v>8.25</v>
      </c>
      <c r="L3579" s="3">
        <f t="shared" si="111"/>
        <v>8.5380000000000003</v>
      </c>
    </row>
    <row r="3580" spans="1:12" x14ac:dyDescent="0.3">
      <c r="A3580" s="2">
        <v>40097</v>
      </c>
      <c r="B3580" t="s">
        <v>13</v>
      </c>
      <c r="D3580" s="2">
        <v>40828</v>
      </c>
      <c r="E3580">
        <v>8.25</v>
      </c>
      <c r="G3580" s="2">
        <v>40828</v>
      </c>
      <c r="H3580">
        <v>8.5990000000000002</v>
      </c>
      <c r="J3580" s="2">
        <v>40835</v>
      </c>
      <c r="K3580" s="3">
        <f t="shared" si="110"/>
        <v>8.25</v>
      </c>
      <c r="L3580" s="3">
        <f t="shared" si="111"/>
        <v>8.6059999999999999</v>
      </c>
    </row>
    <row r="3581" spans="1:12" x14ac:dyDescent="0.3">
      <c r="A3581" s="2">
        <v>40098</v>
      </c>
      <c r="B3581" t="s">
        <v>13</v>
      </c>
      <c r="D3581" s="2">
        <v>40829</v>
      </c>
      <c r="E3581">
        <v>8.25</v>
      </c>
      <c r="G3581" s="2">
        <v>40829</v>
      </c>
      <c r="H3581">
        <v>8.4710000000000001</v>
      </c>
      <c r="J3581" s="2">
        <v>40836</v>
      </c>
      <c r="K3581" s="3">
        <f t="shared" si="110"/>
        <v>8.25</v>
      </c>
      <c r="L3581" s="3">
        <f t="shared" si="111"/>
        <v>8.5890000000000004</v>
      </c>
    </row>
    <row r="3582" spans="1:12" x14ac:dyDescent="0.3">
      <c r="A3582" s="2">
        <v>40099</v>
      </c>
      <c r="B3582" t="s">
        <v>13</v>
      </c>
      <c r="D3582" s="2">
        <v>40830</v>
      </c>
      <c r="E3582">
        <v>8.25</v>
      </c>
      <c r="G3582" s="2">
        <v>40830</v>
      </c>
      <c r="H3582">
        <v>8.4930000000000003</v>
      </c>
      <c r="J3582" s="2">
        <v>40837</v>
      </c>
      <c r="K3582" s="3">
        <f t="shared" si="110"/>
        <v>8.25</v>
      </c>
      <c r="L3582" s="3">
        <f t="shared" si="111"/>
        <v>8.67</v>
      </c>
    </row>
    <row r="3583" spans="1:12" x14ac:dyDescent="0.3">
      <c r="A3583" s="2">
        <v>40100</v>
      </c>
      <c r="B3583" t="s">
        <v>13</v>
      </c>
      <c r="D3583" s="2">
        <v>40831</v>
      </c>
      <c r="E3583">
        <v>8.25</v>
      </c>
      <c r="G3583" s="2">
        <v>40831</v>
      </c>
      <c r="H3583">
        <v>8.4930000000000003</v>
      </c>
      <c r="J3583" s="2">
        <v>40838</v>
      </c>
      <c r="K3583" s="3">
        <f t="shared" si="110"/>
        <v>8.25</v>
      </c>
      <c r="L3583" s="3">
        <f t="shared" si="111"/>
        <v>8.67</v>
      </c>
    </row>
    <row r="3584" spans="1:12" x14ac:dyDescent="0.3">
      <c r="A3584" s="2">
        <v>40101</v>
      </c>
      <c r="B3584" t="s">
        <v>13</v>
      </c>
      <c r="D3584" s="2">
        <v>40832</v>
      </c>
      <c r="E3584">
        <v>8.25</v>
      </c>
      <c r="G3584" s="2">
        <v>40832</v>
      </c>
      <c r="H3584">
        <v>8.4930000000000003</v>
      </c>
      <c r="J3584" s="2">
        <v>40839</v>
      </c>
      <c r="K3584" s="3">
        <f t="shared" si="110"/>
        <v>8.25</v>
      </c>
      <c r="L3584" s="3">
        <f t="shared" si="111"/>
        <v>8.67</v>
      </c>
    </row>
    <row r="3585" spans="1:12" x14ac:dyDescent="0.3">
      <c r="A3585" s="2">
        <v>40102</v>
      </c>
      <c r="B3585" t="s">
        <v>13</v>
      </c>
      <c r="D3585" s="2">
        <v>40833</v>
      </c>
      <c r="E3585">
        <v>8.25</v>
      </c>
      <c r="G3585" s="2">
        <v>40833</v>
      </c>
      <c r="H3585">
        <v>8.532</v>
      </c>
      <c r="J3585" s="2">
        <v>40840</v>
      </c>
      <c r="K3585" s="3">
        <f t="shared" si="110"/>
        <v>8.25</v>
      </c>
      <c r="L3585" s="3">
        <f t="shared" si="111"/>
        <v>8.673</v>
      </c>
    </row>
    <row r="3586" spans="1:12" x14ac:dyDescent="0.3">
      <c r="A3586" s="2">
        <v>40103</v>
      </c>
      <c r="B3586" t="s">
        <v>13</v>
      </c>
      <c r="D3586" s="2">
        <v>40834</v>
      </c>
      <c r="E3586">
        <v>8.25</v>
      </c>
      <c r="G3586" s="2">
        <v>40834</v>
      </c>
      <c r="H3586">
        <v>8.5380000000000003</v>
      </c>
      <c r="J3586" s="2">
        <v>40841</v>
      </c>
      <c r="K3586" s="3">
        <f t="shared" si="110"/>
        <v>8.5</v>
      </c>
      <c r="L3586" s="3">
        <f t="shared" si="111"/>
        <v>8.6219999999999999</v>
      </c>
    </row>
    <row r="3587" spans="1:12" x14ac:dyDescent="0.3">
      <c r="A3587" s="2">
        <v>40104</v>
      </c>
      <c r="B3587" t="s">
        <v>13</v>
      </c>
      <c r="D3587" s="2">
        <v>40835</v>
      </c>
      <c r="E3587">
        <v>8.25</v>
      </c>
      <c r="G3587" s="2">
        <v>40835</v>
      </c>
      <c r="H3587">
        <v>8.6059999999999999</v>
      </c>
      <c r="J3587" s="2">
        <v>40842</v>
      </c>
      <c r="K3587" s="3">
        <f t="shared" ref="K3587:K3650" si="112">E3594</f>
        <v>8.5</v>
      </c>
      <c r="L3587" s="3">
        <f t="shared" ref="L3587:L3650" si="113">H3594</f>
        <v>8.641</v>
      </c>
    </row>
    <row r="3588" spans="1:12" x14ac:dyDescent="0.3">
      <c r="A3588" s="2">
        <v>40105</v>
      </c>
      <c r="B3588" t="s">
        <v>13</v>
      </c>
      <c r="D3588" s="2">
        <v>40836</v>
      </c>
      <c r="E3588">
        <v>8.25</v>
      </c>
      <c r="G3588" s="2">
        <v>40836</v>
      </c>
      <c r="H3588">
        <v>8.5890000000000004</v>
      </c>
      <c r="J3588" s="2">
        <v>40843</v>
      </c>
      <c r="K3588" s="3">
        <f t="shared" si="112"/>
        <v>8.5</v>
      </c>
      <c r="L3588" s="3">
        <f t="shared" si="113"/>
        <v>8.641</v>
      </c>
    </row>
    <row r="3589" spans="1:12" x14ac:dyDescent="0.3">
      <c r="A3589" s="2">
        <v>40106</v>
      </c>
      <c r="B3589" t="s">
        <v>13</v>
      </c>
      <c r="D3589" s="2">
        <v>40837</v>
      </c>
      <c r="E3589">
        <v>8.25</v>
      </c>
      <c r="G3589" s="2">
        <v>40837</v>
      </c>
      <c r="H3589">
        <v>8.67</v>
      </c>
      <c r="J3589" s="2">
        <v>40844</v>
      </c>
      <c r="K3589" s="3">
        <f t="shared" si="112"/>
        <v>8.5</v>
      </c>
      <c r="L3589" s="3">
        <f t="shared" si="113"/>
        <v>8.7100000000000009</v>
      </c>
    </row>
    <row r="3590" spans="1:12" x14ac:dyDescent="0.3">
      <c r="A3590" s="2">
        <v>40107</v>
      </c>
      <c r="B3590" t="s">
        <v>13</v>
      </c>
      <c r="D3590" s="2">
        <v>40838</v>
      </c>
      <c r="E3590">
        <v>8.25</v>
      </c>
      <c r="G3590" s="2">
        <v>40838</v>
      </c>
      <c r="H3590">
        <v>8.67</v>
      </c>
      <c r="J3590" s="2">
        <v>40845</v>
      </c>
      <c r="K3590" s="3">
        <f t="shared" si="112"/>
        <v>8.5</v>
      </c>
      <c r="L3590" s="3">
        <f t="shared" si="113"/>
        <v>8.7100000000000009</v>
      </c>
    </row>
    <row r="3591" spans="1:12" x14ac:dyDescent="0.3">
      <c r="A3591" s="2">
        <v>40108</v>
      </c>
      <c r="B3591" t="s">
        <v>13</v>
      </c>
      <c r="D3591" s="2">
        <v>40839</v>
      </c>
      <c r="E3591">
        <v>8.25</v>
      </c>
      <c r="G3591" s="2">
        <v>40839</v>
      </c>
      <c r="H3591">
        <v>8.67</v>
      </c>
      <c r="J3591" s="2">
        <v>40846</v>
      </c>
      <c r="K3591" s="3">
        <f t="shared" si="112"/>
        <v>8.5</v>
      </c>
      <c r="L3591" s="3">
        <f t="shared" si="113"/>
        <v>8.7100000000000009</v>
      </c>
    </row>
    <row r="3592" spans="1:12" x14ac:dyDescent="0.3">
      <c r="A3592" s="2">
        <v>40109</v>
      </c>
      <c r="B3592" t="s">
        <v>13</v>
      </c>
      <c r="D3592" s="2">
        <v>40840</v>
      </c>
      <c r="E3592">
        <v>8.25</v>
      </c>
      <c r="G3592" s="2">
        <v>40840</v>
      </c>
      <c r="H3592">
        <v>8.673</v>
      </c>
      <c r="J3592" s="2">
        <v>40847</v>
      </c>
      <c r="K3592" s="3">
        <f t="shared" si="112"/>
        <v>8.5</v>
      </c>
      <c r="L3592" s="3">
        <f t="shared" si="113"/>
        <v>8.6660000000000004</v>
      </c>
    </row>
    <row r="3593" spans="1:12" x14ac:dyDescent="0.3">
      <c r="A3593" s="2">
        <v>40110</v>
      </c>
      <c r="B3593" t="s">
        <v>13</v>
      </c>
      <c r="D3593" s="2">
        <v>40841</v>
      </c>
      <c r="E3593">
        <v>8.5</v>
      </c>
      <c r="G3593" s="2">
        <v>40841</v>
      </c>
      <c r="H3593">
        <v>8.6219999999999999</v>
      </c>
      <c r="J3593" s="2">
        <v>40848</v>
      </c>
      <c r="K3593" s="3">
        <f t="shared" si="112"/>
        <v>8.5</v>
      </c>
      <c r="L3593" s="3">
        <f t="shared" si="113"/>
        <v>8.6880000000000006</v>
      </c>
    </row>
    <row r="3594" spans="1:12" x14ac:dyDescent="0.3">
      <c r="A3594" s="2">
        <v>40111</v>
      </c>
      <c r="B3594" t="s">
        <v>13</v>
      </c>
      <c r="D3594" s="2">
        <v>40842</v>
      </c>
      <c r="E3594">
        <v>8.5</v>
      </c>
      <c r="G3594" s="2">
        <v>40842</v>
      </c>
      <c r="H3594">
        <v>8.641</v>
      </c>
      <c r="J3594" s="2">
        <v>40849</v>
      </c>
      <c r="K3594" s="3">
        <f t="shared" si="112"/>
        <v>8.5</v>
      </c>
      <c r="L3594" s="3">
        <f t="shared" si="113"/>
        <v>8.6310000000000002</v>
      </c>
    </row>
    <row r="3595" spans="1:12" x14ac:dyDescent="0.3">
      <c r="A3595" s="2">
        <v>40112</v>
      </c>
      <c r="B3595" t="s">
        <v>13</v>
      </c>
      <c r="D3595" s="2">
        <v>40843</v>
      </c>
      <c r="E3595">
        <v>8.5</v>
      </c>
      <c r="G3595" s="2">
        <v>40843</v>
      </c>
      <c r="H3595">
        <v>8.641</v>
      </c>
      <c r="J3595" s="2">
        <v>40850</v>
      </c>
      <c r="K3595" s="3">
        <f t="shared" si="112"/>
        <v>8.5</v>
      </c>
      <c r="L3595" s="3">
        <f t="shared" si="113"/>
        <v>8.6210000000000004</v>
      </c>
    </row>
    <row r="3596" spans="1:12" x14ac:dyDescent="0.3">
      <c r="A3596" s="2">
        <v>40113</v>
      </c>
      <c r="B3596" t="s">
        <v>13</v>
      </c>
      <c r="D3596" s="2">
        <v>40844</v>
      </c>
      <c r="E3596">
        <v>8.5</v>
      </c>
      <c r="G3596" s="2">
        <v>40844</v>
      </c>
      <c r="H3596">
        <v>8.7100000000000009</v>
      </c>
      <c r="J3596" s="2">
        <v>40851</v>
      </c>
      <c r="K3596" s="3">
        <f t="shared" si="112"/>
        <v>8.5</v>
      </c>
      <c r="L3596" s="3">
        <f t="shared" si="113"/>
        <v>8.6620000000000008</v>
      </c>
    </row>
    <row r="3597" spans="1:12" x14ac:dyDescent="0.3">
      <c r="A3597" s="2">
        <v>40114</v>
      </c>
      <c r="B3597" t="s">
        <v>13</v>
      </c>
      <c r="D3597" s="2">
        <v>40845</v>
      </c>
      <c r="E3597">
        <v>8.5</v>
      </c>
      <c r="G3597" s="2">
        <v>40845</v>
      </c>
      <c r="H3597">
        <v>8.7100000000000009</v>
      </c>
      <c r="J3597" s="2">
        <v>40852</v>
      </c>
      <c r="K3597" s="3">
        <f t="shared" si="112"/>
        <v>8.5</v>
      </c>
      <c r="L3597" s="3">
        <f t="shared" si="113"/>
        <v>8.6620000000000008</v>
      </c>
    </row>
    <row r="3598" spans="1:12" x14ac:dyDescent="0.3">
      <c r="A3598" s="2">
        <v>40115</v>
      </c>
      <c r="B3598" t="s">
        <v>13</v>
      </c>
      <c r="D3598" s="2">
        <v>40846</v>
      </c>
      <c r="E3598">
        <v>8.5</v>
      </c>
      <c r="G3598" s="2">
        <v>40846</v>
      </c>
      <c r="H3598">
        <v>8.7100000000000009</v>
      </c>
      <c r="J3598" s="2">
        <v>40853</v>
      </c>
      <c r="K3598" s="3">
        <f t="shared" si="112"/>
        <v>8.5</v>
      </c>
      <c r="L3598" s="3">
        <f t="shared" si="113"/>
        <v>8.6620000000000008</v>
      </c>
    </row>
    <row r="3599" spans="1:12" x14ac:dyDescent="0.3">
      <c r="A3599" s="2">
        <v>40116</v>
      </c>
      <c r="B3599" t="s">
        <v>13</v>
      </c>
      <c r="D3599" s="2">
        <v>40847</v>
      </c>
      <c r="E3599">
        <v>8.5</v>
      </c>
      <c r="G3599" s="2">
        <v>40847</v>
      </c>
      <c r="H3599">
        <v>8.6660000000000004</v>
      </c>
      <c r="J3599" s="2">
        <v>40854</v>
      </c>
      <c r="K3599" s="3">
        <f t="shared" si="112"/>
        <v>8.5</v>
      </c>
      <c r="L3599" s="3">
        <f t="shared" si="113"/>
        <v>8.6620000000000008</v>
      </c>
    </row>
    <row r="3600" spans="1:12" x14ac:dyDescent="0.3">
      <c r="A3600" s="2">
        <v>40117</v>
      </c>
      <c r="B3600" t="s">
        <v>13</v>
      </c>
      <c r="D3600" s="2">
        <v>40848</v>
      </c>
      <c r="E3600">
        <v>8.5</v>
      </c>
      <c r="G3600" s="2">
        <v>40848</v>
      </c>
      <c r="H3600">
        <v>8.6880000000000006</v>
      </c>
      <c r="J3600" s="2">
        <v>40855</v>
      </c>
      <c r="K3600" s="3">
        <f t="shared" si="112"/>
        <v>8.5</v>
      </c>
      <c r="L3600" s="3">
        <f t="shared" si="113"/>
        <v>8.6720000000000006</v>
      </c>
    </row>
    <row r="3601" spans="1:12" x14ac:dyDescent="0.3">
      <c r="A3601" s="2">
        <v>40118</v>
      </c>
      <c r="B3601" t="s">
        <v>13</v>
      </c>
      <c r="D3601" s="2">
        <v>40849</v>
      </c>
      <c r="E3601">
        <v>8.5</v>
      </c>
      <c r="G3601" s="2">
        <v>40849</v>
      </c>
      <c r="H3601">
        <v>8.6310000000000002</v>
      </c>
      <c r="J3601" s="2">
        <v>40856</v>
      </c>
      <c r="K3601" s="3">
        <f t="shared" si="112"/>
        <v>8.5</v>
      </c>
      <c r="L3601" s="3">
        <f t="shared" si="113"/>
        <v>8.7899999999999991</v>
      </c>
    </row>
    <row r="3602" spans="1:12" x14ac:dyDescent="0.3">
      <c r="A3602" s="2">
        <v>40119</v>
      </c>
      <c r="B3602" t="s">
        <v>13</v>
      </c>
      <c r="D3602" s="2">
        <v>40850</v>
      </c>
      <c r="E3602">
        <v>8.5</v>
      </c>
      <c r="G3602" s="2">
        <v>40850</v>
      </c>
      <c r="H3602">
        <v>8.6210000000000004</v>
      </c>
      <c r="J3602" s="2">
        <v>40857</v>
      </c>
      <c r="K3602" s="3">
        <f t="shared" si="112"/>
        <v>8.5</v>
      </c>
      <c r="L3602" s="3">
        <f t="shared" si="113"/>
        <v>8.7889999999999997</v>
      </c>
    </row>
    <row r="3603" spans="1:12" x14ac:dyDescent="0.3">
      <c r="A3603" s="2">
        <v>40120</v>
      </c>
      <c r="B3603" t="s">
        <v>13</v>
      </c>
      <c r="D3603" s="2">
        <v>40851</v>
      </c>
      <c r="E3603">
        <v>8.5</v>
      </c>
      <c r="G3603" s="2">
        <v>40851</v>
      </c>
      <c r="H3603">
        <v>8.6620000000000008</v>
      </c>
      <c r="J3603" s="2">
        <v>40858</v>
      </c>
      <c r="K3603" s="3">
        <f t="shared" si="112"/>
        <v>8.5</v>
      </c>
      <c r="L3603" s="3">
        <f t="shared" si="113"/>
        <v>8.7439999999999998</v>
      </c>
    </row>
    <row r="3604" spans="1:12" x14ac:dyDescent="0.3">
      <c r="A3604" s="2">
        <v>40121</v>
      </c>
      <c r="B3604" t="s">
        <v>13</v>
      </c>
      <c r="D3604" s="2">
        <v>40852</v>
      </c>
      <c r="E3604">
        <v>8.5</v>
      </c>
      <c r="G3604" s="2">
        <v>40852</v>
      </c>
      <c r="H3604">
        <v>8.6620000000000008</v>
      </c>
      <c r="J3604" s="2">
        <v>40859</v>
      </c>
      <c r="K3604" s="3">
        <f t="shared" si="112"/>
        <v>8.5</v>
      </c>
      <c r="L3604" s="3">
        <f t="shared" si="113"/>
        <v>8.7439999999999998</v>
      </c>
    </row>
    <row r="3605" spans="1:12" x14ac:dyDescent="0.3">
      <c r="A3605" s="2">
        <v>40122</v>
      </c>
      <c r="B3605" t="s">
        <v>13</v>
      </c>
      <c r="D3605" s="2">
        <v>40853</v>
      </c>
      <c r="E3605">
        <v>8.5</v>
      </c>
      <c r="G3605" s="2">
        <v>40853</v>
      </c>
      <c r="H3605">
        <v>8.6620000000000008</v>
      </c>
      <c r="J3605" s="2">
        <v>40860</v>
      </c>
      <c r="K3605" s="3">
        <f t="shared" si="112"/>
        <v>8.5</v>
      </c>
      <c r="L3605" s="3">
        <f t="shared" si="113"/>
        <v>8.7439999999999998</v>
      </c>
    </row>
    <row r="3606" spans="1:12" x14ac:dyDescent="0.3">
      <c r="A3606" s="2">
        <v>40123</v>
      </c>
      <c r="B3606" t="s">
        <v>13</v>
      </c>
      <c r="D3606" s="2">
        <v>40854</v>
      </c>
      <c r="E3606">
        <v>8.5</v>
      </c>
      <c r="G3606" s="2">
        <v>40854</v>
      </c>
      <c r="H3606">
        <v>8.6620000000000008</v>
      </c>
      <c r="J3606" s="2">
        <v>40861</v>
      </c>
      <c r="K3606" s="3">
        <f t="shared" si="112"/>
        <v>8.5</v>
      </c>
      <c r="L3606" s="3">
        <f t="shared" si="113"/>
        <v>8.7840000000000007</v>
      </c>
    </row>
    <row r="3607" spans="1:12" x14ac:dyDescent="0.3">
      <c r="A3607" s="2">
        <v>40124</v>
      </c>
      <c r="B3607" t="s">
        <v>13</v>
      </c>
      <c r="D3607" s="2">
        <v>40855</v>
      </c>
      <c r="E3607">
        <v>8.5</v>
      </c>
      <c r="G3607" s="2">
        <v>40855</v>
      </c>
      <c r="H3607">
        <v>8.6720000000000006</v>
      </c>
      <c r="J3607" s="2">
        <v>40862</v>
      </c>
      <c r="K3607" s="3">
        <f t="shared" si="112"/>
        <v>8.5</v>
      </c>
      <c r="L3607" s="3">
        <f t="shared" si="113"/>
        <v>8.734</v>
      </c>
    </row>
    <row r="3608" spans="1:12" x14ac:dyDescent="0.3">
      <c r="A3608" s="2">
        <v>40125</v>
      </c>
      <c r="B3608" t="s">
        <v>13</v>
      </c>
      <c r="D3608" s="2">
        <v>40856</v>
      </c>
      <c r="E3608">
        <v>8.5</v>
      </c>
      <c r="G3608" s="2">
        <v>40856</v>
      </c>
      <c r="H3608">
        <v>8.7899999999999991</v>
      </c>
      <c r="J3608" s="2">
        <v>40863</v>
      </c>
      <c r="K3608" s="3">
        <f t="shared" si="112"/>
        <v>8.5</v>
      </c>
      <c r="L3608" s="3">
        <f t="shared" si="113"/>
        <v>8.7870000000000008</v>
      </c>
    </row>
    <row r="3609" spans="1:12" x14ac:dyDescent="0.3">
      <c r="A3609" s="2">
        <v>40126</v>
      </c>
      <c r="B3609" t="s">
        <v>13</v>
      </c>
      <c r="D3609" s="2">
        <v>40857</v>
      </c>
      <c r="E3609">
        <v>8.5</v>
      </c>
      <c r="G3609" s="2">
        <v>40857</v>
      </c>
      <c r="H3609">
        <v>8.7889999999999997</v>
      </c>
      <c r="J3609" s="2">
        <v>40864</v>
      </c>
      <c r="K3609" s="3">
        <f t="shared" si="112"/>
        <v>8.5</v>
      </c>
      <c r="L3609" s="3">
        <f t="shared" si="113"/>
        <v>8.7690000000000001</v>
      </c>
    </row>
    <row r="3610" spans="1:12" x14ac:dyDescent="0.3">
      <c r="A3610" s="2">
        <v>40127</v>
      </c>
      <c r="B3610" t="s">
        <v>13</v>
      </c>
      <c r="D3610" s="2">
        <v>40858</v>
      </c>
      <c r="E3610">
        <v>8.5</v>
      </c>
      <c r="G3610" s="2">
        <v>40858</v>
      </c>
      <c r="H3610">
        <v>8.7439999999999998</v>
      </c>
      <c r="J3610" s="2">
        <v>40865</v>
      </c>
      <c r="K3610" s="3">
        <f t="shared" si="112"/>
        <v>8.5</v>
      </c>
      <c r="L3610" s="3">
        <f t="shared" si="113"/>
        <v>8.7720000000000002</v>
      </c>
    </row>
    <row r="3611" spans="1:12" x14ac:dyDescent="0.3">
      <c r="A3611" s="2">
        <v>40128</v>
      </c>
      <c r="B3611" t="s">
        <v>13</v>
      </c>
      <c r="D3611" s="2">
        <v>40859</v>
      </c>
      <c r="E3611">
        <v>8.5</v>
      </c>
      <c r="G3611" s="2">
        <v>40859</v>
      </c>
      <c r="H3611">
        <v>8.7439999999999998</v>
      </c>
      <c r="J3611" s="2">
        <v>40866</v>
      </c>
      <c r="K3611" s="3">
        <f t="shared" si="112"/>
        <v>8.5</v>
      </c>
      <c r="L3611" s="3">
        <f t="shared" si="113"/>
        <v>8.7720000000000002</v>
      </c>
    </row>
    <row r="3612" spans="1:12" x14ac:dyDescent="0.3">
      <c r="A3612" s="2">
        <v>40129</v>
      </c>
      <c r="B3612" t="s">
        <v>13</v>
      </c>
      <c r="D3612" s="2">
        <v>40860</v>
      </c>
      <c r="E3612">
        <v>8.5</v>
      </c>
      <c r="G3612" s="2">
        <v>40860</v>
      </c>
      <c r="H3612">
        <v>8.7439999999999998</v>
      </c>
      <c r="J3612" s="2">
        <v>40867</v>
      </c>
      <c r="K3612" s="3">
        <f t="shared" si="112"/>
        <v>8.5</v>
      </c>
      <c r="L3612" s="3">
        <f t="shared" si="113"/>
        <v>8.7720000000000002</v>
      </c>
    </row>
    <row r="3613" spans="1:12" x14ac:dyDescent="0.3">
      <c r="A3613" s="2">
        <v>40130</v>
      </c>
      <c r="B3613" t="s">
        <v>13</v>
      </c>
      <c r="D3613" s="2">
        <v>40861</v>
      </c>
      <c r="E3613">
        <v>8.5</v>
      </c>
      <c r="G3613" s="2">
        <v>40861</v>
      </c>
      <c r="H3613">
        <v>8.7840000000000007</v>
      </c>
      <c r="J3613" s="2">
        <v>40868</v>
      </c>
      <c r="K3613" s="3">
        <f t="shared" si="112"/>
        <v>8.5</v>
      </c>
      <c r="L3613" s="3">
        <f t="shared" si="113"/>
        <v>8.7460000000000004</v>
      </c>
    </row>
    <row r="3614" spans="1:12" x14ac:dyDescent="0.3">
      <c r="A3614" s="2">
        <v>40131</v>
      </c>
      <c r="B3614" t="s">
        <v>13</v>
      </c>
      <c r="D3614" s="2">
        <v>40862</v>
      </c>
      <c r="E3614">
        <v>8.5</v>
      </c>
      <c r="G3614" s="2">
        <v>40862</v>
      </c>
      <c r="H3614">
        <v>8.734</v>
      </c>
      <c r="J3614" s="2">
        <v>40869</v>
      </c>
      <c r="K3614" s="3">
        <f t="shared" si="112"/>
        <v>8.5</v>
      </c>
      <c r="L3614" s="3">
        <f t="shared" si="113"/>
        <v>8.7059999999999995</v>
      </c>
    </row>
    <row r="3615" spans="1:12" x14ac:dyDescent="0.3">
      <c r="A3615" s="2">
        <v>40132</v>
      </c>
      <c r="B3615" t="s">
        <v>13</v>
      </c>
      <c r="D3615" s="2">
        <v>40863</v>
      </c>
      <c r="E3615">
        <v>8.5</v>
      </c>
      <c r="G3615" s="2">
        <v>40863</v>
      </c>
      <c r="H3615">
        <v>8.7870000000000008</v>
      </c>
      <c r="J3615" s="2">
        <v>40870</v>
      </c>
      <c r="K3615" s="3">
        <f t="shared" si="112"/>
        <v>8.5</v>
      </c>
      <c r="L3615" s="3">
        <f t="shared" si="113"/>
        <v>8.6959999999999997</v>
      </c>
    </row>
    <row r="3616" spans="1:12" x14ac:dyDescent="0.3">
      <c r="A3616" s="2">
        <v>40133</v>
      </c>
      <c r="B3616" t="s">
        <v>13</v>
      </c>
      <c r="D3616" s="2">
        <v>40864</v>
      </c>
      <c r="E3616">
        <v>8.5</v>
      </c>
      <c r="G3616" s="2">
        <v>40864</v>
      </c>
      <c r="H3616">
        <v>8.7690000000000001</v>
      </c>
      <c r="J3616" s="2">
        <v>40871</v>
      </c>
      <c r="K3616" s="3">
        <f t="shared" si="112"/>
        <v>8.5</v>
      </c>
      <c r="L3616" s="3">
        <f t="shared" si="113"/>
        <v>8.6969999999999992</v>
      </c>
    </row>
    <row r="3617" spans="1:12" x14ac:dyDescent="0.3">
      <c r="A3617" s="2">
        <v>40134</v>
      </c>
      <c r="B3617" t="s">
        <v>13</v>
      </c>
      <c r="D3617" s="2">
        <v>40865</v>
      </c>
      <c r="E3617">
        <v>8.5</v>
      </c>
      <c r="G3617" s="2">
        <v>40865</v>
      </c>
      <c r="H3617">
        <v>8.7720000000000002</v>
      </c>
      <c r="J3617" s="2">
        <v>40872</v>
      </c>
      <c r="K3617" s="3">
        <f t="shared" si="112"/>
        <v>8.5</v>
      </c>
      <c r="L3617" s="3">
        <f t="shared" si="113"/>
        <v>8.84</v>
      </c>
    </row>
    <row r="3618" spans="1:12" x14ac:dyDescent="0.3">
      <c r="A3618" s="2">
        <v>40135</v>
      </c>
      <c r="B3618" t="s">
        <v>13</v>
      </c>
      <c r="D3618" s="2">
        <v>40866</v>
      </c>
      <c r="E3618">
        <v>8.5</v>
      </c>
      <c r="G3618" s="2">
        <v>40866</v>
      </c>
      <c r="H3618">
        <v>8.7720000000000002</v>
      </c>
      <c r="J3618" s="2">
        <v>40873</v>
      </c>
      <c r="K3618" s="3">
        <f t="shared" si="112"/>
        <v>8.5</v>
      </c>
      <c r="L3618" s="3">
        <f t="shared" si="113"/>
        <v>8.84</v>
      </c>
    </row>
    <row r="3619" spans="1:12" x14ac:dyDescent="0.3">
      <c r="A3619" s="2">
        <v>40136</v>
      </c>
      <c r="B3619" t="s">
        <v>13</v>
      </c>
      <c r="D3619" s="2">
        <v>40867</v>
      </c>
      <c r="E3619">
        <v>8.5</v>
      </c>
      <c r="G3619" s="2">
        <v>40867</v>
      </c>
      <c r="H3619">
        <v>8.7720000000000002</v>
      </c>
      <c r="J3619" s="2">
        <v>40874</v>
      </c>
      <c r="K3619" s="3">
        <f t="shared" si="112"/>
        <v>8.5</v>
      </c>
      <c r="L3619" s="3">
        <f t="shared" si="113"/>
        <v>8.84</v>
      </c>
    </row>
    <row r="3620" spans="1:12" x14ac:dyDescent="0.3">
      <c r="A3620" s="2">
        <v>40137</v>
      </c>
      <c r="B3620" t="s">
        <v>13</v>
      </c>
      <c r="D3620" s="2">
        <v>40868</v>
      </c>
      <c r="E3620">
        <v>8.5</v>
      </c>
      <c r="G3620" s="2">
        <v>40868</v>
      </c>
      <c r="H3620">
        <v>8.7460000000000004</v>
      </c>
      <c r="J3620" s="2">
        <v>40875</v>
      </c>
      <c r="K3620" s="3">
        <f t="shared" si="112"/>
        <v>8.5</v>
      </c>
      <c r="L3620" s="3">
        <f t="shared" si="113"/>
        <v>8.8569999999999993</v>
      </c>
    </row>
    <row r="3621" spans="1:12" x14ac:dyDescent="0.3">
      <c r="A3621" s="2">
        <v>40138</v>
      </c>
      <c r="B3621" t="s">
        <v>13</v>
      </c>
      <c r="D3621" s="2">
        <v>40869</v>
      </c>
      <c r="E3621">
        <v>8.5</v>
      </c>
      <c r="G3621" s="2">
        <v>40869</v>
      </c>
      <c r="H3621">
        <v>8.7059999999999995</v>
      </c>
      <c r="J3621" s="2">
        <v>40876</v>
      </c>
      <c r="K3621" s="3">
        <f t="shared" si="112"/>
        <v>8.5</v>
      </c>
      <c r="L3621" s="3">
        <f t="shared" si="113"/>
        <v>8.8670000000000009</v>
      </c>
    </row>
    <row r="3622" spans="1:12" x14ac:dyDescent="0.3">
      <c r="A3622" s="2">
        <v>40139</v>
      </c>
      <c r="B3622" t="s">
        <v>13</v>
      </c>
      <c r="D3622" s="2">
        <v>40870</v>
      </c>
      <c r="E3622">
        <v>8.5</v>
      </c>
      <c r="G3622" s="2">
        <v>40870</v>
      </c>
      <c r="H3622">
        <v>8.6959999999999997</v>
      </c>
      <c r="J3622" s="2">
        <v>40877</v>
      </c>
      <c r="K3622" s="3">
        <f t="shared" si="112"/>
        <v>8.5</v>
      </c>
      <c r="L3622" s="3">
        <f t="shared" si="113"/>
        <v>8.7620000000000005</v>
      </c>
    </row>
    <row r="3623" spans="1:12" x14ac:dyDescent="0.3">
      <c r="A3623" s="2">
        <v>40140</v>
      </c>
      <c r="B3623" t="s">
        <v>13</v>
      </c>
      <c r="D3623" s="2">
        <v>40871</v>
      </c>
      <c r="E3623">
        <v>8.5</v>
      </c>
      <c r="G3623" s="2">
        <v>40871</v>
      </c>
      <c r="H3623">
        <v>8.6969999999999992</v>
      </c>
      <c r="J3623" s="2">
        <v>40878</v>
      </c>
      <c r="K3623" s="3">
        <f t="shared" si="112"/>
        <v>8.5</v>
      </c>
      <c r="L3623" s="3">
        <f t="shared" si="113"/>
        <v>8.7119999999999997</v>
      </c>
    </row>
    <row r="3624" spans="1:12" x14ac:dyDescent="0.3">
      <c r="A3624" s="2">
        <v>40141</v>
      </c>
      <c r="B3624" t="s">
        <v>13</v>
      </c>
      <c r="D3624" s="2">
        <v>40872</v>
      </c>
      <c r="E3624">
        <v>8.5</v>
      </c>
      <c r="G3624" s="2">
        <v>40872</v>
      </c>
      <c r="H3624">
        <v>8.84</v>
      </c>
      <c r="J3624" s="2">
        <v>40879</v>
      </c>
      <c r="K3624" s="3">
        <f t="shared" si="112"/>
        <v>8.5</v>
      </c>
      <c r="L3624" s="3">
        <f t="shared" si="113"/>
        <v>8.6760000000000002</v>
      </c>
    </row>
    <row r="3625" spans="1:12" x14ac:dyDescent="0.3">
      <c r="A3625" s="2">
        <v>40142</v>
      </c>
      <c r="B3625" t="s">
        <v>13</v>
      </c>
      <c r="D3625" s="2">
        <v>40873</v>
      </c>
      <c r="E3625">
        <v>8.5</v>
      </c>
      <c r="G3625" s="2">
        <v>40873</v>
      </c>
      <c r="H3625">
        <v>8.84</v>
      </c>
      <c r="J3625" s="2">
        <v>40880</v>
      </c>
      <c r="K3625" s="3">
        <f t="shared" si="112"/>
        <v>8.5</v>
      </c>
      <c r="L3625" s="3">
        <f t="shared" si="113"/>
        <v>8.6760000000000002</v>
      </c>
    </row>
    <row r="3626" spans="1:12" x14ac:dyDescent="0.3">
      <c r="A3626" s="2">
        <v>40143</v>
      </c>
      <c r="B3626" t="s">
        <v>13</v>
      </c>
      <c r="D3626" s="2">
        <v>40874</v>
      </c>
      <c r="E3626">
        <v>8.5</v>
      </c>
      <c r="G3626" s="2">
        <v>40874</v>
      </c>
      <c r="H3626">
        <v>8.84</v>
      </c>
      <c r="J3626" s="2">
        <v>40881</v>
      </c>
      <c r="K3626" s="3">
        <f t="shared" si="112"/>
        <v>8.5</v>
      </c>
      <c r="L3626" s="3">
        <f t="shared" si="113"/>
        <v>8.6760000000000002</v>
      </c>
    </row>
    <row r="3627" spans="1:12" x14ac:dyDescent="0.3">
      <c r="A3627" s="2">
        <v>40144</v>
      </c>
      <c r="B3627" t="s">
        <v>13</v>
      </c>
      <c r="D3627" s="2">
        <v>40875</v>
      </c>
      <c r="E3627">
        <v>8.5</v>
      </c>
      <c r="G3627" s="2">
        <v>40875</v>
      </c>
      <c r="H3627">
        <v>8.8569999999999993</v>
      </c>
      <c r="J3627" s="2">
        <v>40882</v>
      </c>
      <c r="K3627" s="3">
        <f t="shared" si="112"/>
        <v>8.5</v>
      </c>
      <c r="L3627" s="3">
        <f t="shared" si="113"/>
        <v>8.6310000000000002</v>
      </c>
    </row>
    <row r="3628" spans="1:12" x14ac:dyDescent="0.3">
      <c r="A3628" s="2">
        <v>40145</v>
      </c>
      <c r="B3628" t="s">
        <v>13</v>
      </c>
      <c r="D3628" s="2">
        <v>40876</v>
      </c>
      <c r="E3628">
        <v>8.5</v>
      </c>
      <c r="G3628" s="2">
        <v>40876</v>
      </c>
      <c r="H3628">
        <v>8.8670000000000009</v>
      </c>
      <c r="J3628" s="2">
        <v>40883</v>
      </c>
      <c r="K3628" s="3">
        <f t="shared" si="112"/>
        <v>8.5</v>
      </c>
      <c r="L3628" s="3">
        <f t="shared" si="113"/>
        <v>8.593</v>
      </c>
    </row>
    <row r="3629" spans="1:12" x14ac:dyDescent="0.3">
      <c r="A3629" s="2">
        <v>40146</v>
      </c>
      <c r="B3629" t="s">
        <v>13</v>
      </c>
      <c r="D3629" s="2">
        <v>40877</v>
      </c>
      <c r="E3629">
        <v>8.5</v>
      </c>
      <c r="G3629" s="2">
        <v>40877</v>
      </c>
      <c r="H3629">
        <v>8.7620000000000005</v>
      </c>
      <c r="J3629" s="2">
        <v>40884</v>
      </c>
      <c r="K3629" s="3">
        <f t="shared" si="112"/>
        <v>8.5</v>
      </c>
      <c r="L3629" s="3">
        <f t="shared" si="113"/>
        <v>8.5640000000000001</v>
      </c>
    </row>
    <row r="3630" spans="1:12" x14ac:dyDescent="0.3">
      <c r="A3630" s="2">
        <v>40147</v>
      </c>
      <c r="B3630" t="s">
        <v>13</v>
      </c>
      <c r="D3630" s="2">
        <v>40878</v>
      </c>
      <c r="E3630">
        <v>8.5</v>
      </c>
      <c r="G3630" s="2">
        <v>40878</v>
      </c>
      <c r="H3630">
        <v>8.7119999999999997</v>
      </c>
      <c r="J3630" s="2">
        <v>40885</v>
      </c>
      <c r="K3630" s="3">
        <f t="shared" si="112"/>
        <v>8.5</v>
      </c>
      <c r="L3630" s="3">
        <f t="shared" si="113"/>
        <v>8.5470000000000006</v>
      </c>
    </row>
    <row r="3631" spans="1:12" x14ac:dyDescent="0.3">
      <c r="A3631" s="2">
        <v>40148</v>
      </c>
      <c r="B3631" t="s">
        <v>13</v>
      </c>
      <c r="D3631" s="2">
        <v>40879</v>
      </c>
      <c r="E3631">
        <v>8.5</v>
      </c>
      <c r="G3631" s="2">
        <v>40879</v>
      </c>
      <c r="H3631">
        <v>8.6760000000000002</v>
      </c>
      <c r="J3631" s="2">
        <v>40886</v>
      </c>
      <c r="K3631" s="3">
        <f t="shared" si="112"/>
        <v>8.5</v>
      </c>
      <c r="L3631" s="3">
        <f t="shared" si="113"/>
        <v>8.5299999999999994</v>
      </c>
    </row>
    <row r="3632" spans="1:12" x14ac:dyDescent="0.3">
      <c r="A3632" s="2">
        <v>40149</v>
      </c>
      <c r="B3632" t="s">
        <v>13</v>
      </c>
      <c r="D3632" s="2">
        <v>40880</v>
      </c>
      <c r="E3632">
        <v>8.5</v>
      </c>
      <c r="G3632" s="2">
        <v>40880</v>
      </c>
      <c r="H3632">
        <v>8.6760000000000002</v>
      </c>
      <c r="J3632" s="2">
        <v>40887</v>
      </c>
      <c r="K3632" s="3">
        <f t="shared" si="112"/>
        <v>8.5</v>
      </c>
      <c r="L3632" s="3">
        <f t="shared" si="113"/>
        <v>8.5299999999999994</v>
      </c>
    </row>
    <row r="3633" spans="1:12" x14ac:dyDescent="0.3">
      <c r="A3633" s="2">
        <v>40150</v>
      </c>
      <c r="B3633" t="s">
        <v>13</v>
      </c>
      <c r="D3633" s="2">
        <v>40881</v>
      </c>
      <c r="E3633">
        <v>8.5</v>
      </c>
      <c r="G3633" s="2">
        <v>40881</v>
      </c>
      <c r="H3633">
        <v>8.6760000000000002</v>
      </c>
      <c r="J3633" s="2">
        <v>40888</v>
      </c>
      <c r="K3633" s="3">
        <f t="shared" si="112"/>
        <v>8.5</v>
      </c>
      <c r="L3633" s="3">
        <f t="shared" si="113"/>
        <v>8.5299999999999994</v>
      </c>
    </row>
    <row r="3634" spans="1:12" x14ac:dyDescent="0.3">
      <c r="A3634" s="2">
        <v>40151</v>
      </c>
      <c r="B3634" t="s">
        <v>13</v>
      </c>
      <c r="D3634" s="2">
        <v>40882</v>
      </c>
      <c r="E3634">
        <v>8.5</v>
      </c>
      <c r="G3634" s="2">
        <v>40882</v>
      </c>
      <c r="H3634">
        <v>8.6310000000000002</v>
      </c>
      <c r="J3634" s="2">
        <v>40889</v>
      </c>
      <c r="K3634" s="3">
        <f t="shared" si="112"/>
        <v>8.5</v>
      </c>
      <c r="L3634" s="3">
        <f t="shared" si="113"/>
        <v>8.5359999999999996</v>
      </c>
    </row>
    <row r="3635" spans="1:12" x14ac:dyDescent="0.3">
      <c r="A3635" s="2">
        <v>40152</v>
      </c>
      <c r="B3635" t="s">
        <v>13</v>
      </c>
      <c r="D3635" s="2">
        <v>40883</v>
      </c>
      <c r="E3635">
        <v>8.5</v>
      </c>
      <c r="G3635" s="2">
        <v>40883</v>
      </c>
      <c r="H3635">
        <v>8.593</v>
      </c>
      <c r="J3635" s="2">
        <v>40890</v>
      </c>
      <c r="K3635" s="3">
        <f t="shared" si="112"/>
        <v>8.5</v>
      </c>
      <c r="L3635" s="3">
        <f t="shared" si="113"/>
        <v>8.5960000000000001</v>
      </c>
    </row>
    <row r="3636" spans="1:12" x14ac:dyDescent="0.3">
      <c r="A3636" s="2">
        <v>40153</v>
      </c>
      <c r="B3636" t="s">
        <v>13</v>
      </c>
      <c r="D3636" s="2">
        <v>40884</v>
      </c>
      <c r="E3636">
        <v>8.5</v>
      </c>
      <c r="G3636" s="2">
        <v>40884</v>
      </c>
      <c r="H3636">
        <v>8.5640000000000001</v>
      </c>
      <c r="J3636" s="2">
        <v>40891</v>
      </c>
      <c r="K3636" s="3">
        <f t="shared" si="112"/>
        <v>8.5</v>
      </c>
      <c r="L3636" s="3">
        <f t="shared" si="113"/>
        <v>8.5470000000000006</v>
      </c>
    </row>
    <row r="3637" spans="1:12" x14ac:dyDescent="0.3">
      <c r="A3637" s="2">
        <v>40154</v>
      </c>
      <c r="B3637" t="s">
        <v>13</v>
      </c>
      <c r="D3637" s="2">
        <v>40885</v>
      </c>
      <c r="E3637">
        <v>8.5</v>
      </c>
      <c r="G3637" s="2">
        <v>40885</v>
      </c>
      <c r="H3637">
        <v>8.5470000000000006</v>
      </c>
      <c r="J3637" s="2">
        <v>40892</v>
      </c>
      <c r="K3637" s="3">
        <f t="shared" si="112"/>
        <v>8.5</v>
      </c>
      <c r="L3637" s="3">
        <f t="shared" si="113"/>
        <v>8.6479999999999997</v>
      </c>
    </row>
    <row r="3638" spans="1:12" x14ac:dyDescent="0.3">
      <c r="A3638" s="2">
        <v>40155</v>
      </c>
      <c r="B3638" t="s">
        <v>13</v>
      </c>
      <c r="D3638" s="2">
        <v>40886</v>
      </c>
      <c r="E3638">
        <v>8.5</v>
      </c>
      <c r="G3638" s="2">
        <v>40886</v>
      </c>
      <c r="H3638">
        <v>8.5299999999999994</v>
      </c>
      <c r="J3638" s="2">
        <v>40893</v>
      </c>
      <c r="K3638" s="3">
        <f t="shared" si="112"/>
        <v>8.5</v>
      </c>
      <c r="L3638" s="3">
        <f t="shared" si="113"/>
        <v>8.5969999999999995</v>
      </c>
    </row>
    <row r="3639" spans="1:12" x14ac:dyDescent="0.3">
      <c r="A3639" s="2">
        <v>40156</v>
      </c>
      <c r="B3639" t="s">
        <v>13</v>
      </c>
      <c r="D3639" s="2">
        <v>40887</v>
      </c>
      <c r="E3639">
        <v>8.5</v>
      </c>
      <c r="G3639" s="2">
        <v>40887</v>
      </c>
      <c r="H3639">
        <v>8.5299999999999994</v>
      </c>
      <c r="J3639" s="2">
        <v>40894</v>
      </c>
      <c r="K3639" s="3">
        <f t="shared" si="112"/>
        <v>8.5</v>
      </c>
      <c r="L3639" s="3">
        <f t="shared" si="113"/>
        <v>8.5969999999999995</v>
      </c>
    </row>
    <row r="3640" spans="1:12" x14ac:dyDescent="0.3">
      <c r="A3640" s="2">
        <v>40157</v>
      </c>
      <c r="B3640" t="s">
        <v>13</v>
      </c>
      <c r="D3640" s="2">
        <v>40888</v>
      </c>
      <c r="E3640">
        <v>8.5</v>
      </c>
      <c r="G3640" s="2">
        <v>40888</v>
      </c>
      <c r="H3640">
        <v>8.5299999999999994</v>
      </c>
      <c r="J3640" s="2">
        <v>40895</v>
      </c>
      <c r="K3640" s="3">
        <f t="shared" si="112"/>
        <v>8.5</v>
      </c>
      <c r="L3640" s="3">
        <f t="shared" si="113"/>
        <v>8.5969999999999995</v>
      </c>
    </row>
    <row r="3641" spans="1:12" x14ac:dyDescent="0.3">
      <c r="A3641" s="2">
        <v>40158</v>
      </c>
      <c r="B3641" t="s">
        <v>13</v>
      </c>
      <c r="D3641" s="2">
        <v>40889</v>
      </c>
      <c r="E3641">
        <v>8.5</v>
      </c>
      <c r="G3641" s="2">
        <v>40889</v>
      </c>
      <c r="H3641">
        <v>8.5359999999999996</v>
      </c>
      <c r="J3641" s="2">
        <v>40896</v>
      </c>
      <c r="K3641" s="3">
        <f t="shared" si="112"/>
        <v>8.5</v>
      </c>
      <c r="L3641" s="3">
        <f t="shared" si="113"/>
        <v>8.5879999999999992</v>
      </c>
    </row>
    <row r="3642" spans="1:12" x14ac:dyDescent="0.3">
      <c r="A3642" s="2">
        <v>40159</v>
      </c>
      <c r="B3642" t="s">
        <v>13</v>
      </c>
      <c r="D3642" s="2">
        <v>40890</v>
      </c>
      <c r="E3642">
        <v>8.5</v>
      </c>
      <c r="G3642" s="2">
        <v>40890</v>
      </c>
      <c r="H3642">
        <v>8.5960000000000001</v>
      </c>
      <c r="J3642" s="2">
        <v>40897</v>
      </c>
      <c r="K3642" s="3">
        <f t="shared" si="112"/>
        <v>8.5</v>
      </c>
      <c r="L3642" s="3">
        <f t="shared" si="113"/>
        <v>8.5839999999999996</v>
      </c>
    </row>
    <row r="3643" spans="1:12" x14ac:dyDescent="0.3">
      <c r="A3643" s="2">
        <v>40160</v>
      </c>
      <c r="B3643" t="s">
        <v>13</v>
      </c>
      <c r="D3643" s="2">
        <v>40891</v>
      </c>
      <c r="E3643">
        <v>8.5</v>
      </c>
      <c r="G3643" s="2">
        <v>40891</v>
      </c>
      <c r="H3643">
        <v>8.5470000000000006</v>
      </c>
      <c r="J3643" s="2">
        <v>40898</v>
      </c>
      <c r="K3643" s="3">
        <f t="shared" si="112"/>
        <v>8.5</v>
      </c>
      <c r="L3643" s="3">
        <f t="shared" si="113"/>
        <v>8.51</v>
      </c>
    </row>
    <row r="3644" spans="1:12" x14ac:dyDescent="0.3">
      <c r="A3644" s="2">
        <v>40161</v>
      </c>
      <c r="B3644" t="s">
        <v>13</v>
      </c>
      <c r="D3644" s="2">
        <v>40892</v>
      </c>
      <c r="E3644">
        <v>8.5</v>
      </c>
      <c r="G3644" s="2">
        <v>40892</v>
      </c>
      <c r="H3644">
        <v>8.6479999999999997</v>
      </c>
      <c r="J3644" s="2">
        <v>40899</v>
      </c>
      <c r="K3644" s="3">
        <f t="shared" si="112"/>
        <v>8.5</v>
      </c>
      <c r="L3644" s="3">
        <f t="shared" si="113"/>
        <v>8.4890000000000008</v>
      </c>
    </row>
    <row r="3645" spans="1:12" x14ac:dyDescent="0.3">
      <c r="A3645" s="2">
        <v>40162</v>
      </c>
      <c r="B3645" t="s">
        <v>13</v>
      </c>
      <c r="D3645" s="2">
        <v>40893</v>
      </c>
      <c r="E3645">
        <v>8.5</v>
      </c>
      <c r="G3645" s="2">
        <v>40893</v>
      </c>
      <c r="H3645">
        <v>8.5969999999999995</v>
      </c>
      <c r="J3645" s="2">
        <v>40900</v>
      </c>
      <c r="K3645" s="3">
        <f t="shared" si="112"/>
        <v>8.5</v>
      </c>
      <c r="L3645" s="3">
        <f t="shared" si="113"/>
        <v>8.4350000000000005</v>
      </c>
    </row>
    <row r="3646" spans="1:12" x14ac:dyDescent="0.3">
      <c r="A3646" s="2">
        <v>40163</v>
      </c>
      <c r="B3646" t="s">
        <v>13</v>
      </c>
      <c r="D3646" s="2">
        <v>40894</v>
      </c>
      <c r="E3646">
        <v>8.5</v>
      </c>
      <c r="G3646" s="2">
        <v>40894</v>
      </c>
      <c r="H3646">
        <v>8.5969999999999995</v>
      </c>
      <c r="J3646" s="2">
        <v>40901</v>
      </c>
      <c r="K3646" s="3">
        <f t="shared" si="112"/>
        <v>8.5</v>
      </c>
      <c r="L3646" s="3">
        <f t="shared" si="113"/>
        <v>8.4350000000000005</v>
      </c>
    </row>
    <row r="3647" spans="1:12" x14ac:dyDescent="0.3">
      <c r="A3647" s="2">
        <v>40164</v>
      </c>
      <c r="B3647" t="s">
        <v>13</v>
      </c>
      <c r="D3647" s="2">
        <v>40895</v>
      </c>
      <c r="E3647">
        <v>8.5</v>
      </c>
      <c r="G3647" s="2">
        <v>40895</v>
      </c>
      <c r="H3647">
        <v>8.5969999999999995</v>
      </c>
      <c r="J3647" s="2">
        <v>40902</v>
      </c>
      <c r="K3647" s="3">
        <f t="shared" si="112"/>
        <v>8.5</v>
      </c>
      <c r="L3647" s="3">
        <f t="shared" si="113"/>
        <v>8.4350000000000005</v>
      </c>
    </row>
    <row r="3648" spans="1:12" x14ac:dyDescent="0.3">
      <c r="A3648" s="2">
        <v>40165</v>
      </c>
      <c r="B3648" t="s">
        <v>13</v>
      </c>
      <c r="D3648" s="2">
        <v>40896</v>
      </c>
      <c r="E3648">
        <v>8.5</v>
      </c>
      <c r="G3648" s="2">
        <v>40896</v>
      </c>
      <c r="H3648">
        <v>8.5879999999999992</v>
      </c>
      <c r="J3648" s="2">
        <v>40903</v>
      </c>
      <c r="K3648" s="3">
        <f t="shared" si="112"/>
        <v>8.5</v>
      </c>
      <c r="L3648" s="3">
        <f t="shared" si="113"/>
        <v>8.5</v>
      </c>
    </row>
    <row r="3649" spans="1:12" x14ac:dyDescent="0.3">
      <c r="A3649" s="2">
        <v>40166</v>
      </c>
      <c r="B3649" t="s">
        <v>13</v>
      </c>
      <c r="D3649" s="2">
        <v>40897</v>
      </c>
      <c r="E3649">
        <v>8.5</v>
      </c>
      <c r="G3649" s="2">
        <v>40897</v>
      </c>
      <c r="H3649">
        <v>8.5839999999999996</v>
      </c>
      <c r="J3649" s="2">
        <v>40904</v>
      </c>
      <c r="K3649" s="3">
        <f t="shared" si="112"/>
        <v>8.5</v>
      </c>
      <c r="L3649" s="3">
        <f t="shared" si="113"/>
        <v>8.4250000000000007</v>
      </c>
    </row>
    <row r="3650" spans="1:12" x14ac:dyDescent="0.3">
      <c r="A3650" s="2">
        <v>40167</v>
      </c>
      <c r="B3650" t="s">
        <v>13</v>
      </c>
      <c r="D3650" s="2">
        <v>40898</v>
      </c>
      <c r="E3650">
        <v>8.5</v>
      </c>
      <c r="G3650" s="2">
        <v>40898</v>
      </c>
      <c r="H3650">
        <v>8.51</v>
      </c>
      <c r="J3650" s="2">
        <v>40905</v>
      </c>
      <c r="K3650" s="3">
        <f t="shared" si="112"/>
        <v>8.5</v>
      </c>
      <c r="L3650" s="3">
        <f t="shared" si="113"/>
        <v>8.4320000000000004</v>
      </c>
    </row>
    <row r="3651" spans="1:12" x14ac:dyDescent="0.3">
      <c r="A3651" s="2">
        <v>40168</v>
      </c>
      <c r="B3651" t="s">
        <v>13</v>
      </c>
      <c r="D3651" s="2">
        <v>40899</v>
      </c>
      <c r="E3651">
        <v>8.5</v>
      </c>
      <c r="G3651" s="2">
        <v>40899</v>
      </c>
      <c r="H3651">
        <v>8.4890000000000008</v>
      </c>
      <c r="J3651" s="2">
        <v>40906</v>
      </c>
      <c r="K3651" s="3">
        <f t="shared" ref="K3651:K3714" si="114">E3658</f>
        <v>8.5</v>
      </c>
      <c r="L3651" s="3">
        <f t="shared" ref="L3651:L3714" si="115">H3658</f>
        <v>8.5109999999999992</v>
      </c>
    </row>
    <row r="3652" spans="1:12" x14ac:dyDescent="0.3">
      <c r="A3652" s="2">
        <v>40169</v>
      </c>
      <c r="B3652" t="s">
        <v>13</v>
      </c>
      <c r="D3652" s="2">
        <v>40900</v>
      </c>
      <c r="E3652">
        <v>8.5</v>
      </c>
      <c r="G3652" s="2">
        <v>40900</v>
      </c>
      <c r="H3652">
        <v>8.4350000000000005</v>
      </c>
      <c r="J3652" s="2">
        <v>40907</v>
      </c>
      <c r="K3652" s="3">
        <f t="shared" si="114"/>
        <v>8.5</v>
      </c>
      <c r="L3652" s="3">
        <f t="shared" si="115"/>
        <v>8.4659999999999993</v>
      </c>
    </row>
    <row r="3653" spans="1:12" x14ac:dyDescent="0.3">
      <c r="A3653" s="2">
        <v>40170</v>
      </c>
      <c r="B3653" t="s">
        <v>13</v>
      </c>
      <c r="D3653" s="2">
        <v>40901</v>
      </c>
      <c r="E3653">
        <v>8.5</v>
      </c>
      <c r="G3653" s="2">
        <v>40901</v>
      </c>
      <c r="H3653">
        <v>8.4350000000000005</v>
      </c>
      <c r="J3653" s="2">
        <v>40908</v>
      </c>
      <c r="K3653" s="3">
        <f t="shared" si="114"/>
        <v>8.5</v>
      </c>
      <c r="L3653" s="3">
        <f t="shared" si="115"/>
        <v>8.4659999999999993</v>
      </c>
    </row>
    <row r="3654" spans="1:12" x14ac:dyDescent="0.3">
      <c r="A3654" s="2">
        <v>40171</v>
      </c>
      <c r="B3654" t="s">
        <v>13</v>
      </c>
      <c r="D3654" s="2">
        <v>40902</v>
      </c>
      <c r="E3654">
        <v>8.5</v>
      </c>
      <c r="G3654" s="2">
        <v>40902</v>
      </c>
      <c r="H3654">
        <v>8.4350000000000005</v>
      </c>
      <c r="J3654" s="2">
        <v>40909</v>
      </c>
      <c r="K3654" s="3">
        <f t="shared" si="114"/>
        <v>8.5</v>
      </c>
      <c r="L3654" s="3">
        <f t="shared" si="115"/>
        <v>8.4659999999999993</v>
      </c>
    </row>
    <row r="3655" spans="1:12" x14ac:dyDescent="0.3">
      <c r="A3655" s="2">
        <v>40172</v>
      </c>
      <c r="B3655" t="s">
        <v>13</v>
      </c>
      <c r="D3655" s="2">
        <v>40903</v>
      </c>
      <c r="E3655">
        <v>8.5</v>
      </c>
      <c r="G3655" s="2">
        <v>40903</v>
      </c>
      <c r="H3655">
        <v>8.5</v>
      </c>
      <c r="J3655" s="2">
        <v>40910</v>
      </c>
      <c r="K3655" s="3">
        <f t="shared" si="114"/>
        <v>8.5</v>
      </c>
      <c r="L3655" s="3">
        <f t="shared" si="115"/>
        <v>8.4489999999999998</v>
      </c>
    </row>
    <row r="3656" spans="1:12" x14ac:dyDescent="0.3">
      <c r="A3656" s="2">
        <v>40173</v>
      </c>
      <c r="B3656" t="s">
        <v>13</v>
      </c>
      <c r="D3656" s="2">
        <v>40904</v>
      </c>
      <c r="E3656">
        <v>8.5</v>
      </c>
      <c r="G3656" s="2">
        <v>40904</v>
      </c>
      <c r="H3656">
        <v>8.4250000000000007</v>
      </c>
      <c r="J3656" s="2">
        <v>40911</v>
      </c>
      <c r="K3656" s="3">
        <f t="shared" si="114"/>
        <v>8.5</v>
      </c>
      <c r="L3656" s="3">
        <f t="shared" si="115"/>
        <v>8.0389999999999997</v>
      </c>
    </row>
    <row r="3657" spans="1:12" x14ac:dyDescent="0.3">
      <c r="A3657" s="2">
        <v>40174</v>
      </c>
      <c r="B3657" t="s">
        <v>13</v>
      </c>
      <c r="D3657" s="2">
        <v>40905</v>
      </c>
      <c r="E3657">
        <v>8.5</v>
      </c>
      <c r="G3657" s="2">
        <v>40905</v>
      </c>
      <c r="H3657">
        <v>8.4320000000000004</v>
      </c>
      <c r="J3657" s="2">
        <v>40912</v>
      </c>
      <c r="K3657" s="3">
        <f t="shared" si="114"/>
        <v>8.5</v>
      </c>
      <c r="L3657" s="3">
        <f t="shared" si="115"/>
        <v>8.0709999999999997</v>
      </c>
    </row>
    <row r="3658" spans="1:12" x14ac:dyDescent="0.3">
      <c r="A3658" s="2">
        <v>40175</v>
      </c>
      <c r="B3658" t="s">
        <v>13</v>
      </c>
      <c r="D3658" s="2">
        <v>40906</v>
      </c>
      <c r="E3658">
        <v>8.5</v>
      </c>
      <c r="G3658" s="2">
        <v>40906</v>
      </c>
      <c r="H3658">
        <v>8.5109999999999992</v>
      </c>
      <c r="J3658" s="2">
        <v>40913</v>
      </c>
      <c r="K3658" s="3">
        <f t="shared" si="114"/>
        <v>8.5</v>
      </c>
      <c r="L3658" s="3">
        <f t="shared" si="115"/>
        <v>8.0730000000000004</v>
      </c>
    </row>
    <row r="3659" spans="1:12" x14ac:dyDescent="0.3">
      <c r="A3659" s="2">
        <v>40176</v>
      </c>
      <c r="B3659" t="s">
        <v>13</v>
      </c>
      <c r="D3659" s="2">
        <v>40907</v>
      </c>
      <c r="E3659">
        <v>8.5</v>
      </c>
      <c r="G3659" s="2">
        <v>40907</v>
      </c>
      <c r="H3659">
        <v>8.4659999999999993</v>
      </c>
      <c r="J3659" s="2">
        <v>40914</v>
      </c>
      <c r="K3659" s="3">
        <f t="shared" si="114"/>
        <v>8.5</v>
      </c>
      <c r="L3659" s="3">
        <f t="shared" si="115"/>
        <v>8.0730000000000004</v>
      </c>
    </row>
    <row r="3660" spans="1:12" x14ac:dyDescent="0.3">
      <c r="A3660" s="2">
        <v>40177</v>
      </c>
      <c r="B3660" t="s">
        <v>13</v>
      </c>
      <c r="D3660" s="2">
        <v>40908</v>
      </c>
      <c r="E3660">
        <v>8.5</v>
      </c>
      <c r="G3660" s="2">
        <v>40908</v>
      </c>
      <c r="H3660">
        <v>8.4659999999999993</v>
      </c>
      <c r="J3660" s="2">
        <v>40915</v>
      </c>
      <c r="K3660" s="3">
        <f t="shared" si="114"/>
        <v>8.5</v>
      </c>
      <c r="L3660" s="3">
        <f t="shared" si="115"/>
        <v>8.0730000000000004</v>
      </c>
    </row>
    <row r="3661" spans="1:12" x14ac:dyDescent="0.3">
      <c r="A3661" s="2">
        <v>40178</v>
      </c>
      <c r="B3661" t="s">
        <v>13</v>
      </c>
      <c r="D3661" s="2">
        <v>40909</v>
      </c>
      <c r="E3661">
        <v>8.5</v>
      </c>
      <c r="G3661" s="2">
        <v>40909</v>
      </c>
      <c r="H3661">
        <v>8.4659999999999993</v>
      </c>
      <c r="J3661" s="2">
        <v>40916</v>
      </c>
      <c r="K3661" s="3">
        <f t="shared" si="114"/>
        <v>8.5</v>
      </c>
      <c r="L3661" s="3">
        <f t="shared" si="115"/>
        <v>8.0730000000000004</v>
      </c>
    </row>
    <row r="3662" spans="1:12" x14ac:dyDescent="0.3">
      <c r="A3662" s="2">
        <v>40179</v>
      </c>
      <c r="B3662" t="s">
        <v>13</v>
      </c>
      <c r="D3662" s="2">
        <v>40910</v>
      </c>
      <c r="E3662">
        <v>8.5</v>
      </c>
      <c r="G3662" s="2">
        <v>40910</v>
      </c>
      <c r="H3662">
        <v>8.4489999999999998</v>
      </c>
      <c r="J3662" s="2">
        <v>40917</v>
      </c>
      <c r="K3662" s="3">
        <f t="shared" si="114"/>
        <v>8.5</v>
      </c>
      <c r="L3662" s="3">
        <f t="shared" si="115"/>
        <v>8.0120000000000005</v>
      </c>
    </row>
    <row r="3663" spans="1:12" x14ac:dyDescent="0.3">
      <c r="A3663" s="2">
        <v>40180</v>
      </c>
      <c r="B3663" t="s">
        <v>13</v>
      </c>
      <c r="D3663" s="2">
        <v>40911</v>
      </c>
      <c r="E3663">
        <v>8.5</v>
      </c>
      <c r="G3663" s="2">
        <v>40911</v>
      </c>
      <c r="H3663">
        <v>8.0389999999999997</v>
      </c>
      <c r="J3663" s="2">
        <v>40918</v>
      </c>
      <c r="K3663" s="3">
        <f t="shared" si="114"/>
        <v>8.5</v>
      </c>
      <c r="L3663" s="3">
        <f t="shared" si="115"/>
        <v>7.8860000000000001</v>
      </c>
    </row>
    <row r="3664" spans="1:12" x14ac:dyDescent="0.3">
      <c r="A3664" s="2">
        <v>40181</v>
      </c>
      <c r="B3664" t="s">
        <v>13</v>
      </c>
      <c r="D3664" s="2">
        <v>40912</v>
      </c>
      <c r="E3664">
        <v>8.5</v>
      </c>
      <c r="G3664" s="2">
        <v>40912</v>
      </c>
      <c r="H3664">
        <v>8.0709999999999997</v>
      </c>
      <c r="J3664" s="2">
        <v>40919</v>
      </c>
      <c r="K3664" s="3">
        <f t="shared" si="114"/>
        <v>8.5</v>
      </c>
      <c r="L3664" s="3">
        <f t="shared" si="115"/>
        <v>7.9260000000000002</v>
      </c>
    </row>
    <row r="3665" spans="1:12" x14ac:dyDescent="0.3">
      <c r="A3665" s="2">
        <v>40182</v>
      </c>
      <c r="B3665" t="s">
        <v>13</v>
      </c>
      <c r="D3665" s="2">
        <v>40913</v>
      </c>
      <c r="E3665">
        <v>8.5</v>
      </c>
      <c r="G3665" s="2">
        <v>40913</v>
      </c>
      <c r="H3665">
        <v>8.0730000000000004</v>
      </c>
      <c r="J3665" s="2">
        <v>40920</v>
      </c>
      <c r="K3665" s="3">
        <f t="shared" si="114"/>
        <v>8.5</v>
      </c>
      <c r="L3665" s="3">
        <f t="shared" si="115"/>
        <v>8.0760000000000005</v>
      </c>
    </row>
    <row r="3666" spans="1:12" x14ac:dyDescent="0.3">
      <c r="A3666" s="2">
        <v>40183</v>
      </c>
      <c r="B3666" t="s">
        <v>13</v>
      </c>
      <c r="D3666" s="2">
        <v>40914</v>
      </c>
      <c r="E3666">
        <v>8.5</v>
      </c>
      <c r="G3666" s="2">
        <v>40914</v>
      </c>
      <c r="H3666">
        <v>8.0730000000000004</v>
      </c>
      <c r="J3666" s="2">
        <v>40921</v>
      </c>
      <c r="K3666" s="3">
        <f t="shared" si="114"/>
        <v>8.5</v>
      </c>
      <c r="L3666" s="3">
        <f t="shared" si="115"/>
        <v>7.9980000000000002</v>
      </c>
    </row>
    <row r="3667" spans="1:12" x14ac:dyDescent="0.3">
      <c r="A3667" s="2">
        <v>40184</v>
      </c>
      <c r="B3667" t="s">
        <v>13</v>
      </c>
      <c r="D3667" s="2">
        <v>40915</v>
      </c>
      <c r="E3667">
        <v>8.5</v>
      </c>
      <c r="G3667" s="2">
        <v>40915</v>
      </c>
      <c r="H3667">
        <v>8.0730000000000004</v>
      </c>
      <c r="J3667" s="2">
        <v>40922</v>
      </c>
      <c r="K3667" s="3">
        <f t="shared" si="114"/>
        <v>8.5</v>
      </c>
      <c r="L3667" s="3">
        <f t="shared" si="115"/>
        <v>7.9980000000000002</v>
      </c>
    </row>
    <row r="3668" spans="1:12" x14ac:dyDescent="0.3">
      <c r="A3668" s="2">
        <v>40185</v>
      </c>
      <c r="B3668" t="s">
        <v>13</v>
      </c>
      <c r="D3668" s="2">
        <v>40916</v>
      </c>
      <c r="E3668">
        <v>8.5</v>
      </c>
      <c r="G3668" s="2">
        <v>40916</v>
      </c>
      <c r="H3668">
        <v>8.0730000000000004</v>
      </c>
      <c r="J3668" s="2">
        <v>40923</v>
      </c>
      <c r="K3668" s="3">
        <f t="shared" si="114"/>
        <v>8.5</v>
      </c>
      <c r="L3668" s="3">
        <f t="shared" si="115"/>
        <v>7.9980000000000002</v>
      </c>
    </row>
    <row r="3669" spans="1:12" x14ac:dyDescent="0.3">
      <c r="A3669" s="2">
        <v>40186</v>
      </c>
      <c r="B3669" t="s">
        <v>13</v>
      </c>
      <c r="D3669" s="2">
        <v>40917</v>
      </c>
      <c r="E3669">
        <v>8.5</v>
      </c>
      <c r="G3669" s="2">
        <v>40917</v>
      </c>
      <c r="H3669">
        <v>8.0120000000000005</v>
      </c>
      <c r="J3669" s="2">
        <v>40924</v>
      </c>
      <c r="K3669" s="3">
        <f t="shared" si="114"/>
        <v>8.5</v>
      </c>
      <c r="L3669" s="3">
        <f t="shared" si="115"/>
        <v>8</v>
      </c>
    </row>
    <row r="3670" spans="1:12" x14ac:dyDescent="0.3">
      <c r="A3670" s="2">
        <v>40187</v>
      </c>
      <c r="B3670" t="s">
        <v>13</v>
      </c>
      <c r="D3670" s="2">
        <v>40918</v>
      </c>
      <c r="E3670">
        <v>8.5</v>
      </c>
      <c r="G3670" s="2">
        <v>40918</v>
      </c>
      <c r="H3670">
        <v>7.8860000000000001</v>
      </c>
      <c r="J3670" s="2">
        <v>40925</v>
      </c>
      <c r="K3670" s="3">
        <f t="shared" si="114"/>
        <v>8.5</v>
      </c>
      <c r="L3670" s="3">
        <f t="shared" si="115"/>
        <v>8.0030000000000001</v>
      </c>
    </row>
    <row r="3671" spans="1:12" x14ac:dyDescent="0.3">
      <c r="A3671" s="2">
        <v>40188</v>
      </c>
      <c r="B3671" t="s">
        <v>13</v>
      </c>
      <c r="D3671" s="2">
        <v>40919</v>
      </c>
      <c r="E3671">
        <v>8.5</v>
      </c>
      <c r="G3671" s="2">
        <v>40919</v>
      </c>
      <c r="H3671">
        <v>7.9260000000000002</v>
      </c>
      <c r="J3671" s="2">
        <v>40926</v>
      </c>
      <c r="K3671" s="3">
        <f t="shared" si="114"/>
        <v>8.5</v>
      </c>
      <c r="L3671" s="3">
        <f t="shared" si="115"/>
        <v>8.0410000000000004</v>
      </c>
    </row>
    <row r="3672" spans="1:12" x14ac:dyDescent="0.3">
      <c r="A3672" s="2">
        <v>40189</v>
      </c>
      <c r="B3672" t="s">
        <v>13</v>
      </c>
      <c r="D3672" s="2">
        <v>40920</v>
      </c>
      <c r="E3672">
        <v>8.5</v>
      </c>
      <c r="G3672" s="2">
        <v>40920</v>
      </c>
      <c r="H3672">
        <v>8.0760000000000005</v>
      </c>
      <c r="J3672" s="2">
        <v>40927</v>
      </c>
      <c r="K3672" s="3">
        <f t="shared" si="114"/>
        <v>8.5</v>
      </c>
      <c r="L3672" s="3">
        <f t="shared" si="115"/>
        <v>7.9980000000000002</v>
      </c>
    </row>
    <row r="3673" spans="1:12" x14ac:dyDescent="0.3">
      <c r="A3673" s="2">
        <v>40190</v>
      </c>
      <c r="B3673" t="s">
        <v>13</v>
      </c>
      <c r="D3673" s="2">
        <v>40921</v>
      </c>
      <c r="E3673">
        <v>8.5</v>
      </c>
      <c r="G3673" s="2">
        <v>40921</v>
      </c>
      <c r="H3673">
        <v>7.9980000000000002</v>
      </c>
      <c r="J3673" s="2">
        <v>40928</v>
      </c>
      <c r="K3673" s="3">
        <f t="shared" si="114"/>
        <v>8.5</v>
      </c>
      <c r="L3673" s="3">
        <f t="shared" si="115"/>
        <v>8.0440000000000005</v>
      </c>
    </row>
    <row r="3674" spans="1:12" x14ac:dyDescent="0.3">
      <c r="A3674" s="2">
        <v>40191</v>
      </c>
      <c r="B3674" t="s">
        <v>13</v>
      </c>
      <c r="D3674" s="2">
        <v>40922</v>
      </c>
      <c r="E3674">
        <v>8.5</v>
      </c>
      <c r="G3674" s="2">
        <v>40922</v>
      </c>
      <c r="H3674">
        <v>7.9980000000000002</v>
      </c>
      <c r="J3674" s="2">
        <v>40929</v>
      </c>
      <c r="K3674" s="3">
        <f t="shared" si="114"/>
        <v>8.5</v>
      </c>
      <c r="L3674" s="3">
        <f t="shared" si="115"/>
        <v>8.0440000000000005</v>
      </c>
    </row>
    <row r="3675" spans="1:12" x14ac:dyDescent="0.3">
      <c r="A3675" s="2">
        <v>40192</v>
      </c>
      <c r="B3675" t="s">
        <v>13</v>
      </c>
      <c r="D3675" s="2">
        <v>40923</v>
      </c>
      <c r="E3675">
        <v>8.5</v>
      </c>
      <c r="G3675" s="2">
        <v>40923</v>
      </c>
      <c r="H3675">
        <v>7.9980000000000002</v>
      </c>
      <c r="J3675" s="2">
        <v>40930</v>
      </c>
      <c r="K3675" s="3">
        <f t="shared" si="114"/>
        <v>8.5</v>
      </c>
      <c r="L3675" s="3">
        <f t="shared" si="115"/>
        <v>8.0440000000000005</v>
      </c>
    </row>
    <row r="3676" spans="1:12" x14ac:dyDescent="0.3">
      <c r="A3676" s="2">
        <v>40193</v>
      </c>
      <c r="B3676" t="s">
        <v>13</v>
      </c>
      <c r="D3676" s="2">
        <v>40924</v>
      </c>
      <c r="E3676">
        <v>8.5</v>
      </c>
      <c r="G3676" s="2">
        <v>40924</v>
      </c>
      <c r="H3676">
        <v>8</v>
      </c>
      <c r="J3676" s="2">
        <v>40931</v>
      </c>
      <c r="K3676" s="3">
        <f t="shared" si="114"/>
        <v>8.5</v>
      </c>
      <c r="L3676" s="3">
        <f t="shared" si="115"/>
        <v>8.0470000000000006</v>
      </c>
    </row>
    <row r="3677" spans="1:12" x14ac:dyDescent="0.3">
      <c r="A3677" s="2">
        <v>40194</v>
      </c>
      <c r="B3677" t="s">
        <v>13</v>
      </c>
      <c r="D3677" s="2">
        <v>40925</v>
      </c>
      <c r="E3677">
        <v>8.5</v>
      </c>
      <c r="G3677" s="2">
        <v>40925</v>
      </c>
      <c r="H3677">
        <v>8.0030000000000001</v>
      </c>
      <c r="J3677" s="2">
        <v>40932</v>
      </c>
      <c r="K3677" s="3">
        <f t="shared" si="114"/>
        <v>8.5</v>
      </c>
      <c r="L3677" s="3">
        <f t="shared" si="115"/>
        <v>8.0909999999999993</v>
      </c>
    </row>
    <row r="3678" spans="1:12" x14ac:dyDescent="0.3">
      <c r="A3678" s="2">
        <v>40195</v>
      </c>
      <c r="B3678" t="s">
        <v>13</v>
      </c>
      <c r="D3678" s="2">
        <v>40926</v>
      </c>
      <c r="E3678">
        <v>8.5</v>
      </c>
      <c r="G3678" s="2">
        <v>40926</v>
      </c>
      <c r="H3678">
        <v>8.0410000000000004</v>
      </c>
      <c r="J3678" s="2">
        <v>40933</v>
      </c>
      <c r="K3678" s="3">
        <f t="shared" si="114"/>
        <v>8.5</v>
      </c>
      <c r="L3678" s="3">
        <f t="shared" si="115"/>
        <v>8.202</v>
      </c>
    </row>
    <row r="3679" spans="1:12" x14ac:dyDescent="0.3">
      <c r="A3679" s="2">
        <v>40196</v>
      </c>
      <c r="B3679" t="s">
        <v>13</v>
      </c>
      <c r="D3679" s="2">
        <v>40927</v>
      </c>
      <c r="E3679">
        <v>8.5</v>
      </c>
      <c r="G3679" s="2">
        <v>40927</v>
      </c>
      <c r="H3679">
        <v>7.9980000000000002</v>
      </c>
      <c r="J3679" s="2">
        <v>40934</v>
      </c>
      <c r="K3679" s="3">
        <f t="shared" si="114"/>
        <v>8.5</v>
      </c>
      <c r="L3679" s="3">
        <f t="shared" si="115"/>
        <v>8.2010000000000005</v>
      </c>
    </row>
    <row r="3680" spans="1:12" x14ac:dyDescent="0.3">
      <c r="A3680" s="2">
        <v>40197</v>
      </c>
      <c r="B3680" t="s">
        <v>13</v>
      </c>
      <c r="D3680" s="2">
        <v>40928</v>
      </c>
      <c r="E3680">
        <v>8.5</v>
      </c>
      <c r="G3680" s="2">
        <v>40928</v>
      </c>
      <c r="H3680">
        <v>8.0440000000000005</v>
      </c>
      <c r="J3680" s="2">
        <v>40935</v>
      </c>
      <c r="K3680" s="3">
        <f t="shared" si="114"/>
        <v>8.5</v>
      </c>
      <c r="L3680" s="3">
        <f t="shared" si="115"/>
        <v>8.2149999999999999</v>
      </c>
    </row>
    <row r="3681" spans="1:12" x14ac:dyDescent="0.3">
      <c r="A3681" s="2">
        <v>40198</v>
      </c>
      <c r="B3681" t="s">
        <v>13</v>
      </c>
      <c r="D3681" s="2">
        <v>40929</v>
      </c>
      <c r="E3681">
        <v>8.5</v>
      </c>
      <c r="G3681" s="2">
        <v>40929</v>
      </c>
      <c r="H3681">
        <v>8.0440000000000005</v>
      </c>
      <c r="J3681" s="2">
        <v>40936</v>
      </c>
      <c r="K3681" s="3">
        <f t="shared" si="114"/>
        <v>8.5</v>
      </c>
      <c r="L3681" s="3">
        <f t="shared" si="115"/>
        <v>8.2149999999999999</v>
      </c>
    </row>
    <row r="3682" spans="1:12" x14ac:dyDescent="0.3">
      <c r="A3682" s="2">
        <v>40199</v>
      </c>
      <c r="B3682" t="s">
        <v>13</v>
      </c>
      <c r="D3682" s="2">
        <v>40930</v>
      </c>
      <c r="E3682">
        <v>8.5</v>
      </c>
      <c r="G3682" s="2">
        <v>40930</v>
      </c>
      <c r="H3682">
        <v>8.0440000000000005</v>
      </c>
      <c r="J3682" s="2">
        <v>40937</v>
      </c>
      <c r="K3682" s="3">
        <f t="shared" si="114"/>
        <v>8.5</v>
      </c>
      <c r="L3682" s="3">
        <f t="shared" si="115"/>
        <v>8.2149999999999999</v>
      </c>
    </row>
    <row r="3683" spans="1:12" x14ac:dyDescent="0.3">
      <c r="A3683" s="2">
        <v>40200</v>
      </c>
      <c r="B3683" t="s">
        <v>13</v>
      </c>
      <c r="D3683" s="2">
        <v>40931</v>
      </c>
      <c r="E3683">
        <v>8.5</v>
      </c>
      <c r="G3683" s="2">
        <v>40931</v>
      </c>
      <c r="H3683">
        <v>8.0470000000000006</v>
      </c>
      <c r="J3683" s="2">
        <v>40938</v>
      </c>
      <c r="K3683" s="3">
        <f t="shared" si="114"/>
        <v>8.5</v>
      </c>
      <c r="L3683" s="3">
        <f t="shared" si="115"/>
        <v>8.1159999999999997</v>
      </c>
    </row>
    <row r="3684" spans="1:12" x14ac:dyDescent="0.3">
      <c r="A3684" s="2">
        <v>40201</v>
      </c>
      <c r="B3684" t="s">
        <v>13</v>
      </c>
      <c r="D3684" s="2">
        <v>40932</v>
      </c>
      <c r="E3684">
        <v>8.5</v>
      </c>
      <c r="G3684" s="2">
        <v>40932</v>
      </c>
      <c r="H3684">
        <v>8.0909999999999993</v>
      </c>
      <c r="J3684" s="2">
        <v>40939</v>
      </c>
      <c r="K3684" s="3">
        <f t="shared" si="114"/>
        <v>8.5</v>
      </c>
      <c r="L3684" s="3">
        <f t="shared" si="115"/>
        <v>8.0510000000000002</v>
      </c>
    </row>
    <row r="3685" spans="1:12" x14ac:dyDescent="0.3">
      <c r="A3685" s="2">
        <v>40202</v>
      </c>
      <c r="B3685" t="s">
        <v>13</v>
      </c>
      <c r="D3685" s="2">
        <v>40933</v>
      </c>
      <c r="E3685">
        <v>8.5</v>
      </c>
      <c r="G3685" s="2">
        <v>40933</v>
      </c>
      <c r="H3685">
        <v>8.202</v>
      </c>
      <c r="J3685" s="2">
        <v>40940</v>
      </c>
      <c r="K3685" s="3">
        <f t="shared" si="114"/>
        <v>8.5</v>
      </c>
      <c r="L3685" s="3">
        <f t="shared" si="115"/>
        <v>8.0530000000000008</v>
      </c>
    </row>
    <row r="3686" spans="1:12" x14ac:dyDescent="0.3">
      <c r="A3686" s="2">
        <v>40203</v>
      </c>
      <c r="B3686" t="s">
        <v>13</v>
      </c>
      <c r="D3686" s="2">
        <v>40934</v>
      </c>
      <c r="E3686">
        <v>8.5</v>
      </c>
      <c r="G3686" s="2">
        <v>40934</v>
      </c>
      <c r="H3686">
        <v>8.2010000000000005</v>
      </c>
      <c r="J3686" s="2">
        <v>40941</v>
      </c>
      <c r="K3686" s="3">
        <f t="shared" si="114"/>
        <v>8.5</v>
      </c>
      <c r="L3686" s="3">
        <f t="shared" si="115"/>
        <v>8.0760000000000005</v>
      </c>
    </row>
    <row r="3687" spans="1:12" x14ac:dyDescent="0.3">
      <c r="A3687" s="2">
        <v>40204</v>
      </c>
      <c r="B3687" t="s">
        <v>13</v>
      </c>
      <c r="D3687" s="2">
        <v>40935</v>
      </c>
      <c r="E3687">
        <v>8.5</v>
      </c>
      <c r="G3687" s="2">
        <v>40935</v>
      </c>
      <c r="H3687">
        <v>8.2149999999999999</v>
      </c>
      <c r="J3687" s="2">
        <v>40942</v>
      </c>
      <c r="K3687" s="3">
        <f t="shared" si="114"/>
        <v>8.5</v>
      </c>
      <c r="L3687" s="3">
        <f t="shared" si="115"/>
        <v>8.0790000000000006</v>
      </c>
    </row>
    <row r="3688" spans="1:12" x14ac:dyDescent="0.3">
      <c r="A3688" s="2">
        <v>40205</v>
      </c>
      <c r="B3688" t="s">
        <v>13</v>
      </c>
      <c r="D3688" s="2">
        <v>40936</v>
      </c>
      <c r="E3688">
        <v>8.5</v>
      </c>
      <c r="G3688" s="2">
        <v>40936</v>
      </c>
      <c r="H3688">
        <v>8.2149999999999999</v>
      </c>
      <c r="J3688" s="2">
        <v>40943</v>
      </c>
      <c r="K3688" s="3">
        <f t="shared" si="114"/>
        <v>8.5</v>
      </c>
      <c r="L3688" s="3">
        <f t="shared" si="115"/>
        <v>8.0790000000000006</v>
      </c>
    </row>
    <row r="3689" spans="1:12" x14ac:dyDescent="0.3">
      <c r="A3689" s="2">
        <v>40206</v>
      </c>
      <c r="B3689" t="s">
        <v>13</v>
      </c>
      <c r="D3689" s="2">
        <v>40937</v>
      </c>
      <c r="E3689">
        <v>8.5</v>
      </c>
      <c r="G3689" s="2">
        <v>40937</v>
      </c>
      <c r="H3689">
        <v>8.2149999999999999</v>
      </c>
      <c r="J3689" s="2">
        <v>40944</v>
      </c>
      <c r="K3689" s="3">
        <f t="shared" si="114"/>
        <v>8.5</v>
      </c>
      <c r="L3689" s="3">
        <f t="shared" si="115"/>
        <v>8.0790000000000006</v>
      </c>
    </row>
    <row r="3690" spans="1:12" x14ac:dyDescent="0.3">
      <c r="A3690" s="2">
        <v>40207</v>
      </c>
      <c r="B3690" t="s">
        <v>13</v>
      </c>
      <c r="D3690" s="2">
        <v>40938</v>
      </c>
      <c r="E3690">
        <v>8.5</v>
      </c>
      <c r="G3690" s="2">
        <v>40938</v>
      </c>
      <c r="H3690">
        <v>8.1159999999999997</v>
      </c>
      <c r="J3690" s="2">
        <v>40945</v>
      </c>
      <c r="K3690" s="3">
        <f t="shared" si="114"/>
        <v>8.5</v>
      </c>
      <c r="L3690" s="3">
        <f t="shared" si="115"/>
        <v>8.08</v>
      </c>
    </row>
    <row r="3691" spans="1:12" x14ac:dyDescent="0.3">
      <c r="A3691" s="2">
        <v>40208</v>
      </c>
      <c r="B3691" t="s">
        <v>13</v>
      </c>
      <c r="D3691" s="2">
        <v>40939</v>
      </c>
      <c r="E3691">
        <v>8.5</v>
      </c>
      <c r="G3691" s="2">
        <v>40939</v>
      </c>
      <c r="H3691">
        <v>8.0510000000000002</v>
      </c>
      <c r="J3691" s="2">
        <v>40946</v>
      </c>
      <c r="K3691" s="3">
        <f t="shared" si="114"/>
        <v>8.5</v>
      </c>
      <c r="L3691" s="3">
        <f t="shared" si="115"/>
        <v>8.0670000000000002</v>
      </c>
    </row>
    <row r="3692" spans="1:12" x14ac:dyDescent="0.3">
      <c r="A3692" s="2">
        <v>40209</v>
      </c>
      <c r="B3692" t="s">
        <v>13</v>
      </c>
      <c r="D3692" s="2">
        <v>40940</v>
      </c>
      <c r="E3692">
        <v>8.5</v>
      </c>
      <c r="G3692" s="2">
        <v>40940</v>
      </c>
      <c r="H3692">
        <v>8.0530000000000008</v>
      </c>
      <c r="J3692" s="2">
        <v>40947</v>
      </c>
      <c r="K3692" s="3">
        <f t="shared" si="114"/>
        <v>8.5</v>
      </c>
      <c r="L3692" s="3">
        <f t="shared" si="115"/>
        <v>8.1829999999999998</v>
      </c>
    </row>
    <row r="3693" spans="1:12" x14ac:dyDescent="0.3">
      <c r="A3693" s="2">
        <v>40210</v>
      </c>
      <c r="B3693" t="s">
        <v>13</v>
      </c>
      <c r="D3693" s="2">
        <v>40941</v>
      </c>
      <c r="E3693">
        <v>8.5</v>
      </c>
      <c r="G3693" s="2">
        <v>40941</v>
      </c>
      <c r="H3693">
        <v>8.0760000000000005</v>
      </c>
      <c r="J3693" s="2">
        <v>40948</v>
      </c>
      <c r="K3693" s="3">
        <f t="shared" si="114"/>
        <v>8.5</v>
      </c>
      <c r="L3693" s="3">
        <f t="shared" si="115"/>
        <v>8.1859999999999999</v>
      </c>
    </row>
    <row r="3694" spans="1:12" x14ac:dyDescent="0.3">
      <c r="A3694" s="2">
        <v>40211</v>
      </c>
      <c r="B3694" t="s">
        <v>13</v>
      </c>
      <c r="D3694" s="2">
        <v>40942</v>
      </c>
      <c r="E3694">
        <v>8.5</v>
      </c>
      <c r="G3694" s="2">
        <v>40942</v>
      </c>
      <c r="H3694">
        <v>8.0790000000000006</v>
      </c>
      <c r="J3694" s="2">
        <v>40949</v>
      </c>
      <c r="K3694" s="3">
        <f t="shared" si="114"/>
        <v>8.5</v>
      </c>
      <c r="L3694" s="3">
        <f t="shared" si="115"/>
        <v>8.1460000000000008</v>
      </c>
    </row>
    <row r="3695" spans="1:12" x14ac:dyDescent="0.3">
      <c r="A3695" s="2">
        <v>40212</v>
      </c>
      <c r="B3695" t="s">
        <v>13</v>
      </c>
      <c r="D3695" s="2">
        <v>40943</v>
      </c>
      <c r="E3695">
        <v>8.5</v>
      </c>
      <c r="G3695" s="2">
        <v>40943</v>
      </c>
      <c r="H3695">
        <v>8.0790000000000006</v>
      </c>
      <c r="J3695" s="2">
        <v>40950</v>
      </c>
      <c r="K3695" s="3">
        <f t="shared" si="114"/>
        <v>8.5</v>
      </c>
      <c r="L3695" s="3">
        <f t="shared" si="115"/>
        <v>8.1460000000000008</v>
      </c>
    </row>
    <row r="3696" spans="1:12" x14ac:dyDescent="0.3">
      <c r="A3696" s="2">
        <v>40213</v>
      </c>
      <c r="B3696" t="s">
        <v>13</v>
      </c>
      <c r="D3696" s="2">
        <v>40944</v>
      </c>
      <c r="E3696">
        <v>8.5</v>
      </c>
      <c r="G3696" s="2">
        <v>40944</v>
      </c>
      <c r="H3696">
        <v>8.0790000000000006</v>
      </c>
      <c r="J3696" s="2">
        <v>40951</v>
      </c>
      <c r="K3696" s="3">
        <f t="shared" si="114"/>
        <v>8.5</v>
      </c>
      <c r="L3696" s="3">
        <f t="shared" si="115"/>
        <v>8.1460000000000008</v>
      </c>
    </row>
    <row r="3697" spans="1:12" x14ac:dyDescent="0.3">
      <c r="A3697" s="2">
        <v>40214</v>
      </c>
      <c r="B3697" t="s">
        <v>13</v>
      </c>
      <c r="D3697" s="2">
        <v>40945</v>
      </c>
      <c r="E3697">
        <v>8.5</v>
      </c>
      <c r="G3697" s="2">
        <v>40945</v>
      </c>
      <c r="H3697">
        <v>8.08</v>
      </c>
      <c r="J3697" s="2">
        <v>40952</v>
      </c>
      <c r="K3697" s="3">
        <f t="shared" si="114"/>
        <v>8.5</v>
      </c>
      <c r="L3697" s="3">
        <f t="shared" si="115"/>
        <v>8.1430000000000007</v>
      </c>
    </row>
    <row r="3698" spans="1:12" x14ac:dyDescent="0.3">
      <c r="A3698" s="2">
        <v>40215</v>
      </c>
      <c r="B3698" t="s">
        <v>13</v>
      </c>
      <c r="D3698" s="2">
        <v>40946</v>
      </c>
      <c r="E3698">
        <v>8.5</v>
      </c>
      <c r="G3698" s="2">
        <v>40946</v>
      </c>
      <c r="H3698">
        <v>8.0670000000000002</v>
      </c>
      <c r="J3698" s="2">
        <v>40953</v>
      </c>
      <c r="K3698" s="3">
        <f t="shared" si="114"/>
        <v>8.5</v>
      </c>
      <c r="L3698" s="3">
        <f t="shared" si="115"/>
        <v>8.1280000000000001</v>
      </c>
    </row>
    <row r="3699" spans="1:12" x14ac:dyDescent="0.3">
      <c r="A3699" s="2">
        <v>40216</v>
      </c>
      <c r="B3699" t="s">
        <v>13</v>
      </c>
      <c r="D3699" s="2">
        <v>40947</v>
      </c>
      <c r="E3699">
        <v>8.5</v>
      </c>
      <c r="G3699" s="2">
        <v>40947</v>
      </c>
      <c r="H3699">
        <v>8.1829999999999998</v>
      </c>
      <c r="J3699" s="2">
        <v>40954</v>
      </c>
      <c r="K3699" s="3">
        <f t="shared" si="114"/>
        <v>8.5</v>
      </c>
      <c r="L3699" s="3">
        <f t="shared" si="115"/>
        <v>8.1039999999999992</v>
      </c>
    </row>
    <row r="3700" spans="1:12" x14ac:dyDescent="0.3">
      <c r="A3700" s="2">
        <v>40217</v>
      </c>
      <c r="B3700" t="s">
        <v>13</v>
      </c>
      <c r="D3700" s="2">
        <v>40948</v>
      </c>
      <c r="E3700">
        <v>8.5</v>
      </c>
      <c r="G3700" s="2">
        <v>40948</v>
      </c>
      <c r="H3700">
        <v>8.1859999999999999</v>
      </c>
      <c r="J3700" s="2">
        <v>40955</v>
      </c>
      <c r="K3700" s="3">
        <f t="shared" si="114"/>
        <v>8.5</v>
      </c>
      <c r="L3700" s="3">
        <f t="shared" si="115"/>
        <v>8.141</v>
      </c>
    </row>
    <row r="3701" spans="1:12" x14ac:dyDescent="0.3">
      <c r="A3701" s="2">
        <v>40218</v>
      </c>
      <c r="B3701" t="s">
        <v>13</v>
      </c>
      <c r="D3701" s="2">
        <v>40949</v>
      </c>
      <c r="E3701">
        <v>8.5</v>
      </c>
      <c r="G3701" s="2">
        <v>40949</v>
      </c>
      <c r="H3701">
        <v>8.1460000000000008</v>
      </c>
      <c r="J3701" s="2">
        <v>40956</v>
      </c>
      <c r="K3701" s="3">
        <f t="shared" si="114"/>
        <v>8.5</v>
      </c>
      <c r="L3701" s="3">
        <f t="shared" si="115"/>
        <v>8.1479999999999997</v>
      </c>
    </row>
    <row r="3702" spans="1:12" x14ac:dyDescent="0.3">
      <c r="A3702" s="2">
        <v>40219</v>
      </c>
      <c r="B3702" t="s">
        <v>13</v>
      </c>
      <c r="D3702" s="2">
        <v>40950</v>
      </c>
      <c r="E3702">
        <v>8.5</v>
      </c>
      <c r="G3702" s="2">
        <v>40950</v>
      </c>
      <c r="H3702">
        <v>8.1460000000000008</v>
      </c>
      <c r="J3702" s="2">
        <v>40957</v>
      </c>
      <c r="K3702" s="3">
        <f t="shared" si="114"/>
        <v>8.5</v>
      </c>
      <c r="L3702" s="3">
        <f t="shared" si="115"/>
        <v>8.1479999999999997</v>
      </c>
    </row>
    <row r="3703" spans="1:12" x14ac:dyDescent="0.3">
      <c r="A3703" s="2">
        <v>40220</v>
      </c>
      <c r="B3703" t="s">
        <v>13</v>
      </c>
      <c r="D3703" s="2">
        <v>40951</v>
      </c>
      <c r="E3703">
        <v>8.5</v>
      </c>
      <c r="G3703" s="2">
        <v>40951</v>
      </c>
      <c r="H3703">
        <v>8.1460000000000008</v>
      </c>
      <c r="J3703" s="2">
        <v>40958</v>
      </c>
      <c r="K3703" s="3">
        <f t="shared" si="114"/>
        <v>8.5</v>
      </c>
      <c r="L3703" s="3">
        <f t="shared" si="115"/>
        <v>8.1479999999999997</v>
      </c>
    </row>
    <row r="3704" spans="1:12" x14ac:dyDescent="0.3">
      <c r="A3704" s="2">
        <v>40221</v>
      </c>
      <c r="B3704" t="s">
        <v>13</v>
      </c>
      <c r="D3704" s="2">
        <v>40952</v>
      </c>
      <c r="E3704">
        <v>8.5</v>
      </c>
      <c r="G3704" s="2">
        <v>40952</v>
      </c>
      <c r="H3704">
        <v>8.1430000000000007</v>
      </c>
      <c r="J3704" s="2">
        <v>40959</v>
      </c>
      <c r="K3704" s="3">
        <f t="shared" si="114"/>
        <v>8.5</v>
      </c>
      <c r="L3704" s="3">
        <f t="shared" si="115"/>
        <v>8.1479999999999997</v>
      </c>
    </row>
    <row r="3705" spans="1:12" x14ac:dyDescent="0.3">
      <c r="A3705" s="2">
        <v>40222</v>
      </c>
      <c r="B3705" t="s">
        <v>13</v>
      </c>
      <c r="D3705" s="2">
        <v>40953</v>
      </c>
      <c r="E3705">
        <v>8.5</v>
      </c>
      <c r="G3705" s="2">
        <v>40953</v>
      </c>
      <c r="H3705">
        <v>8.1280000000000001</v>
      </c>
      <c r="J3705" s="2">
        <v>40960</v>
      </c>
      <c r="K3705" s="3">
        <f t="shared" si="114"/>
        <v>8.5</v>
      </c>
      <c r="L3705" s="3">
        <f t="shared" si="115"/>
        <v>8.1769999999999996</v>
      </c>
    </row>
    <row r="3706" spans="1:12" x14ac:dyDescent="0.3">
      <c r="A3706" s="2">
        <v>40223</v>
      </c>
      <c r="B3706" t="s">
        <v>13</v>
      </c>
      <c r="D3706" s="2">
        <v>40954</v>
      </c>
      <c r="E3706">
        <v>8.5</v>
      </c>
      <c r="G3706" s="2">
        <v>40954</v>
      </c>
      <c r="H3706">
        <v>8.1039999999999992</v>
      </c>
      <c r="J3706" s="2">
        <v>40961</v>
      </c>
      <c r="K3706" s="3">
        <f t="shared" si="114"/>
        <v>8.5</v>
      </c>
      <c r="L3706" s="3">
        <f t="shared" si="115"/>
        <v>8.1560000000000006</v>
      </c>
    </row>
    <row r="3707" spans="1:12" x14ac:dyDescent="0.3">
      <c r="A3707" s="2">
        <v>40224</v>
      </c>
      <c r="B3707" t="s">
        <v>13</v>
      </c>
      <c r="D3707" s="2">
        <v>40955</v>
      </c>
      <c r="E3707">
        <v>8.5</v>
      </c>
      <c r="G3707" s="2">
        <v>40955</v>
      </c>
      <c r="H3707">
        <v>8.141</v>
      </c>
      <c r="J3707" s="2">
        <v>40962</v>
      </c>
      <c r="K3707" s="3">
        <f t="shared" si="114"/>
        <v>8.5</v>
      </c>
      <c r="L3707" s="3">
        <f t="shared" si="115"/>
        <v>8.1869999999999994</v>
      </c>
    </row>
    <row r="3708" spans="1:12" x14ac:dyDescent="0.3">
      <c r="A3708" s="2">
        <v>40225</v>
      </c>
      <c r="B3708" t="s">
        <v>13</v>
      </c>
      <c r="D3708" s="2">
        <v>40956</v>
      </c>
      <c r="E3708">
        <v>8.5</v>
      </c>
      <c r="G3708" s="2">
        <v>40956</v>
      </c>
      <c r="H3708">
        <v>8.1479999999999997</v>
      </c>
      <c r="J3708" s="2">
        <v>40963</v>
      </c>
      <c r="K3708" s="3">
        <f t="shared" si="114"/>
        <v>8.5</v>
      </c>
      <c r="L3708" s="3">
        <f t="shared" si="115"/>
        <v>8.1890000000000001</v>
      </c>
    </row>
    <row r="3709" spans="1:12" x14ac:dyDescent="0.3">
      <c r="A3709" s="2">
        <v>40226</v>
      </c>
      <c r="B3709" t="s">
        <v>13</v>
      </c>
      <c r="D3709" s="2">
        <v>40957</v>
      </c>
      <c r="E3709">
        <v>8.5</v>
      </c>
      <c r="G3709" s="2">
        <v>40957</v>
      </c>
      <c r="H3709">
        <v>8.1479999999999997</v>
      </c>
      <c r="J3709" s="2">
        <v>40964</v>
      </c>
      <c r="K3709" s="3">
        <f t="shared" si="114"/>
        <v>8.5</v>
      </c>
      <c r="L3709" s="3">
        <f t="shared" si="115"/>
        <v>8.1890000000000001</v>
      </c>
    </row>
    <row r="3710" spans="1:12" x14ac:dyDescent="0.3">
      <c r="A3710" s="2">
        <v>40227</v>
      </c>
      <c r="B3710" t="s">
        <v>13</v>
      </c>
      <c r="D3710" s="2">
        <v>40958</v>
      </c>
      <c r="E3710">
        <v>8.5</v>
      </c>
      <c r="G3710" s="2">
        <v>40958</v>
      </c>
      <c r="H3710">
        <v>8.1479999999999997</v>
      </c>
      <c r="J3710" s="2">
        <v>40965</v>
      </c>
      <c r="K3710" s="3">
        <f t="shared" si="114"/>
        <v>8.5</v>
      </c>
      <c r="L3710" s="3">
        <f t="shared" si="115"/>
        <v>8.1890000000000001</v>
      </c>
    </row>
    <row r="3711" spans="1:12" x14ac:dyDescent="0.3">
      <c r="A3711" s="2">
        <v>40228</v>
      </c>
      <c r="B3711" t="s">
        <v>13</v>
      </c>
      <c r="D3711" s="2">
        <v>40959</v>
      </c>
      <c r="E3711">
        <v>8.5</v>
      </c>
      <c r="G3711" s="2">
        <v>40959</v>
      </c>
      <c r="H3711">
        <v>8.1479999999999997</v>
      </c>
      <c r="J3711" s="2">
        <v>40966</v>
      </c>
      <c r="K3711" s="3">
        <f t="shared" si="114"/>
        <v>8.5</v>
      </c>
      <c r="L3711" s="3">
        <f t="shared" si="115"/>
        <v>8.1620000000000008</v>
      </c>
    </row>
    <row r="3712" spans="1:12" x14ac:dyDescent="0.3">
      <c r="A3712" s="2">
        <v>40229</v>
      </c>
      <c r="B3712" t="s">
        <v>13</v>
      </c>
      <c r="D3712" s="2">
        <v>40960</v>
      </c>
      <c r="E3712">
        <v>8.5</v>
      </c>
      <c r="G3712" s="2">
        <v>40960</v>
      </c>
      <c r="H3712">
        <v>8.1769999999999996</v>
      </c>
      <c r="J3712" s="2">
        <v>40967</v>
      </c>
      <c r="K3712" s="3">
        <f t="shared" si="114"/>
        <v>8.5</v>
      </c>
      <c r="L3712" s="3">
        <f t="shared" si="115"/>
        <v>8.1669999999999998</v>
      </c>
    </row>
    <row r="3713" spans="1:12" x14ac:dyDescent="0.3">
      <c r="A3713" s="2">
        <v>40230</v>
      </c>
      <c r="B3713" t="s">
        <v>13</v>
      </c>
      <c r="D3713" s="2">
        <v>40961</v>
      </c>
      <c r="E3713">
        <v>8.5</v>
      </c>
      <c r="G3713" s="2">
        <v>40961</v>
      </c>
      <c r="H3713">
        <v>8.1560000000000006</v>
      </c>
      <c r="J3713" s="2">
        <v>40968</v>
      </c>
      <c r="K3713" s="3">
        <f t="shared" si="114"/>
        <v>8.5</v>
      </c>
      <c r="L3713" s="3">
        <f t="shared" si="115"/>
        <v>8.1709999999999994</v>
      </c>
    </row>
    <row r="3714" spans="1:12" x14ac:dyDescent="0.3">
      <c r="A3714" s="2">
        <v>40231</v>
      </c>
      <c r="B3714" t="s">
        <v>13</v>
      </c>
      <c r="D3714" s="2">
        <v>40962</v>
      </c>
      <c r="E3714">
        <v>8.5</v>
      </c>
      <c r="G3714" s="2">
        <v>40962</v>
      </c>
      <c r="H3714">
        <v>8.1869999999999994</v>
      </c>
      <c r="J3714" s="2">
        <v>40969</v>
      </c>
      <c r="K3714" s="3">
        <f t="shared" si="114"/>
        <v>8.5</v>
      </c>
      <c r="L3714" s="3">
        <f t="shared" si="115"/>
        <v>8.1709999999999994</v>
      </c>
    </row>
    <row r="3715" spans="1:12" x14ac:dyDescent="0.3">
      <c r="A3715" s="2">
        <v>40232</v>
      </c>
      <c r="B3715" t="s">
        <v>13</v>
      </c>
      <c r="D3715" s="2">
        <v>40963</v>
      </c>
      <c r="E3715">
        <v>8.5</v>
      </c>
      <c r="G3715" s="2">
        <v>40963</v>
      </c>
      <c r="H3715">
        <v>8.1890000000000001</v>
      </c>
      <c r="J3715" s="2">
        <v>40970</v>
      </c>
      <c r="K3715" s="3">
        <f t="shared" ref="K3715:K3778" si="116">E3722</f>
        <v>8.5</v>
      </c>
      <c r="L3715" s="3">
        <f t="shared" ref="L3715:L3778" si="117">H3722</f>
        <v>8.2309999999999999</v>
      </c>
    </row>
    <row r="3716" spans="1:12" x14ac:dyDescent="0.3">
      <c r="A3716" s="2">
        <v>40233</v>
      </c>
      <c r="B3716" t="s">
        <v>13</v>
      </c>
      <c r="D3716" s="2">
        <v>40964</v>
      </c>
      <c r="E3716">
        <v>8.5</v>
      </c>
      <c r="G3716" s="2">
        <v>40964</v>
      </c>
      <c r="H3716">
        <v>8.1890000000000001</v>
      </c>
      <c r="J3716" s="2">
        <v>40971</v>
      </c>
      <c r="K3716" s="3">
        <f t="shared" si="116"/>
        <v>8.5</v>
      </c>
      <c r="L3716" s="3">
        <f t="shared" si="117"/>
        <v>8.2309999999999999</v>
      </c>
    </row>
    <row r="3717" spans="1:12" x14ac:dyDescent="0.3">
      <c r="A3717" s="2">
        <v>40234</v>
      </c>
      <c r="B3717" t="s">
        <v>13</v>
      </c>
      <c r="D3717" s="2">
        <v>40965</v>
      </c>
      <c r="E3717">
        <v>8.5</v>
      </c>
      <c r="G3717" s="2">
        <v>40965</v>
      </c>
      <c r="H3717">
        <v>8.1890000000000001</v>
      </c>
      <c r="J3717" s="2">
        <v>40972</v>
      </c>
      <c r="K3717" s="3">
        <f t="shared" si="116"/>
        <v>8.5</v>
      </c>
      <c r="L3717" s="3">
        <f t="shared" si="117"/>
        <v>8.2309999999999999</v>
      </c>
    </row>
    <row r="3718" spans="1:12" x14ac:dyDescent="0.3">
      <c r="A3718" s="2">
        <v>40235</v>
      </c>
      <c r="B3718" t="s">
        <v>13</v>
      </c>
      <c r="D3718" s="2">
        <v>40966</v>
      </c>
      <c r="E3718">
        <v>8.5</v>
      </c>
      <c r="G3718" s="2">
        <v>40966</v>
      </c>
      <c r="H3718">
        <v>8.1620000000000008</v>
      </c>
      <c r="J3718" s="2">
        <v>40973</v>
      </c>
      <c r="K3718" s="3">
        <f t="shared" si="116"/>
        <v>8.5</v>
      </c>
      <c r="L3718" s="3">
        <f t="shared" si="117"/>
        <v>8.2729999999999997</v>
      </c>
    </row>
    <row r="3719" spans="1:12" x14ac:dyDescent="0.3">
      <c r="A3719" s="2">
        <v>40236</v>
      </c>
      <c r="B3719" t="s">
        <v>13</v>
      </c>
      <c r="D3719" s="2">
        <v>40967</v>
      </c>
      <c r="E3719">
        <v>8.5</v>
      </c>
      <c r="G3719" s="2">
        <v>40967</v>
      </c>
      <c r="H3719">
        <v>8.1669999999999998</v>
      </c>
      <c r="J3719" s="2">
        <v>40974</v>
      </c>
      <c r="K3719" s="3">
        <f t="shared" si="116"/>
        <v>8.5</v>
      </c>
      <c r="L3719" s="3">
        <f t="shared" si="117"/>
        <v>8.23</v>
      </c>
    </row>
    <row r="3720" spans="1:12" x14ac:dyDescent="0.3">
      <c r="A3720" s="2">
        <v>40237</v>
      </c>
      <c r="B3720" t="s">
        <v>13</v>
      </c>
      <c r="D3720" s="2">
        <v>40968</v>
      </c>
      <c r="E3720">
        <v>8.5</v>
      </c>
      <c r="G3720" s="2">
        <v>40968</v>
      </c>
      <c r="H3720">
        <v>8.1709999999999994</v>
      </c>
      <c r="J3720" s="2">
        <v>40975</v>
      </c>
      <c r="K3720" s="3">
        <f t="shared" si="116"/>
        <v>8.5</v>
      </c>
      <c r="L3720" s="3">
        <f t="shared" si="117"/>
        <v>8.2080000000000002</v>
      </c>
    </row>
    <row r="3721" spans="1:12" x14ac:dyDescent="0.3">
      <c r="A3721" s="2">
        <v>40238</v>
      </c>
      <c r="B3721" t="s">
        <v>13</v>
      </c>
      <c r="D3721" s="2">
        <v>40969</v>
      </c>
      <c r="E3721">
        <v>8.5</v>
      </c>
      <c r="G3721" s="2">
        <v>40969</v>
      </c>
      <c r="H3721">
        <v>8.1709999999999994</v>
      </c>
      <c r="J3721" s="2">
        <v>40976</v>
      </c>
      <c r="K3721" s="3">
        <f t="shared" si="116"/>
        <v>8.5</v>
      </c>
      <c r="L3721" s="3">
        <f t="shared" si="117"/>
        <v>8.2080000000000002</v>
      </c>
    </row>
    <row r="3722" spans="1:12" x14ac:dyDescent="0.3">
      <c r="A3722" s="2">
        <v>40239</v>
      </c>
      <c r="B3722" t="s">
        <v>13</v>
      </c>
      <c r="D3722" s="2">
        <v>40970</v>
      </c>
      <c r="E3722">
        <v>8.5</v>
      </c>
      <c r="G3722" s="2">
        <v>40970</v>
      </c>
      <c r="H3722">
        <v>8.2309999999999999</v>
      </c>
      <c r="J3722" s="2">
        <v>40977</v>
      </c>
      <c r="K3722" s="3">
        <f t="shared" si="116"/>
        <v>8.5</v>
      </c>
      <c r="L3722" s="3">
        <f t="shared" si="117"/>
        <v>8.2080000000000002</v>
      </c>
    </row>
    <row r="3723" spans="1:12" x14ac:dyDescent="0.3">
      <c r="A3723" s="2">
        <v>40240</v>
      </c>
      <c r="B3723" t="s">
        <v>13</v>
      </c>
      <c r="D3723" s="2">
        <v>40971</v>
      </c>
      <c r="E3723">
        <v>8.5</v>
      </c>
      <c r="G3723" s="2">
        <v>40971</v>
      </c>
      <c r="H3723">
        <v>8.2309999999999999</v>
      </c>
      <c r="J3723" s="2">
        <v>40978</v>
      </c>
      <c r="K3723" s="3">
        <f t="shared" si="116"/>
        <v>8.5</v>
      </c>
      <c r="L3723" s="3">
        <f t="shared" si="117"/>
        <v>8.2080000000000002</v>
      </c>
    </row>
    <row r="3724" spans="1:12" x14ac:dyDescent="0.3">
      <c r="A3724" s="2">
        <v>40241</v>
      </c>
      <c r="B3724" t="s">
        <v>13</v>
      </c>
      <c r="D3724" s="2">
        <v>40972</v>
      </c>
      <c r="E3724">
        <v>8.5</v>
      </c>
      <c r="G3724" s="2">
        <v>40972</v>
      </c>
      <c r="H3724">
        <v>8.2309999999999999</v>
      </c>
      <c r="J3724" s="2">
        <v>40979</v>
      </c>
      <c r="K3724" s="3">
        <f t="shared" si="116"/>
        <v>8.5</v>
      </c>
      <c r="L3724" s="3">
        <f t="shared" si="117"/>
        <v>8.2080000000000002</v>
      </c>
    </row>
    <row r="3725" spans="1:12" x14ac:dyDescent="0.3">
      <c r="A3725" s="2">
        <v>40242</v>
      </c>
      <c r="B3725" t="s">
        <v>13</v>
      </c>
      <c r="D3725" s="2">
        <v>40973</v>
      </c>
      <c r="E3725">
        <v>8.5</v>
      </c>
      <c r="G3725" s="2">
        <v>40973</v>
      </c>
      <c r="H3725">
        <v>8.2729999999999997</v>
      </c>
      <c r="J3725" s="2">
        <v>40980</v>
      </c>
      <c r="K3725" s="3">
        <f t="shared" si="116"/>
        <v>8.5</v>
      </c>
      <c r="L3725" s="3">
        <f t="shared" si="117"/>
        <v>8.1859999999999999</v>
      </c>
    </row>
    <row r="3726" spans="1:12" x14ac:dyDescent="0.3">
      <c r="A3726" s="2">
        <v>40243</v>
      </c>
      <c r="B3726" t="s">
        <v>13</v>
      </c>
      <c r="D3726" s="2">
        <v>40974</v>
      </c>
      <c r="E3726">
        <v>8.5</v>
      </c>
      <c r="G3726" s="2">
        <v>40974</v>
      </c>
      <c r="H3726">
        <v>8.23</v>
      </c>
      <c r="J3726" s="2">
        <v>40981</v>
      </c>
      <c r="K3726" s="3">
        <f t="shared" si="116"/>
        <v>8.5</v>
      </c>
      <c r="L3726" s="3">
        <f t="shared" si="117"/>
        <v>8.1460000000000008</v>
      </c>
    </row>
    <row r="3727" spans="1:12" x14ac:dyDescent="0.3">
      <c r="A3727" s="2">
        <v>40244</v>
      </c>
      <c r="B3727" t="s">
        <v>13</v>
      </c>
      <c r="D3727" s="2">
        <v>40975</v>
      </c>
      <c r="E3727">
        <v>8.5</v>
      </c>
      <c r="G3727" s="2">
        <v>40975</v>
      </c>
      <c r="H3727">
        <v>8.2080000000000002</v>
      </c>
      <c r="J3727" s="2">
        <v>40982</v>
      </c>
      <c r="K3727" s="3">
        <f t="shared" si="116"/>
        <v>8.5</v>
      </c>
      <c r="L3727" s="3">
        <f t="shared" si="117"/>
        <v>8.1579999999999995</v>
      </c>
    </row>
    <row r="3728" spans="1:12" x14ac:dyDescent="0.3">
      <c r="A3728" s="2">
        <v>40245</v>
      </c>
      <c r="B3728" t="s">
        <v>13</v>
      </c>
      <c r="D3728" s="2">
        <v>40976</v>
      </c>
      <c r="E3728">
        <v>8.5</v>
      </c>
      <c r="G3728" s="2">
        <v>40976</v>
      </c>
      <c r="H3728">
        <v>8.2080000000000002</v>
      </c>
      <c r="J3728" s="2">
        <v>40983</v>
      </c>
      <c r="K3728" s="3">
        <f t="shared" si="116"/>
        <v>8.5</v>
      </c>
      <c r="L3728" s="3">
        <f t="shared" si="117"/>
        <v>8.1530000000000005</v>
      </c>
    </row>
    <row r="3729" spans="1:12" x14ac:dyDescent="0.3">
      <c r="A3729" s="2">
        <v>40246</v>
      </c>
      <c r="B3729" t="s">
        <v>13</v>
      </c>
      <c r="D3729" s="2">
        <v>40977</v>
      </c>
      <c r="E3729">
        <v>8.5</v>
      </c>
      <c r="G3729" s="2">
        <v>40977</v>
      </c>
      <c r="H3729">
        <v>8.2080000000000002</v>
      </c>
      <c r="J3729" s="2">
        <v>40984</v>
      </c>
      <c r="K3729" s="3">
        <f t="shared" si="116"/>
        <v>8.5</v>
      </c>
      <c r="L3729" s="3">
        <f t="shared" si="117"/>
        <v>8.202</v>
      </c>
    </row>
    <row r="3730" spans="1:12" x14ac:dyDescent="0.3">
      <c r="A3730" s="2">
        <v>40247</v>
      </c>
      <c r="B3730" t="s">
        <v>13</v>
      </c>
      <c r="D3730" s="2">
        <v>40978</v>
      </c>
      <c r="E3730">
        <v>8.5</v>
      </c>
      <c r="G3730" s="2">
        <v>40978</v>
      </c>
      <c r="H3730">
        <v>8.2080000000000002</v>
      </c>
      <c r="J3730" s="2">
        <v>40985</v>
      </c>
      <c r="K3730" s="3">
        <f t="shared" si="116"/>
        <v>8.5</v>
      </c>
      <c r="L3730" s="3">
        <f t="shared" si="117"/>
        <v>8.202</v>
      </c>
    </row>
    <row r="3731" spans="1:12" x14ac:dyDescent="0.3">
      <c r="A3731" s="2">
        <v>40248</v>
      </c>
      <c r="B3731" t="s">
        <v>13</v>
      </c>
      <c r="D3731" s="2">
        <v>40979</v>
      </c>
      <c r="E3731">
        <v>8.5</v>
      </c>
      <c r="G3731" s="2">
        <v>40979</v>
      </c>
      <c r="H3731">
        <v>8.2080000000000002</v>
      </c>
      <c r="J3731" s="2">
        <v>40986</v>
      </c>
      <c r="K3731" s="3">
        <f t="shared" si="116"/>
        <v>8.5</v>
      </c>
      <c r="L3731" s="3">
        <f t="shared" si="117"/>
        <v>8.202</v>
      </c>
    </row>
    <row r="3732" spans="1:12" x14ac:dyDescent="0.3">
      <c r="A3732" s="2">
        <v>40249</v>
      </c>
      <c r="B3732" t="s">
        <v>13</v>
      </c>
      <c r="D3732" s="2">
        <v>40980</v>
      </c>
      <c r="E3732">
        <v>8.5</v>
      </c>
      <c r="G3732" s="2">
        <v>40980</v>
      </c>
      <c r="H3732">
        <v>8.1859999999999999</v>
      </c>
      <c r="J3732" s="2">
        <v>40987</v>
      </c>
      <c r="K3732" s="3">
        <f t="shared" si="116"/>
        <v>8.5</v>
      </c>
      <c r="L3732" s="3">
        <f t="shared" si="117"/>
        <v>8.1959999999999997</v>
      </c>
    </row>
    <row r="3733" spans="1:12" x14ac:dyDescent="0.3">
      <c r="A3733" s="2">
        <v>40250</v>
      </c>
      <c r="B3733" t="s">
        <v>13</v>
      </c>
      <c r="D3733" s="2">
        <v>40981</v>
      </c>
      <c r="E3733">
        <v>8.5</v>
      </c>
      <c r="G3733" s="2">
        <v>40981</v>
      </c>
      <c r="H3733">
        <v>8.1460000000000008</v>
      </c>
      <c r="J3733" s="2">
        <v>40988</v>
      </c>
      <c r="K3733" s="3">
        <f t="shared" si="116"/>
        <v>8.5</v>
      </c>
      <c r="L3733" s="3">
        <f t="shared" si="117"/>
        <v>8.1639999999999997</v>
      </c>
    </row>
    <row r="3734" spans="1:12" x14ac:dyDescent="0.3">
      <c r="A3734" s="2">
        <v>40251</v>
      </c>
      <c r="B3734" t="s">
        <v>13</v>
      </c>
      <c r="D3734" s="2">
        <v>40982</v>
      </c>
      <c r="E3734">
        <v>8.5</v>
      </c>
      <c r="G3734" s="2">
        <v>40982</v>
      </c>
      <c r="H3734">
        <v>8.1579999999999995</v>
      </c>
      <c r="J3734" s="2">
        <v>40989</v>
      </c>
      <c r="K3734" s="3">
        <f t="shared" si="116"/>
        <v>8.5</v>
      </c>
      <c r="L3734" s="3">
        <f t="shared" si="117"/>
        <v>8.1999999999999993</v>
      </c>
    </row>
    <row r="3735" spans="1:12" x14ac:dyDescent="0.3">
      <c r="A3735" s="2">
        <v>40252</v>
      </c>
      <c r="B3735" t="s">
        <v>13</v>
      </c>
      <c r="D3735" s="2">
        <v>40983</v>
      </c>
      <c r="E3735">
        <v>8.5</v>
      </c>
      <c r="G3735" s="2">
        <v>40983</v>
      </c>
      <c r="H3735">
        <v>8.1530000000000005</v>
      </c>
      <c r="J3735" s="2">
        <v>40990</v>
      </c>
      <c r="K3735" s="3">
        <f t="shared" si="116"/>
        <v>8.5</v>
      </c>
      <c r="L3735" s="3">
        <f t="shared" si="117"/>
        <v>8.1489999999999991</v>
      </c>
    </row>
    <row r="3736" spans="1:12" x14ac:dyDescent="0.3">
      <c r="A3736" s="2">
        <v>40253</v>
      </c>
      <c r="B3736" t="s">
        <v>13</v>
      </c>
      <c r="D3736" s="2">
        <v>40984</v>
      </c>
      <c r="E3736">
        <v>8.5</v>
      </c>
      <c r="G3736" s="2">
        <v>40984</v>
      </c>
      <c r="H3736">
        <v>8.202</v>
      </c>
      <c r="J3736" s="2">
        <v>40991</v>
      </c>
      <c r="K3736" s="3">
        <f t="shared" si="116"/>
        <v>8.5</v>
      </c>
      <c r="L3736" s="3">
        <f t="shared" si="117"/>
        <v>8.1489999999999991</v>
      </c>
    </row>
    <row r="3737" spans="1:12" x14ac:dyDescent="0.3">
      <c r="A3737" s="2">
        <v>40254</v>
      </c>
      <c r="B3737" t="s">
        <v>13</v>
      </c>
      <c r="D3737" s="2">
        <v>40985</v>
      </c>
      <c r="E3737">
        <v>8.5</v>
      </c>
      <c r="G3737" s="2">
        <v>40985</v>
      </c>
      <c r="H3737">
        <v>8.202</v>
      </c>
      <c r="J3737" s="2">
        <v>40992</v>
      </c>
      <c r="K3737" s="3">
        <f t="shared" si="116"/>
        <v>8.5</v>
      </c>
      <c r="L3737" s="3">
        <f t="shared" si="117"/>
        <v>8.1489999999999991</v>
      </c>
    </row>
    <row r="3738" spans="1:12" x14ac:dyDescent="0.3">
      <c r="A3738" s="2">
        <v>40255</v>
      </c>
      <c r="B3738" t="s">
        <v>13</v>
      </c>
      <c r="D3738" s="2">
        <v>40986</v>
      </c>
      <c r="E3738">
        <v>8.5</v>
      </c>
      <c r="G3738" s="2">
        <v>40986</v>
      </c>
      <c r="H3738">
        <v>8.202</v>
      </c>
      <c r="J3738" s="2">
        <v>40993</v>
      </c>
      <c r="K3738" s="3">
        <f t="shared" si="116"/>
        <v>8.5</v>
      </c>
      <c r="L3738" s="3">
        <f t="shared" si="117"/>
        <v>8.1489999999999991</v>
      </c>
    </row>
    <row r="3739" spans="1:12" x14ac:dyDescent="0.3">
      <c r="A3739" s="2">
        <v>40256</v>
      </c>
      <c r="B3739" t="s">
        <v>13</v>
      </c>
      <c r="D3739" s="2">
        <v>40987</v>
      </c>
      <c r="E3739">
        <v>8.5</v>
      </c>
      <c r="G3739" s="2">
        <v>40987</v>
      </c>
      <c r="H3739">
        <v>8.1959999999999997</v>
      </c>
      <c r="J3739" s="2">
        <v>40994</v>
      </c>
      <c r="K3739" s="3">
        <f t="shared" si="116"/>
        <v>8.5</v>
      </c>
      <c r="L3739" s="3">
        <f t="shared" si="117"/>
        <v>8.16</v>
      </c>
    </row>
    <row r="3740" spans="1:12" x14ac:dyDescent="0.3">
      <c r="A3740" s="2">
        <v>40257</v>
      </c>
      <c r="B3740" t="s">
        <v>13</v>
      </c>
      <c r="D3740" s="2">
        <v>40988</v>
      </c>
      <c r="E3740">
        <v>8.5</v>
      </c>
      <c r="G3740" s="2">
        <v>40988</v>
      </c>
      <c r="H3740">
        <v>8.1639999999999997</v>
      </c>
      <c r="J3740" s="2">
        <v>40995</v>
      </c>
      <c r="K3740" s="3">
        <f t="shared" si="116"/>
        <v>8.5</v>
      </c>
      <c r="L3740" s="3">
        <f t="shared" si="117"/>
        <v>8.0990000000000002</v>
      </c>
    </row>
    <row r="3741" spans="1:12" x14ac:dyDescent="0.3">
      <c r="A3741" s="2">
        <v>40258</v>
      </c>
      <c r="B3741" t="s">
        <v>13</v>
      </c>
      <c r="D3741" s="2">
        <v>40989</v>
      </c>
      <c r="E3741">
        <v>8.5</v>
      </c>
      <c r="G3741" s="2">
        <v>40989</v>
      </c>
      <c r="H3741">
        <v>8.1999999999999993</v>
      </c>
      <c r="J3741" s="2">
        <v>40996</v>
      </c>
      <c r="K3741" s="3">
        <f t="shared" si="116"/>
        <v>8.5</v>
      </c>
      <c r="L3741" s="3">
        <f t="shared" si="117"/>
        <v>8.2189999999999994</v>
      </c>
    </row>
    <row r="3742" spans="1:12" x14ac:dyDescent="0.3">
      <c r="A3742" s="2">
        <v>40259</v>
      </c>
      <c r="B3742" t="s">
        <v>13</v>
      </c>
      <c r="D3742" s="2">
        <v>40990</v>
      </c>
      <c r="E3742">
        <v>8.5</v>
      </c>
      <c r="G3742" s="2">
        <v>40990</v>
      </c>
      <c r="H3742">
        <v>8.1489999999999991</v>
      </c>
      <c r="J3742" s="2">
        <v>40997</v>
      </c>
      <c r="K3742" s="3">
        <f t="shared" si="116"/>
        <v>8.5</v>
      </c>
      <c r="L3742" s="3">
        <f t="shared" si="117"/>
        <v>8.3119999999999994</v>
      </c>
    </row>
    <row r="3743" spans="1:12" x14ac:dyDescent="0.3">
      <c r="A3743" s="2">
        <v>40260</v>
      </c>
      <c r="B3743" t="s">
        <v>13</v>
      </c>
      <c r="D3743" s="2">
        <v>40991</v>
      </c>
      <c r="E3743">
        <v>8.5</v>
      </c>
      <c r="G3743" s="2">
        <v>40991</v>
      </c>
      <c r="H3743">
        <v>8.1489999999999991</v>
      </c>
      <c r="J3743" s="2">
        <v>40998</v>
      </c>
      <c r="K3743" s="3">
        <f t="shared" si="116"/>
        <v>8.5</v>
      </c>
      <c r="L3743" s="3">
        <f t="shared" si="117"/>
        <v>8.2029999999999994</v>
      </c>
    </row>
    <row r="3744" spans="1:12" x14ac:dyDescent="0.3">
      <c r="A3744" s="2">
        <v>40261</v>
      </c>
      <c r="B3744" t="s">
        <v>13</v>
      </c>
      <c r="D3744" s="2">
        <v>40992</v>
      </c>
      <c r="E3744">
        <v>8.5</v>
      </c>
      <c r="G3744" s="2">
        <v>40992</v>
      </c>
      <c r="H3744">
        <v>8.1489999999999991</v>
      </c>
      <c r="J3744" s="2">
        <v>40999</v>
      </c>
      <c r="K3744" s="3">
        <f t="shared" si="116"/>
        <v>8.5</v>
      </c>
      <c r="L3744" s="3">
        <f t="shared" si="117"/>
        <v>8.2029999999999994</v>
      </c>
    </row>
    <row r="3745" spans="1:12" x14ac:dyDescent="0.3">
      <c r="A3745" s="2">
        <v>40262</v>
      </c>
      <c r="B3745" t="s">
        <v>13</v>
      </c>
      <c r="D3745" s="2">
        <v>40993</v>
      </c>
      <c r="E3745">
        <v>8.5</v>
      </c>
      <c r="G3745" s="2">
        <v>40993</v>
      </c>
      <c r="H3745">
        <v>8.1489999999999991</v>
      </c>
      <c r="J3745" s="2">
        <v>41000</v>
      </c>
      <c r="K3745" s="3">
        <f t="shared" si="116"/>
        <v>8.5</v>
      </c>
      <c r="L3745" s="3">
        <f t="shared" si="117"/>
        <v>8.2029999999999994</v>
      </c>
    </row>
    <row r="3746" spans="1:12" x14ac:dyDescent="0.3">
      <c r="A3746" s="2">
        <v>40263</v>
      </c>
      <c r="B3746" t="s">
        <v>13</v>
      </c>
      <c r="D3746" s="2">
        <v>40994</v>
      </c>
      <c r="E3746">
        <v>8.5</v>
      </c>
      <c r="G3746" s="2">
        <v>40994</v>
      </c>
      <c r="H3746">
        <v>8.16</v>
      </c>
      <c r="J3746" s="2">
        <v>41001</v>
      </c>
      <c r="K3746" s="3">
        <f t="shared" si="116"/>
        <v>8.5</v>
      </c>
      <c r="L3746" s="3">
        <f t="shared" si="117"/>
        <v>8.2029999999999994</v>
      </c>
    </row>
    <row r="3747" spans="1:12" x14ac:dyDescent="0.3">
      <c r="A3747" s="2">
        <v>40264</v>
      </c>
      <c r="B3747" t="s">
        <v>13</v>
      </c>
      <c r="D3747" s="2">
        <v>40995</v>
      </c>
      <c r="E3747">
        <v>8.5</v>
      </c>
      <c r="G3747" s="2">
        <v>40995</v>
      </c>
      <c r="H3747">
        <v>8.0990000000000002</v>
      </c>
      <c r="J3747" s="2">
        <v>41002</v>
      </c>
      <c r="K3747" s="3">
        <f t="shared" si="116"/>
        <v>8.5</v>
      </c>
      <c r="L3747" s="3">
        <f t="shared" si="117"/>
        <v>8.3010000000000002</v>
      </c>
    </row>
    <row r="3748" spans="1:12" x14ac:dyDescent="0.3">
      <c r="A3748" s="2">
        <v>40265</v>
      </c>
      <c r="B3748" t="s">
        <v>13</v>
      </c>
      <c r="D3748" s="2">
        <v>40996</v>
      </c>
      <c r="E3748">
        <v>8.5</v>
      </c>
      <c r="G3748" s="2">
        <v>40996</v>
      </c>
      <c r="H3748">
        <v>8.2189999999999994</v>
      </c>
      <c r="J3748" s="2">
        <v>41003</v>
      </c>
      <c r="K3748" s="3">
        <f t="shared" si="116"/>
        <v>8.5</v>
      </c>
      <c r="L3748" s="3">
        <f t="shared" si="117"/>
        <v>8.2609999999999992</v>
      </c>
    </row>
    <row r="3749" spans="1:12" x14ac:dyDescent="0.3">
      <c r="A3749" s="2">
        <v>40266</v>
      </c>
      <c r="B3749" t="s">
        <v>13</v>
      </c>
      <c r="D3749" s="2">
        <v>40997</v>
      </c>
      <c r="E3749">
        <v>8.5</v>
      </c>
      <c r="G3749" s="2">
        <v>40997</v>
      </c>
      <c r="H3749">
        <v>8.3119999999999994</v>
      </c>
      <c r="J3749" s="2">
        <v>41004</v>
      </c>
      <c r="K3749" s="3">
        <f t="shared" si="116"/>
        <v>8.5</v>
      </c>
      <c r="L3749" s="3">
        <f t="shared" si="117"/>
        <v>8.2080000000000002</v>
      </c>
    </row>
    <row r="3750" spans="1:12" x14ac:dyDescent="0.3">
      <c r="A3750" s="2">
        <v>40267</v>
      </c>
      <c r="B3750" t="s">
        <v>13</v>
      </c>
      <c r="D3750" s="2">
        <v>40998</v>
      </c>
      <c r="E3750">
        <v>8.5</v>
      </c>
      <c r="G3750" s="2">
        <v>40998</v>
      </c>
      <c r="H3750">
        <v>8.2029999999999994</v>
      </c>
      <c r="J3750" s="2">
        <v>41005</v>
      </c>
      <c r="K3750" s="3">
        <f t="shared" si="116"/>
        <v>8.5</v>
      </c>
      <c r="L3750" s="3">
        <f t="shared" si="117"/>
        <v>8.2080000000000002</v>
      </c>
    </row>
    <row r="3751" spans="1:12" x14ac:dyDescent="0.3">
      <c r="A3751" s="2">
        <v>40268</v>
      </c>
      <c r="B3751" t="s">
        <v>13</v>
      </c>
      <c r="D3751" s="2">
        <v>40999</v>
      </c>
      <c r="E3751">
        <v>8.5</v>
      </c>
      <c r="G3751" s="2">
        <v>40999</v>
      </c>
      <c r="H3751">
        <v>8.2029999999999994</v>
      </c>
      <c r="J3751" s="2">
        <v>41006</v>
      </c>
      <c r="K3751" s="3">
        <f t="shared" si="116"/>
        <v>8.5</v>
      </c>
      <c r="L3751" s="3">
        <f t="shared" si="117"/>
        <v>8.2080000000000002</v>
      </c>
    </row>
    <row r="3752" spans="1:12" x14ac:dyDescent="0.3">
      <c r="A3752" s="2">
        <v>40269</v>
      </c>
      <c r="B3752" t="s">
        <v>13</v>
      </c>
      <c r="D3752" s="2">
        <v>41000</v>
      </c>
      <c r="E3752">
        <v>8.5</v>
      </c>
      <c r="G3752" s="2">
        <v>41000</v>
      </c>
      <c r="H3752">
        <v>8.2029999999999994</v>
      </c>
      <c r="J3752" s="2">
        <v>41007</v>
      </c>
      <c r="K3752" s="3">
        <f t="shared" si="116"/>
        <v>8.5</v>
      </c>
      <c r="L3752" s="3">
        <f t="shared" si="117"/>
        <v>8.2080000000000002</v>
      </c>
    </row>
    <row r="3753" spans="1:12" x14ac:dyDescent="0.3">
      <c r="A3753" s="2">
        <v>40270</v>
      </c>
      <c r="B3753" t="s">
        <v>13</v>
      </c>
      <c r="D3753" s="2">
        <v>41001</v>
      </c>
      <c r="E3753">
        <v>8.5</v>
      </c>
      <c r="G3753" s="2">
        <v>41001</v>
      </c>
      <c r="H3753">
        <v>8.2029999999999994</v>
      </c>
      <c r="J3753" s="2">
        <v>41008</v>
      </c>
      <c r="K3753" s="3">
        <f t="shared" si="116"/>
        <v>8.5</v>
      </c>
      <c r="L3753" s="3">
        <f t="shared" si="117"/>
        <v>8.3179999999999996</v>
      </c>
    </row>
    <row r="3754" spans="1:12" x14ac:dyDescent="0.3">
      <c r="A3754" s="2">
        <v>40271</v>
      </c>
      <c r="B3754" t="s">
        <v>13</v>
      </c>
      <c r="D3754" s="2">
        <v>41002</v>
      </c>
      <c r="E3754">
        <v>8.5</v>
      </c>
      <c r="G3754" s="2">
        <v>41002</v>
      </c>
      <c r="H3754">
        <v>8.3010000000000002</v>
      </c>
      <c r="J3754" s="2">
        <v>41009</v>
      </c>
      <c r="K3754" s="3">
        <f t="shared" si="116"/>
        <v>8.5</v>
      </c>
      <c r="L3754" s="3">
        <f t="shared" si="117"/>
        <v>8.1690000000000005</v>
      </c>
    </row>
    <row r="3755" spans="1:12" x14ac:dyDescent="0.3">
      <c r="A3755" s="2">
        <v>40272</v>
      </c>
      <c r="B3755" t="s">
        <v>13</v>
      </c>
      <c r="D3755" s="2">
        <v>41003</v>
      </c>
      <c r="E3755">
        <v>8.5</v>
      </c>
      <c r="G3755" s="2">
        <v>41003</v>
      </c>
      <c r="H3755">
        <v>8.2609999999999992</v>
      </c>
      <c r="J3755" s="2">
        <v>41010</v>
      </c>
      <c r="K3755" s="3">
        <f t="shared" si="116"/>
        <v>8.5</v>
      </c>
      <c r="L3755" s="3">
        <f t="shared" si="117"/>
        <v>8.1780000000000008</v>
      </c>
    </row>
    <row r="3756" spans="1:12" x14ac:dyDescent="0.3">
      <c r="A3756" s="2">
        <v>40273</v>
      </c>
      <c r="B3756" t="s">
        <v>13</v>
      </c>
      <c r="D3756" s="2">
        <v>41004</v>
      </c>
      <c r="E3756">
        <v>8.5</v>
      </c>
      <c r="G3756" s="2">
        <v>41004</v>
      </c>
      <c r="H3756">
        <v>8.2080000000000002</v>
      </c>
      <c r="J3756" s="2">
        <v>41011</v>
      </c>
      <c r="K3756" s="3">
        <f t="shared" si="116"/>
        <v>8.5</v>
      </c>
      <c r="L3756" s="3">
        <f t="shared" si="117"/>
        <v>8.0950000000000006</v>
      </c>
    </row>
    <row r="3757" spans="1:12" x14ac:dyDescent="0.3">
      <c r="A3757" s="2">
        <v>40274</v>
      </c>
      <c r="B3757" t="s">
        <v>13</v>
      </c>
      <c r="D3757" s="2">
        <v>41005</v>
      </c>
      <c r="E3757">
        <v>8.5</v>
      </c>
      <c r="G3757" s="2">
        <v>41005</v>
      </c>
      <c r="H3757">
        <v>8.2080000000000002</v>
      </c>
      <c r="J3757" s="2">
        <v>41012</v>
      </c>
      <c r="K3757" s="3">
        <f t="shared" si="116"/>
        <v>8.5</v>
      </c>
      <c r="L3757" s="3">
        <f t="shared" si="117"/>
        <v>8.2260000000000009</v>
      </c>
    </row>
    <row r="3758" spans="1:12" x14ac:dyDescent="0.3">
      <c r="A3758" s="2">
        <v>40275</v>
      </c>
      <c r="B3758" t="s">
        <v>13</v>
      </c>
      <c r="D3758" s="2">
        <v>41006</v>
      </c>
      <c r="E3758">
        <v>8.5</v>
      </c>
      <c r="G3758" s="2">
        <v>41006</v>
      </c>
      <c r="H3758">
        <v>8.2080000000000002</v>
      </c>
      <c r="J3758" s="2">
        <v>41013</v>
      </c>
      <c r="K3758" s="3">
        <f t="shared" si="116"/>
        <v>8.5</v>
      </c>
      <c r="L3758" s="3">
        <f t="shared" si="117"/>
        <v>8.2260000000000009</v>
      </c>
    </row>
    <row r="3759" spans="1:12" x14ac:dyDescent="0.3">
      <c r="A3759" s="2">
        <v>40276</v>
      </c>
      <c r="B3759" t="s">
        <v>13</v>
      </c>
      <c r="D3759" s="2">
        <v>41007</v>
      </c>
      <c r="E3759">
        <v>8.5</v>
      </c>
      <c r="G3759" s="2">
        <v>41007</v>
      </c>
      <c r="H3759">
        <v>8.2080000000000002</v>
      </c>
      <c r="J3759" s="2">
        <v>41014</v>
      </c>
      <c r="K3759" s="3">
        <f t="shared" si="116"/>
        <v>8.5</v>
      </c>
      <c r="L3759" s="3">
        <f t="shared" si="117"/>
        <v>8.2260000000000009</v>
      </c>
    </row>
    <row r="3760" spans="1:12" x14ac:dyDescent="0.3">
      <c r="A3760" s="2">
        <v>40277</v>
      </c>
      <c r="B3760" t="s">
        <v>13</v>
      </c>
      <c r="D3760" s="2">
        <v>41008</v>
      </c>
      <c r="E3760">
        <v>8.5</v>
      </c>
      <c r="G3760" s="2">
        <v>41008</v>
      </c>
      <c r="H3760">
        <v>8.3179999999999996</v>
      </c>
      <c r="J3760" s="2">
        <v>41015</v>
      </c>
      <c r="K3760" s="3">
        <f t="shared" si="116"/>
        <v>8.5</v>
      </c>
      <c r="L3760" s="3">
        <f t="shared" si="117"/>
        <v>8.1050000000000004</v>
      </c>
    </row>
    <row r="3761" spans="1:12" x14ac:dyDescent="0.3">
      <c r="A3761" s="2">
        <v>40278</v>
      </c>
      <c r="B3761" t="s">
        <v>13</v>
      </c>
      <c r="D3761" s="2">
        <v>41009</v>
      </c>
      <c r="E3761">
        <v>8.5</v>
      </c>
      <c r="G3761" s="2">
        <v>41009</v>
      </c>
      <c r="H3761">
        <v>8.1690000000000005</v>
      </c>
      <c r="J3761" s="2">
        <v>41016</v>
      </c>
      <c r="K3761" s="3">
        <f t="shared" si="116"/>
        <v>8</v>
      </c>
      <c r="L3761" s="3">
        <f t="shared" si="117"/>
        <v>7.9969999999999999</v>
      </c>
    </row>
    <row r="3762" spans="1:12" x14ac:dyDescent="0.3">
      <c r="A3762" s="2">
        <v>40279</v>
      </c>
      <c r="B3762" t="s">
        <v>13</v>
      </c>
      <c r="D3762" s="2">
        <v>41010</v>
      </c>
      <c r="E3762">
        <v>8.5</v>
      </c>
      <c r="G3762" s="2">
        <v>41010</v>
      </c>
      <c r="H3762">
        <v>8.1780000000000008</v>
      </c>
      <c r="J3762" s="2">
        <v>41017</v>
      </c>
      <c r="K3762" s="3">
        <f t="shared" si="116"/>
        <v>8</v>
      </c>
      <c r="L3762" s="3">
        <f t="shared" si="117"/>
        <v>7.9870000000000001</v>
      </c>
    </row>
    <row r="3763" spans="1:12" x14ac:dyDescent="0.3">
      <c r="A3763" s="2">
        <v>40280</v>
      </c>
      <c r="B3763" t="s">
        <v>13</v>
      </c>
      <c r="D3763" s="2">
        <v>41011</v>
      </c>
      <c r="E3763">
        <v>8.5</v>
      </c>
      <c r="G3763" s="2">
        <v>41011</v>
      </c>
      <c r="H3763">
        <v>8.0950000000000006</v>
      </c>
      <c r="J3763" s="2">
        <v>41018</v>
      </c>
      <c r="K3763" s="3">
        <f t="shared" si="116"/>
        <v>8</v>
      </c>
      <c r="L3763" s="3">
        <f t="shared" si="117"/>
        <v>8.0990000000000002</v>
      </c>
    </row>
    <row r="3764" spans="1:12" x14ac:dyDescent="0.3">
      <c r="A3764" s="2">
        <v>40281</v>
      </c>
      <c r="B3764" t="s">
        <v>13</v>
      </c>
      <c r="D3764" s="2">
        <v>41012</v>
      </c>
      <c r="E3764">
        <v>8.5</v>
      </c>
      <c r="G3764" s="2">
        <v>41012</v>
      </c>
      <c r="H3764">
        <v>8.2260000000000009</v>
      </c>
      <c r="J3764" s="2">
        <v>41019</v>
      </c>
      <c r="K3764" s="3">
        <f t="shared" si="116"/>
        <v>8</v>
      </c>
      <c r="L3764" s="3">
        <f t="shared" si="117"/>
        <v>8.1059999999999999</v>
      </c>
    </row>
    <row r="3765" spans="1:12" x14ac:dyDescent="0.3">
      <c r="A3765" s="2">
        <v>40282</v>
      </c>
      <c r="B3765" t="s">
        <v>13</v>
      </c>
      <c r="D3765" s="2">
        <v>41013</v>
      </c>
      <c r="E3765">
        <v>8.5</v>
      </c>
      <c r="G3765" s="2">
        <v>41013</v>
      </c>
      <c r="H3765">
        <v>8.2260000000000009</v>
      </c>
      <c r="J3765" s="2">
        <v>41020</v>
      </c>
      <c r="K3765" s="3">
        <f t="shared" si="116"/>
        <v>8</v>
      </c>
      <c r="L3765" s="3">
        <f t="shared" si="117"/>
        <v>8.1059999999999999</v>
      </c>
    </row>
    <row r="3766" spans="1:12" x14ac:dyDescent="0.3">
      <c r="A3766" s="2">
        <v>40283</v>
      </c>
      <c r="B3766" t="s">
        <v>13</v>
      </c>
      <c r="D3766" s="2">
        <v>41014</v>
      </c>
      <c r="E3766">
        <v>8.5</v>
      </c>
      <c r="G3766" s="2">
        <v>41014</v>
      </c>
      <c r="H3766">
        <v>8.2260000000000009</v>
      </c>
      <c r="J3766" s="2">
        <v>41021</v>
      </c>
      <c r="K3766" s="3">
        <f t="shared" si="116"/>
        <v>8</v>
      </c>
      <c r="L3766" s="3">
        <f t="shared" si="117"/>
        <v>8.1059999999999999</v>
      </c>
    </row>
    <row r="3767" spans="1:12" x14ac:dyDescent="0.3">
      <c r="A3767" s="2">
        <v>40284</v>
      </c>
      <c r="B3767" t="s">
        <v>13</v>
      </c>
      <c r="D3767" s="2">
        <v>41015</v>
      </c>
      <c r="E3767">
        <v>8.5</v>
      </c>
      <c r="G3767" s="2">
        <v>41015</v>
      </c>
      <c r="H3767">
        <v>8.1050000000000004</v>
      </c>
      <c r="J3767" s="2">
        <v>41022</v>
      </c>
      <c r="K3767" s="3">
        <f t="shared" si="116"/>
        <v>8</v>
      </c>
      <c r="L3767" s="3">
        <f t="shared" si="117"/>
        <v>8.1940000000000008</v>
      </c>
    </row>
    <row r="3768" spans="1:12" x14ac:dyDescent="0.3">
      <c r="A3768" s="2">
        <v>40285</v>
      </c>
      <c r="B3768" t="s">
        <v>13</v>
      </c>
      <c r="D3768" s="2">
        <v>41016</v>
      </c>
      <c r="E3768">
        <v>8</v>
      </c>
      <c r="G3768" s="2">
        <v>41016</v>
      </c>
      <c r="H3768">
        <v>7.9969999999999999</v>
      </c>
      <c r="J3768" s="2">
        <v>41023</v>
      </c>
      <c r="K3768" s="3">
        <f t="shared" si="116"/>
        <v>8</v>
      </c>
      <c r="L3768" s="3">
        <f t="shared" si="117"/>
        <v>8.218</v>
      </c>
    </row>
    <row r="3769" spans="1:12" x14ac:dyDescent="0.3">
      <c r="A3769" s="2">
        <v>40286</v>
      </c>
      <c r="B3769" t="s">
        <v>13</v>
      </c>
      <c r="D3769" s="2">
        <v>41017</v>
      </c>
      <c r="E3769">
        <v>8</v>
      </c>
      <c r="G3769" s="2">
        <v>41017</v>
      </c>
      <c r="H3769">
        <v>7.9870000000000001</v>
      </c>
      <c r="J3769" s="2">
        <v>41024</v>
      </c>
      <c r="K3769" s="3">
        <f t="shared" si="116"/>
        <v>8</v>
      </c>
      <c r="L3769" s="3">
        <f t="shared" si="117"/>
        <v>8.2650000000000006</v>
      </c>
    </row>
    <row r="3770" spans="1:12" x14ac:dyDescent="0.3">
      <c r="A3770" s="2">
        <v>40287</v>
      </c>
      <c r="B3770" t="s">
        <v>13</v>
      </c>
      <c r="D3770" s="2">
        <v>41018</v>
      </c>
      <c r="E3770">
        <v>8</v>
      </c>
      <c r="G3770" s="2">
        <v>41018</v>
      </c>
      <c r="H3770">
        <v>8.0990000000000002</v>
      </c>
      <c r="J3770" s="2">
        <v>41025</v>
      </c>
      <c r="K3770" s="3">
        <f t="shared" si="116"/>
        <v>8</v>
      </c>
      <c r="L3770" s="3">
        <f t="shared" si="117"/>
        <v>8.2390000000000008</v>
      </c>
    </row>
    <row r="3771" spans="1:12" x14ac:dyDescent="0.3">
      <c r="A3771" s="2">
        <v>40288</v>
      </c>
      <c r="B3771" t="s">
        <v>13</v>
      </c>
      <c r="D3771" s="2">
        <v>41019</v>
      </c>
      <c r="E3771">
        <v>8</v>
      </c>
      <c r="G3771" s="2">
        <v>41019</v>
      </c>
      <c r="H3771">
        <v>8.1059999999999999</v>
      </c>
      <c r="J3771" s="2">
        <v>41026</v>
      </c>
      <c r="K3771" s="3">
        <f t="shared" si="116"/>
        <v>8</v>
      </c>
      <c r="L3771" s="3">
        <f t="shared" si="117"/>
        <v>8.2289999999999992</v>
      </c>
    </row>
    <row r="3772" spans="1:12" x14ac:dyDescent="0.3">
      <c r="A3772" s="2">
        <v>40289</v>
      </c>
      <c r="B3772" t="s">
        <v>13</v>
      </c>
      <c r="D3772" s="2">
        <v>41020</v>
      </c>
      <c r="E3772">
        <v>8</v>
      </c>
      <c r="G3772" s="2">
        <v>41020</v>
      </c>
      <c r="H3772">
        <v>8.1059999999999999</v>
      </c>
      <c r="J3772" s="2">
        <v>41027</v>
      </c>
      <c r="K3772" s="3">
        <f t="shared" si="116"/>
        <v>8</v>
      </c>
      <c r="L3772" s="3">
        <f t="shared" si="117"/>
        <v>8.2289999999999992</v>
      </c>
    </row>
    <row r="3773" spans="1:12" x14ac:dyDescent="0.3">
      <c r="A3773" s="2">
        <v>40290</v>
      </c>
      <c r="B3773" t="s">
        <v>13</v>
      </c>
      <c r="D3773" s="2">
        <v>41021</v>
      </c>
      <c r="E3773">
        <v>8</v>
      </c>
      <c r="G3773" s="2">
        <v>41021</v>
      </c>
      <c r="H3773">
        <v>8.1059999999999999</v>
      </c>
      <c r="J3773" s="2">
        <v>41028</v>
      </c>
      <c r="K3773" s="3">
        <f t="shared" si="116"/>
        <v>8</v>
      </c>
      <c r="L3773" s="3">
        <f t="shared" si="117"/>
        <v>8.2289999999999992</v>
      </c>
    </row>
    <row r="3774" spans="1:12" x14ac:dyDescent="0.3">
      <c r="A3774" s="2">
        <v>40291</v>
      </c>
      <c r="B3774" t="s">
        <v>13</v>
      </c>
      <c r="D3774" s="2">
        <v>41022</v>
      </c>
      <c r="E3774">
        <v>8</v>
      </c>
      <c r="G3774" s="2">
        <v>41022</v>
      </c>
      <c r="H3774">
        <v>8.1940000000000008</v>
      </c>
      <c r="J3774" s="2">
        <v>41029</v>
      </c>
      <c r="K3774" s="3">
        <f t="shared" si="116"/>
        <v>8</v>
      </c>
      <c r="L3774" s="3">
        <f t="shared" si="117"/>
        <v>8.0879999999999992</v>
      </c>
    </row>
    <row r="3775" spans="1:12" x14ac:dyDescent="0.3">
      <c r="A3775" s="2">
        <v>40292</v>
      </c>
      <c r="B3775" t="s">
        <v>13</v>
      </c>
      <c r="D3775" s="2">
        <v>41023</v>
      </c>
      <c r="E3775">
        <v>8</v>
      </c>
      <c r="G3775" s="2">
        <v>41023</v>
      </c>
      <c r="H3775">
        <v>8.218</v>
      </c>
      <c r="J3775" s="2">
        <v>41030</v>
      </c>
      <c r="K3775" s="3">
        <f t="shared" si="116"/>
        <v>8</v>
      </c>
      <c r="L3775" s="3">
        <f t="shared" si="117"/>
        <v>8.0630000000000006</v>
      </c>
    </row>
    <row r="3776" spans="1:12" x14ac:dyDescent="0.3">
      <c r="A3776" s="2">
        <v>40293</v>
      </c>
      <c r="B3776" t="s">
        <v>13</v>
      </c>
      <c r="D3776" s="2">
        <v>41024</v>
      </c>
      <c r="E3776">
        <v>8</v>
      </c>
      <c r="G3776" s="2">
        <v>41024</v>
      </c>
      <c r="H3776">
        <v>8.2650000000000006</v>
      </c>
      <c r="J3776" s="2">
        <v>41031</v>
      </c>
      <c r="K3776" s="3">
        <f t="shared" si="116"/>
        <v>8</v>
      </c>
      <c r="L3776" s="3">
        <f t="shared" si="117"/>
        <v>8.0370000000000008</v>
      </c>
    </row>
    <row r="3777" spans="1:12" x14ac:dyDescent="0.3">
      <c r="A3777" s="2">
        <v>40294</v>
      </c>
      <c r="B3777" t="s">
        <v>13</v>
      </c>
      <c r="D3777" s="2">
        <v>41025</v>
      </c>
      <c r="E3777">
        <v>8</v>
      </c>
      <c r="G3777" s="2">
        <v>41025</v>
      </c>
      <c r="H3777">
        <v>8.2390000000000008</v>
      </c>
      <c r="J3777" s="2">
        <v>41032</v>
      </c>
      <c r="K3777" s="3">
        <f t="shared" si="116"/>
        <v>8</v>
      </c>
      <c r="L3777" s="3">
        <f t="shared" si="117"/>
        <v>8.0350000000000001</v>
      </c>
    </row>
    <row r="3778" spans="1:12" x14ac:dyDescent="0.3">
      <c r="A3778" s="2">
        <v>40295</v>
      </c>
      <c r="B3778" t="s">
        <v>13</v>
      </c>
      <c r="D3778" s="2">
        <v>41026</v>
      </c>
      <c r="E3778">
        <v>8</v>
      </c>
      <c r="G3778" s="2">
        <v>41026</v>
      </c>
      <c r="H3778">
        <v>8.2289999999999992</v>
      </c>
      <c r="J3778" s="2">
        <v>41033</v>
      </c>
      <c r="K3778" s="3">
        <f t="shared" si="116"/>
        <v>8</v>
      </c>
      <c r="L3778" s="3">
        <f t="shared" si="117"/>
        <v>8.1129999999999995</v>
      </c>
    </row>
    <row r="3779" spans="1:12" x14ac:dyDescent="0.3">
      <c r="A3779" s="2">
        <v>40296</v>
      </c>
      <c r="B3779" t="s">
        <v>13</v>
      </c>
      <c r="D3779" s="2">
        <v>41027</v>
      </c>
      <c r="E3779">
        <v>8</v>
      </c>
      <c r="G3779" s="2">
        <v>41027</v>
      </c>
      <c r="H3779">
        <v>8.2289999999999992</v>
      </c>
      <c r="J3779" s="2">
        <v>41034</v>
      </c>
      <c r="K3779" s="3">
        <f t="shared" ref="K3779:K3842" si="118">E3786</f>
        <v>8</v>
      </c>
      <c r="L3779" s="3">
        <f t="shared" ref="L3779:L3842" si="119">H3786</f>
        <v>8.1129999999999995</v>
      </c>
    </row>
    <row r="3780" spans="1:12" x14ac:dyDescent="0.3">
      <c r="A3780" s="2">
        <v>40297</v>
      </c>
      <c r="B3780" t="s">
        <v>13</v>
      </c>
      <c r="D3780" s="2">
        <v>41028</v>
      </c>
      <c r="E3780">
        <v>8</v>
      </c>
      <c r="G3780" s="2">
        <v>41028</v>
      </c>
      <c r="H3780">
        <v>8.2289999999999992</v>
      </c>
      <c r="J3780" s="2">
        <v>41035</v>
      </c>
      <c r="K3780" s="3">
        <f t="shared" si="118"/>
        <v>8</v>
      </c>
      <c r="L3780" s="3">
        <f t="shared" si="119"/>
        <v>8.1129999999999995</v>
      </c>
    </row>
    <row r="3781" spans="1:12" x14ac:dyDescent="0.3">
      <c r="A3781" s="2">
        <v>40298</v>
      </c>
      <c r="B3781" t="s">
        <v>13</v>
      </c>
      <c r="D3781" s="2">
        <v>41029</v>
      </c>
      <c r="E3781">
        <v>8</v>
      </c>
      <c r="G3781" s="2">
        <v>41029</v>
      </c>
      <c r="H3781">
        <v>8.0879999999999992</v>
      </c>
      <c r="J3781" s="2">
        <v>41036</v>
      </c>
      <c r="K3781" s="3">
        <f t="shared" si="118"/>
        <v>8</v>
      </c>
      <c r="L3781" s="3">
        <f t="shared" si="119"/>
        <v>8.1140000000000008</v>
      </c>
    </row>
    <row r="3782" spans="1:12" x14ac:dyDescent="0.3">
      <c r="A3782" s="2">
        <v>40299</v>
      </c>
      <c r="B3782" t="s">
        <v>13</v>
      </c>
      <c r="D3782" s="2">
        <v>41030</v>
      </c>
      <c r="E3782">
        <v>8</v>
      </c>
      <c r="G3782" s="2">
        <v>41030</v>
      </c>
      <c r="H3782">
        <v>8.0630000000000006</v>
      </c>
      <c r="J3782" s="2">
        <v>41037</v>
      </c>
      <c r="K3782" s="3">
        <f t="shared" si="118"/>
        <v>8</v>
      </c>
      <c r="L3782" s="3">
        <f t="shared" si="119"/>
        <v>8.0850000000000009</v>
      </c>
    </row>
    <row r="3783" spans="1:12" x14ac:dyDescent="0.3">
      <c r="A3783" s="2">
        <v>40300</v>
      </c>
      <c r="B3783" t="s">
        <v>13</v>
      </c>
      <c r="D3783" s="2">
        <v>41031</v>
      </c>
      <c r="E3783">
        <v>8</v>
      </c>
      <c r="G3783" s="2">
        <v>41031</v>
      </c>
      <c r="H3783">
        <v>8.0370000000000008</v>
      </c>
      <c r="J3783" s="2">
        <v>41038</v>
      </c>
      <c r="K3783" s="3">
        <f t="shared" si="118"/>
        <v>8</v>
      </c>
      <c r="L3783" s="3">
        <f t="shared" si="119"/>
        <v>8.0640000000000001</v>
      </c>
    </row>
    <row r="3784" spans="1:12" x14ac:dyDescent="0.3">
      <c r="A3784" s="2">
        <v>40301</v>
      </c>
      <c r="B3784" t="s">
        <v>13</v>
      </c>
      <c r="D3784" s="2">
        <v>41032</v>
      </c>
      <c r="E3784">
        <v>8</v>
      </c>
      <c r="G3784" s="2">
        <v>41032</v>
      </c>
      <c r="H3784">
        <v>8.0350000000000001</v>
      </c>
      <c r="J3784" s="2">
        <v>41039</v>
      </c>
      <c r="K3784" s="3">
        <f t="shared" si="118"/>
        <v>8</v>
      </c>
      <c r="L3784" s="3">
        <f t="shared" si="119"/>
        <v>8.0950000000000006</v>
      </c>
    </row>
    <row r="3785" spans="1:12" x14ac:dyDescent="0.3">
      <c r="A3785" s="2">
        <v>40302</v>
      </c>
      <c r="B3785" t="s">
        <v>13</v>
      </c>
      <c r="D3785" s="2">
        <v>41033</v>
      </c>
      <c r="E3785">
        <v>8</v>
      </c>
      <c r="G3785" s="2">
        <v>41033</v>
      </c>
      <c r="H3785">
        <v>8.1129999999999995</v>
      </c>
      <c r="J3785" s="2">
        <v>41040</v>
      </c>
      <c r="K3785" s="3">
        <f t="shared" si="118"/>
        <v>8</v>
      </c>
      <c r="L3785" s="3">
        <f t="shared" si="119"/>
        <v>8.1020000000000003</v>
      </c>
    </row>
    <row r="3786" spans="1:12" x14ac:dyDescent="0.3">
      <c r="A3786" s="2">
        <v>40303</v>
      </c>
      <c r="B3786" t="s">
        <v>13</v>
      </c>
      <c r="D3786" s="2">
        <v>41034</v>
      </c>
      <c r="E3786">
        <v>8</v>
      </c>
      <c r="G3786" s="2">
        <v>41034</v>
      </c>
      <c r="H3786">
        <v>8.1129999999999995</v>
      </c>
      <c r="J3786" s="2">
        <v>41041</v>
      </c>
      <c r="K3786" s="3">
        <f t="shared" si="118"/>
        <v>8</v>
      </c>
      <c r="L3786" s="3">
        <f t="shared" si="119"/>
        <v>8.1020000000000003</v>
      </c>
    </row>
    <row r="3787" spans="1:12" x14ac:dyDescent="0.3">
      <c r="A3787" s="2">
        <v>40304</v>
      </c>
      <c r="B3787" t="s">
        <v>13</v>
      </c>
      <c r="D3787" s="2">
        <v>41035</v>
      </c>
      <c r="E3787">
        <v>8</v>
      </c>
      <c r="G3787" s="2">
        <v>41035</v>
      </c>
      <c r="H3787">
        <v>8.1129999999999995</v>
      </c>
      <c r="J3787" s="2">
        <v>41042</v>
      </c>
      <c r="K3787" s="3">
        <f t="shared" si="118"/>
        <v>8</v>
      </c>
      <c r="L3787" s="3">
        <f t="shared" si="119"/>
        <v>8.1020000000000003</v>
      </c>
    </row>
    <row r="3788" spans="1:12" x14ac:dyDescent="0.3">
      <c r="A3788" s="2">
        <v>40305</v>
      </c>
      <c r="B3788" t="s">
        <v>13</v>
      </c>
      <c r="D3788" s="2">
        <v>41036</v>
      </c>
      <c r="E3788">
        <v>8</v>
      </c>
      <c r="G3788" s="2">
        <v>41036</v>
      </c>
      <c r="H3788">
        <v>8.1140000000000008</v>
      </c>
      <c r="J3788" s="2">
        <v>41043</v>
      </c>
      <c r="K3788" s="3">
        <f t="shared" si="118"/>
        <v>8</v>
      </c>
      <c r="L3788" s="3">
        <f t="shared" si="119"/>
        <v>8.1039999999999992</v>
      </c>
    </row>
    <row r="3789" spans="1:12" x14ac:dyDescent="0.3">
      <c r="A3789" s="2">
        <v>40306</v>
      </c>
      <c r="B3789" t="s">
        <v>13</v>
      </c>
      <c r="D3789" s="2">
        <v>41037</v>
      </c>
      <c r="E3789">
        <v>8</v>
      </c>
      <c r="G3789" s="2">
        <v>41037</v>
      </c>
      <c r="H3789">
        <v>8.0850000000000009</v>
      </c>
      <c r="J3789" s="2">
        <v>41044</v>
      </c>
      <c r="K3789" s="3">
        <f t="shared" si="118"/>
        <v>8</v>
      </c>
      <c r="L3789" s="3">
        <f t="shared" si="119"/>
        <v>8.109</v>
      </c>
    </row>
    <row r="3790" spans="1:12" x14ac:dyDescent="0.3">
      <c r="A3790" s="2">
        <v>40307</v>
      </c>
      <c r="B3790" t="s">
        <v>13</v>
      </c>
      <c r="D3790" s="2">
        <v>41038</v>
      </c>
      <c r="E3790">
        <v>8</v>
      </c>
      <c r="G3790" s="2">
        <v>41038</v>
      </c>
      <c r="H3790">
        <v>8.0640000000000001</v>
      </c>
      <c r="J3790" s="2">
        <v>41045</v>
      </c>
      <c r="K3790" s="3">
        <f t="shared" si="118"/>
        <v>8</v>
      </c>
      <c r="L3790" s="3">
        <f t="shared" si="119"/>
        <v>8.09</v>
      </c>
    </row>
    <row r="3791" spans="1:12" x14ac:dyDescent="0.3">
      <c r="A3791" s="2">
        <v>40308</v>
      </c>
      <c r="B3791" t="s">
        <v>13</v>
      </c>
      <c r="D3791" s="2">
        <v>41039</v>
      </c>
      <c r="E3791">
        <v>8</v>
      </c>
      <c r="G3791" s="2">
        <v>41039</v>
      </c>
      <c r="H3791">
        <v>8.0950000000000006</v>
      </c>
      <c r="J3791" s="2">
        <v>41046</v>
      </c>
      <c r="K3791" s="3">
        <f t="shared" si="118"/>
        <v>8</v>
      </c>
      <c r="L3791" s="3">
        <f t="shared" si="119"/>
        <v>8.1319999999999997</v>
      </c>
    </row>
    <row r="3792" spans="1:12" x14ac:dyDescent="0.3">
      <c r="A3792" s="2">
        <v>40309</v>
      </c>
      <c r="B3792" t="s">
        <v>13</v>
      </c>
      <c r="D3792" s="2">
        <v>41040</v>
      </c>
      <c r="E3792">
        <v>8</v>
      </c>
      <c r="G3792" s="2">
        <v>41040</v>
      </c>
      <c r="H3792">
        <v>8.1020000000000003</v>
      </c>
      <c r="J3792" s="2">
        <v>41047</v>
      </c>
      <c r="K3792" s="3">
        <f t="shared" si="118"/>
        <v>8</v>
      </c>
      <c r="L3792" s="3">
        <f t="shared" si="119"/>
        <v>8.1609999999999996</v>
      </c>
    </row>
    <row r="3793" spans="1:12" x14ac:dyDescent="0.3">
      <c r="A3793" s="2">
        <v>40310</v>
      </c>
      <c r="B3793" t="s">
        <v>13</v>
      </c>
      <c r="D3793" s="2">
        <v>41041</v>
      </c>
      <c r="E3793">
        <v>8</v>
      </c>
      <c r="G3793" s="2">
        <v>41041</v>
      </c>
      <c r="H3793">
        <v>8.1020000000000003</v>
      </c>
      <c r="J3793" s="2">
        <v>41048</v>
      </c>
      <c r="K3793" s="3">
        <f t="shared" si="118"/>
        <v>8</v>
      </c>
      <c r="L3793" s="3">
        <f t="shared" si="119"/>
        <v>8.1609999999999996</v>
      </c>
    </row>
    <row r="3794" spans="1:12" x14ac:dyDescent="0.3">
      <c r="A3794" s="2">
        <v>40311</v>
      </c>
      <c r="B3794" t="s">
        <v>13</v>
      </c>
      <c r="D3794" s="2">
        <v>41042</v>
      </c>
      <c r="E3794">
        <v>8</v>
      </c>
      <c r="G3794" s="2">
        <v>41042</v>
      </c>
      <c r="H3794">
        <v>8.1020000000000003</v>
      </c>
      <c r="J3794" s="2">
        <v>41049</v>
      </c>
      <c r="K3794" s="3">
        <f t="shared" si="118"/>
        <v>8</v>
      </c>
      <c r="L3794" s="3">
        <f t="shared" si="119"/>
        <v>8.1609999999999996</v>
      </c>
    </row>
    <row r="3795" spans="1:12" x14ac:dyDescent="0.3">
      <c r="A3795" s="2">
        <v>40312</v>
      </c>
      <c r="B3795" t="s">
        <v>13</v>
      </c>
      <c r="D3795" s="2">
        <v>41043</v>
      </c>
      <c r="E3795">
        <v>8</v>
      </c>
      <c r="G3795" s="2">
        <v>41043</v>
      </c>
      <c r="H3795">
        <v>8.1039999999999992</v>
      </c>
      <c r="J3795" s="2">
        <v>41050</v>
      </c>
      <c r="K3795" s="3">
        <f t="shared" si="118"/>
        <v>8</v>
      </c>
      <c r="L3795" s="3">
        <f t="shared" si="119"/>
        <v>8.1069999999999993</v>
      </c>
    </row>
    <row r="3796" spans="1:12" x14ac:dyDescent="0.3">
      <c r="A3796" s="2">
        <v>40313</v>
      </c>
      <c r="B3796" t="s">
        <v>13</v>
      </c>
      <c r="D3796" s="2">
        <v>41044</v>
      </c>
      <c r="E3796">
        <v>8</v>
      </c>
      <c r="G3796" s="2">
        <v>41044</v>
      </c>
      <c r="H3796">
        <v>8.109</v>
      </c>
      <c r="J3796" s="2">
        <v>41051</v>
      </c>
      <c r="K3796" s="3">
        <f t="shared" si="118"/>
        <v>8</v>
      </c>
      <c r="L3796" s="3">
        <f t="shared" si="119"/>
        <v>8.1150000000000002</v>
      </c>
    </row>
    <row r="3797" spans="1:12" x14ac:dyDescent="0.3">
      <c r="A3797" s="2">
        <v>40314</v>
      </c>
      <c r="B3797" t="s">
        <v>13</v>
      </c>
      <c r="D3797" s="2">
        <v>41045</v>
      </c>
      <c r="E3797">
        <v>8</v>
      </c>
      <c r="G3797" s="2">
        <v>41045</v>
      </c>
      <c r="H3797">
        <v>8.09</v>
      </c>
      <c r="J3797" s="2">
        <v>41052</v>
      </c>
      <c r="K3797" s="3">
        <f t="shared" si="118"/>
        <v>8</v>
      </c>
      <c r="L3797" s="3">
        <f t="shared" si="119"/>
        <v>8.09</v>
      </c>
    </row>
    <row r="3798" spans="1:12" x14ac:dyDescent="0.3">
      <c r="A3798" s="2">
        <v>40315</v>
      </c>
      <c r="B3798" t="s">
        <v>13</v>
      </c>
      <c r="D3798" s="2">
        <v>41046</v>
      </c>
      <c r="E3798">
        <v>8</v>
      </c>
      <c r="G3798" s="2">
        <v>41046</v>
      </c>
      <c r="H3798">
        <v>8.1319999999999997</v>
      </c>
      <c r="J3798" s="2">
        <v>41053</v>
      </c>
      <c r="K3798" s="3">
        <f t="shared" si="118"/>
        <v>8</v>
      </c>
      <c r="L3798" s="3">
        <f t="shared" si="119"/>
        <v>8.1170000000000009</v>
      </c>
    </row>
    <row r="3799" spans="1:12" x14ac:dyDescent="0.3">
      <c r="A3799" s="2">
        <v>40316</v>
      </c>
      <c r="B3799" t="s">
        <v>13</v>
      </c>
      <c r="D3799" s="2">
        <v>41047</v>
      </c>
      <c r="E3799">
        <v>8</v>
      </c>
      <c r="G3799" s="2">
        <v>41047</v>
      </c>
      <c r="H3799">
        <v>8.1609999999999996</v>
      </c>
      <c r="J3799" s="2">
        <v>41054</v>
      </c>
      <c r="K3799" s="3">
        <f t="shared" si="118"/>
        <v>8</v>
      </c>
      <c r="L3799" s="3">
        <f t="shared" si="119"/>
        <v>8.1229999999999993</v>
      </c>
    </row>
    <row r="3800" spans="1:12" x14ac:dyDescent="0.3">
      <c r="A3800" s="2">
        <v>40317</v>
      </c>
      <c r="B3800" t="s">
        <v>13</v>
      </c>
      <c r="D3800" s="2">
        <v>41048</v>
      </c>
      <c r="E3800">
        <v>8</v>
      </c>
      <c r="G3800" s="2">
        <v>41048</v>
      </c>
      <c r="H3800">
        <v>8.1609999999999996</v>
      </c>
      <c r="J3800" s="2">
        <v>41055</v>
      </c>
      <c r="K3800" s="3">
        <f t="shared" si="118"/>
        <v>8</v>
      </c>
      <c r="L3800" s="3">
        <f t="shared" si="119"/>
        <v>8.1229999999999993</v>
      </c>
    </row>
    <row r="3801" spans="1:12" x14ac:dyDescent="0.3">
      <c r="A3801" s="2">
        <v>40318</v>
      </c>
      <c r="B3801" t="s">
        <v>13</v>
      </c>
      <c r="D3801" s="2">
        <v>41049</v>
      </c>
      <c r="E3801">
        <v>8</v>
      </c>
      <c r="G3801" s="2">
        <v>41049</v>
      </c>
      <c r="H3801">
        <v>8.1609999999999996</v>
      </c>
      <c r="J3801" s="2">
        <v>41056</v>
      </c>
      <c r="K3801" s="3">
        <f t="shared" si="118"/>
        <v>8</v>
      </c>
      <c r="L3801" s="3">
        <f t="shared" si="119"/>
        <v>8.1229999999999993</v>
      </c>
    </row>
    <row r="3802" spans="1:12" x14ac:dyDescent="0.3">
      <c r="A3802" s="2">
        <v>40319</v>
      </c>
      <c r="B3802" t="s">
        <v>13</v>
      </c>
      <c r="D3802" s="2">
        <v>41050</v>
      </c>
      <c r="E3802">
        <v>8</v>
      </c>
      <c r="G3802" s="2">
        <v>41050</v>
      </c>
      <c r="H3802">
        <v>8.1069999999999993</v>
      </c>
      <c r="J3802" s="2">
        <v>41057</v>
      </c>
      <c r="K3802" s="3">
        <f t="shared" si="118"/>
        <v>8</v>
      </c>
      <c r="L3802" s="3">
        <f t="shared" si="119"/>
        <v>8.1240000000000006</v>
      </c>
    </row>
    <row r="3803" spans="1:12" x14ac:dyDescent="0.3">
      <c r="A3803" s="2">
        <v>40320</v>
      </c>
      <c r="B3803" t="s">
        <v>13</v>
      </c>
      <c r="D3803" s="2">
        <v>41051</v>
      </c>
      <c r="E3803">
        <v>8</v>
      </c>
      <c r="G3803" s="2">
        <v>41051</v>
      </c>
      <c r="H3803">
        <v>8.1150000000000002</v>
      </c>
      <c r="J3803" s="2">
        <v>41058</v>
      </c>
      <c r="K3803" s="3">
        <f t="shared" si="118"/>
        <v>8</v>
      </c>
      <c r="L3803" s="3">
        <f t="shared" si="119"/>
        <v>8.141</v>
      </c>
    </row>
    <row r="3804" spans="1:12" x14ac:dyDescent="0.3">
      <c r="A3804" s="2">
        <v>40321</v>
      </c>
      <c r="B3804" t="s">
        <v>13</v>
      </c>
      <c r="D3804" s="2">
        <v>41052</v>
      </c>
      <c r="E3804">
        <v>8</v>
      </c>
      <c r="G3804" s="2">
        <v>41052</v>
      </c>
      <c r="H3804">
        <v>8.09</v>
      </c>
      <c r="J3804" s="2">
        <v>41059</v>
      </c>
      <c r="K3804" s="3">
        <f t="shared" si="118"/>
        <v>8</v>
      </c>
      <c r="L3804" s="3">
        <f t="shared" si="119"/>
        <v>8.1240000000000006</v>
      </c>
    </row>
    <row r="3805" spans="1:12" x14ac:dyDescent="0.3">
      <c r="A3805" s="2">
        <v>40322</v>
      </c>
      <c r="B3805" t="s">
        <v>13</v>
      </c>
      <c r="D3805" s="2">
        <v>41053</v>
      </c>
      <c r="E3805">
        <v>8</v>
      </c>
      <c r="G3805" s="2">
        <v>41053</v>
      </c>
      <c r="H3805">
        <v>8.1170000000000009</v>
      </c>
      <c r="J3805" s="2">
        <v>41060</v>
      </c>
      <c r="K3805" s="3">
        <f t="shared" si="118"/>
        <v>8</v>
      </c>
      <c r="L3805" s="3">
        <f t="shared" si="119"/>
        <v>8.1259999999999994</v>
      </c>
    </row>
    <row r="3806" spans="1:12" x14ac:dyDescent="0.3">
      <c r="A3806" s="2">
        <v>40323</v>
      </c>
      <c r="B3806" t="s">
        <v>13</v>
      </c>
      <c r="D3806" s="2">
        <v>41054</v>
      </c>
      <c r="E3806">
        <v>8</v>
      </c>
      <c r="G3806" s="2">
        <v>41054</v>
      </c>
      <c r="H3806">
        <v>8.1229999999999993</v>
      </c>
      <c r="J3806" s="2">
        <v>41061</v>
      </c>
      <c r="K3806" s="3">
        <f t="shared" si="118"/>
        <v>8</v>
      </c>
      <c r="L3806" s="3">
        <f t="shared" si="119"/>
        <v>8.0839999999999996</v>
      </c>
    </row>
    <row r="3807" spans="1:12" x14ac:dyDescent="0.3">
      <c r="A3807" s="2">
        <v>40324</v>
      </c>
      <c r="B3807" t="s">
        <v>13</v>
      </c>
      <c r="D3807" s="2">
        <v>41055</v>
      </c>
      <c r="E3807">
        <v>8</v>
      </c>
      <c r="G3807" s="2">
        <v>41055</v>
      </c>
      <c r="H3807">
        <v>8.1229999999999993</v>
      </c>
      <c r="J3807" s="2">
        <v>41062</v>
      </c>
      <c r="K3807" s="3">
        <f t="shared" si="118"/>
        <v>8</v>
      </c>
      <c r="L3807" s="3">
        <f t="shared" si="119"/>
        <v>8.0839999999999996</v>
      </c>
    </row>
    <row r="3808" spans="1:12" x14ac:dyDescent="0.3">
      <c r="A3808" s="2">
        <v>40325</v>
      </c>
      <c r="B3808" t="s">
        <v>13</v>
      </c>
      <c r="D3808" s="2">
        <v>41056</v>
      </c>
      <c r="E3808">
        <v>8</v>
      </c>
      <c r="G3808" s="2">
        <v>41056</v>
      </c>
      <c r="H3808">
        <v>8.1229999999999993</v>
      </c>
      <c r="J3808" s="2">
        <v>41063</v>
      </c>
      <c r="K3808" s="3">
        <f t="shared" si="118"/>
        <v>8</v>
      </c>
      <c r="L3808" s="3">
        <f t="shared" si="119"/>
        <v>8.0839999999999996</v>
      </c>
    </row>
    <row r="3809" spans="1:12" x14ac:dyDescent="0.3">
      <c r="A3809" s="2">
        <v>40326</v>
      </c>
      <c r="B3809" t="s">
        <v>13</v>
      </c>
      <c r="D3809" s="2">
        <v>41057</v>
      </c>
      <c r="E3809">
        <v>8</v>
      </c>
      <c r="G3809" s="2">
        <v>41057</v>
      </c>
      <c r="H3809">
        <v>8.1240000000000006</v>
      </c>
      <c r="J3809" s="2">
        <v>41064</v>
      </c>
      <c r="K3809" s="3">
        <f t="shared" si="118"/>
        <v>8</v>
      </c>
      <c r="L3809" s="3">
        <f t="shared" si="119"/>
        <v>8.0860000000000003</v>
      </c>
    </row>
    <row r="3810" spans="1:12" x14ac:dyDescent="0.3">
      <c r="A3810" s="2">
        <v>40327</v>
      </c>
      <c r="B3810" t="s">
        <v>13</v>
      </c>
      <c r="D3810" s="2">
        <v>41058</v>
      </c>
      <c r="E3810">
        <v>8</v>
      </c>
      <c r="G3810" s="2">
        <v>41058</v>
      </c>
      <c r="H3810">
        <v>8.141</v>
      </c>
      <c r="J3810" s="2">
        <v>41065</v>
      </c>
      <c r="K3810" s="3">
        <f t="shared" si="118"/>
        <v>8</v>
      </c>
      <c r="L3810" s="3">
        <f t="shared" si="119"/>
        <v>8.0250000000000004</v>
      </c>
    </row>
    <row r="3811" spans="1:12" x14ac:dyDescent="0.3">
      <c r="A3811" s="2">
        <v>40328</v>
      </c>
      <c r="B3811" t="s">
        <v>13</v>
      </c>
      <c r="D3811" s="2">
        <v>41059</v>
      </c>
      <c r="E3811">
        <v>8</v>
      </c>
      <c r="G3811" s="2">
        <v>41059</v>
      </c>
      <c r="H3811">
        <v>8.1240000000000006</v>
      </c>
      <c r="J3811" s="2">
        <v>41066</v>
      </c>
      <c r="K3811" s="3">
        <f t="shared" si="118"/>
        <v>8</v>
      </c>
      <c r="L3811" s="3">
        <f t="shared" si="119"/>
        <v>7.9980000000000002</v>
      </c>
    </row>
    <row r="3812" spans="1:12" x14ac:dyDescent="0.3">
      <c r="A3812" s="2">
        <v>40329</v>
      </c>
      <c r="B3812" t="s">
        <v>13</v>
      </c>
      <c r="D3812" s="2">
        <v>41060</v>
      </c>
      <c r="E3812">
        <v>8</v>
      </c>
      <c r="G3812" s="2">
        <v>41060</v>
      </c>
      <c r="H3812">
        <v>8.1259999999999994</v>
      </c>
      <c r="J3812" s="2">
        <v>41067</v>
      </c>
      <c r="K3812" s="3">
        <f t="shared" si="118"/>
        <v>8</v>
      </c>
      <c r="L3812" s="3">
        <f t="shared" si="119"/>
        <v>7.9980000000000002</v>
      </c>
    </row>
    <row r="3813" spans="1:12" x14ac:dyDescent="0.3">
      <c r="A3813" s="2">
        <v>40330</v>
      </c>
      <c r="B3813" t="s">
        <v>13</v>
      </c>
      <c r="D3813" s="2">
        <v>41061</v>
      </c>
      <c r="E3813">
        <v>8</v>
      </c>
      <c r="G3813" s="2">
        <v>41061</v>
      </c>
      <c r="H3813">
        <v>8.0839999999999996</v>
      </c>
      <c r="J3813" s="2">
        <v>41068</v>
      </c>
      <c r="K3813" s="3">
        <f t="shared" si="118"/>
        <v>8</v>
      </c>
      <c r="L3813" s="3">
        <f t="shared" si="119"/>
        <v>7.9980000000000002</v>
      </c>
    </row>
    <row r="3814" spans="1:12" x14ac:dyDescent="0.3">
      <c r="A3814" s="2">
        <v>40331</v>
      </c>
      <c r="B3814" t="s">
        <v>13</v>
      </c>
      <c r="D3814" s="2">
        <v>41062</v>
      </c>
      <c r="E3814">
        <v>8</v>
      </c>
      <c r="G3814" s="2">
        <v>41062</v>
      </c>
      <c r="H3814">
        <v>8.0839999999999996</v>
      </c>
      <c r="J3814" s="2">
        <v>41069</v>
      </c>
      <c r="K3814" s="3">
        <f t="shared" si="118"/>
        <v>8</v>
      </c>
      <c r="L3814" s="3">
        <f t="shared" si="119"/>
        <v>7.9980000000000002</v>
      </c>
    </row>
    <row r="3815" spans="1:12" x14ac:dyDescent="0.3">
      <c r="A3815" s="2">
        <v>40332</v>
      </c>
      <c r="B3815" t="s">
        <v>13</v>
      </c>
      <c r="D3815" s="2">
        <v>41063</v>
      </c>
      <c r="E3815">
        <v>8</v>
      </c>
      <c r="G3815" s="2">
        <v>41063</v>
      </c>
      <c r="H3815">
        <v>8.0839999999999996</v>
      </c>
      <c r="J3815" s="2">
        <v>41070</v>
      </c>
      <c r="K3815" s="3">
        <f t="shared" si="118"/>
        <v>8</v>
      </c>
      <c r="L3815" s="3">
        <f t="shared" si="119"/>
        <v>7.9980000000000002</v>
      </c>
    </row>
    <row r="3816" spans="1:12" x14ac:dyDescent="0.3">
      <c r="A3816" s="2">
        <v>40333</v>
      </c>
      <c r="B3816" t="s">
        <v>13</v>
      </c>
      <c r="D3816" s="2">
        <v>41064</v>
      </c>
      <c r="E3816">
        <v>8</v>
      </c>
      <c r="G3816" s="2">
        <v>41064</v>
      </c>
      <c r="H3816">
        <v>8.0860000000000003</v>
      </c>
      <c r="J3816" s="2">
        <v>41071</v>
      </c>
      <c r="K3816" s="3">
        <f t="shared" si="118"/>
        <v>8</v>
      </c>
      <c r="L3816" s="3">
        <f t="shared" si="119"/>
        <v>7.9989999999999997</v>
      </c>
    </row>
    <row r="3817" spans="1:12" x14ac:dyDescent="0.3">
      <c r="A3817" s="2">
        <v>40334</v>
      </c>
      <c r="B3817" t="s">
        <v>13</v>
      </c>
      <c r="D3817" s="2">
        <v>41065</v>
      </c>
      <c r="E3817">
        <v>8</v>
      </c>
      <c r="G3817" s="2">
        <v>41065</v>
      </c>
      <c r="H3817">
        <v>8.0250000000000004</v>
      </c>
      <c r="J3817" s="2">
        <v>41072</v>
      </c>
      <c r="K3817" s="3">
        <f t="shared" si="118"/>
        <v>8</v>
      </c>
      <c r="L3817" s="3">
        <f t="shared" si="119"/>
        <v>7.907</v>
      </c>
    </row>
    <row r="3818" spans="1:12" x14ac:dyDescent="0.3">
      <c r="A3818" s="2">
        <v>40335</v>
      </c>
      <c r="B3818" t="s">
        <v>13</v>
      </c>
      <c r="D3818" s="2">
        <v>41066</v>
      </c>
      <c r="E3818">
        <v>8</v>
      </c>
      <c r="G3818" s="2">
        <v>41066</v>
      </c>
      <c r="H3818">
        <v>7.9980000000000002</v>
      </c>
      <c r="J3818" s="2">
        <v>41073</v>
      </c>
      <c r="K3818" s="3">
        <f t="shared" si="118"/>
        <v>8</v>
      </c>
      <c r="L3818" s="3">
        <f t="shared" si="119"/>
        <v>7.9320000000000004</v>
      </c>
    </row>
    <row r="3819" spans="1:12" x14ac:dyDescent="0.3">
      <c r="A3819" s="2">
        <v>40336</v>
      </c>
      <c r="B3819" t="s">
        <v>13</v>
      </c>
      <c r="D3819" s="2">
        <v>41067</v>
      </c>
      <c r="E3819">
        <v>8</v>
      </c>
      <c r="G3819" s="2">
        <v>41067</v>
      </c>
      <c r="H3819">
        <v>7.9980000000000002</v>
      </c>
      <c r="J3819" s="2">
        <v>41074</v>
      </c>
      <c r="K3819" s="3">
        <f t="shared" si="118"/>
        <v>8</v>
      </c>
      <c r="L3819" s="3">
        <f t="shared" si="119"/>
        <v>7.9340000000000002</v>
      </c>
    </row>
    <row r="3820" spans="1:12" x14ac:dyDescent="0.3">
      <c r="A3820" s="2">
        <v>40337</v>
      </c>
      <c r="B3820" t="s">
        <v>13</v>
      </c>
      <c r="D3820" s="2">
        <v>41068</v>
      </c>
      <c r="E3820">
        <v>8</v>
      </c>
      <c r="G3820" s="2">
        <v>41068</v>
      </c>
      <c r="H3820">
        <v>7.9980000000000002</v>
      </c>
      <c r="J3820" s="2">
        <v>41075</v>
      </c>
      <c r="K3820" s="3">
        <f t="shared" si="118"/>
        <v>8</v>
      </c>
      <c r="L3820" s="3">
        <f t="shared" si="119"/>
        <v>7.9340000000000002</v>
      </c>
    </row>
    <row r="3821" spans="1:12" x14ac:dyDescent="0.3">
      <c r="A3821" s="2">
        <v>40338</v>
      </c>
      <c r="B3821" t="s">
        <v>13</v>
      </c>
      <c r="D3821" s="2">
        <v>41069</v>
      </c>
      <c r="E3821">
        <v>8</v>
      </c>
      <c r="G3821" s="2">
        <v>41069</v>
      </c>
      <c r="H3821">
        <v>7.9980000000000002</v>
      </c>
      <c r="J3821" s="2">
        <v>41076</v>
      </c>
      <c r="K3821" s="3">
        <f t="shared" si="118"/>
        <v>8</v>
      </c>
      <c r="L3821" s="3">
        <f t="shared" si="119"/>
        <v>7.9340000000000002</v>
      </c>
    </row>
    <row r="3822" spans="1:12" x14ac:dyDescent="0.3">
      <c r="A3822" s="2">
        <v>40339</v>
      </c>
      <c r="B3822" t="s">
        <v>13</v>
      </c>
      <c r="D3822" s="2">
        <v>41070</v>
      </c>
      <c r="E3822">
        <v>8</v>
      </c>
      <c r="G3822" s="2">
        <v>41070</v>
      </c>
      <c r="H3822">
        <v>7.9980000000000002</v>
      </c>
      <c r="J3822" s="2">
        <v>41077</v>
      </c>
      <c r="K3822" s="3">
        <f t="shared" si="118"/>
        <v>8</v>
      </c>
      <c r="L3822" s="3">
        <f t="shared" si="119"/>
        <v>7.9340000000000002</v>
      </c>
    </row>
    <row r="3823" spans="1:12" x14ac:dyDescent="0.3">
      <c r="A3823" s="2">
        <v>40340</v>
      </c>
      <c r="B3823" t="s">
        <v>13</v>
      </c>
      <c r="D3823" s="2">
        <v>41071</v>
      </c>
      <c r="E3823">
        <v>8</v>
      </c>
      <c r="G3823" s="2">
        <v>41071</v>
      </c>
      <c r="H3823">
        <v>7.9989999999999997</v>
      </c>
      <c r="J3823" s="2">
        <v>41078</v>
      </c>
      <c r="K3823" s="3">
        <f t="shared" si="118"/>
        <v>8</v>
      </c>
      <c r="L3823" s="3">
        <f t="shared" si="119"/>
        <v>7.9340000000000002</v>
      </c>
    </row>
    <row r="3824" spans="1:12" x14ac:dyDescent="0.3">
      <c r="A3824" s="2">
        <v>40341</v>
      </c>
      <c r="B3824" t="s">
        <v>13</v>
      </c>
      <c r="D3824" s="2">
        <v>41072</v>
      </c>
      <c r="E3824">
        <v>8</v>
      </c>
      <c r="G3824" s="2">
        <v>41072</v>
      </c>
      <c r="H3824">
        <v>7.907</v>
      </c>
      <c r="J3824" s="2">
        <v>41079</v>
      </c>
      <c r="K3824" s="3">
        <f t="shared" si="118"/>
        <v>8</v>
      </c>
      <c r="L3824" s="3">
        <f t="shared" si="119"/>
        <v>7.9340000000000002</v>
      </c>
    </row>
    <row r="3825" spans="1:12" x14ac:dyDescent="0.3">
      <c r="A3825" s="2">
        <v>40342</v>
      </c>
      <c r="B3825" t="s">
        <v>13</v>
      </c>
      <c r="D3825" s="2">
        <v>41073</v>
      </c>
      <c r="E3825">
        <v>8</v>
      </c>
      <c r="G3825" s="2">
        <v>41073</v>
      </c>
      <c r="H3825">
        <v>7.9320000000000004</v>
      </c>
      <c r="J3825" s="2">
        <v>41080</v>
      </c>
      <c r="K3825" s="3">
        <f t="shared" si="118"/>
        <v>8</v>
      </c>
      <c r="L3825" s="3">
        <f t="shared" si="119"/>
        <v>8.0380000000000003</v>
      </c>
    </row>
    <row r="3826" spans="1:12" x14ac:dyDescent="0.3">
      <c r="A3826" s="2">
        <v>40343</v>
      </c>
      <c r="B3826" t="s">
        <v>13</v>
      </c>
      <c r="D3826" s="2">
        <v>41074</v>
      </c>
      <c r="E3826">
        <v>8</v>
      </c>
      <c r="G3826" s="2">
        <v>41074</v>
      </c>
      <c r="H3826">
        <v>7.9340000000000002</v>
      </c>
      <c r="J3826" s="2">
        <v>41081</v>
      </c>
      <c r="K3826" s="3">
        <f t="shared" si="118"/>
        <v>8</v>
      </c>
      <c r="L3826" s="3">
        <f t="shared" si="119"/>
        <v>8.08</v>
      </c>
    </row>
    <row r="3827" spans="1:12" x14ac:dyDescent="0.3">
      <c r="A3827" s="2">
        <v>40344</v>
      </c>
      <c r="B3827" t="s">
        <v>13</v>
      </c>
      <c r="D3827" s="2">
        <v>41075</v>
      </c>
      <c r="E3827">
        <v>8</v>
      </c>
      <c r="G3827" s="2">
        <v>41075</v>
      </c>
      <c r="H3827">
        <v>7.9340000000000002</v>
      </c>
      <c r="J3827" s="2">
        <v>41082</v>
      </c>
      <c r="K3827" s="3">
        <f t="shared" si="118"/>
        <v>8</v>
      </c>
      <c r="L3827" s="3">
        <f t="shared" si="119"/>
        <v>8.0210000000000008</v>
      </c>
    </row>
    <row r="3828" spans="1:12" x14ac:dyDescent="0.3">
      <c r="A3828" s="2">
        <v>40345</v>
      </c>
      <c r="B3828" t="s">
        <v>13</v>
      </c>
      <c r="D3828" s="2">
        <v>41076</v>
      </c>
      <c r="E3828">
        <v>8</v>
      </c>
      <c r="G3828" s="2">
        <v>41076</v>
      </c>
      <c r="H3828">
        <v>7.9340000000000002</v>
      </c>
      <c r="J3828" s="2">
        <v>41083</v>
      </c>
      <c r="K3828" s="3">
        <f t="shared" si="118"/>
        <v>8</v>
      </c>
      <c r="L3828" s="3">
        <f t="shared" si="119"/>
        <v>8.0210000000000008</v>
      </c>
    </row>
    <row r="3829" spans="1:12" x14ac:dyDescent="0.3">
      <c r="A3829" s="2">
        <v>40346</v>
      </c>
      <c r="B3829" t="s">
        <v>13</v>
      </c>
      <c r="D3829" s="2">
        <v>41077</v>
      </c>
      <c r="E3829">
        <v>8</v>
      </c>
      <c r="G3829" s="2">
        <v>41077</v>
      </c>
      <c r="H3829">
        <v>7.9340000000000002</v>
      </c>
      <c r="J3829" s="2">
        <v>41084</v>
      </c>
      <c r="K3829" s="3">
        <f t="shared" si="118"/>
        <v>8</v>
      </c>
      <c r="L3829" s="3">
        <f t="shared" si="119"/>
        <v>8.0210000000000008</v>
      </c>
    </row>
    <row r="3830" spans="1:12" x14ac:dyDescent="0.3">
      <c r="A3830" s="2">
        <v>40347</v>
      </c>
      <c r="B3830" t="s">
        <v>13</v>
      </c>
      <c r="D3830" s="2">
        <v>41078</v>
      </c>
      <c r="E3830">
        <v>8</v>
      </c>
      <c r="G3830" s="2">
        <v>41078</v>
      </c>
      <c r="H3830">
        <v>7.9340000000000002</v>
      </c>
      <c r="J3830" s="2">
        <v>41085</v>
      </c>
      <c r="K3830" s="3">
        <f t="shared" si="118"/>
        <v>8</v>
      </c>
      <c r="L3830" s="3">
        <f t="shared" si="119"/>
        <v>8.0220000000000002</v>
      </c>
    </row>
    <row r="3831" spans="1:12" x14ac:dyDescent="0.3">
      <c r="A3831" s="2">
        <v>40348</v>
      </c>
      <c r="B3831" t="s">
        <v>13</v>
      </c>
      <c r="D3831" s="2">
        <v>41079</v>
      </c>
      <c r="E3831">
        <v>8</v>
      </c>
      <c r="G3831" s="2">
        <v>41079</v>
      </c>
      <c r="H3831">
        <v>7.9340000000000002</v>
      </c>
      <c r="J3831" s="2">
        <v>41086</v>
      </c>
      <c r="K3831" s="3">
        <f t="shared" si="118"/>
        <v>8</v>
      </c>
      <c r="L3831" s="3">
        <f t="shared" si="119"/>
        <v>8.06</v>
      </c>
    </row>
    <row r="3832" spans="1:12" x14ac:dyDescent="0.3">
      <c r="A3832" s="2">
        <v>40349</v>
      </c>
      <c r="B3832" t="s">
        <v>13</v>
      </c>
      <c r="D3832" s="2">
        <v>41080</v>
      </c>
      <c r="E3832">
        <v>8</v>
      </c>
      <c r="G3832" s="2">
        <v>41080</v>
      </c>
      <c r="H3832">
        <v>8.0380000000000003</v>
      </c>
      <c r="J3832" s="2">
        <v>41087</v>
      </c>
      <c r="K3832" s="3">
        <f t="shared" si="118"/>
        <v>8</v>
      </c>
      <c r="L3832" s="3">
        <f t="shared" si="119"/>
        <v>7.98</v>
      </c>
    </row>
    <row r="3833" spans="1:12" x14ac:dyDescent="0.3">
      <c r="A3833" s="2">
        <v>40350</v>
      </c>
      <c r="B3833" t="s">
        <v>13</v>
      </c>
      <c r="D3833" s="2">
        <v>41081</v>
      </c>
      <c r="E3833">
        <v>8</v>
      </c>
      <c r="G3833" s="2">
        <v>41081</v>
      </c>
      <c r="H3833">
        <v>8.08</v>
      </c>
      <c r="J3833" s="2">
        <v>41088</v>
      </c>
      <c r="K3833" s="3">
        <f t="shared" si="118"/>
        <v>8</v>
      </c>
      <c r="L3833" s="3">
        <f t="shared" si="119"/>
        <v>7.9790000000000001</v>
      </c>
    </row>
    <row r="3834" spans="1:12" x14ac:dyDescent="0.3">
      <c r="A3834" s="2">
        <v>40351</v>
      </c>
      <c r="B3834" t="s">
        <v>13</v>
      </c>
      <c r="D3834" s="2">
        <v>41082</v>
      </c>
      <c r="E3834">
        <v>8</v>
      </c>
      <c r="G3834" s="2">
        <v>41082</v>
      </c>
      <c r="H3834">
        <v>8.0210000000000008</v>
      </c>
      <c r="J3834" s="2">
        <v>41089</v>
      </c>
      <c r="K3834" s="3">
        <f t="shared" si="118"/>
        <v>8</v>
      </c>
      <c r="L3834" s="3">
        <f t="shared" si="119"/>
        <v>7.9850000000000003</v>
      </c>
    </row>
    <row r="3835" spans="1:12" x14ac:dyDescent="0.3">
      <c r="A3835" s="2">
        <v>40352</v>
      </c>
      <c r="B3835" t="s">
        <v>13</v>
      </c>
      <c r="D3835" s="2">
        <v>41083</v>
      </c>
      <c r="E3835">
        <v>8</v>
      </c>
      <c r="G3835" s="2">
        <v>41083</v>
      </c>
      <c r="H3835">
        <v>8.0210000000000008</v>
      </c>
      <c r="J3835" s="2">
        <v>41090</v>
      </c>
      <c r="K3835" s="3">
        <f t="shared" si="118"/>
        <v>8</v>
      </c>
      <c r="L3835" s="3">
        <f t="shared" si="119"/>
        <v>7.9850000000000003</v>
      </c>
    </row>
    <row r="3836" spans="1:12" x14ac:dyDescent="0.3">
      <c r="A3836" s="2">
        <v>40353</v>
      </c>
      <c r="B3836" t="s">
        <v>13</v>
      </c>
      <c r="D3836" s="2">
        <v>41084</v>
      </c>
      <c r="E3836">
        <v>8</v>
      </c>
      <c r="G3836" s="2">
        <v>41084</v>
      </c>
      <c r="H3836">
        <v>8.0210000000000008</v>
      </c>
      <c r="J3836" s="2">
        <v>41091</v>
      </c>
      <c r="K3836" s="3">
        <f t="shared" si="118"/>
        <v>8</v>
      </c>
      <c r="L3836" s="3">
        <f t="shared" si="119"/>
        <v>7.9850000000000003</v>
      </c>
    </row>
    <row r="3837" spans="1:12" x14ac:dyDescent="0.3">
      <c r="A3837" s="2">
        <v>40354</v>
      </c>
      <c r="B3837" t="s">
        <v>13</v>
      </c>
      <c r="D3837" s="2">
        <v>41085</v>
      </c>
      <c r="E3837">
        <v>8</v>
      </c>
      <c r="G3837" s="2">
        <v>41085</v>
      </c>
      <c r="H3837">
        <v>8.0220000000000002</v>
      </c>
      <c r="J3837" s="2">
        <v>41092</v>
      </c>
      <c r="K3837" s="3">
        <f t="shared" si="118"/>
        <v>8</v>
      </c>
      <c r="L3837" s="3">
        <f t="shared" si="119"/>
        <v>7.9850000000000003</v>
      </c>
    </row>
    <row r="3838" spans="1:12" x14ac:dyDescent="0.3">
      <c r="A3838" s="2">
        <v>40355</v>
      </c>
      <c r="B3838" t="s">
        <v>13</v>
      </c>
      <c r="D3838" s="2">
        <v>41086</v>
      </c>
      <c r="E3838">
        <v>8</v>
      </c>
      <c r="G3838" s="2">
        <v>41086</v>
      </c>
      <c r="H3838">
        <v>8.06</v>
      </c>
      <c r="J3838" s="2">
        <v>41093</v>
      </c>
      <c r="K3838" s="3">
        <f t="shared" si="118"/>
        <v>8</v>
      </c>
      <c r="L3838" s="3">
        <f t="shared" si="119"/>
        <v>7.9889999999999999</v>
      </c>
    </row>
    <row r="3839" spans="1:12" x14ac:dyDescent="0.3">
      <c r="A3839" s="2">
        <v>40356</v>
      </c>
      <c r="B3839" t="s">
        <v>13</v>
      </c>
      <c r="D3839" s="2">
        <v>41087</v>
      </c>
      <c r="E3839">
        <v>8</v>
      </c>
      <c r="G3839" s="2">
        <v>41087</v>
      </c>
      <c r="H3839">
        <v>7.98</v>
      </c>
      <c r="J3839" s="2">
        <v>41094</v>
      </c>
      <c r="K3839" s="3">
        <f t="shared" si="118"/>
        <v>8</v>
      </c>
      <c r="L3839" s="3">
        <f t="shared" si="119"/>
        <v>7.9870000000000001</v>
      </c>
    </row>
    <row r="3840" spans="1:12" x14ac:dyDescent="0.3">
      <c r="A3840" s="2">
        <v>40357</v>
      </c>
      <c r="B3840" t="s">
        <v>13</v>
      </c>
      <c r="D3840" s="2">
        <v>41088</v>
      </c>
      <c r="E3840">
        <v>8</v>
      </c>
      <c r="G3840" s="2">
        <v>41088</v>
      </c>
      <c r="H3840">
        <v>7.9790000000000001</v>
      </c>
      <c r="J3840" s="2">
        <v>41095</v>
      </c>
      <c r="K3840" s="3">
        <f t="shared" si="118"/>
        <v>8</v>
      </c>
      <c r="L3840" s="3">
        <f t="shared" si="119"/>
        <v>7.9870000000000001</v>
      </c>
    </row>
    <row r="3841" spans="1:12" x14ac:dyDescent="0.3">
      <c r="A3841" s="2">
        <v>40358</v>
      </c>
      <c r="B3841" t="s">
        <v>13</v>
      </c>
      <c r="D3841" s="2">
        <v>41089</v>
      </c>
      <c r="E3841">
        <v>8</v>
      </c>
      <c r="G3841" s="2">
        <v>41089</v>
      </c>
      <c r="H3841">
        <v>7.9850000000000003</v>
      </c>
      <c r="J3841" s="2">
        <v>41096</v>
      </c>
      <c r="K3841" s="3">
        <f t="shared" si="118"/>
        <v>8</v>
      </c>
      <c r="L3841" s="3">
        <f t="shared" si="119"/>
        <v>7.9930000000000003</v>
      </c>
    </row>
    <row r="3842" spans="1:12" x14ac:dyDescent="0.3">
      <c r="A3842" s="2">
        <v>40359</v>
      </c>
      <c r="B3842" t="s">
        <v>13</v>
      </c>
      <c r="D3842" s="2">
        <v>41090</v>
      </c>
      <c r="E3842">
        <v>8</v>
      </c>
      <c r="G3842" s="2">
        <v>41090</v>
      </c>
      <c r="H3842">
        <v>7.9850000000000003</v>
      </c>
      <c r="J3842" s="2">
        <v>41097</v>
      </c>
      <c r="K3842" s="3">
        <f t="shared" si="118"/>
        <v>8</v>
      </c>
      <c r="L3842" s="3">
        <f t="shared" si="119"/>
        <v>7.9930000000000003</v>
      </c>
    </row>
    <row r="3843" spans="1:12" x14ac:dyDescent="0.3">
      <c r="A3843" s="2">
        <v>40360</v>
      </c>
      <c r="B3843" t="s">
        <v>13</v>
      </c>
      <c r="D3843" s="2">
        <v>41091</v>
      </c>
      <c r="E3843">
        <v>8</v>
      </c>
      <c r="G3843" s="2">
        <v>41091</v>
      </c>
      <c r="H3843">
        <v>7.9850000000000003</v>
      </c>
      <c r="J3843" s="2">
        <v>41098</v>
      </c>
      <c r="K3843" s="3">
        <f t="shared" ref="K3843:K3906" si="120">E3850</f>
        <v>8</v>
      </c>
      <c r="L3843" s="3">
        <f t="shared" ref="L3843:L3906" si="121">H3850</f>
        <v>7.9930000000000003</v>
      </c>
    </row>
    <row r="3844" spans="1:12" x14ac:dyDescent="0.3">
      <c r="A3844" s="2">
        <v>40361</v>
      </c>
      <c r="B3844" t="s">
        <v>13</v>
      </c>
      <c r="D3844" s="2">
        <v>41092</v>
      </c>
      <c r="E3844">
        <v>8</v>
      </c>
      <c r="G3844" s="2">
        <v>41092</v>
      </c>
      <c r="H3844">
        <v>7.9850000000000003</v>
      </c>
      <c r="J3844" s="2">
        <v>41099</v>
      </c>
      <c r="K3844" s="3">
        <f t="shared" si="120"/>
        <v>8</v>
      </c>
      <c r="L3844" s="3">
        <f t="shared" si="121"/>
        <v>7.9950000000000001</v>
      </c>
    </row>
    <row r="3845" spans="1:12" x14ac:dyDescent="0.3">
      <c r="A3845" s="2">
        <v>40362</v>
      </c>
      <c r="B3845" t="s">
        <v>13</v>
      </c>
      <c r="D3845" s="2">
        <v>41093</v>
      </c>
      <c r="E3845">
        <v>8</v>
      </c>
      <c r="G3845" s="2">
        <v>41093</v>
      </c>
      <c r="H3845">
        <v>7.9889999999999999</v>
      </c>
      <c r="J3845" s="2">
        <v>41100</v>
      </c>
      <c r="K3845" s="3">
        <f t="shared" si="120"/>
        <v>8</v>
      </c>
      <c r="L3845" s="3">
        <f t="shared" si="121"/>
        <v>7.9930000000000003</v>
      </c>
    </row>
    <row r="3846" spans="1:12" x14ac:dyDescent="0.3">
      <c r="A3846" s="2">
        <v>40363</v>
      </c>
      <c r="B3846" t="s">
        <v>13</v>
      </c>
      <c r="D3846" s="2">
        <v>41094</v>
      </c>
      <c r="E3846">
        <v>8</v>
      </c>
      <c r="G3846" s="2">
        <v>41094</v>
      </c>
      <c r="H3846">
        <v>7.9870000000000001</v>
      </c>
      <c r="J3846" s="2">
        <v>41101</v>
      </c>
      <c r="K3846" s="3">
        <f t="shared" si="120"/>
        <v>8</v>
      </c>
      <c r="L3846" s="3">
        <f t="shared" si="121"/>
        <v>7.9550000000000001</v>
      </c>
    </row>
    <row r="3847" spans="1:12" x14ac:dyDescent="0.3">
      <c r="A3847" s="2">
        <v>40364</v>
      </c>
      <c r="B3847" t="s">
        <v>13</v>
      </c>
      <c r="D3847" s="2">
        <v>41095</v>
      </c>
      <c r="E3847">
        <v>8</v>
      </c>
      <c r="G3847" s="2">
        <v>41095</v>
      </c>
      <c r="H3847">
        <v>7.9870000000000001</v>
      </c>
      <c r="J3847" s="2">
        <v>41102</v>
      </c>
      <c r="K3847" s="3">
        <f t="shared" si="120"/>
        <v>8</v>
      </c>
      <c r="L3847" s="3">
        <f t="shared" si="121"/>
        <v>7.915</v>
      </c>
    </row>
    <row r="3848" spans="1:12" x14ac:dyDescent="0.3">
      <c r="A3848" s="2">
        <v>40365</v>
      </c>
      <c r="B3848" t="s">
        <v>13</v>
      </c>
      <c r="D3848" s="2">
        <v>41096</v>
      </c>
      <c r="E3848">
        <v>8</v>
      </c>
      <c r="G3848" s="2">
        <v>41096</v>
      </c>
      <c r="H3848">
        <v>7.9930000000000003</v>
      </c>
      <c r="J3848" s="2">
        <v>41103</v>
      </c>
      <c r="K3848" s="3">
        <f t="shared" si="120"/>
        <v>8</v>
      </c>
      <c r="L3848" s="3">
        <f t="shared" si="121"/>
        <v>8.0079999999999991</v>
      </c>
    </row>
    <row r="3849" spans="1:12" x14ac:dyDescent="0.3">
      <c r="A3849" s="2">
        <v>40366</v>
      </c>
      <c r="B3849" t="s">
        <v>13</v>
      </c>
      <c r="D3849" s="2">
        <v>41097</v>
      </c>
      <c r="E3849">
        <v>8</v>
      </c>
      <c r="G3849" s="2">
        <v>41097</v>
      </c>
      <c r="H3849">
        <v>7.9930000000000003</v>
      </c>
      <c r="J3849" s="2">
        <v>41104</v>
      </c>
      <c r="K3849" s="3">
        <f t="shared" si="120"/>
        <v>8</v>
      </c>
      <c r="L3849" s="3">
        <f t="shared" si="121"/>
        <v>8.0079999999999991</v>
      </c>
    </row>
    <row r="3850" spans="1:12" x14ac:dyDescent="0.3">
      <c r="A3850" s="2">
        <v>40367</v>
      </c>
      <c r="B3850" t="s">
        <v>13</v>
      </c>
      <c r="D3850" s="2">
        <v>41098</v>
      </c>
      <c r="E3850">
        <v>8</v>
      </c>
      <c r="G3850" s="2">
        <v>41098</v>
      </c>
      <c r="H3850">
        <v>7.9930000000000003</v>
      </c>
      <c r="J3850" s="2">
        <v>41105</v>
      </c>
      <c r="K3850" s="3">
        <f t="shared" si="120"/>
        <v>8</v>
      </c>
      <c r="L3850" s="3">
        <f t="shared" si="121"/>
        <v>8.0079999999999991</v>
      </c>
    </row>
    <row r="3851" spans="1:12" x14ac:dyDescent="0.3">
      <c r="A3851" s="2">
        <v>40368</v>
      </c>
      <c r="B3851" t="s">
        <v>13</v>
      </c>
      <c r="D3851" s="2">
        <v>41099</v>
      </c>
      <c r="E3851">
        <v>8</v>
      </c>
      <c r="G3851" s="2">
        <v>41099</v>
      </c>
      <c r="H3851">
        <v>7.9950000000000001</v>
      </c>
      <c r="J3851" s="2">
        <v>41106</v>
      </c>
      <c r="K3851" s="3">
        <f t="shared" si="120"/>
        <v>8</v>
      </c>
      <c r="L3851" s="3">
        <f t="shared" si="121"/>
        <v>8.01</v>
      </c>
    </row>
    <row r="3852" spans="1:12" x14ac:dyDescent="0.3">
      <c r="A3852" s="2">
        <v>40369</v>
      </c>
      <c r="B3852" t="s">
        <v>13</v>
      </c>
      <c r="D3852" s="2">
        <v>41100</v>
      </c>
      <c r="E3852">
        <v>8</v>
      </c>
      <c r="G3852" s="2">
        <v>41100</v>
      </c>
      <c r="H3852">
        <v>7.9930000000000003</v>
      </c>
      <c r="J3852" s="2">
        <v>41107</v>
      </c>
      <c r="K3852" s="3">
        <f t="shared" si="120"/>
        <v>8</v>
      </c>
      <c r="L3852" s="3">
        <f t="shared" si="121"/>
        <v>7.9930000000000003</v>
      </c>
    </row>
    <row r="3853" spans="1:12" x14ac:dyDescent="0.3">
      <c r="A3853" s="2">
        <v>40370</v>
      </c>
      <c r="B3853" t="s">
        <v>13</v>
      </c>
      <c r="D3853" s="2">
        <v>41101</v>
      </c>
      <c r="E3853">
        <v>8</v>
      </c>
      <c r="G3853" s="2">
        <v>41101</v>
      </c>
      <c r="H3853">
        <v>7.9550000000000001</v>
      </c>
      <c r="J3853" s="2">
        <v>41108</v>
      </c>
      <c r="K3853" s="3">
        <f t="shared" si="120"/>
        <v>8</v>
      </c>
      <c r="L3853" s="3">
        <f t="shared" si="121"/>
        <v>7.944</v>
      </c>
    </row>
    <row r="3854" spans="1:12" x14ac:dyDescent="0.3">
      <c r="A3854" s="2">
        <v>40371</v>
      </c>
      <c r="B3854" t="s">
        <v>13</v>
      </c>
      <c r="D3854" s="2">
        <v>41102</v>
      </c>
      <c r="E3854">
        <v>8</v>
      </c>
      <c r="G3854" s="2">
        <v>41102</v>
      </c>
      <c r="H3854">
        <v>7.915</v>
      </c>
      <c r="J3854" s="2">
        <v>41109</v>
      </c>
      <c r="K3854" s="3">
        <f t="shared" si="120"/>
        <v>8</v>
      </c>
      <c r="L3854" s="3">
        <f t="shared" si="121"/>
        <v>7.9669999999999996</v>
      </c>
    </row>
    <row r="3855" spans="1:12" x14ac:dyDescent="0.3">
      <c r="A3855" s="2">
        <v>40372</v>
      </c>
      <c r="B3855" t="s">
        <v>13</v>
      </c>
      <c r="D3855" s="2">
        <v>41103</v>
      </c>
      <c r="E3855">
        <v>8</v>
      </c>
      <c r="G3855" s="2">
        <v>41103</v>
      </c>
      <c r="H3855">
        <v>8.0079999999999991</v>
      </c>
      <c r="J3855" s="2">
        <v>41110</v>
      </c>
      <c r="K3855" s="3">
        <f t="shared" si="120"/>
        <v>8</v>
      </c>
      <c r="L3855" s="3">
        <f t="shared" si="121"/>
        <v>7.96</v>
      </c>
    </row>
    <row r="3856" spans="1:12" x14ac:dyDescent="0.3">
      <c r="A3856" s="2">
        <v>40373</v>
      </c>
      <c r="B3856" t="s">
        <v>13</v>
      </c>
      <c r="D3856" s="2">
        <v>41104</v>
      </c>
      <c r="E3856">
        <v>8</v>
      </c>
      <c r="G3856" s="2">
        <v>41104</v>
      </c>
      <c r="H3856">
        <v>8.0079999999999991</v>
      </c>
      <c r="J3856" s="2">
        <v>41111</v>
      </c>
      <c r="K3856" s="3">
        <f t="shared" si="120"/>
        <v>8</v>
      </c>
      <c r="L3856" s="3">
        <f t="shared" si="121"/>
        <v>7.96</v>
      </c>
    </row>
    <row r="3857" spans="1:12" x14ac:dyDescent="0.3">
      <c r="A3857" s="2">
        <v>40374</v>
      </c>
      <c r="B3857" t="s">
        <v>13</v>
      </c>
      <c r="D3857" s="2">
        <v>41105</v>
      </c>
      <c r="E3857">
        <v>8</v>
      </c>
      <c r="G3857" s="2">
        <v>41105</v>
      </c>
      <c r="H3857">
        <v>8.0079999999999991</v>
      </c>
      <c r="J3857" s="2">
        <v>41112</v>
      </c>
      <c r="K3857" s="3">
        <f t="shared" si="120"/>
        <v>8</v>
      </c>
      <c r="L3857" s="3">
        <f t="shared" si="121"/>
        <v>7.96</v>
      </c>
    </row>
    <row r="3858" spans="1:12" x14ac:dyDescent="0.3">
      <c r="A3858" s="2">
        <v>40375</v>
      </c>
      <c r="B3858" t="s">
        <v>13</v>
      </c>
      <c r="D3858" s="2">
        <v>41106</v>
      </c>
      <c r="E3858">
        <v>8</v>
      </c>
      <c r="G3858" s="2">
        <v>41106</v>
      </c>
      <c r="H3858">
        <v>8.01</v>
      </c>
      <c r="J3858" s="2">
        <v>41113</v>
      </c>
      <c r="K3858" s="3">
        <f t="shared" si="120"/>
        <v>8</v>
      </c>
      <c r="L3858" s="3">
        <f t="shared" si="121"/>
        <v>7.88</v>
      </c>
    </row>
    <row r="3859" spans="1:12" x14ac:dyDescent="0.3">
      <c r="A3859" s="2">
        <v>40376</v>
      </c>
      <c r="B3859" t="s">
        <v>13</v>
      </c>
      <c r="D3859" s="2">
        <v>41107</v>
      </c>
      <c r="E3859">
        <v>8</v>
      </c>
      <c r="G3859" s="2">
        <v>41107</v>
      </c>
      <c r="H3859">
        <v>7.9930000000000003</v>
      </c>
      <c r="J3859" s="2">
        <v>41114</v>
      </c>
      <c r="K3859" s="3">
        <f t="shared" si="120"/>
        <v>8</v>
      </c>
      <c r="L3859" s="3">
        <f t="shared" si="121"/>
        <v>7.8810000000000002</v>
      </c>
    </row>
    <row r="3860" spans="1:12" x14ac:dyDescent="0.3">
      <c r="A3860" s="2">
        <v>40377</v>
      </c>
      <c r="B3860" t="s">
        <v>13</v>
      </c>
      <c r="D3860" s="2">
        <v>41108</v>
      </c>
      <c r="E3860">
        <v>8</v>
      </c>
      <c r="G3860" s="2">
        <v>41108</v>
      </c>
      <c r="H3860">
        <v>7.944</v>
      </c>
      <c r="J3860" s="2">
        <v>41115</v>
      </c>
      <c r="K3860" s="3">
        <f t="shared" si="120"/>
        <v>8</v>
      </c>
      <c r="L3860" s="3">
        <f t="shared" si="121"/>
        <v>7.8860000000000001</v>
      </c>
    </row>
    <row r="3861" spans="1:12" x14ac:dyDescent="0.3">
      <c r="A3861" s="2">
        <v>40378</v>
      </c>
      <c r="B3861" t="s">
        <v>13</v>
      </c>
      <c r="D3861" s="2">
        <v>41109</v>
      </c>
      <c r="E3861">
        <v>8</v>
      </c>
      <c r="G3861" s="2">
        <v>41109</v>
      </c>
      <c r="H3861">
        <v>7.9669999999999996</v>
      </c>
      <c r="J3861" s="2">
        <v>41116</v>
      </c>
      <c r="K3861" s="3">
        <f t="shared" si="120"/>
        <v>8</v>
      </c>
      <c r="L3861" s="3">
        <f t="shared" si="121"/>
        <v>7.9320000000000004</v>
      </c>
    </row>
    <row r="3862" spans="1:12" x14ac:dyDescent="0.3">
      <c r="A3862" s="2">
        <v>40379</v>
      </c>
      <c r="B3862" t="s">
        <v>13</v>
      </c>
      <c r="D3862" s="2">
        <v>41110</v>
      </c>
      <c r="E3862">
        <v>8</v>
      </c>
      <c r="G3862" s="2">
        <v>41110</v>
      </c>
      <c r="H3862">
        <v>7.96</v>
      </c>
      <c r="J3862" s="2">
        <v>41117</v>
      </c>
      <c r="K3862" s="3">
        <f t="shared" si="120"/>
        <v>8</v>
      </c>
      <c r="L3862" s="3">
        <f t="shared" si="121"/>
        <v>7.9560000000000004</v>
      </c>
    </row>
    <row r="3863" spans="1:12" x14ac:dyDescent="0.3">
      <c r="A3863" s="2">
        <v>40380</v>
      </c>
      <c r="B3863" t="s">
        <v>13</v>
      </c>
      <c r="D3863" s="2">
        <v>41111</v>
      </c>
      <c r="E3863">
        <v>8</v>
      </c>
      <c r="G3863" s="2">
        <v>41111</v>
      </c>
      <c r="H3863">
        <v>7.96</v>
      </c>
      <c r="J3863" s="2">
        <v>41118</v>
      </c>
      <c r="K3863" s="3">
        <f t="shared" si="120"/>
        <v>8</v>
      </c>
      <c r="L3863" s="3">
        <f t="shared" si="121"/>
        <v>7.9560000000000004</v>
      </c>
    </row>
    <row r="3864" spans="1:12" x14ac:dyDescent="0.3">
      <c r="A3864" s="2">
        <v>40381</v>
      </c>
      <c r="B3864" t="s">
        <v>13</v>
      </c>
      <c r="D3864" s="2">
        <v>41112</v>
      </c>
      <c r="E3864">
        <v>8</v>
      </c>
      <c r="G3864" s="2">
        <v>41112</v>
      </c>
      <c r="H3864">
        <v>7.96</v>
      </c>
      <c r="J3864" s="2">
        <v>41119</v>
      </c>
      <c r="K3864" s="3">
        <f t="shared" si="120"/>
        <v>8</v>
      </c>
      <c r="L3864" s="3">
        <f t="shared" si="121"/>
        <v>7.9560000000000004</v>
      </c>
    </row>
    <row r="3865" spans="1:12" x14ac:dyDescent="0.3">
      <c r="A3865" s="2">
        <v>40382</v>
      </c>
      <c r="B3865" t="s">
        <v>13</v>
      </c>
      <c r="D3865" s="2">
        <v>41113</v>
      </c>
      <c r="E3865">
        <v>8</v>
      </c>
      <c r="G3865" s="2">
        <v>41113</v>
      </c>
      <c r="H3865">
        <v>7.88</v>
      </c>
      <c r="J3865" s="2">
        <v>41120</v>
      </c>
      <c r="K3865" s="3">
        <f t="shared" si="120"/>
        <v>8</v>
      </c>
      <c r="L3865" s="3">
        <f t="shared" si="121"/>
        <v>7.9640000000000004</v>
      </c>
    </row>
    <row r="3866" spans="1:12" x14ac:dyDescent="0.3">
      <c r="A3866" s="2">
        <v>40383</v>
      </c>
      <c r="B3866" t="s">
        <v>13</v>
      </c>
      <c r="D3866" s="2">
        <v>41114</v>
      </c>
      <c r="E3866">
        <v>8</v>
      </c>
      <c r="G3866" s="2">
        <v>41114</v>
      </c>
      <c r="H3866">
        <v>7.8810000000000002</v>
      </c>
      <c r="J3866" s="2">
        <v>41121</v>
      </c>
      <c r="K3866" s="3">
        <f t="shared" si="120"/>
        <v>8</v>
      </c>
      <c r="L3866" s="3">
        <f t="shared" si="121"/>
        <v>8.0820000000000007</v>
      </c>
    </row>
    <row r="3867" spans="1:12" x14ac:dyDescent="0.3">
      <c r="A3867" s="2">
        <v>40384</v>
      </c>
      <c r="B3867" t="s">
        <v>13</v>
      </c>
      <c r="D3867" s="2">
        <v>41115</v>
      </c>
      <c r="E3867">
        <v>8</v>
      </c>
      <c r="G3867" s="2">
        <v>41115</v>
      </c>
      <c r="H3867">
        <v>7.8860000000000001</v>
      </c>
      <c r="J3867" s="2">
        <v>41122</v>
      </c>
      <c r="K3867" s="3">
        <f t="shared" si="120"/>
        <v>8</v>
      </c>
      <c r="L3867" s="3">
        <f t="shared" si="121"/>
        <v>8.2370000000000001</v>
      </c>
    </row>
    <row r="3868" spans="1:12" x14ac:dyDescent="0.3">
      <c r="A3868" s="2">
        <v>40385</v>
      </c>
      <c r="B3868" t="s">
        <v>13</v>
      </c>
      <c r="D3868" s="2">
        <v>41116</v>
      </c>
      <c r="E3868">
        <v>8</v>
      </c>
      <c r="G3868" s="2">
        <v>41116</v>
      </c>
      <c r="H3868">
        <v>7.9320000000000004</v>
      </c>
      <c r="J3868" s="2">
        <v>41123</v>
      </c>
      <c r="K3868" s="3">
        <f t="shared" si="120"/>
        <v>8</v>
      </c>
      <c r="L3868" s="3">
        <f t="shared" si="121"/>
        <v>8.0449999999999999</v>
      </c>
    </row>
    <row r="3869" spans="1:12" x14ac:dyDescent="0.3">
      <c r="A3869" s="2">
        <v>40386</v>
      </c>
      <c r="B3869" t="s">
        <v>13</v>
      </c>
      <c r="D3869" s="2">
        <v>41117</v>
      </c>
      <c r="E3869">
        <v>8</v>
      </c>
      <c r="G3869" s="2">
        <v>41117</v>
      </c>
      <c r="H3869">
        <v>7.9560000000000004</v>
      </c>
      <c r="J3869" s="2">
        <v>41124</v>
      </c>
      <c r="K3869" s="3">
        <f t="shared" si="120"/>
        <v>8</v>
      </c>
      <c r="L3869" s="3">
        <f t="shared" si="121"/>
        <v>8.0030000000000001</v>
      </c>
    </row>
    <row r="3870" spans="1:12" x14ac:dyDescent="0.3">
      <c r="A3870" s="2">
        <v>40387</v>
      </c>
      <c r="B3870" t="s">
        <v>13</v>
      </c>
      <c r="D3870" s="2">
        <v>41118</v>
      </c>
      <c r="E3870">
        <v>8</v>
      </c>
      <c r="G3870" s="2">
        <v>41118</v>
      </c>
      <c r="H3870">
        <v>7.9560000000000004</v>
      </c>
      <c r="J3870" s="2">
        <v>41125</v>
      </c>
      <c r="K3870" s="3">
        <f t="shared" si="120"/>
        <v>8</v>
      </c>
      <c r="L3870" s="3">
        <f t="shared" si="121"/>
        <v>8.0030000000000001</v>
      </c>
    </row>
    <row r="3871" spans="1:12" x14ac:dyDescent="0.3">
      <c r="A3871" s="2">
        <v>40388</v>
      </c>
      <c r="B3871" t="s">
        <v>13</v>
      </c>
      <c r="D3871" s="2">
        <v>41119</v>
      </c>
      <c r="E3871">
        <v>8</v>
      </c>
      <c r="G3871" s="2">
        <v>41119</v>
      </c>
      <c r="H3871">
        <v>7.9560000000000004</v>
      </c>
      <c r="J3871" s="2">
        <v>41126</v>
      </c>
      <c r="K3871" s="3">
        <f t="shared" si="120"/>
        <v>8</v>
      </c>
      <c r="L3871" s="3">
        <f t="shared" si="121"/>
        <v>8.0030000000000001</v>
      </c>
    </row>
    <row r="3872" spans="1:12" x14ac:dyDescent="0.3">
      <c r="A3872" s="2">
        <v>40389</v>
      </c>
      <c r="B3872" t="s">
        <v>13</v>
      </c>
      <c r="D3872" s="2">
        <v>41120</v>
      </c>
      <c r="E3872">
        <v>8</v>
      </c>
      <c r="G3872" s="2">
        <v>41120</v>
      </c>
      <c r="H3872">
        <v>7.9640000000000004</v>
      </c>
      <c r="J3872" s="2">
        <v>41127</v>
      </c>
      <c r="K3872" s="3">
        <f t="shared" si="120"/>
        <v>8</v>
      </c>
      <c r="L3872" s="3">
        <f t="shared" si="121"/>
        <v>8.0050000000000008</v>
      </c>
    </row>
    <row r="3873" spans="1:12" x14ac:dyDescent="0.3">
      <c r="A3873" s="2">
        <v>40390</v>
      </c>
      <c r="B3873" t="s">
        <v>13</v>
      </c>
      <c r="D3873" s="2">
        <v>41121</v>
      </c>
      <c r="E3873">
        <v>8</v>
      </c>
      <c r="G3873" s="2">
        <v>41121</v>
      </c>
      <c r="H3873">
        <v>8.0820000000000007</v>
      </c>
      <c r="J3873" s="2">
        <v>41128</v>
      </c>
      <c r="K3873" s="3">
        <f t="shared" si="120"/>
        <v>8</v>
      </c>
      <c r="L3873" s="3">
        <f t="shared" si="121"/>
        <v>8.0060000000000002</v>
      </c>
    </row>
    <row r="3874" spans="1:12" x14ac:dyDescent="0.3">
      <c r="A3874" s="2">
        <v>40391</v>
      </c>
      <c r="B3874" t="s">
        <v>13</v>
      </c>
      <c r="D3874" s="2">
        <v>41122</v>
      </c>
      <c r="E3874">
        <v>8</v>
      </c>
      <c r="G3874" s="2">
        <v>41122</v>
      </c>
      <c r="H3874">
        <v>8.2370000000000001</v>
      </c>
      <c r="J3874" s="2">
        <v>41129</v>
      </c>
      <c r="K3874" s="3">
        <f t="shared" si="120"/>
        <v>8</v>
      </c>
      <c r="L3874" s="3">
        <f t="shared" si="121"/>
        <v>7.9980000000000002</v>
      </c>
    </row>
    <row r="3875" spans="1:12" x14ac:dyDescent="0.3">
      <c r="A3875" s="2">
        <v>40392</v>
      </c>
      <c r="B3875" t="s">
        <v>13</v>
      </c>
      <c r="D3875" s="2">
        <v>41123</v>
      </c>
      <c r="E3875">
        <v>8</v>
      </c>
      <c r="G3875" s="2">
        <v>41123</v>
      </c>
      <c r="H3875">
        <v>8.0449999999999999</v>
      </c>
      <c r="J3875" s="2">
        <v>41130</v>
      </c>
      <c r="K3875" s="3">
        <f t="shared" si="120"/>
        <v>8</v>
      </c>
      <c r="L3875" s="3">
        <f t="shared" si="121"/>
        <v>8.0109999999999992</v>
      </c>
    </row>
    <row r="3876" spans="1:12" x14ac:dyDescent="0.3">
      <c r="A3876" s="2">
        <v>40393</v>
      </c>
      <c r="B3876" t="s">
        <v>13</v>
      </c>
      <c r="D3876" s="2">
        <v>41124</v>
      </c>
      <c r="E3876">
        <v>8</v>
      </c>
      <c r="G3876" s="2">
        <v>41124</v>
      </c>
      <c r="H3876">
        <v>8.0030000000000001</v>
      </c>
      <c r="J3876" s="2">
        <v>41131</v>
      </c>
      <c r="K3876" s="3">
        <f t="shared" si="120"/>
        <v>8</v>
      </c>
      <c r="L3876" s="3">
        <f t="shared" si="121"/>
        <v>8.0169999999999995</v>
      </c>
    </row>
    <row r="3877" spans="1:12" x14ac:dyDescent="0.3">
      <c r="A3877" s="2">
        <v>40394</v>
      </c>
      <c r="B3877" t="s">
        <v>13</v>
      </c>
      <c r="D3877" s="2">
        <v>41125</v>
      </c>
      <c r="E3877">
        <v>8</v>
      </c>
      <c r="G3877" s="2">
        <v>41125</v>
      </c>
      <c r="H3877">
        <v>8.0030000000000001</v>
      </c>
      <c r="J3877" s="2">
        <v>41132</v>
      </c>
      <c r="K3877" s="3">
        <f t="shared" si="120"/>
        <v>8</v>
      </c>
      <c r="L3877" s="3">
        <f t="shared" si="121"/>
        <v>8.0169999999999995</v>
      </c>
    </row>
    <row r="3878" spans="1:12" x14ac:dyDescent="0.3">
      <c r="A3878" s="2">
        <v>40395</v>
      </c>
      <c r="B3878" t="s">
        <v>13</v>
      </c>
      <c r="D3878" s="2">
        <v>41126</v>
      </c>
      <c r="E3878">
        <v>8</v>
      </c>
      <c r="G3878" s="2">
        <v>41126</v>
      </c>
      <c r="H3878">
        <v>8.0030000000000001</v>
      </c>
      <c r="J3878" s="2">
        <v>41133</v>
      </c>
      <c r="K3878" s="3">
        <f t="shared" si="120"/>
        <v>8</v>
      </c>
      <c r="L3878" s="3">
        <f t="shared" si="121"/>
        <v>8.0169999999999995</v>
      </c>
    </row>
    <row r="3879" spans="1:12" x14ac:dyDescent="0.3">
      <c r="A3879" s="2">
        <v>40396</v>
      </c>
      <c r="B3879" t="s">
        <v>13</v>
      </c>
      <c r="D3879" s="2">
        <v>41127</v>
      </c>
      <c r="E3879">
        <v>8</v>
      </c>
      <c r="G3879" s="2">
        <v>41127</v>
      </c>
      <c r="H3879">
        <v>8.0050000000000008</v>
      </c>
      <c r="J3879" s="2">
        <v>41134</v>
      </c>
      <c r="K3879" s="3">
        <f t="shared" si="120"/>
        <v>8</v>
      </c>
      <c r="L3879" s="3">
        <f t="shared" si="121"/>
        <v>8.0190000000000001</v>
      </c>
    </row>
    <row r="3880" spans="1:12" x14ac:dyDescent="0.3">
      <c r="A3880" s="2">
        <v>40397</v>
      </c>
      <c r="B3880" t="s">
        <v>13</v>
      </c>
      <c r="D3880" s="2">
        <v>41128</v>
      </c>
      <c r="E3880">
        <v>8</v>
      </c>
      <c r="G3880" s="2">
        <v>41128</v>
      </c>
      <c r="H3880">
        <v>8.0060000000000002</v>
      </c>
      <c r="J3880" s="2">
        <v>41135</v>
      </c>
      <c r="K3880" s="3">
        <f t="shared" si="120"/>
        <v>8</v>
      </c>
      <c r="L3880" s="3">
        <f t="shared" si="121"/>
        <v>8.0229999999999997</v>
      </c>
    </row>
    <row r="3881" spans="1:12" x14ac:dyDescent="0.3">
      <c r="A3881" s="2">
        <v>40398</v>
      </c>
      <c r="B3881" t="s">
        <v>13</v>
      </c>
      <c r="D3881" s="2">
        <v>41129</v>
      </c>
      <c r="E3881">
        <v>8</v>
      </c>
      <c r="G3881" s="2">
        <v>41129</v>
      </c>
      <c r="H3881">
        <v>7.9980000000000002</v>
      </c>
      <c r="J3881" s="2">
        <v>41136</v>
      </c>
      <c r="K3881" s="3">
        <f t="shared" si="120"/>
        <v>8</v>
      </c>
      <c r="L3881" s="3">
        <f t="shared" si="121"/>
        <v>8.0210000000000008</v>
      </c>
    </row>
    <row r="3882" spans="1:12" x14ac:dyDescent="0.3">
      <c r="A3882" s="2">
        <v>40399</v>
      </c>
      <c r="B3882" t="s">
        <v>13</v>
      </c>
      <c r="D3882" s="2">
        <v>41130</v>
      </c>
      <c r="E3882">
        <v>8</v>
      </c>
      <c r="G3882" s="2">
        <v>41130</v>
      </c>
      <c r="H3882">
        <v>8.0109999999999992</v>
      </c>
      <c r="J3882" s="2">
        <v>41137</v>
      </c>
      <c r="K3882" s="3">
        <f t="shared" si="120"/>
        <v>8</v>
      </c>
      <c r="L3882" s="3">
        <f t="shared" si="121"/>
        <v>8.0269999999999992</v>
      </c>
    </row>
    <row r="3883" spans="1:12" x14ac:dyDescent="0.3">
      <c r="A3883" s="2">
        <v>40400</v>
      </c>
      <c r="B3883" t="s">
        <v>13</v>
      </c>
      <c r="D3883" s="2">
        <v>41131</v>
      </c>
      <c r="E3883">
        <v>8</v>
      </c>
      <c r="G3883" s="2">
        <v>41131</v>
      </c>
      <c r="H3883">
        <v>8.0169999999999995</v>
      </c>
      <c r="J3883" s="2">
        <v>41138</v>
      </c>
      <c r="K3883" s="3">
        <f t="shared" si="120"/>
        <v>8</v>
      </c>
      <c r="L3883" s="3">
        <f t="shared" si="121"/>
        <v>8.0350000000000001</v>
      </c>
    </row>
    <row r="3884" spans="1:12" x14ac:dyDescent="0.3">
      <c r="A3884" s="2">
        <v>40401</v>
      </c>
      <c r="B3884" t="s">
        <v>13</v>
      </c>
      <c r="D3884" s="2">
        <v>41132</v>
      </c>
      <c r="E3884">
        <v>8</v>
      </c>
      <c r="G3884" s="2">
        <v>41132</v>
      </c>
      <c r="H3884">
        <v>8.0169999999999995</v>
      </c>
      <c r="J3884" s="2">
        <v>41139</v>
      </c>
      <c r="K3884" s="3">
        <f t="shared" si="120"/>
        <v>8</v>
      </c>
      <c r="L3884" s="3">
        <f t="shared" si="121"/>
        <v>8.0350000000000001</v>
      </c>
    </row>
    <row r="3885" spans="1:12" x14ac:dyDescent="0.3">
      <c r="A3885" s="2">
        <v>40402</v>
      </c>
      <c r="B3885" t="s">
        <v>13</v>
      </c>
      <c r="D3885" s="2">
        <v>41133</v>
      </c>
      <c r="E3885">
        <v>8</v>
      </c>
      <c r="G3885" s="2">
        <v>41133</v>
      </c>
      <c r="H3885">
        <v>8.0169999999999995</v>
      </c>
      <c r="J3885" s="2">
        <v>41140</v>
      </c>
      <c r="K3885" s="3">
        <f t="shared" si="120"/>
        <v>8</v>
      </c>
      <c r="L3885" s="3">
        <f t="shared" si="121"/>
        <v>8.0350000000000001</v>
      </c>
    </row>
    <row r="3886" spans="1:12" x14ac:dyDescent="0.3">
      <c r="A3886" s="2">
        <v>40403</v>
      </c>
      <c r="B3886" t="s">
        <v>13</v>
      </c>
      <c r="D3886" s="2">
        <v>41134</v>
      </c>
      <c r="E3886">
        <v>8</v>
      </c>
      <c r="G3886" s="2">
        <v>41134</v>
      </c>
      <c r="H3886">
        <v>8.0190000000000001</v>
      </c>
      <c r="J3886" s="2">
        <v>41141</v>
      </c>
      <c r="K3886" s="3">
        <f t="shared" si="120"/>
        <v>8</v>
      </c>
      <c r="L3886" s="3">
        <f t="shared" si="121"/>
        <v>8.0350000000000001</v>
      </c>
    </row>
    <row r="3887" spans="1:12" x14ac:dyDescent="0.3">
      <c r="A3887" s="2">
        <v>40404</v>
      </c>
      <c r="B3887" t="s">
        <v>13</v>
      </c>
      <c r="D3887" s="2">
        <v>41135</v>
      </c>
      <c r="E3887">
        <v>8</v>
      </c>
      <c r="G3887" s="2">
        <v>41135</v>
      </c>
      <c r="H3887">
        <v>8.0229999999999997</v>
      </c>
      <c r="J3887" s="2">
        <v>41142</v>
      </c>
      <c r="K3887" s="3">
        <f t="shared" si="120"/>
        <v>8</v>
      </c>
      <c r="L3887" s="3">
        <f t="shared" si="121"/>
        <v>8.0589999999999993</v>
      </c>
    </row>
    <row r="3888" spans="1:12" x14ac:dyDescent="0.3">
      <c r="A3888" s="2">
        <v>40405</v>
      </c>
      <c r="B3888" t="s">
        <v>13</v>
      </c>
      <c r="D3888" s="2">
        <v>41136</v>
      </c>
      <c r="E3888">
        <v>8</v>
      </c>
      <c r="G3888" s="2">
        <v>41136</v>
      </c>
      <c r="H3888">
        <v>8.0210000000000008</v>
      </c>
      <c r="J3888" s="2">
        <v>41143</v>
      </c>
      <c r="K3888" s="3">
        <f t="shared" si="120"/>
        <v>8</v>
      </c>
      <c r="L3888" s="3">
        <f t="shared" si="121"/>
        <v>8.0410000000000004</v>
      </c>
    </row>
    <row r="3889" spans="1:12" x14ac:dyDescent="0.3">
      <c r="A3889" s="2">
        <v>40406</v>
      </c>
      <c r="B3889" t="s">
        <v>13</v>
      </c>
      <c r="D3889" s="2">
        <v>41137</v>
      </c>
      <c r="E3889">
        <v>8</v>
      </c>
      <c r="G3889" s="2">
        <v>41137</v>
      </c>
      <c r="H3889">
        <v>8.0269999999999992</v>
      </c>
      <c r="J3889" s="2">
        <v>41144</v>
      </c>
      <c r="K3889" s="3">
        <f t="shared" si="120"/>
        <v>8</v>
      </c>
      <c r="L3889" s="3">
        <f t="shared" si="121"/>
        <v>8.0329999999999995</v>
      </c>
    </row>
    <row r="3890" spans="1:12" x14ac:dyDescent="0.3">
      <c r="A3890" s="2">
        <v>40407</v>
      </c>
      <c r="B3890" t="s">
        <v>13</v>
      </c>
      <c r="D3890" s="2">
        <v>41138</v>
      </c>
      <c r="E3890">
        <v>8</v>
      </c>
      <c r="G3890" s="2">
        <v>41138</v>
      </c>
      <c r="H3890">
        <v>8.0350000000000001</v>
      </c>
      <c r="J3890" s="2">
        <v>41145</v>
      </c>
      <c r="K3890" s="3">
        <f t="shared" si="120"/>
        <v>8</v>
      </c>
      <c r="L3890" s="3">
        <f t="shared" si="121"/>
        <v>8.0370000000000008</v>
      </c>
    </row>
    <row r="3891" spans="1:12" x14ac:dyDescent="0.3">
      <c r="A3891" s="2">
        <v>40408</v>
      </c>
      <c r="B3891" t="s">
        <v>13</v>
      </c>
      <c r="D3891" s="2">
        <v>41139</v>
      </c>
      <c r="E3891">
        <v>8</v>
      </c>
      <c r="G3891" s="2">
        <v>41139</v>
      </c>
      <c r="H3891">
        <v>8.0350000000000001</v>
      </c>
      <c r="J3891" s="2">
        <v>41146</v>
      </c>
      <c r="K3891" s="3">
        <f t="shared" si="120"/>
        <v>8</v>
      </c>
      <c r="L3891" s="3">
        <f t="shared" si="121"/>
        <v>8.0370000000000008</v>
      </c>
    </row>
    <row r="3892" spans="1:12" x14ac:dyDescent="0.3">
      <c r="A3892" s="2">
        <v>40409</v>
      </c>
      <c r="B3892" t="s">
        <v>13</v>
      </c>
      <c r="D3892" s="2">
        <v>41140</v>
      </c>
      <c r="E3892">
        <v>8</v>
      </c>
      <c r="G3892" s="2">
        <v>41140</v>
      </c>
      <c r="H3892">
        <v>8.0350000000000001</v>
      </c>
      <c r="J3892" s="2">
        <v>41147</v>
      </c>
      <c r="K3892" s="3">
        <f t="shared" si="120"/>
        <v>8</v>
      </c>
      <c r="L3892" s="3">
        <f t="shared" si="121"/>
        <v>8.0370000000000008</v>
      </c>
    </row>
    <row r="3893" spans="1:12" x14ac:dyDescent="0.3">
      <c r="A3893" s="2">
        <v>40410</v>
      </c>
      <c r="B3893" t="s">
        <v>13</v>
      </c>
      <c r="D3893" s="2">
        <v>41141</v>
      </c>
      <c r="E3893">
        <v>8</v>
      </c>
      <c r="G3893" s="2">
        <v>41141</v>
      </c>
      <c r="H3893">
        <v>8.0350000000000001</v>
      </c>
      <c r="J3893" s="2">
        <v>41148</v>
      </c>
      <c r="K3893" s="3">
        <f t="shared" si="120"/>
        <v>8</v>
      </c>
      <c r="L3893" s="3">
        <f t="shared" si="121"/>
        <v>8.0530000000000008</v>
      </c>
    </row>
    <row r="3894" spans="1:12" x14ac:dyDescent="0.3">
      <c r="A3894" s="2">
        <v>40411</v>
      </c>
      <c r="B3894" t="s">
        <v>13</v>
      </c>
      <c r="D3894" s="2">
        <v>41142</v>
      </c>
      <c r="E3894">
        <v>8</v>
      </c>
      <c r="G3894" s="2">
        <v>41142</v>
      </c>
      <c r="H3894">
        <v>8.0589999999999993</v>
      </c>
      <c r="J3894" s="2">
        <v>41149</v>
      </c>
      <c r="K3894" s="3">
        <f t="shared" si="120"/>
        <v>8</v>
      </c>
      <c r="L3894" s="3">
        <f t="shared" si="121"/>
        <v>8.0440000000000005</v>
      </c>
    </row>
    <row r="3895" spans="1:12" x14ac:dyDescent="0.3">
      <c r="A3895" s="2">
        <v>40412</v>
      </c>
      <c r="B3895" t="s">
        <v>13</v>
      </c>
      <c r="D3895" s="2">
        <v>41143</v>
      </c>
      <c r="E3895">
        <v>8</v>
      </c>
      <c r="G3895" s="2">
        <v>41143</v>
      </c>
      <c r="H3895">
        <v>8.0410000000000004</v>
      </c>
      <c r="J3895" s="2">
        <v>41150</v>
      </c>
      <c r="K3895" s="3">
        <f t="shared" si="120"/>
        <v>8</v>
      </c>
      <c r="L3895" s="3">
        <f t="shared" si="121"/>
        <v>8.0329999999999995</v>
      </c>
    </row>
    <row r="3896" spans="1:12" x14ac:dyDescent="0.3">
      <c r="A3896" s="2">
        <v>40413</v>
      </c>
      <c r="B3896" t="s">
        <v>13</v>
      </c>
      <c r="D3896" s="2">
        <v>41144</v>
      </c>
      <c r="E3896">
        <v>8</v>
      </c>
      <c r="G3896" s="2">
        <v>41144</v>
      </c>
      <c r="H3896">
        <v>8.0329999999999995</v>
      </c>
      <c r="J3896" s="2">
        <v>41151</v>
      </c>
      <c r="K3896" s="3">
        <f t="shared" si="120"/>
        <v>8</v>
      </c>
      <c r="L3896" s="3">
        <f t="shared" si="121"/>
        <v>7.9539999999999997</v>
      </c>
    </row>
    <row r="3897" spans="1:12" x14ac:dyDescent="0.3">
      <c r="A3897" s="2">
        <v>40414</v>
      </c>
      <c r="B3897" t="s">
        <v>13</v>
      </c>
      <c r="D3897" s="2">
        <v>41145</v>
      </c>
      <c r="E3897">
        <v>8</v>
      </c>
      <c r="G3897" s="2">
        <v>41145</v>
      </c>
      <c r="H3897">
        <v>8.0370000000000008</v>
      </c>
      <c r="J3897" s="2">
        <v>41152</v>
      </c>
      <c r="K3897" s="3">
        <f t="shared" si="120"/>
        <v>8</v>
      </c>
      <c r="L3897" s="3">
        <f t="shared" si="121"/>
        <v>7.96</v>
      </c>
    </row>
    <row r="3898" spans="1:12" x14ac:dyDescent="0.3">
      <c r="A3898" s="2">
        <v>40415</v>
      </c>
      <c r="B3898" t="s">
        <v>13</v>
      </c>
      <c r="D3898" s="2">
        <v>41146</v>
      </c>
      <c r="E3898">
        <v>8</v>
      </c>
      <c r="G3898" s="2">
        <v>41146</v>
      </c>
      <c r="H3898">
        <v>8.0370000000000008</v>
      </c>
      <c r="J3898" s="2">
        <v>41153</v>
      </c>
      <c r="K3898" s="3">
        <f t="shared" si="120"/>
        <v>8</v>
      </c>
      <c r="L3898" s="3">
        <f t="shared" si="121"/>
        <v>7.96</v>
      </c>
    </row>
    <row r="3899" spans="1:12" x14ac:dyDescent="0.3">
      <c r="A3899" s="2">
        <v>40416</v>
      </c>
      <c r="B3899" t="s">
        <v>13</v>
      </c>
      <c r="D3899" s="2">
        <v>41147</v>
      </c>
      <c r="E3899">
        <v>8</v>
      </c>
      <c r="G3899" s="2">
        <v>41147</v>
      </c>
      <c r="H3899">
        <v>8.0370000000000008</v>
      </c>
      <c r="J3899" s="2">
        <v>41154</v>
      </c>
      <c r="K3899" s="3">
        <f t="shared" si="120"/>
        <v>8</v>
      </c>
      <c r="L3899" s="3">
        <f t="shared" si="121"/>
        <v>7.96</v>
      </c>
    </row>
    <row r="3900" spans="1:12" x14ac:dyDescent="0.3">
      <c r="A3900" s="2">
        <v>40417</v>
      </c>
      <c r="B3900" t="s">
        <v>13</v>
      </c>
      <c r="D3900" s="2">
        <v>41148</v>
      </c>
      <c r="E3900">
        <v>8</v>
      </c>
      <c r="G3900" s="2">
        <v>41148</v>
      </c>
      <c r="H3900">
        <v>8.0530000000000008</v>
      </c>
      <c r="J3900" s="2">
        <v>41155</v>
      </c>
      <c r="K3900" s="3">
        <f t="shared" si="120"/>
        <v>8</v>
      </c>
      <c r="L3900" s="3">
        <f t="shared" si="121"/>
        <v>7.9619999999999997</v>
      </c>
    </row>
    <row r="3901" spans="1:12" x14ac:dyDescent="0.3">
      <c r="A3901" s="2">
        <v>40418</v>
      </c>
      <c r="B3901" t="s">
        <v>13</v>
      </c>
      <c r="D3901" s="2">
        <v>41149</v>
      </c>
      <c r="E3901">
        <v>8</v>
      </c>
      <c r="G3901" s="2">
        <v>41149</v>
      </c>
      <c r="H3901">
        <v>8.0440000000000005</v>
      </c>
      <c r="J3901" s="2">
        <v>41156</v>
      </c>
      <c r="K3901" s="3">
        <f t="shared" si="120"/>
        <v>8</v>
      </c>
      <c r="L3901" s="3">
        <f t="shared" si="121"/>
        <v>7.9509999999999996</v>
      </c>
    </row>
    <row r="3902" spans="1:12" x14ac:dyDescent="0.3">
      <c r="A3902" s="2">
        <v>40419</v>
      </c>
      <c r="B3902" t="s">
        <v>13</v>
      </c>
      <c r="D3902" s="2">
        <v>41150</v>
      </c>
      <c r="E3902">
        <v>8</v>
      </c>
      <c r="G3902" s="2">
        <v>41150</v>
      </c>
      <c r="H3902">
        <v>8.0329999999999995</v>
      </c>
      <c r="J3902" s="2">
        <v>41157</v>
      </c>
      <c r="K3902" s="3">
        <f t="shared" si="120"/>
        <v>8</v>
      </c>
      <c r="L3902" s="3">
        <f t="shared" si="121"/>
        <v>7.9969999999999999</v>
      </c>
    </row>
    <row r="3903" spans="1:12" x14ac:dyDescent="0.3">
      <c r="A3903" s="2">
        <v>40420</v>
      </c>
      <c r="B3903" t="s">
        <v>13</v>
      </c>
      <c r="D3903" s="2">
        <v>41151</v>
      </c>
      <c r="E3903">
        <v>8</v>
      </c>
      <c r="G3903" s="2">
        <v>41151</v>
      </c>
      <c r="H3903">
        <v>7.9539999999999997</v>
      </c>
      <c r="J3903" s="2">
        <v>41158</v>
      </c>
      <c r="K3903" s="3">
        <f t="shared" si="120"/>
        <v>8</v>
      </c>
      <c r="L3903" s="3">
        <f t="shared" si="121"/>
        <v>8.0079999999999991</v>
      </c>
    </row>
    <row r="3904" spans="1:12" x14ac:dyDescent="0.3">
      <c r="A3904" s="2">
        <v>40421</v>
      </c>
      <c r="B3904" t="s">
        <v>13</v>
      </c>
      <c r="D3904" s="2">
        <v>41152</v>
      </c>
      <c r="E3904">
        <v>8</v>
      </c>
      <c r="G3904" s="2">
        <v>41152</v>
      </c>
      <c r="H3904">
        <v>7.96</v>
      </c>
      <c r="J3904" s="2">
        <v>41159</v>
      </c>
      <c r="K3904" s="3">
        <f t="shared" si="120"/>
        <v>8</v>
      </c>
      <c r="L3904" s="3">
        <f t="shared" si="121"/>
        <v>8.0220000000000002</v>
      </c>
    </row>
    <row r="3905" spans="1:12" x14ac:dyDescent="0.3">
      <c r="A3905" s="2">
        <v>40422</v>
      </c>
      <c r="B3905" t="s">
        <v>13</v>
      </c>
      <c r="D3905" s="2">
        <v>41153</v>
      </c>
      <c r="E3905">
        <v>8</v>
      </c>
      <c r="G3905" s="2">
        <v>41153</v>
      </c>
      <c r="H3905">
        <v>7.96</v>
      </c>
      <c r="J3905" s="2">
        <v>41160</v>
      </c>
      <c r="K3905" s="3">
        <f t="shared" si="120"/>
        <v>8</v>
      </c>
      <c r="L3905" s="3">
        <f t="shared" si="121"/>
        <v>8.0220000000000002</v>
      </c>
    </row>
    <row r="3906" spans="1:12" x14ac:dyDescent="0.3">
      <c r="A3906" s="2">
        <v>40423</v>
      </c>
      <c r="B3906" t="s">
        <v>13</v>
      </c>
      <c r="D3906" s="2">
        <v>41154</v>
      </c>
      <c r="E3906">
        <v>8</v>
      </c>
      <c r="G3906" s="2">
        <v>41154</v>
      </c>
      <c r="H3906">
        <v>7.96</v>
      </c>
      <c r="J3906" s="2">
        <v>41161</v>
      </c>
      <c r="K3906" s="3">
        <f t="shared" si="120"/>
        <v>8</v>
      </c>
      <c r="L3906" s="3">
        <f t="shared" si="121"/>
        <v>8.0220000000000002</v>
      </c>
    </row>
    <row r="3907" spans="1:12" x14ac:dyDescent="0.3">
      <c r="A3907" s="2">
        <v>40424</v>
      </c>
      <c r="B3907" t="s">
        <v>13</v>
      </c>
      <c r="D3907" s="2">
        <v>41155</v>
      </c>
      <c r="E3907">
        <v>8</v>
      </c>
      <c r="G3907" s="2">
        <v>41155</v>
      </c>
      <c r="H3907">
        <v>7.9619999999999997</v>
      </c>
      <c r="J3907" s="2">
        <v>41162</v>
      </c>
      <c r="K3907" s="3">
        <f t="shared" ref="K3907:K3970" si="122">E3914</f>
        <v>8</v>
      </c>
      <c r="L3907" s="3">
        <f t="shared" ref="L3907:L3970" si="123">H3914</f>
        <v>8.0050000000000008</v>
      </c>
    </row>
    <row r="3908" spans="1:12" x14ac:dyDescent="0.3">
      <c r="A3908" s="2">
        <v>40425</v>
      </c>
      <c r="B3908" t="s">
        <v>13</v>
      </c>
      <c r="D3908" s="2">
        <v>41156</v>
      </c>
      <c r="E3908">
        <v>8</v>
      </c>
      <c r="G3908" s="2">
        <v>41156</v>
      </c>
      <c r="H3908">
        <v>7.9509999999999996</v>
      </c>
      <c r="J3908" s="2">
        <v>41163</v>
      </c>
      <c r="K3908" s="3">
        <f t="shared" si="122"/>
        <v>8</v>
      </c>
      <c r="L3908" s="3">
        <f t="shared" si="123"/>
        <v>8.0150000000000006</v>
      </c>
    </row>
    <row r="3909" spans="1:12" x14ac:dyDescent="0.3">
      <c r="A3909" s="2">
        <v>40426</v>
      </c>
      <c r="B3909" t="s">
        <v>13</v>
      </c>
      <c r="D3909" s="2">
        <v>41157</v>
      </c>
      <c r="E3909">
        <v>8</v>
      </c>
      <c r="G3909" s="2">
        <v>41157</v>
      </c>
      <c r="H3909">
        <v>7.9969999999999999</v>
      </c>
      <c r="J3909" s="2">
        <v>41164</v>
      </c>
      <c r="K3909" s="3">
        <f t="shared" si="122"/>
        <v>8</v>
      </c>
      <c r="L3909" s="3">
        <f t="shared" si="123"/>
        <v>8.016</v>
      </c>
    </row>
    <row r="3910" spans="1:12" x14ac:dyDescent="0.3">
      <c r="A3910" s="2">
        <v>40427</v>
      </c>
      <c r="B3910" t="s">
        <v>13</v>
      </c>
      <c r="D3910" s="2">
        <v>41158</v>
      </c>
      <c r="E3910">
        <v>8</v>
      </c>
      <c r="G3910" s="2">
        <v>41158</v>
      </c>
      <c r="H3910">
        <v>8.0079999999999991</v>
      </c>
      <c r="J3910" s="2">
        <v>41165</v>
      </c>
      <c r="K3910" s="3">
        <f t="shared" si="122"/>
        <v>8</v>
      </c>
      <c r="L3910" s="3">
        <f t="shared" si="123"/>
        <v>8.0169999999999995</v>
      </c>
    </row>
    <row r="3911" spans="1:12" x14ac:dyDescent="0.3">
      <c r="A3911" s="2">
        <v>40428</v>
      </c>
      <c r="B3911" t="s">
        <v>13</v>
      </c>
      <c r="D3911" s="2">
        <v>41159</v>
      </c>
      <c r="E3911">
        <v>8</v>
      </c>
      <c r="G3911" s="2">
        <v>41159</v>
      </c>
      <c r="H3911">
        <v>8.0220000000000002</v>
      </c>
      <c r="J3911" s="2">
        <v>41166</v>
      </c>
      <c r="K3911" s="3">
        <f t="shared" si="122"/>
        <v>8</v>
      </c>
      <c r="L3911" s="3">
        <f t="shared" si="123"/>
        <v>8.0190000000000001</v>
      </c>
    </row>
    <row r="3912" spans="1:12" x14ac:dyDescent="0.3">
      <c r="A3912" s="2">
        <v>40429</v>
      </c>
      <c r="B3912" t="s">
        <v>13</v>
      </c>
      <c r="D3912" s="2">
        <v>41160</v>
      </c>
      <c r="E3912">
        <v>8</v>
      </c>
      <c r="G3912" s="2">
        <v>41160</v>
      </c>
      <c r="H3912">
        <v>8.0220000000000002</v>
      </c>
      <c r="J3912" s="2">
        <v>41167</v>
      </c>
      <c r="K3912" s="3">
        <f t="shared" si="122"/>
        <v>8</v>
      </c>
      <c r="L3912" s="3">
        <f t="shared" si="123"/>
        <v>8.0190000000000001</v>
      </c>
    </row>
    <row r="3913" spans="1:12" x14ac:dyDescent="0.3">
      <c r="A3913" s="2">
        <v>40430</v>
      </c>
      <c r="B3913" t="s">
        <v>13</v>
      </c>
      <c r="D3913" s="2">
        <v>41161</v>
      </c>
      <c r="E3913">
        <v>8</v>
      </c>
      <c r="G3913" s="2">
        <v>41161</v>
      </c>
      <c r="H3913">
        <v>8.0220000000000002</v>
      </c>
      <c r="J3913" s="2">
        <v>41168</v>
      </c>
      <c r="K3913" s="3">
        <f t="shared" si="122"/>
        <v>8</v>
      </c>
      <c r="L3913" s="3">
        <f t="shared" si="123"/>
        <v>8.0190000000000001</v>
      </c>
    </row>
    <row r="3914" spans="1:12" x14ac:dyDescent="0.3">
      <c r="A3914" s="2">
        <v>40431</v>
      </c>
      <c r="B3914" t="s">
        <v>13</v>
      </c>
      <c r="D3914" s="2">
        <v>41162</v>
      </c>
      <c r="E3914">
        <v>8</v>
      </c>
      <c r="G3914" s="2">
        <v>41162</v>
      </c>
      <c r="H3914">
        <v>8.0050000000000008</v>
      </c>
      <c r="J3914" s="2">
        <v>41169</v>
      </c>
      <c r="K3914" s="3">
        <f t="shared" si="122"/>
        <v>8</v>
      </c>
      <c r="L3914" s="3">
        <f t="shared" si="123"/>
        <v>8.0210000000000008</v>
      </c>
    </row>
    <row r="3915" spans="1:12" x14ac:dyDescent="0.3">
      <c r="A3915" s="2">
        <v>40432</v>
      </c>
      <c r="B3915" t="s">
        <v>13</v>
      </c>
      <c r="D3915" s="2">
        <v>41163</v>
      </c>
      <c r="E3915">
        <v>8</v>
      </c>
      <c r="G3915" s="2">
        <v>41163</v>
      </c>
      <c r="H3915">
        <v>8.0150000000000006</v>
      </c>
      <c r="J3915" s="2">
        <v>41170</v>
      </c>
      <c r="K3915" s="3">
        <f t="shared" si="122"/>
        <v>8</v>
      </c>
      <c r="L3915" s="3">
        <f t="shared" si="123"/>
        <v>8.0210000000000008</v>
      </c>
    </row>
    <row r="3916" spans="1:12" x14ac:dyDescent="0.3">
      <c r="A3916" s="2">
        <v>40433</v>
      </c>
      <c r="B3916" t="s">
        <v>13</v>
      </c>
      <c r="D3916" s="2">
        <v>41164</v>
      </c>
      <c r="E3916">
        <v>8</v>
      </c>
      <c r="G3916" s="2">
        <v>41164</v>
      </c>
      <c r="H3916">
        <v>8.016</v>
      </c>
      <c r="J3916" s="2">
        <v>41171</v>
      </c>
      <c r="K3916" s="3">
        <f t="shared" si="122"/>
        <v>8</v>
      </c>
      <c r="L3916" s="3">
        <f t="shared" si="123"/>
        <v>8.0210000000000008</v>
      </c>
    </row>
    <row r="3917" spans="1:12" x14ac:dyDescent="0.3">
      <c r="A3917" s="2">
        <v>40434</v>
      </c>
      <c r="B3917" t="s">
        <v>13</v>
      </c>
      <c r="D3917" s="2">
        <v>41165</v>
      </c>
      <c r="E3917">
        <v>8</v>
      </c>
      <c r="G3917" s="2">
        <v>41165</v>
      </c>
      <c r="H3917">
        <v>8.0169999999999995</v>
      </c>
      <c r="J3917" s="2">
        <v>41172</v>
      </c>
      <c r="K3917" s="3">
        <f t="shared" si="122"/>
        <v>8</v>
      </c>
      <c r="L3917" s="3">
        <f t="shared" si="123"/>
        <v>8.0090000000000003</v>
      </c>
    </row>
    <row r="3918" spans="1:12" x14ac:dyDescent="0.3">
      <c r="A3918" s="2">
        <v>40435</v>
      </c>
      <c r="B3918" t="s">
        <v>13</v>
      </c>
      <c r="D3918" s="2">
        <v>41166</v>
      </c>
      <c r="E3918">
        <v>8</v>
      </c>
      <c r="G3918" s="2">
        <v>41166</v>
      </c>
      <c r="H3918">
        <v>8.0190000000000001</v>
      </c>
      <c r="J3918" s="2">
        <v>41173</v>
      </c>
      <c r="K3918" s="3">
        <f t="shared" si="122"/>
        <v>8</v>
      </c>
      <c r="L3918" s="3">
        <f t="shared" si="123"/>
        <v>8.0329999999999995</v>
      </c>
    </row>
    <row r="3919" spans="1:12" x14ac:dyDescent="0.3">
      <c r="A3919" s="2">
        <v>40436</v>
      </c>
      <c r="B3919" t="s">
        <v>13</v>
      </c>
      <c r="D3919" s="2">
        <v>41167</v>
      </c>
      <c r="E3919">
        <v>8</v>
      </c>
      <c r="G3919" s="2">
        <v>41167</v>
      </c>
      <c r="H3919">
        <v>8.0190000000000001</v>
      </c>
      <c r="J3919" s="2">
        <v>41174</v>
      </c>
      <c r="K3919" s="3">
        <f t="shared" si="122"/>
        <v>8</v>
      </c>
      <c r="L3919" s="3">
        <f t="shared" si="123"/>
        <v>8.0329999999999995</v>
      </c>
    </row>
    <row r="3920" spans="1:12" x14ac:dyDescent="0.3">
      <c r="A3920" s="2">
        <v>40437</v>
      </c>
      <c r="B3920" t="s">
        <v>13</v>
      </c>
      <c r="D3920" s="2">
        <v>41168</v>
      </c>
      <c r="E3920">
        <v>8</v>
      </c>
      <c r="G3920" s="2">
        <v>41168</v>
      </c>
      <c r="H3920">
        <v>8.0190000000000001</v>
      </c>
      <c r="J3920" s="2">
        <v>41175</v>
      </c>
      <c r="K3920" s="3">
        <f t="shared" si="122"/>
        <v>8</v>
      </c>
      <c r="L3920" s="3">
        <f t="shared" si="123"/>
        <v>8.0329999999999995</v>
      </c>
    </row>
    <row r="3921" spans="1:12" x14ac:dyDescent="0.3">
      <c r="A3921" s="2">
        <v>40438</v>
      </c>
      <c r="B3921" t="s">
        <v>13</v>
      </c>
      <c r="D3921" s="2">
        <v>41169</v>
      </c>
      <c r="E3921">
        <v>8</v>
      </c>
      <c r="G3921" s="2">
        <v>41169</v>
      </c>
      <c r="H3921">
        <v>8.0210000000000008</v>
      </c>
      <c r="J3921" s="2">
        <v>41176</v>
      </c>
      <c r="K3921" s="3">
        <f t="shared" si="122"/>
        <v>8</v>
      </c>
      <c r="L3921" s="3">
        <f t="shared" si="123"/>
        <v>8.0340000000000007</v>
      </c>
    </row>
    <row r="3922" spans="1:12" x14ac:dyDescent="0.3">
      <c r="A3922" s="2">
        <v>40439</v>
      </c>
      <c r="B3922" t="s">
        <v>13</v>
      </c>
      <c r="D3922" s="2">
        <v>41170</v>
      </c>
      <c r="E3922">
        <v>8</v>
      </c>
      <c r="G3922" s="2">
        <v>41170</v>
      </c>
      <c r="H3922">
        <v>8.0210000000000008</v>
      </c>
      <c r="J3922" s="2">
        <v>41177</v>
      </c>
      <c r="K3922" s="3">
        <f t="shared" si="122"/>
        <v>8</v>
      </c>
      <c r="L3922" s="3">
        <f t="shared" si="123"/>
        <v>8.0500000000000007</v>
      </c>
    </row>
    <row r="3923" spans="1:12" x14ac:dyDescent="0.3">
      <c r="A3923" s="2">
        <v>40440</v>
      </c>
      <c r="B3923" t="s">
        <v>13</v>
      </c>
      <c r="D3923" s="2">
        <v>41171</v>
      </c>
      <c r="E3923">
        <v>8</v>
      </c>
      <c r="G3923" s="2">
        <v>41171</v>
      </c>
      <c r="H3923">
        <v>8.0210000000000008</v>
      </c>
      <c r="J3923" s="2">
        <v>41178</v>
      </c>
      <c r="K3923" s="3">
        <f t="shared" si="122"/>
        <v>8</v>
      </c>
      <c r="L3923" s="3">
        <f t="shared" si="123"/>
        <v>8.0530000000000008</v>
      </c>
    </row>
    <row r="3924" spans="1:12" x14ac:dyDescent="0.3">
      <c r="A3924" s="2">
        <v>40441</v>
      </c>
      <c r="B3924" t="s">
        <v>13</v>
      </c>
      <c r="D3924" s="2">
        <v>41172</v>
      </c>
      <c r="E3924">
        <v>8</v>
      </c>
      <c r="G3924" s="2">
        <v>41172</v>
      </c>
      <c r="H3924">
        <v>8.0090000000000003</v>
      </c>
      <c r="J3924" s="2">
        <v>41179</v>
      </c>
      <c r="K3924" s="3">
        <f t="shared" si="122"/>
        <v>8</v>
      </c>
      <c r="L3924" s="3">
        <f t="shared" si="123"/>
        <v>8.0329999999999995</v>
      </c>
    </row>
    <row r="3925" spans="1:12" x14ac:dyDescent="0.3">
      <c r="A3925" s="2">
        <v>40442</v>
      </c>
      <c r="B3925" t="s">
        <v>13</v>
      </c>
      <c r="D3925" s="2">
        <v>41173</v>
      </c>
      <c r="E3925">
        <v>8</v>
      </c>
      <c r="G3925" s="2">
        <v>41173</v>
      </c>
      <c r="H3925">
        <v>8.0329999999999995</v>
      </c>
      <c r="J3925" s="2">
        <v>41180</v>
      </c>
      <c r="K3925" s="3">
        <f t="shared" si="122"/>
        <v>8</v>
      </c>
      <c r="L3925" s="3">
        <f t="shared" si="123"/>
        <v>8.01</v>
      </c>
    </row>
    <row r="3926" spans="1:12" x14ac:dyDescent="0.3">
      <c r="A3926" s="2">
        <v>40443</v>
      </c>
      <c r="B3926" t="s">
        <v>13</v>
      </c>
      <c r="D3926" s="2">
        <v>41174</v>
      </c>
      <c r="E3926">
        <v>8</v>
      </c>
      <c r="G3926" s="2">
        <v>41174</v>
      </c>
      <c r="H3926">
        <v>8.0329999999999995</v>
      </c>
      <c r="J3926" s="2">
        <v>41181</v>
      </c>
      <c r="K3926" s="3">
        <f t="shared" si="122"/>
        <v>8</v>
      </c>
      <c r="L3926" s="3">
        <f t="shared" si="123"/>
        <v>8.01</v>
      </c>
    </row>
    <row r="3927" spans="1:12" x14ac:dyDescent="0.3">
      <c r="A3927" s="2">
        <v>40444</v>
      </c>
      <c r="B3927" t="s">
        <v>13</v>
      </c>
      <c r="D3927" s="2">
        <v>41175</v>
      </c>
      <c r="E3927">
        <v>8</v>
      </c>
      <c r="G3927" s="2">
        <v>41175</v>
      </c>
      <c r="H3927">
        <v>8.0329999999999995</v>
      </c>
      <c r="J3927" s="2">
        <v>41182</v>
      </c>
      <c r="K3927" s="3">
        <f t="shared" si="122"/>
        <v>8</v>
      </c>
      <c r="L3927" s="3">
        <f t="shared" si="123"/>
        <v>8.01</v>
      </c>
    </row>
    <row r="3928" spans="1:12" x14ac:dyDescent="0.3">
      <c r="A3928" s="2">
        <v>40445</v>
      </c>
      <c r="B3928" t="s">
        <v>13</v>
      </c>
      <c r="D3928" s="2">
        <v>41176</v>
      </c>
      <c r="E3928">
        <v>8</v>
      </c>
      <c r="G3928" s="2">
        <v>41176</v>
      </c>
      <c r="H3928">
        <v>8.0340000000000007</v>
      </c>
      <c r="J3928" s="2">
        <v>41183</v>
      </c>
      <c r="K3928" s="3">
        <f t="shared" si="122"/>
        <v>8</v>
      </c>
      <c r="L3928" s="3">
        <f t="shared" si="123"/>
        <v>8.0139999999999993</v>
      </c>
    </row>
    <row r="3929" spans="1:12" x14ac:dyDescent="0.3">
      <c r="A3929" s="2">
        <v>40446</v>
      </c>
      <c r="B3929" t="s">
        <v>13</v>
      </c>
      <c r="D3929" s="2">
        <v>41177</v>
      </c>
      <c r="E3929">
        <v>8</v>
      </c>
      <c r="G3929" s="2">
        <v>41177</v>
      </c>
      <c r="H3929">
        <v>8.0500000000000007</v>
      </c>
      <c r="J3929" s="2">
        <v>41184</v>
      </c>
      <c r="K3929" s="3">
        <f t="shared" si="122"/>
        <v>8</v>
      </c>
      <c r="L3929" s="3">
        <f t="shared" si="123"/>
        <v>8.0139999999999993</v>
      </c>
    </row>
    <row r="3930" spans="1:12" x14ac:dyDescent="0.3">
      <c r="A3930" s="2">
        <v>40447</v>
      </c>
      <c r="B3930" t="s">
        <v>13</v>
      </c>
      <c r="D3930" s="2">
        <v>41178</v>
      </c>
      <c r="E3930">
        <v>8</v>
      </c>
      <c r="G3930" s="2">
        <v>41178</v>
      </c>
      <c r="H3930">
        <v>8.0530000000000008</v>
      </c>
      <c r="J3930" s="2">
        <v>41185</v>
      </c>
      <c r="K3930" s="3">
        <f t="shared" si="122"/>
        <v>8</v>
      </c>
      <c r="L3930" s="3">
        <f t="shared" si="123"/>
        <v>8.0009999999999994</v>
      </c>
    </row>
    <row r="3931" spans="1:12" x14ac:dyDescent="0.3">
      <c r="A3931" s="2">
        <v>40448</v>
      </c>
      <c r="B3931" t="s">
        <v>13</v>
      </c>
      <c r="D3931" s="2">
        <v>41179</v>
      </c>
      <c r="E3931">
        <v>8</v>
      </c>
      <c r="G3931" s="2">
        <v>41179</v>
      </c>
      <c r="H3931">
        <v>8.0329999999999995</v>
      </c>
      <c r="J3931" s="2">
        <v>41186</v>
      </c>
      <c r="K3931" s="3">
        <f t="shared" si="122"/>
        <v>8</v>
      </c>
      <c r="L3931" s="3">
        <f t="shared" si="123"/>
        <v>7.9989999999999997</v>
      </c>
    </row>
    <row r="3932" spans="1:12" x14ac:dyDescent="0.3">
      <c r="A3932" s="2">
        <v>40449</v>
      </c>
      <c r="B3932" t="s">
        <v>13</v>
      </c>
      <c r="D3932" s="2">
        <v>41180</v>
      </c>
      <c r="E3932">
        <v>8</v>
      </c>
      <c r="G3932" s="2">
        <v>41180</v>
      </c>
      <c r="H3932">
        <v>8.01</v>
      </c>
      <c r="J3932" s="2">
        <v>41187</v>
      </c>
      <c r="K3932" s="3">
        <f t="shared" si="122"/>
        <v>8</v>
      </c>
      <c r="L3932" s="3">
        <f t="shared" si="123"/>
        <v>8.0050000000000008</v>
      </c>
    </row>
    <row r="3933" spans="1:12" x14ac:dyDescent="0.3">
      <c r="A3933" s="2">
        <v>40450</v>
      </c>
      <c r="B3933" t="s">
        <v>13</v>
      </c>
      <c r="D3933" s="2">
        <v>41181</v>
      </c>
      <c r="E3933">
        <v>8</v>
      </c>
      <c r="G3933" s="2">
        <v>41181</v>
      </c>
      <c r="H3933">
        <v>8.01</v>
      </c>
      <c r="J3933" s="2">
        <v>41188</v>
      </c>
      <c r="K3933" s="3">
        <f t="shared" si="122"/>
        <v>8</v>
      </c>
      <c r="L3933" s="3">
        <f t="shared" si="123"/>
        <v>8.0050000000000008</v>
      </c>
    </row>
    <row r="3934" spans="1:12" x14ac:dyDescent="0.3">
      <c r="A3934" s="2">
        <v>40451</v>
      </c>
      <c r="B3934" t="s">
        <v>13</v>
      </c>
      <c r="D3934" s="2">
        <v>41182</v>
      </c>
      <c r="E3934">
        <v>8</v>
      </c>
      <c r="G3934" s="2">
        <v>41182</v>
      </c>
      <c r="H3934">
        <v>8.01</v>
      </c>
      <c r="J3934" s="2">
        <v>41189</v>
      </c>
      <c r="K3934" s="3">
        <f t="shared" si="122"/>
        <v>8</v>
      </c>
      <c r="L3934" s="3">
        <f t="shared" si="123"/>
        <v>8.0050000000000008</v>
      </c>
    </row>
    <row r="3935" spans="1:12" x14ac:dyDescent="0.3">
      <c r="A3935" s="2">
        <v>40452</v>
      </c>
      <c r="B3935" t="s">
        <v>13</v>
      </c>
      <c r="D3935" s="2">
        <v>41183</v>
      </c>
      <c r="E3935">
        <v>8</v>
      </c>
      <c r="G3935" s="2">
        <v>41183</v>
      </c>
      <c r="H3935">
        <v>8.0139999999999993</v>
      </c>
      <c r="J3935" s="2">
        <v>41190</v>
      </c>
      <c r="K3935" s="3">
        <f t="shared" si="122"/>
        <v>8</v>
      </c>
      <c r="L3935" s="3">
        <f t="shared" si="123"/>
        <v>8.016</v>
      </c>
    </row>
    <row r="3936" spans="1:12" x14ac:dyDescent="0.3">
      <c r="A3936" s="2">
        <v>40453</v>
      </c>
      <c r="B3936" t="s">
        <v>13</v>
      </c>
      <c r="D3936" s="2">
        <v>41184</v>
      </c>
      <c r="E3936">
        <v>8</v>
      </c>
      <c r="G3936" s="2">
        <v>41184</v>
      </c>
      <c r="H3936">
        <v>8.0139999999999993</v>
      </c>
      <c r="J3936" s="2">
        <v>41191</v>
      </c>
      <c r="K3936" s="3">
        <f t="shared" si="122"/>
        <v>8</v>
      </c>
      <c r="L3936" s="3">
        <f t="shared" si="123"/>
        <v>7.9669999999999996</v>
      </c>
    </row>
    <row r="3937" spans="1:12" x14ac:dyDescent="0.3">
      <c r="A3937" s="2">
        <v>40454</v>
      </c>
      <c r="B3937" t="s">
        <v>13</v>
      </c>
      <c r="D3937" s="2">
        <v>41185</v>
      </c>
      <c r="E3937">
        <v>8</v>
      </c>
      <c r="G3937" s="2">
        <v>41185</v>
      </c>
      <c r="H3937">
        <v>8.0009999999999994</v>
      </c>
      <c r="J3937" s="2">
        <v>41192</v>
      </c>
      <c r="K3937" s="3">
        <f t="shared" si="122"/>
        <v>8</v>
      </c>
      <c r="L3937" s="3">
        <f t="shared" si="123"/>
        <v>8.0920000000000005</v>
      </c>
    </row>
    <row r="3938" spans="1:12" x14ac:dyDescent="0.3">
      <c r="A3938" s="2">
        <v>40455</v>
      </c>
      <c r="B3938" t="s">
        <v>13</v>
      </c>
      <c r="D3938" s="2">
        <v>41186</v>
      </c>
      <c r="E3938">
        <v>8</v>
      </c>
      <c r="G3938" s="2">
        <v>41186</v>
      </c>
      <c r="H3938">
        <v>7.9989999999999997</v>
      </c>
      <c r="J3938" s="2">
        <v>41193</v>
      </c>
      <c r="K3938" s="3">
        <f t="shared" si="122"/>
        <v>8</v>
      </c>
      <c r="L3938" s="3">
        <f t="shared" si="123"/>
        <v>8.0050000000000008</v>
      </c>
    </row>
    <row r="3939" spans="1:12" x14ac:dyDescent="0.3">
      <c r="A3939" s="2">
        <v>40456</v>
      </c>
      <c r="B3939" t="s">
        <v>13</v>
      </c>
      <c r="D3939" s="2">
        <v>41187</v>
      </c>
      <c r="E3939">
        <v>8</v>
      </c>
      <c r="G3939" s="2">
        <v>41187</v>
      </c>
      <c r="H3939">
        <v>8.0050000000000008</v>
      </c>
      <c r="J3939" s="2">
        <v>41194</v>
      </c>
      <c r="K3939" s="3">
        <f t="shared" si="122"/>
        <v>8</v>
      </c>
      <c r="L3939" s="3">
        <f t="shared" si="123"/>
        <v>8.0069999999999997</v>
      </c>
    </row>
    <row r="3940" spans="1:12" x14ac:dyDescent="0.3">
      <c r="A3940" s="2">
        <v>40457</v>
      </c>
      <c r="B3940" t="s">
        <v>13</v>
      </c>
      <c r="D3940" s="2">
        <v>41188</v>
      </c>
      <c r="E3940">
        <v>8</v>
      </c>
      <c r="G3940" s="2">
        <v>41188</v>
      </c>
      <c r="H3940">
        <v>8.0050000000000008</v>
      </c>
      <c r="J3940" s="2">
        <v>41195</v>
      </c>
      <c r="K3940" s="3">
        <f t="shared" si="122"/>
        <v>8</v>
      </c>
      <c r="L3940" s="3">
        <f t="shared" si="123"/>
        <v>8.0069999999999997</v>
      </c>
    </row>
    <row r="3941" spans="1:12" x14ac:dyDescent="0.3">
      <c r="A3941" s="2">
        <v>40458</v>
      </c>
      <c r="B3941" t="s">
        <v>13</v>
      </c>
      <c r="D3941" s="2">
        <v>41189</v>
      </c>
      <c r="E3941">
        <v>8</v>
      </c>
      <c r="G3941" s="2">
        <v>41189</v>
      </c>
      <c r="H3941">
        <v>8.0050000000000008</v>
      </c>
      <c r="J3941" s="2">
        <v>41196</v>
      </c>
      <c r="K3941" s="3">
        <f t="shared" si="122"/>
        <v>8</v>
      </c>
      <c r="L3941" s="3">
        <f t="shared" si="123"/>
        <v>8.0069999999999997</v>
      </c>
    </row>
    <row r="3942" spans="1:12" x14ac:dyDescent="0.3">
      <c r="A3942" s="2">
        <v>40459</v>
      </c>
      <c r="B3942" t="s">
        <v>13</v>
      </c>
      <c r="D3942" s="2">
        <v>41190</v>
      </c>
      <c r="E3942">
        <v>8</v>
      </c>
      <c r="G3942" s="2">
        <v>41190</v>
      </c>
      <c r="H3942">
        <v>8.016</v>
      </c>
      <c r="J3942" s="2">
        <v>41197</v>
      </c>
      <c r="K3942" s="3">
        <f t="shared" si="122"/>
        <v>8</v>
      </c>
      <c r="L3942" s="3">
        <f t="shared" si="123"/>
        <v>8.0090000000000003</v>
      </c>
    </row>
    <row r="3943" spans="1:12" x14ac:dyDescent="0.3">
      <c r="A3943" s="2">
        <v>40460</v>
      </c>
      <c r="B3943" t="s">
        <v>13</v>
      </c>
      <c r="D3943" s="2">
        <v>41191</v>
      </c>
      <c r="E3943">
        <v>8</v>
      </c>
      <c r="G3943" s="2">
        <v>41191</v>
      </c>
      <c r="H3943">
        <v>7.9669999999999996</v>
      </c>
      <c r="J3943" s="2">
        <v>41198</v>
      </c>
      <c r="K3943" s="3">
        <f t="shared" si="122"/>
        <v>8</v>
      </c>
      <c r="L3943" s="3">
        <f t="shared" si="123"/>
        <v>8.0210000000000008</v>
      </c>
    </row>
    <row r="3944" spans="1:12" x14ac:dyDescent="0.3">
      <c r="A3944" s="2">
        <v>40461</v>
      </c>
      <c r="B3944" t="s">
        <v>13</v>
      </c>
      <c r="D3944" s="2">
        <v>41192</v>
      </c>
      <c r="E3944">
        <v>8</v>
      </c>
      <c r="G3944" s="2">
        <v>41192</v>
      </c>
      <c r="H3944">
        <v>8.0920000000000005</v>
      </c>
      <c r="J3944" s="2">
        <v>41199</v>
      </c>
      <c r="K3944" s="3">
        <f t="shared" si="122"/>
        <v>8</v>
      </c>
      <c r="L3944" s="3">
        <f t="shared" si="123"/>
        <v>8.0109999999999992</v>
      </c>
    </row>
    <row r="3945" spans="1:12" x14ac:dyDescent="0.3">
      <c r="A3945" s="2">
        <v>40462</v>
      </c>
      <c r="B3945" t="s">
        <v>13</v>
      </c>
      <c r="D3945" s="2">
        <v>41193</v>
      </c>
      <c r="E3945">
        <v>8</v>
      </c>
      <c r="G3945" s="2">
        <v>41193</v>
      </c>
      <c r="H3945">
        <v>8.0050000000000008</v>
      </c>
      <c r="J3945" s="2">
        <v>41200</v>
      </c>
      <c r="K3945" s="3">
        <f t="shared" si="122"/>
        <v>8</v>
      </c>
      <c r="L3945" s="3">
        <f t="shared" si="123"/>
        <v>7.9660000000000002</v>
      </c>
    </row>
    <row r="3946" spans="1:12" x14ac:dyDescent="0.3">
      <c r="A3946" s="2">
        <v>40463</v>
      </c>
      <c r="B3946" t="s">
        <v>13</v>
      </c>
      <c r="D3946" s="2">
        <v>41194</v>
      </c>
      <c r="E3946">
        <v>8</v>
      </c>
      <c r="G3946" s="2">
        <v>41194</v>
      </c>
      <c r="H3946">
        <v>8.0069999999999997</v>
      </c>
      <c r="J3946" s="2">
        <v>41201</v>
      </c>
      <c r="K3946" s="3">
        <f t="shared" si="122"/>
        <v>8</v>
      </c>
      <c r="L3946" s="3">
        <f t="shared" si="123"/>
        <v>7.9669999999999996</v>
      </c>
    </row>
    <row r="3947" spans="1:12" x14ac:dyDescent="0.3">
      <c r="A3947" s="2">
        <v>40464</v>
      </c>
      <c r="B3947" t="s">
        <v>13</v>
      </c>
      <c r="D3947" s="2">
        <v>41195</v>
      </c>
      <c r="E3947">
        <v>8</v>
      </c>
      <c r="G3947" s="2">
        <v>41195</v>
      </c>
      <c r="H3947">
        <v>8.0069999999999997</v>
      </c>
      <c r="J3947" s="2">
        <v>41202</v>
      </c>
      <c r="K3947" s="3">
        <f t="shared" si="122"/>
        <v>8</v>
      </c>
      <c r="L3947" s="3">
        <f t="shared" si="123"/>
        <v>7.9669999999999996</v>
      </c>
    </row>
    <row r="3948" spans="1:12" x14ac:dyDescent="0.3">
      <c r="A3948" s="2">
        <v>40465</v>
      </c>
      <c r="B3948" t="s">
        <v>13</v>
      </c>
      <c r="D3948" s="2">
        <v>41196</v>
      </c>
      <c r="E3948">
        <v>8</v>
      </c>
      <c r="G3948" s="2">
        <v>41196</v>
      </c>
      <c r="H3948">
        <v>8.0069999999999997</v>
      </c>
      <c r="J3948" s="2">
        <v>41203</v>
      </c>
      <c r="K3948" s="3">
        <f t="shared" si="122"/>
        <v>8</v>
      </c>
      <c r="L3948" s="3">
        <f t="shared" si="123"/>
        <v>7.9669999999999996</v>
      </c>
    </row>
    <row r="3949" spans="1:12" x14ac:dyDescent="0.3">
      <c r="A3949" s="2">
        <v>40466</v>
      </c>
      <c r="B3949" t="s">
        <v>13</v>
      </c>
      <c r="D3949" s="2">
        <v>41197</v>
      </c>
      <c r="E3949">
        <v>8</v>
      </c>
      <c r="G3949" s="2">
        <v>41197</v>
      </c>
      <c r="H3949">
        <v>8.0090000000000003</v>
      </c>
      <c r="J3949" s="2">
        <v>41204</v>
      </c>
      <c r="K3949" s="3">
        <f t="shared" si="122"/>
        <v>8</v>
      </c>
      <c r="L3949" s="3">
        <f t="shared" si="123"/>
        <v>7.9690000000000003</v>
      </c>
    </row>
    <row r="3950" spans="1:12" x14ac:dyDescent="0.3">
      <c r="A3950" s="2">
        <v>40467</v>
      </c>
      <c r="B3950" t="s">
        <v>13</v>
      </c>
      <c r="D3950" s="2">
        <v>41198</v>
      </c>
      <c r="E3950">
        <v>8</v>
      </c>
      <c r="G3950" s="2">
        <v>41198</v>
      </c>
      <c r="H3950">
        <v>8.0210000000000008</v>
      </c>
      <c r="J3950" s="2">
        <v>41205</v>
      </c>
      <c r="K3950" s="3">
        <f t="shared" si="122"/>
        <v>8</v>
      </c>
      <c r="L3950" s="3">
        <f t="shared" si="123"/>
        <v>7.9690000000000003</v>
      </c>
    </row>
    <row r="3951" spans="1:12" x14ac:dyDescent="0.3">
      <c r="A3951" s="2">
        <v>40468</v>
      </c>
      <c r="B3951" t="s">
        <v>13</v>
      </c>
      <c r="D3951" s="2">
        <v>41199</v>
      </c>
      <c r="E3951">
        <v>8</v>
      </c>
      <c r="G3951" s="2">
        <v>41199</v>
      </c>
      <c r="H3951">
        <v>8.0109999999999992</v>
      </c>
      <c r="J3951" s="2">
        <v>41206</v>
      </c>
      <c r="K3951" s="3">
        <f t="shared" si="122"/>
        <v>8</v>
      </c>
      <c r="L3951" s="3">
        <f t="shared" si="123"/>
        <v>7.9690000000000003</v>
      </c>
    </row>
    <row r="3952" spans="1:12" x14ac:dyDescent="0.3">
      <c r="A3952" s="2">
        <v>40469</v>
      </c>
      <c r="B3952" t="s">
        <v>13</v>
      </c>
      <c r="D3952" s="2">
        <v>41200</v>
      </c>
      <c r="E3952">
        <v>8</v>
      </c>
      <c r="G3952" s="2">
        <v>41200</v>
      </c>
      <c r="H3952">
        <v>7.9660000000000002</v>
      </c>
      <c r="J3952" s="2">
        <v>41207</v>
      </c>
      <c r="K3952" s="3">
        <f t="shared" si="122"/>
        <v>8</v>
      </c>
      <c r="L3952" s="3">
        <f t="shared" si="123"/>
        <v>7.9690000000000003</v>
      </c>
    </row>
    <row r="3953" spans="1:12" x14ac:dyDescent="0.3">
      <c r="A3953" s="2">
        <v>40470</v>
      </c>
      <c r="B3953" t="s">
        <v>13</v>
      </c>
      <c r="D3953" s="2">
        <v>41201</v>
      </c>
      <c r="E3953">
        <v>8</v>
      </c>
      <c r="G3953" s="2">
        <v>41201</v>
      </c>
      <c r="H3953">
        <v>7.9669999999999996</v>
      </c>
      <c r="J3953" s="2">
        <v>41208</v>
      </c>
      <c r="K3953" s="3">
        <f t="shared" si="122"/>
        <v>8</v>
      </c>
      <c r="L3953" s="3">
        <f t="shared" si="123"/>
        <v>7.9690000000000003</v>
      </c>
    </row>
    <row r="3954" spans="1:12" x14ac:dyDescent="0.3">
      <c r="A3954" s="2">
        <v>40471</v>
      </c>
      <c r="B3954" t="s">
        <v>13</v>
      </c>
      <c r="D3954" s="2">
        <v>41202</v>
      </c>
      <c r="E3954">
        <v>8</v>
      </c>
      <c r="G3954" s="2">
        <v>41202</v>
      </c>
      <c r="H3954">
        <v>7.9669999999999996</v>
      </c>
      <c r="J3954" s="2">
        <v>41209</v>
      </c>
      <c r="K3954" s="3">
        <f t="shared" si="122"/>
        <v>8</v>
      </c>
      <c r="L3954" s="3">
        <f t="shared" si="123"/>
        <v>7.9690000000000003</v>
      </c>
    </row>
    <row r="3955" spans="1:12" x14ac:dyDescent="0.3">
      <c r="A3955" s="2">
        <v>40472</v>
      </c>
      <c r="B3955" t="s">
        <v>13</v>
      </c>
      <c r="D3955" s="2">
        <v>41203</v>
      </c>
      <c r="E3955">
        <v>8</v>
      </c>
      <c r="G3955" s="2">
        <v>41203</v>
      </c>
      <c r="H3955">
        <v>7.9669999999999996</v>
      </c>
      <c r="J3955" s="2">
        <v>41210</v>
      </c>
      <c r="K3955" s="3">
        <f t="shared" si="122"/>
        <v>8</v>
      </c>
      <c r="L3955" s="3">
        <f t="shared" si="123"/>
        <v>7.9690000000000003</v>
      </c>
    </row>
    <row r="3956" spans="1:12" x14ac:dyDescent="0.3">
      <c r="A3956" s="2">
        <v>40473</v>
      </c>
      <c r="B3956" t="s">
        <v>13</v>
      </c>
      <c r="D3956" s="2">
        <v>41204</v>
      </c>
      <c r="E3956">
        <v>8</v>
      </c>
      <c r="G3956" s="2">
        <v>41204</v>
      </c>
      <c r="H3956">
        <v>7.9690000000000003</v>
      </c>
      <c r="J3956" s="2">
        <v>41211</v>
      </c>
      <c r="K3956" s="3">
        <f t="shared" si="122"/>
        <v>8</v>
      </c>
      <c r="L3956" s="3">
        <f t="shared" si="123"/>
        <v>7.968</v>
      </c>
    </row>
    <row r="3957" spans="1:12" x14ac:dyDescent="0.3">
      <c r="A3957" s="2">
        <v>40474</v>
      </c>
      <c r="B3957" t="s">
        <v>13</v>
      </c>
      <c r="D3957" s="2">
        <v>41205</v>
      </c>
      <c r="E3957">
        <v>8</v>
      </c>
      <c r="G3957" s="2">
        <v>41205</v>
      </c>
      <c r="H3957">
        <v>7.9690000000000003</v>
      </c>
      <c r="J3957" s="2">
        <v>41212</v>
      </c>
      <c r="K3957" s="3">
        <f t="shared" si="122"/>
        <v>8</v>
      </c>
      <c r="L3957" s="3">
        <f t="shared" si="123"/>
        <v>7.9390000000000001</v>
      </c>
    </row>
    <row r="3958" spans="1:12" x14ac:dyDescent="0.3">
      <c r="A3958" s="2">
        <v>40475</v>
      </c>
      <c r="B3958" t="s">
        <v>13</v>
      </c>
      <c r="D3958" s="2">
        <v>41206</v>
      </c>
      <c r="E3958">
        <v>8</v>
      </c>
      <c r="G3958" s="2">
        <v>41206</v>
      </c>
      <c r="H3958">
        <v>7.9690000000000003</v>
      </c>
      <c r="J3958" s="2">
        <v>41213</v>
      </c>
      <c r="K3958" s="3">
        <f t="shared" si="122"/>
        <v>8</v>
      </c>
      <c r="L3958" s="3">
        <f t="shared" si="123"/>
        <v>8.0709999999999997</v>
      </c>
    </row>
    <row r="3959" spans="1:12" x14ac:dyDescent="0.3">
      <c r="A3959" s="2">
        <v>40476</v>
      </c>
      <c r="B3959" t="s">
        <v>13</v>
      </c>
      <c r="D3959" s="2">
        <v>41207</v>
      </c>
      <c r="E3959">
        <v>8</v>
      </c>
      <c r="G3959" s="2">
        <v>41207</v>
      </c>
      <c r="H3959">
        <v>7.9690000000000003</v>
      </c>
      <c r="J3959" s="2">
        <v>41214</v>
      </c>
      <c r="K3959" s="3">
        <f t="shared" si="122"/>
        <v>8</v>
      </c>
      <c r="L3959" s="3">
        <f t="shared" si="123"/>
        <v>8.0570000000000004</v>
      </c>
    </row>
    <row r="3960" spans="1:12" x14ac:dyDescent="0.3">
      <c r="A3960" s="2">
        <v>40477</v>
      </c>
      <c r="B3960" t="s">
        <v>13</v>
      </c>
      <c r="D3960" s="2">
        <v>41208</v>
      </c>
      <c r="E3960">
        <v>8</v>
      </c>
      <c r="G3960" s="2">
        <v>41208</v>
      </c>
      <c r="H3960">
        <v>7.9690000000000003</v>
      </c>
      <c r="J3960" s="2">
        <v>41215</v>
      </c>
      <c r="K3960" s="3">
        <f t="shared" si="122"/>
        <v>8</v>
      </c>
      <c r="L3960" s="3">
        <f t="shared" si="123"/>
        <v>7.9790000000000001</v>
      </c>
    </row>
    <row r="3961" spans="1:12" x14ac:dyDescent="0.3">
      <c r="A3961" s="2">
        <v>40478</v>
      </c>
      <c r="B3961" t="s">
        <v>13</v>
      </c>
      <c r="D3961" s="2">
        <v>41209</v>
      </c>
      <c r="E3961">
        <v>8</v>
      </c>
      <c r="G3961" s="2">
        <v>41209</v>
      </c>
      <c r="H3961">
        <v>7.9690000000000003</v>
      </c>
      <c r="J3961" s="2">
        <v>41216</v>
      </c>
      <c r="K3961" s="3">
        <f t="shared" si="122"/>
        <v>8</v>
      </c>
      <c r="L3961" s="3">
        <f t="shared" si="123"/>
        <v>7.9790000000000001</v>
      </c>
    </row>
    <row r="3962" spans="1:12" x14ac:dyDescent="0.3">
      <c r="A3962" s="2">
        <v>40479</v>
      </c>
      <c r="B3962" t="s">
        <v>13</v>
      </c>
      <c r="D3962" s="2">
        <v>41210</v>
      </c>
      <c r="E3962">
        <v>8</v>
      </c>
      <c r="G3962" s="2">
        <v>41210</v>
      </c>
      <c r="H3962">
        <v>7.9690000000000003</v>
      </c>
      <c r="J3962" s="2">
        <v>41217</v>
      </c>
      <c r="K3962" s="3">
        <f t="shared" si="122"/>
        <v>8</v>
      </c>
      <c r="L3962" s="3">
        <f t="shared" si="123"/>
        <v>7.9790000000000001</v>
      </c>
    </row>
    <row r="3963" spans="1:12" x14ac:dyDescent="0.3">
      <c r="A3963" s="2">
        <v>40480</v>
      </c>
      <c r="B3963" t="s">
        <v>13</v>
      </c>
      <c r="D3963" s="2">
        <v>41211</v>
      </c>
      <c r="E3963">
        <v>8</v>
      </c>
      <c r="G3963" s="2">
        <v>41211</v>
      </c>
      <c r="H3963">
        <v>7.968</v>
      </c>
      <c r="J3963" s="2">
        <v>41218</v>
      </c>
      <c r="K3963" s="3">
        <f t="shared" si="122"/>
        <v>8</v>
      </c>
      <c r="L3963" s="3">
        <f t="shared" si="123"/>
        <v>7.9809999999999999</v>
      </c>
    </row>
    <row r="3964" spans="1:12" x14ac:dyDescent="0.3">
      <c r="A3964" s="2">
        <v>40481</v>
      </c>
      <c r="B3964" t="s">
        <v>13</v>
      </c>
      <c r="D3964" s="2">
        <v>41212</v>
      </c>
      <c r="E3964">
        <v>8</v>
      </c>
      <c r="G3964" s="2">
        <v>41212</v>
      </c>
      <c r="H3964">
        <v>7.9390000000000001</v>
      </c>
      <c r="J3964" s="2">
        <v>41219</v>
      </c>
      <c r="K3964" s="3">
        <f t="shared" si="122"/>
        <v>8</v>
      </c>
      <c r="L3964" s="3">
        <f t="shared" si="123"/>
        <v>8.0429999999999993</v>
      </c>
    </row>
    <row r="3965" spans="1:12" x14ac:dyDescent="0.3">
      <c r="A3965" s="2">
        <v>40482</v>
      </c>
      <c r="B3965" t="s">
        <v>13</v>
      </c>
      <c r="D3965" s="2">
        <v>41213</v>
      </c>
      <c r="E3965">
        <v>8</v>
      </c>
      <c r="G3965" s="2">
        <v>41213</v>
      </c>
      <c r="H3965">
        <v>8.0709999999999997</v>
      </c>
      <c r="J3965" s="2">
        <v>41220</v>
      </c>
      <c r="K3965" s="3">
        <f t="shared" si="122"/>
        <v>8</v>
      </c>
      <c r="L3965" s="3">
        <f t="shared" si="123"/>
        <v>8.0459999999999994</v>
      </c>
    </row>
    <row r="3966" spans="1:12" x14ac:dyDescent="0.3">
      <c r="A3966" s="2">
        <v>40483</v>
      </c>
      <c r="B3966" t="s">
        <v>13</v>
      </c>
      <c r="D3966" s="2">
        <v>41214</v>
      </c>
      <c r="E3966">
        <v>8</v>
      </c>
      <c r="G3966" s="2">
        <v>41214</v>
      </c>
      <c r="H3966">
        <v>8.0570000000000004</v>
      </c>
      <c r="J3966" s="2">
        <v>41221</v>
      </c>
      <c r="K3966" s="3">
        <f t="shared" si="122"/>
        <v>8</v>
      </c>
      <c r="L3966" s="3">
        <f t="shared" si="123"/>
        <v>8.048</v>
      </c>
    </row>
    <row r="3967" spans="1:12" x14ac:dyDescent="0.3">
      <c r="A3967" s="2">
        <v>40484</v>
      </c>
      <c r="B3967" t="s">
        <v>13</v>
      </c>
      <c r="D3967" s="2">
        <v>41215</v>
      </c>
      <c r="E3967">
        <v>8</v>
      </c>
      <c r="G3967" s="2">
        <v>41215</v>
      </c>
      <c r="H3967">
        <v>7.9790000000000001</v>
      </c>
      <c r="J3967" s="2">
        <v>41222</v>
      </c>
      <c r="K3967" s="3">
        <f t="shared" si="122"/>
        <v>8</v>
      </c>
      <c r="L3967" s="3">
        <f t="shared" si="123"/>
        <v>8.048</v>
      </c>
    </row>
    <row r="3968" spans="1:12" x14ac:dyDescent="0.3">
      <c r="A3968" s="2">
        <v>40485</v>
      </c>
      <c r="B3968" t="s">
        <v>13</v>
      </c>
      <c r="D3968" s="2">
        <v>41216</v>
      </c>
      <c r="E3968">
        <v>8</v>
      </c>
      <c r="G3968" s="2">
        <v>41216</v>
      </c>
      <c r="H3968">
        <v>7.9790000000000001</v>
      </c>
      <c r="J3968" s="2">
        <v>41223</v>
      </c>
      <c r="K3968" s="3">
        <f t="shared" si="122"/>
        <v>8</v>
      </c>
      <c r="L3968" s="3">
        <f t="shared" si="123"/>
        <v>8.048</v>
      </c>
    </row>
    <row r="3969" spans="1:12" x14ac:dyDescent="0.3">
      <c r="A3969" s="2">
        <v>40486</v>
      </c>
      <c r="B3969" t="s">
        <v>13</v>
      </c>
      <c r="D3969" s="2">
        <v>41217</v>
      </c>
      <c r="E3969">
        <v>8</v>
      </c>
      <c r="G3969" s="2">
        <v>41217</v>
      </c>
      <c r="H3969">
        <v>7.9790000000000001</v>
      </c>
      <c r="J3969" s="2">
        <v>41224</v>
      </c>
      <c r="K3969" s="3">
        <f t="shared" si="122"/>
        <v>8</v>
      </c>
      <c r="L3969" s="3">
        <f t="shared" si="123"/>
        <v>8.048</v>
      </c>
    </row>
    <row r="3970" spans="1:12" x14ac:dyDescent="0.3">
      <c r="A3970" s="2">
        <v>40487</v>
      </c>
      <c r="B3970" t="s">
        <v>13</v>
      </c>
      <c r="D3970" s="2">
        <v>41218</v>
      </c>
      <c r="E3970">
        <v>8</v>
      </c>
      <c r="G3970" s="2">
        <v>41218</v>
      </c>
      <c r="H3970">
        <v>7.9809999999999999</v>
      </c>
      <c r="J3970" s="2">
        <v>41225</v>
      </c>
      <c r="K3970" s="3">
        <f t="shared" si="122"/>
        <v>8</v>
      </c>
      <c r="L3970" s="3">
        <f t="shared" si="123"/>
        <v>8.048</v>
      </c>
    </row>
    <row r="3971" spans="1:12" x14ac:dyDescent="0.3">
      <c r="A3971" s="2">
        <v>40488</v>
      </c>
      <c r="B3971" t="s">
        <v>13</v>
      </c>
      <c r="D3971" s="2">
        <v>41219</v>
      </c>
      <c r="E3971">
        <v>8</v>
      </c>
      <c r="G3971" s="2">
        <v>41219</v>
      </c>
      <c r="H3971">
        <v>8.0429999999999993</v>
      </c>
      <c r="J3971" s="2">
        <v>41226</v>
      </c>
      <c r="K3971" s="3">
        <f t="shared" ref="K3971:K4034" si="124">E3978</f>
        <v>8</v>
      </c>
      <c r="L3971" s="3">
        <f t="shared" ref="L3971:L4034" si="125">H3978</f>
        <v>8.048</v>
      </c>
    </row>
    <row r="3972" spans="1:12" x14ac:dyDescent="0.3">
      <c r="A3972" s="2">
        <v>40489</v>
      </c>
      <c r="B3972" t="s">
        <v>13</v>
      </c>
      <c r="D3972" s="2">
        <v>41220</v>
      </c>
      <c r="E3972">
        <v>8</v>
      </c>
      <c r="G3972" s="2">
        <v>41220</v>
      </c>
      <c r="H3972">
        <v>8.0459999999999994</v>
      </c>
      <c r="J3972" s="2">
        <v>41227</v>
      </c>
      <c r="K3972" s="3">
        <f t="shared" si="124"/>
        <v>8</v>
      </c>
      <c r="L3972" s="3">
        <f t="shared" si="125"/>
        <v>8.048</v>
      </c>
    </row>
    <row r="3973" spans="1:12" x14ac:dyDescent="0.3">
      <c r="A3973" s="2">
        <v>40490</v>
      </c>
      <c r="B3973" t="s">
        <v>13</v>
      </c>
      <c r="D3973" s="2">
        <v>41221</v>
      </c>
      <c r="E3973">
        <v>8</v>
      </c>
      <c r="G3973" s="2">
        <v>41221</v>
      </c>
      <c r="H3973">
        <v>8.048</v>
      </c>
      <c r="J3973" s="2">
        <v>41228</v>
      </c>
      <c r="K3973" s="3">
        <f t="shared" si="124"/>
        <v>8</v>
      </c>
      <c r="L3973" s="3">
        <f t="shared" si="125"/>
        <v>8.048</v>
      </c>
    </row>
    <row r="3974" spans="1:12" x14ac:dyDescent="0.3">
      <c r="A3974" s="2">
        <v>40491</v>
      </c>
      <c r="B3974" t="s">
        <v>13</v>
      </c>
      <c r="D3974" s="2">
        <v>41222</v>
      </c>
      <c r="E3974">
        <v>8</v>
      </c>
      <c r="G3974" s="2">
        <v>41222</v>
      </c>
      <c r="H3974">
        <v>8.048</v>
      </c>
      <c r="J3974" s="2">
        <v>41229</v>
      </c>
      <c r="K3974" s="3">
        <f t="shared" si="124"/>
        <v>8</v>
      </c>
      <c r="L3974" s="3">
        <f t="shared" si="125"/>
        <v>8.048</v>
      </c>
    </row>
    <row r="3975" spans="1:12" x14ac:dyDescent="0.3">
      <c r="A3975" s="2">
        <v>40492</v>
      </c>
      <c r="B3975" t="s">
        <v>13</v>
      </c>
      <c r="D3975" s="2">
        <v>41223</v>
      </c>
      <c r="E3975">
        <v>8</v>
      </c>
      <c r="G3975" s="2">
        <v>41223</v>
      </c>
      <c r="H3975">
        <v>8.048</v>
      </c>
      <c r="J3975" s="2">
        <v>41230</v>
      </c>
      <c r="K3975" s="3">
        <f t="shared" si="124"/>
        <v>8</v>
      </c>
      <c r="L3975" s="3">
        <f t="shared" si="125"/>
        <v>8.048</v>
      </c>
    </row>
    <row r="3976" spans="1:12" x14ac:dyDescent="0.3">
      <c r="A3976" s="2">
        <v>40493</v>
      </c>
      <c r="B3976" t="s">
        <v>13</v>
      </c>
      <c r="D3976" s="2">
        <v>41224</v>
      </c>
      <c r="E3976">
        <v>8</v>
      </c>
      <c r="G3976" s="2">
        <v>41224</v>
      </c>
      <c r="H3976">
        <v>8.048</v>
      </c>
      <c r="J3976" s="2">
        <v>41231</v>
      </c>
      <c r="K3976" s="3">
        <f t="shared" si="124"/>
        <v>8</v>
      </c>
      <c r="L3976" s="3">
        <f t="shared" si="125"/>
        <v>8.048</v>
      </c>
    </row>
    <row r="3977" spans="1:12" x14ac:dyDescent="0.3">
      <c r="A3977" s="2">
        <v>40494</v>
      </c>
      <c r="B3977" t="s">
        <v>13</v>
      </c>
      <c r="D3977" s="2">
        <v>41225</v>
      </c>
      <c r="E3977">
        <v>8</v>
      </c>
      <c r="G3977" s="2">
        <v>41225</v>
      </c>
      <c r="H3977">
        <v>8.048</v>
      </c>
      <c r="J3977" s="2">
        <v>41232</v>
      </c>
      <c r="K3977" s="3">
        <f t="shared" si="124"/>
        <v>8</v>
      </c>
      <c r="L3977" s="3">
        <f t="shared" si="125"/>
        <v>8.048</v>
      </c>
    </row>
    <row r="3978" spans="1:12" x14ac:dyDescent="0.3">
      <c r="A3978" s="2">
        <v>40495</v>
      </c>
      <c r="B3978" t="s">
        <v>13</v>
      </c>
      <c r="D3978" s="2">
        <v>41226</v>
      </c>
      <c r="E3978">
        <v>8</v>
      </c>
      <c r="G3978" s="2">
        <v>41226</v>
      </c>
      <c r="H3978">
        <v>8.048</v>
      </c>
      <c r="J3978" s="2">
        <v>41233</v>
      </c>
      <c r="K3978" s="3">
        <f t="shared" si="124"/>
        <v>8</v>
      </c>
      <c r="L3978" s="3">
        <f t="shared" si="125"/>
        <v>8.048</v>
      </c>
    </row>
    <row r="3979" spans="1:12" x14ac:dyDescent="0.3">
      <c r="A3979" s="2">
        <v>40496</v>
      </c>
      <c r="B3979" t="s">
        <v>13</v>
      </c>
      <c r="D3979" s="2">
        <v>41227</v>
      </c>
      <c r="E3979">
        <v>8</v>
      </c>
      <c r="G3979" s="2">
        <v>41227</v>
      </c>
      <c r="H3979">
        <v>8.048</v>
      </c>
      <c r="J3979" s="2">
        <v>41234</v>
      </c>
      <c r="K3979" s="3">
        <f t="shared" si="124"/>
        <v>8</v>
      </c>
      <c r="L3979" s="3">
        <f t="shared" si="125"/>
        <v>8.048</v>
      </c>
    </row>
    <row r="3980" spans="1:12" x14ac:dyDescent="0.3">
      <c r="A3980" s="2">
        <v>40497</v>
      </c>
      <c r="B3980" t="s">
        <v>13</v>
      </c>
      <c r="D3980" s="2">
        <v>41228</v>
      </c>
      <c r="E3980">
        <v>8</v>
      </c>
      <c r="G3980" s="2">
        <v>41228</v>
      </c>
      <c r="H3980">
        <v>8.048</v>
      </c>
      <c r="J3980" s="2">
        <v>41235</v>
      </c>
      <c r="K3980" s="3">
        <f t="shared" si="124"/>
        <v>8</v>
      </c>
      <c r="L3980" s="3">
        <f t="shared" si="125"/>
        <v>8.048</v>
      </c>
    </row>
    <row r="3981" spans="1:12" x14ac:dyDescent="0.3">
      <c r="A3981" s="2">
        <v>40498</v>
      </c>
      <c r="B3981" t="s">
        <v>13</v>
      </c>
      <c r="D3981" s="2">
        <v>41229</v>
      </c>
      <c r="E3981">
        <v>8</v>
      </c>
      <c r="G3981" s="2">
        <v>41229</v>
      </c>
      <c r="H3981">
        <v>8.048</v>
      </c>
      <c r="J3981" s="2">
        <v>41236</v>
      </c>
      <c r="K3981" s="3">
        <f t="shared" si="124"/>
        <v>8</v>
      </c>
      <c r="L3981" s="3">
        <f t="shared" si="125"/>
        <v>8.048</v>
      </c>
    </row>
    <row r="3982" spans="1:12" x14ac:dyDescent="0.3">
      <c r="A3982" s="2">
        <v>40499</v>
      </c>
      <c r="B3982" t="s">
        <v>13</v>
      </c>
      <c r="D3982" s="2">
        <v>41230</v>
      </c>
      <c r="E3982">
        <v>8</v>
      </c>
      <c r="G3982" s="2">
        <v>41230</v>
      </c>
      <c r="H3982">
        <v>8.048</v>
      </c>
      <c r="J3982" s="2">
        <v>41237</v>
      </c>
      <c r="K3982" s="3">
        <f t="shared" si="124"/>
        <v>8</v>
      </c>
      <c r="L3982" s="3">
        <f t="shared" si="125"/>
        <v>8.048</v>
      </c>
    </row>
    <row r="3983" spans="1:12" x14ac:dyDescent="0.3">
      <c r="A3983" s="2">
        <v>40500</v>
      </c>
      <c r="B3983" t="s">
        <v>13</v>
      </c>
      <c r="D3983" s="2">
        <v>41231</v>
      </c>
      <c r="E3983">
        <v>8</v>
      </c>
      <c r="G3983" s="2">
        <v>41231</v>
      </c>
      <c r="H3983">
        <v>8.048</v>
      </c>
      <c r="J3983" s="2">
        <v>41238</v>
      </c>
      <c r="K3983" s="3">
        <f t="shared" si="124"/>
        <v>8</v>
      </c>
      <c r="L3983" s="3">
        <f t="shared" si="125"/>
        <v>8.048</v>
      </c>
    </row>
    <row r="3984" spans="1:12" x14ac:dyDescent="0.3">
      <c r="A3984" s="2">
        <v>40501</v>
      </c>
      <c r="B3984" t="s">
        <v>13</v>
      </c>
      <c r="D3984" s="2">
        <v>41232</v>
      </c>
      <c r="E3984">
        <v>8</v>
      </c>
      <c r="G3984" s="2">
        <v>41232</v>
      </c>
      <c r="H3984">
        <v>8.048</v>
      </c>
      <c r="J3984" s="2">
        <v>41239</v>
      </c>
      <c r="K3984" s="3">
        <f t="shared" si="124"/>
        <v>8</v>
      </c>
      <c r="L3984" s="3">
        <f t="shared" si="125"/>
        <v>8.0419999999999998</v>
      </c>
    </row>
    <row r="3985" spans="1:12" x14ac:dyDescent="0.3">
      <c r="A3985" s="2">
        <v>40502</v>
      </c>
      <c r="B3985" t="s">
        <v>13</v>
      </c>
      <c r="D3985" s="2">
        <v>41233</v>
      </c>
      <c r="E3985">
        <v>8</v>
      </c>
      <c r="G3985" s="2">
        <v>41233</v>
      </c>
      <c r="H3985">
        <v>8.048</v>
      </c>
      <c r="J3985" s="2">
        <v>41240</v>
      </c>
      <c r="K3985" s="3">
        <f t="shared" si="124"/>
        <v>8</v>
      </c>
      <c r="L3985" s="3">
        <f t="shared" si="125"/>
        <v>8.0459999999999994</v>
      </c>
    </row>
    <row r="3986" spans="1:12" x14ac:dyDescent="0.3">
      <c r="A3986" s="2">
        <v>40503</v>
      </c>
      <c r="B3986" t="s">
        <v>13</v>
      </c>
      <c r="D3986" s="2">
        <v>41234</v>
      </c>
      <c r="E3986">
        <v>8</v>
      </c>
      <c r="G3986" s="2">
        <v>41234</v>
      </c>
      <c r="H3986">
        <v>8.048</v>
      </c>
      <c r="J3986" s="2">
        <v>41241</v>
      </c>
      <c r="K3986" s="3">
        <f t="shared" si="124"/>
        <v>8</v>
      </c>
      <c r="L3986" s="3">
        <f t="shared" si="125"/>
        <v>8.0459999999999994</v>
      </c>
    </row>
    <row r="3987" spans="1:12" x14ac:dyDescent="0.3">
      <c r="A3987" s="2">
        <v>40504</v>
      </c>
      <c r="B3987" t="s">
        <v>13</v>
      </c>
      <c r="D3987" s="2">
        <v>41235</v>
      </c>
      <c r="E3987">
        <v>8</v>
      </c>
      <c r="G3987" s="2">
        <v>41235</v>
      </c>
      <c r="H3987">
        <v>8.048</v>
      </c>
      <c r="J3987" s="2">
        <v>41242</v>
      </c>
      <c r="K3987" s="3">
        <f t="shared" si="124"/>
        <v>8</v>
      </c>
      <c r="L3987" s="3">
        <f t="shared" si="125"/>
        <v>8.0459999999999994</v>
      </c>
    </row>
    <row r="3988" spans="1:12" x14ac:dyDescent="0.3">
      <c r="A3988" s="2">
        <v>40505</v>
      </c>
      <c r="B3988" t="s">
        <v>13</v>
      </c>
      <c r="D3988" s="2">
        <v>41236</v>
      </c>
      <c r="E3988">
        <v>8</v>
      </c>
      <c r="G3988" s="2">
        <v>41236</v>
      </c>
      <c r="H3988">
        <v>8.048</v>
      </c>
      <c r="J3988" s="2">
        <v>41243</v>
      </c>
      <c r="K3988" s="3">
        <f t="shared" si="124"/>
        <v>8</v>
      </c>
      <c r="L3988" s="3">
        <f t="shared" si="125"/>
        <v>8.0459999999999994</v>
      </c>
    </row>
    <row r="3989" spans="1:12" x14ac:dyDescent="0.3">
      <c r="A3989" s="2">
        <v>40506</v>
      </c>
      <c r="B3989" t="s">
        <v>13</v>
      </c>
      <c r="D3989" s="2">
        <v>41237</v>
      </c>
      <c r="E3989">
        <v>8</v>
      </c>
      <c r="G3989" s="2">
        <v>41237</v>
      </c>
      <c r="H3989">
        <v>8.048</v>
      </c>
      <c r="J3989" s="2">
        <v>41244</v>
      </c>
      <c r="K3989" s="3">
        <f t="shared" si="124"/>
        <v>8</v>
      </c>
      <c r="L3989" s="3">
        <f t="shared" si="125"/>
        <v>8.0459999999999994</v>
      </c>
    </row>
    <row r="3990" spans="1:12" x14ac:dyDescent="0.3">
      <c r="A3990" s="2">
        <v>40507</v>
      </c>
      <c r="B3990" t="s">
        <v>13</v>
      </c>
      <c r="D3990" s="2">
        <v>41238</v>
      </c>
      <c r="E3990">
        <v>8</v>
      </c>
      <c r="G3990" s="2">
        <v>41238</v>
      </c>
      <c r="H3990">
        <v>8.048</v>
      </c>
      <c r="J3990" s="2">
        <v>41245</v>
      </c>
      <c r="K3990" s="3">
        <f t="shared" si="124"/>
        <v>8</v>
      </c>
      <c r="L3990" s="3">
        <f t="shared" si="125"/>
        <v>8.0459999999999994</v>
      </c>
    </row>
    <row r="3991" spans="1:12" x14ac:dyDescent="0.3">
      <c r="A3991" s="2">
        <v>40508</v>
      </c>
      <c r="B3991" t="s">
        <v>13</v>
      </c>
      <c r="D3991" s="2">
        <v>41239</v>
      </c>
      <c r="E3991">
        <v>8</v>
      </c>
      <c r="G3991" s="2">
        <v>41239</v>
      </c>
      <c r="H3991">
        <v>8.0419999999999998</v>
      </c>
      <c r="J3991" s="2">
        <v>41246</v>
      </c>
      <c r="K3991" s="3">
        <f t="shared" si="124"/>
        <v>8</v>
      </c>
      <c r="L3991" s="3">
        <f t="shared" si="125"/>
        <v>8.0459999999999994</v>
      </c>
    </row>
    <row r="3992" spans="1:12" x14ac:dyDescent="0.3">
      <c r="A3992" s="2">
        <v>40509</v>
      </c>
      <c r="B3992" t="s">
        <v>13</v>
      </c>
      <c r="D3992" s="2">
        <v>41240</v>
      </c>
      <c r="E3992">
        <v>8</v>
      </c>
      <c r="G3992" s="2">
        <v>41240</v>
      </c>
      <c r="H3992">
        <v>8.0459999999999994</v>
      </c>
      <c r="J3992" s="2">
        <v>41247</v>
      </c>
      <c r="K3992" s="3">
        <f t="shared" si="124"/>
        <v>8</v>
      </c>
      <c r="L3992" s="3">
        <f t="shared" si="125"/>
        <v>8.0459999999999994</v>
      </c>
    </row>
    <row r="3993" spans="1:12" x14ac:dyDescent="0.3">
      <c r="A3993" s="2">
        <v>40510</v>
      </c>
      <c r="B3993" t="s">
        <v>13</v>
      </c>
      <c r="D3993" s="2">
        <v>41241</v>
      </c>
      <c r="E3993">
        <v>8</v>
      </c>
      <c r="G3993" s="2">
        <v>41241</v>
      </c>
      <c r="H3993">
        <v>8.0459999999999994</v>
      </c>
      <c r="J3993" s="2">
        <v>41248</v>
      </c>
      <c r="K3993" s="3">
        <f t="shared" si="124"/>
        <v>8</v>
      </c>
      <c r="L3993" s="3">
        <f t="shared" si="125"/>
        <v>8.0739999999999998</v>
      </c>
    </row>
    <row r="3994" spans="1:12" x14ac:dyDescent="0.3">
      <c r="A3994" s="2">
        <v>40511</v>
      </c>
      <c r="B3994" t="s">
        <v>13</v>
      </c>
      <c r="D3994" s="2">
        <v>41242</v>
      </c>
      <c r="E3994">
        <v>8</v>
      </c>
      <c r="G3994" s="2">
        <v>41242</v>
      </c>
      <c r="H3994">
        <v>8.0459999999999994</v>
      </c>
      <c r="J3994" s="2">
        <v>41249</v>
      </c>
      <c r="K3994" s="3">
        <f t="shared" si="124"/>
        <v>8</v>
      </c>
      <c r="L3994" s="3">
        <f t="shared" si="125"/>
        <v>8.0429999999999993</v>
      </c>
    </row>
    <row r="3995" spans="1:12" x14ac:dyDescent="0.3">
      <c r="A3995" s="2">
        <v>40512</v>
      </c>
      <c r="B3995" t="s">
        <v>13</v>
      </c>
      <c r="D3995" s="2">
        <v>41243</v>
      </c>
      <c r="E3995">
        <v>8</v>
      </c>
      <c r="G3995" s="2">
        <v>41243</v>
      </c>
      <c r="H3995">
        <v>8.0459999999999994</v>
      </c>
      <c r="J3995" s="2">
        <v>41250</v>
      </c>
      <c r="K3995" s="3">
        <f t="shared" si="124"/>
        <v>8</v>
      </c>
      <c r="L3995" s="3">
        <f t="shared" si="125"/>
        <v>8.0519999999999996</v>
      </c>
    </row>
    <row r="3996" spans="1:12" x14ac:dyDescent="0.3">
      <c r="A3996" s="2">
        <v>40513</v>
      </c>
      <c r="B3996" t="s">
        <v>13</v>
      </c>
      <c r="D3996" s="2">
        <v>41244</v>
      </c>
      <c r="E3996">
        <v>8</v>
      </c>
      <c r="G3996" s="2">
        <v>41244</v>
      </c>
      <c r="H3996">
        <v>8.0459999999999994</v>
      </c>
      <c r="J3996" s="2">
        <v>41251</v>
      </c>
      <c r="K3996" s="3">
        <f t="shared" si="124"/>
        <v>8</v>
      </c>
      <c r="L3996" s="3">
        <f t="shared" si="125"/>
        <v>8.0519999999999996</v>
      </c>
    </row>
    <row r="3997" spans="1:12" x14ac:dyDescent="0.3">
      <c r="A3997" s="2">
        <v>40514</v>
      </c>
      <c r="B3997" t="s">
        <v>13</v>
      </c>
      <c r="D3997" s="2">
        <v>41245</v>
      </c>
      <c r="E3997">
        <v>8</v>
      </c>
      <c r="G3997" s="2">
        <v>41245</v>
      </c>
      <c r="H3997">
        <v>8.0459999999999994</v>
      </c>
      <c r="J3997" s="2">
        <v>41252</v>
      </c>
      <c r="K3997" s="3">
        <f t="shared" si="124"/>
        <v>8</v>
      </c>
      <c r="L3997" s="3">
        <f t="shared" si="125"/>
        <v>8.0519999999999996</v>
      </c>
    </row>
    <row r="3998" spans="1:12" x14ac:dyDescent="0.3">
      <c r="A3998" s="2">
        <v>40515</v>
      </c>
      <c r="B3998" t="s">
        <v>13</v>
      </c>
      <c r="D3998" s="2">
        <v>41246</v>
      </c>
      <c r="E3998">
        <v>8</v>
      </c>
      <c r="G3998" s="2">
        <v>41246</v>
      </c>
      <c r="H3998">
        <v>8.0459999999999994</v>
      </c>
      <c r="J3998" s="2">
        <v>41253</v>
      </c>
      <c r="K3998" s="3">
        <f t="shared" si="124"/>
        <v>8</v>
      </c>
      <c r="L3998" s="3">
        <f t="shared" si="125"/>
        <v>8.0519999999999996</v>
      </c>
    </row>
    <row r="3999" spans="1:12" x14ac:dyDescent="0.3">
      <c r="A3999" s="2">
        <v>40516</v>
      </c>
      <c r="B3999" t="s">
        <v>13</v>
      </c>
      <c r="D3999" s="2">
        <v>41247</v>
      </c>
      <c r="E3999">
        <v>8</v>
      </c>
      <c r="G3999" s="2">
        <v>41247</v>
      </c>
      <c r="H3999">
        <v>8.0459999999999994</v>
      </c>
      <c r="J3999" s="2">
        <v>41254</v>
      </c>
      <c r="K3999" s="3">
        <f t="shared" si="124"/>
        <v>8</v>
      </c>
      <c r="L3999" s="3">
        <f t="shared" si="125"/>
        <v>8.0830000000000002</v>
      </c>
    </row>
    <row r="4000" spans="1:12" x14ac:dyDescent="0.3">
      <c r="A4000" s="2">
        <v>40517</v>
      </c>
      <c r="B4000" t="s">
        <v>13</v>
      </c>
      <c r="D4000" s="2">
        <v>41248</v>
      </c>
      <c r="E4000">
        <v>8</v>
      </c>
      <c r="G4000" s="2">
        <v>41248</v>
      </c>
      <c r="H4000">
        <v>8.0739999999999998</v>
      </c>
      <c r="J4000" s="2">
        <v>41255</v>
      </c>
      <c r="K4000" s="3">
        <f t="shared" si="124"/>
        <v>8</v>
      </c>
      <c r="L4000" s="3">
        <f t="shared" si="125"/>
        <v>8.0860000000000003</v>
      </c>
    </row>
    <row r="4001" spans="1:12" x14ac:dyDescent="0.3">
      <c r="A4001" s="2">
        <v>40518</v>
      </c>
      <c r="B4001" t="s">
        <v>13</v>
      </c>
      <c r="D4001" s="2">
        <v>41249</v>
      </c>
      <c r="E4001">
        <v>8</v>
      </c>
      <c r="G4001" s="2">
        <v>41249</v>
      </c>
      <c r="H4001">
        <v>8.0429999999999993</v>
      </c>
      <c r="J4001" s="2">
        <v>41256</v>
      </c>
      <c r="K4001" s="3">
        <f t="shared" si="124"/>
        <v>8</v>
      </c>
      <c r="L4001" s="3">
        <f t="shared" si="125"/>
        <v>8.0730000000000004</v>
      </c>
    </row>
    <row r="4002" spans="1:12" x14ac:dyDescent="0.3">
      <c r="A4002" s="2">
        <v>40519</v>
      </c>
      <c r="B4002" t="s">
        <v>13</v>
      </c>
      <c r="D4002" s="2">
        <v>41250</v>
      </c>
      <c r="E4002">
        <v>8</v>
      </c>
      <c r="G4002" s="2">
        <v>41250</v>
      </c>
      <c r="H4002">
        <v>8.0519999999999996</v>
      </c>
      <c r="J4002" s="2">
        <v>41257</v>
      </c>
      <c r="K4002" s="3">
        <f t="shared" si="124"/>
        <v>8</v>
      </c>
      <c r="L4002" s="3">
        <f t="shared" si="125"/>
        <v>7.9859999999999998</v>
      </c>
    </row>
    <row r="4003" spans="1:12" x14ac:dyDescent="0.3">
      <c r="A4003" s="2">
        <v>40520</v>
      </c>
      <c r="B4003" t="s">
        <v>13</v>
      </c>
      <c r="D4003" s="2">
        <v>41251</v>
      </c>
      <c r="E4003">
        <v>8</v>
      </c>
      <c r="G4003" s="2">
        <v>41251</v>
      </c>
      <c r="H4003">
        <v>8.0519999999999996</v>
      </c>
      <c r="J4003" s="2">
        <v>41258</v>
      </c>
      <c r="K4003" s="3">
        <f t="shared" si="124"/>
        <v>8</v>
      </c>
      <c r="L4003" s="3">
        <f t="shared" si="125"/>
        <v>7.9859999999999998</v>
      </c>
    </row>
    <row r="4004" spans="1:12" x14ac:dyDescent="0.3">
      <c r="A4004" s="2">
        <v>40521</v>
      </c>
      <c r="B4004" t="s">
        <v>13</v>
      </c>
      <c r="D4004" s="2">
        <v>41252</v>
      </c>
      <c r="E4004">
        <v>8</v>
      </c>
      <c r="G4004" s="2">
        <v>41252</v>
      </c>
      <c r="H4004">
        <v>8.0519999999999996</v>
      </c>
      <c r="J4004" s="2">
        <v>41259</v>
      </c>
      <c r="K4004" s="3">
        <f t="shared" si="124"/>
        <v>8</v>
      </c>
      <c r="L4004" s="3">
        <f t="shared" si="125"/>
        <v>7.9859999999999998</v>
      </c>
    </row>
    <row r="4005" spans="1:12" x14ac:dyDescent="0.3">
      <c r="A4005" s="2">
        <v>40522</v>
      </c>
      <c r="B4005" t="s">
        <v>13</v>
      </c>
      <c r="D4005" s="2">
        <v>41253</v>
      </c>
      <c r="E4005">
        <v>8</v>
      </c>
      <c r="G4005" s="2">
        <v>41253</v>
      </c>
      <c r="H4005">
        <v>8.0519999999999996</v>
      </c>
      <c r="J4005" s="2">
        <v>41260</v>
      </c>
      <c r="K4005" s="3">
        <f t="shared" si="124"/>
        <v>8</v>
      </c>
      <c r="L4005" s="3">
        <f t="shared" si="125"/>
        <v>8.1020000000000003</v>
      </c>
    </row>
    <row r="4006" spans="1:12" x14ac:dyDescent="0.3">
      <c r="A4006" s="2">
        <v>40523</v>
      </c>
      <c r="B4006" t="s">
        <v>13</v>
      </c>
      <c r="D4006" s="2">
        <v>41254</v>
      </c>
      <c r="E4006">
        <v>8</v>
      </c>
      <c r="G4006" s="2">
        <v>41254</v>
      </c>
      <c r="H4006">
        <v>8.0830000000000002</v>
      </c>
      <c r="J4006" s="2">
        <v>41261</v>
      </c>
      <c r="K4006" s="3">
        <f t="shared" si="124"/>
        <v>8</v>
      </c>
      <c r="L4006" s="3">
        <f t="shared" si="125"/>
        <v>8.0660000000000007</v>
      </c>
    </row>
    <row r="4007" spans="1:12" x14ac:dyDescent="0.3">
      <c r="A4007" s="2">
        <v>40524</v>
      </c>
      <c r="B4007" t="s">
        <v>13</v>
      </c>
      <c r="D4007" s="2">
        <v>41255</v>
      </c>
      <c r="E4007">
        <v>8</v>
      </c>
      <c r="G4007" s="2">
        <v>41255</v>
      </c>
      <c r="H4007">
        <v>8.0860000000000003</v>
      </c>
      <c r="J4007" s="2">
        <v>41262</v>
      </c>
      <c r="K4007" s="3">
        <f t="shared" si="124"/>
        <v>8</v>
      </c>
      <c r="L4007" s="3">
        <f t="shared" si="125"/>
        <v>8.0690000000000008</v>
      </c>
    </row>
    <row r="4008" spans="1:12" x14ac:dyDescent="0.3">
      <c r="A4008" s="2">
        <v>40525</v>
      </c>
      <c r="B4008" t="s">
        <v>13</v>
      </c>
      <c r="D4008" s="2">
        <v>41256</v>
      </c>
      <c r="E4008">
        <v>8</v>
      </c>
      <c r="G4008" s="2">
        <v>41256</v>
      </c>
      <c r="H4008">
        <v>8.0730000000000004</v>
      </c>
      <c r="J4008" s="2">
        <v>41263</v>
      </c>
      <c r="K4008" s="3">
        <f t="shared" si="124"/>
        <v>8</v>
      </c>
      <c r="L4008" s="3">
        <f t="shared" si="125"/>
        <v>8.0109999999999992</v>
      </c>
    </row>
    <row r="4009" spans="1:12" x14ac:dyDescent="0.3">
      <c r="A4009" s="2">
        <v>40526</v>
      </c>
      <c r="B4009" t="s">
        <v>13</v>
      </c>
      <c r="D4009" s="2">
        <v>41257</v>
      </c>
      <c r="E4009">
        <v>8</v>
      </c>
      <c r="G4009" s="2">
        <v>41257</v>
      </c>
      <c r="H4009">
        <v>7.9859999999999998</v>
      </c>
      <c r="J4009" s="2">
        <v>41264</v>
      </c>
      <c r="K4009" s="3">
        <f t="shared" si="124"/>
        <v>8</v>
      </c>
      <c r="L4009" s="3">
        <f t="shared" si="125"/>
        <v>8.0169999999999995</v>
      </c>
    </row>
    <row r="4010" spans="1:12" x14ac:dyDescent="0.3">
      <c r="A4010" s="2">
        <v>40527</v>
      </c>
      <c r="B4010" t="s">
        <v>13</v>
      </c>
      <c r="D4010" s="2">
        <v>41258</v>
      </c>
      <c r="E4010">
        <v>8</v>
      </c>
      <c r="G4010" s="2">
        <v>41258</v>
      </c>
      <c r="H4010">
        <v>7.9859999999999998</v>
      </c>
      <c r="J4010" s="2">
        <v>41265</v>
      </c>
      <c r="K4010" s="3">
        <f t="shared" si="124"/>
        <v>8</v>
      </c>
      <c r="L4010" s="3">
        <f t="shared" si="125"/>
        <v>8.0169999999999995</v>
      </c>
    </row>
    <row r="4011" spans="1:12" x14ac:dyDescent="0.3">
      <c r="A4011" s="2">
        <v>40528</v>
      </c>
      <c r="B4011" t="s">
        <v>13</v>
      </c>
      <c r="D4011" s="2">
        <v>41259</v>
      </c>
      <c r="E4011">
        <v>8</v>
      </c>
      <c r="G4011" s="2">
        <v>41259</v>
      </c>
      <c r="H4011">
        <v>7.9859999999999998</v>
      </c>
      <c r="J4011" s="2">
        <v>41266</v>
      </c>
      <c r="K4011" s="3">
        <f t="shared" si="124"/>
        <v>8</v>
      </c>
      <c r="L4011" s="3">
        <f t="shared" si="125"/>
        <v>8.0169999999999995</v>
      </c>
    </row>
    <row r="4012" spans="1:12" x14ac:dyDescent="0.3">
      <c r="A4012" s="2">
        <v>40529</v>
      </c>
      <c r="B4012" t="s">
        <v>13</v>
      </c>
      <c r="D4012" s="2">
        <v>41260</v>
      </c>
      <c r="E4012">
        <v>8</v>
      </c>
      <c r="G4012" s="2">
        <v>41260</v>
      </c>
      <c r="H4012">
        <v>8.1020000000000003</v>
      </c>
      <c r="J4012" s="2">
        <v>41267</v>
      </c>
      <c r="K4012" s="3">
        <f t="shared" si="124"/>
        <v>8</v>
      </c>
      <c r="L4012" s="3">
        <f t="shared" si="125"/>
        <v>8.0229999999999997</v>
      </c>
    </row>
    <row r="4013" spans="1:12" x14ac:dyDescent="0.3">
      <c r="A4013" s="2">
        <v>40530</v>
      </c>
      <c r="B4013" t="s">
        <v>13</v>
      </c>
      <c r="D4013" s="2">
        <v>41261</v>
      </c>
      <c r="E4013">
        <v>8</v>
      </c>
      <c r="G4013" s="2">
        <v>41261</v>
      </c>
      <c r="H4013">
        <v>8.0660000000000007</v>
      </c>
      <c r="J4013" s="2">
        <v>41268</v>
      </c>
      <c r="K4013" s="3">
        <f t="shared" si="124"/>
        <v>8</v>
      </c>
      <c r="L4013" s="3">
        <f t="shared" si="125"/>
        <v>8.0229999999999997</v>
      </c>
    </row>
    <row r="4014" spans="1:12" x14ac:dyDescent="0.3">
      <c r="A4014" s="2">
        <v>40531</v>
      </c>
      <c r="B4014" t="s">
        <v>13</v>
      </c>
      <c r="D4014" s="2">
        <v>41262</v>
      </c>
      <c r="E4014">
        <v>8</v>
      </c>
      <c r="G4014" s="2">
        <v>41262</v>
      </c>
      <c r="H4014">
        <v>8.0690000000000008</v>
      </c>
      <c r="J4014" s="2">
        <v>41269</v>
      </c>
      <c r="K4014" s="3">
        <f t="shared" si="124"/>
        <v>8</v>
      </c>
      <c r="L4014" s="3">
        <f t="shared" si="125"/>
        <v>8.0139999999999993</v>
      </c>
    </row>
    <row r="4015" spans="1:12" x14ac:dyDescent="0.3">
      <c r="A4015" s="2">
        <v>40532</v>
      </c>
      <c r="B4015" t="s">
        <v>13</v>
      </c>
      <c r="D4015" s="2">
        <v>41263</v>
      </c>
      <c r="E4015">
        <v>8</v>
      </c>
      <c r="G4015" s="2">
        <v>41263</v>
      </c>
      <c r="H4015">
        <v>8.0109999999999992</v>
      </c>
      <c r="J4015" s="2">
        <v>41270</v>
      </c>
      <c r="K4015" s="3">
        <f t="shared" si="124"/>
        <v>8</v>
      </c>
      <c r="L4015" s="3">
        <f t="shared" si="125"/>
        <v>8.0060000000000002</v>
      </c>
    </row>
    <row r="4016" spans="1:12" x14ac:dyDescent="0.3">
      <c r="A4016" s="2">
        <v>40533</v>
      </c>
      <c r="B4016" t="s">
        <v>13</v>
      </c>
      <c r="D4016" s="2">
        <v>41264</v>
      </c>
      <c r="E4016">
        <v>8</v>
      </c>
      <c r="G4016" s="2">
        <v>41264</v>
      </c>
      <c r="H4016">
        <v>8.0169999999999995</v>
      </c>
      <c r="J4016" s="2">
        <v>41271</v>
      </c>
      <c r="K4016" s="3">
        <f t="shared" si="124"/>
        <v>8</v>
      </c>
      <c r="L4016" s="3">
        <f t="shared" si="125"/>
        <v>8.0050000000000008</v>
      </c>
    </row>
    <row r="4017" spans="1:12" x14ac:dyDescent="0.3">
      <c r="A4017" s="2">
        <v>40534</v>
      </c>
      <c r="B4017" t="s">
        <v>13</v>
      </c>
      <c r="D4017" s="2">
        <v>41265</v>
      </c>
      <c r="E4017">
        <v>8</v>
      </c>
      <c r="G4017" s="2">
        <v>41265</v>
      </c>
      <c r="H4017">
        <v>8.0169999999999995</v>
      </c>
      <c r="J4017" s="2">
        <v>41272</v>
      </c>
      <c r="K4017" s="3">
        <f t="shared" si="124"/>
        <v>8</v>
      </c>
      <c r="L4017" s="3">
        <f t="shared" si="125"/>
        <v>8.0050000000000008</v>
      </c>
    </row>
    <row r="4018" spans="1:12" x14ac:dyDescent="0.3">
      <c r="A4018" s="2">
        <v>40535</v>
      </c>
      <c r="B4018" t="s">
        <v>13</v>
      </c>
      <c r="D4018" s="2">
        <v>41266</v>
      </c>
      <c r="E4018">
        <v>8</v>
      </c>
      <c r="G4018" s="2">
        <v>41266</v>
      </c>
      <c r="H4018">
        <v>8.0169999999999995</v>
      </c>
      <c r="J4018" s="2">
        <v>41273</v>
      </c>
      <c r="K4018" s="3">
        <f t="shared" si="124"/>
        <v>8</v>
      </c>
      <c r="L4018" s="3">
        <f t="shared" si="125"/>
        <v>8.0050000000000008</v>
      </c>
    </row>
    <row r="4019" spans="1:12" x14ac:dyDescent="0.3">
      <c r="A4019" s="2">
        <v>40536</v>
      </c>
      <c r="B4019" t="s">
        <v>13</v>
      </c>
      <c r="D4019" s="2">
        <v>41267</v>
      </c>
      <c r="E4019">
        <v>8</v>
      </c>
      <c r="G4019" s="2">
        <v>41267</v>
      </c>
      <c r="H4019">
        <v>8.0229999999999997</v>
      </c>
      <c r="J4019" s="2">
        <v>41274</v>
      </c>
      <c r="K4019" s="3">
        <f t="shared" si="124"/>
        <v>8</v>
      </c>
      <c r="L4019" s="3">
        <f t="shared" si="125"/>
        <v>7.9930000000000003</v>
      </c>
    </row>
    <row r="4020" spans="1:12" x14ac:dyDescent="0.3">
      <c r="A4020" s="2">
        <v>40537</v>
      </c>
      <c r="B4020" t="s">
        <v>13</v>
      </c>
      <c r="D4020" s="2">
        <v>41268</v>
      </c>
      <c r="E4020">
        <v>8</v>
      </c>
      <c r="G4020" s="2">
        <v>41268</v>
      </c>
      <c r="H4020">
        <v>8.0229999999999997</v>
      </c>
      <c r="J4020" s="2">
        <v>41275</v>
      </c>
      <c r="K4020" s="3">
        <f t="shared" si="124"/>
        <v>8</v>
      </c>
      <c r="L4020" s="3">
        <f t="shared" si="125"/>
        <v>7.9749999999999996</v>
      </c>
    </row>
    <row r="4021" spans="1:12" x14ac:dyDescent="0.3">
      <c r="A4021" s="2">
        <v>40538</v>
      </c>
      <c r="B4021" t="s">
        <v>13</v>
      </c>
      <c r="D4021" s="2">
        <v>41269</v>
      </c>
      <c r="E4021">
        <v>8</v>
      </c>
      <c r="G4021" s="2">
        <v>41269</v>
      </c>
      <c r="H4021">
        <v>8.0139999999999993</v>
      </c>
      <c r="J4021" s="2">
        <v>41276</v>
      </c>
      <c r="K4021" s="3">
        <f t="shared" si="124"/>
        <v>8</v>
      </c>
      <c r="L4021" s="3">
        <f t="shared" si="125"/>
        <v>7.9359999999999999</v>
      </c>
    </row>
    <row r="4022" spans="1:12" x14ac:dyDescent="0.3">
      <c r="A4022" s="2">
        <v>40539</v>
      </c>
      <c r="B4022" t="s">
        <v>13</v>
      </c>
      <c r="D4022" s="2">
        <v>41270</v>
      </c>
      <c r="E4022">
        <v>8</v>
      </c>
      <c r="G4022" s="2">
        <v>41270</v>
      </c>
      <c r="H4022">
        <v>8.0060000000000002</v>
      </c>
      <c r="J4022" s="2">
        <v>41277</v>
      </c>
      <c r="K4022" s="3">
        <f t="shared" si="124"/>
        <v>8</v>
      </c>
      <c r="L4022" s="3">
        <f t="shared" si="125"/>
        <v>7.9359999999999999</v>
      </c>
    </row>
    <row r="4023" spans="1:12" x14ac:dyDescent="0.3">
      <c r="A4023" s="2">
        <v>40540</v>
      </c>
      <c r="B4023" t="s">
        <v>13</v>
      </c>
      <c r="D4023" s="2">
        <v>41271</v>
      </c>
      <c r="E4023">
        <v>8</v>
      </c>
      <c r="G4023" s="2">
        <v>41271</v>
      </c>
      <c r="H4023">
        <v>8.0050000000000008</v>
      </c>
      <c r="J4023" s="2">
        <v>41278</v>
      </c>
      <c r="K4023" s="3">
        <f t="shared" si="124"/>
        <v>8</v>
      </c>
      <c r="L4023" s="3">
        <f t="shared" si="125"/>
        <v>7.9359999999999999</v>
      </c>
    </row>
    <row r="4024" spans="1:12" x14ac:dyDescent="0.3">
      <c r="A4024" s="2">
        <v>40541</v>
      </c>
      <c r="B4024" t="s">
        <v>13</v>
      </c>
      <c r="D4024" s="2">
        <v>41272</v>
      </c>
      <c r="E4024">
        <v>8</v>
      </c>
      <c r="G4024" s="2">
        <v>41272</v>
      </c>
      <c r="H4024">
        <v>8.0050000000000008</v>
      </c>
      <c r="J4024" s="2">
        <v>41279</v>
      </c>
      <c r="K4024" s="3">
        <f t="shared" si="124"/>
        <v>8</v>
      </c>
      <c r="L4024" s="3">
        <f t="shared" si="125"/>
        <v>7.9359999999999999</v>
      </c>
    </row>
    <row r="4025" spans="1:12" x14ac:dyDescent="0.3">
      <c r="A4025" s="2">
        <v>40542</v>
      </c>
      <c r="B4025" t="s">
        <v>13</v>
      </c>
      <c r="D4025" s="2">
        <v>41273</v>
      </c>
      <c r="E4025">
        <v>8</v>
      </c>
      <c r="G4025" s="2">
        <v>41273</v>
      </c>
      <c r="H4025">
        <v>8.0050000000000008</v>
      </c>
      <c r="J4025" s="2">
        <v>41280</v>
      </c>
      <c r="K4025" s="3">
        <f t="shared" si="124"/>
        <v>8</v>
      </c>
      <c r="L4025" s="3">
        <f t="shared" si="125"/>
        <v>7.9359999999999999</v>
      </c>
    </row>
    <row r="4026" spans="1:12" x14ac:dyDescent="0.3">
      <c r="A4026" s="2">
        <v>40543</v>
      </c>
      <c r="B4026" t="s">
        <v>13</v>
      </c>
      <c r="D4026" s="2">
        <v>41274</v>
      </c>
      <c r="E4026">
        <v>8</v>
      </c>
      <c r="G4026" s="2">
        <v>41274</v>
      </c>
      <c r="H4026">
        <v>7.9930000000000003</v>
      </c>
      <c r="J4026" s="2">
        <v>41281</v>
      </c>
      <c r="K4026" s="3">
        <f t="shared" si="124"/>
        <v>8</v>
      </c>
      <c r="L4026" s="3">
        <f t="shared" si="125"/>
        <v>7.9359999999999999</v>
      </c>
    </row>
    <row r="4027" spans="1:12" x14ac:dyDescent="0.3">
      <c r="A4027" s="2">
        <v>40544</v>
      </c>
      <c r="B4027" t="s">
        <v>13</v>
      </c>
      <c r="D4027" s="2">
        <v>41275</v>
      </c>
      <c r="E4027">
        <v>8</v>
      </c>
      <c r="G4027" s="2">
        <v>41275</v>
      </c>
      <c r="H4027">
        <v>7.9749999999999996</v>
      </c>
      <c r="J4027" s="2">
        <v>41282</v>
      </c>
      <c r="K4027" s="3">
        <f t="shared" si="124"/>
        <v>8</v>
      </c>
      <c r="L4027" s="3">
        <f t="shared" si="125"/>
        <v>7.9359999999999999</v>
      </c>
    </row>
    <row r="4028" spans="1:12" x14ac:dyDescent="0.3">
      <c r="A4028" s="2">
        <v>40545</v>
      </c>
      <c r="B4028" t="s">
        <v>13</v>
      </c>
      <c r="D4028" s="2">
        <v>41276</v>
      </c>
      <c r="E4028">
        <v>8</v>
      </c>
      <c r="G4028" s="2">
        <v>41276</v>
      </c>
      <c r="H4028">
        <v>7.9359999999999999</v>
      </c>
      <c r="J4028" s="2">
        <v>41283</v>
      </c>
      <c r="K4028" s="3">
        <f t="shared" si="124"/>
        <v>8</v>
      </c>
      <c r="L4028" s="3">
        <f t="shared" si="125"/>
        <v>7.9359999999999999</v>
      </c>
    </row>
    <row r="4029" spans="1:12" x14ac:dyDescent="0.3">
      <c r="A4029" s="2">
        <v>40546</v>
      </c>
      <c r="B4029" t="s">
        <v>13</v>
      </c>
      <c r="D4029" s="2">
        <v>41277</v>
      </c>
      <c r="E4029">
        <v>8</v>
      </c>
      <c r="G4029" s="2">
        <v>41277</v>
      </c>
      <c r="H4029">
        <v>7.9359999999999999</v>
      </c>
      <c r="J4029" s="2">
        <v>41284</v>
      </c>
      <c r="K4029" s="3">
        <f t="shared" si="124"/>
        <v>8</v>
      </c>
      <c r="L4029" s="3">
        <f t="shared" si="125"/>
        <v>7.9359999999999999</v>
      </c>
    </row>
    <row r="4030" spans="1:12" x14ac:dyDescent="0.3">
      <c r="A4030" s="2">
        <v>40547</v>
      </c>
      <c r="B4030" t="s">
        <v>13</v>
      </c>
      <c r="D4030" s="2">
        <v>41278</v>
      </c>
      <c r="E4030">
        <v>8</v>
      </c>
      <c r="G4030" s="2">
        <v>41278</v>
      </c>
      <c r="H4030">
        <v>7.9359999999999999</v>
      </c>
      <c r="J4030" s="2">
        <v>41285</v>
      </c>
      <c r="K4030" s="3">
        <f t="shared" si="124"/>
        <v>8</v>
      </c>
      <c r="L4030" s="3">
        <f t="shared" si="125"/>
        <v>7.9359999999999999</v>
      </c>
    </row>
    <row r="4031" spans="1:12" x14ac:dyDescent="0.3">
      <c r="A4031" s="2">
        <v>40548</v>
      </c>
      <c r="B4031" t="s">
        <v>13</v>
      </c>
      <c r="D4031" s="2">
        <v>41279</v>
      </c>
      <c r="E4031">
        <v>8</v>
      </c>
      <c r="G4031" s="2">
        <v>41279</v>
      </c>
      <c r="H4031">
        <v>7.9359999999999999</v>
      </c>
      <c r="J4031" s="2">
        <v>41286</v>
      </c>
      <c r="K4031" s="3">
        <f t="shared" si="124"/>
        <v>8</v>
      </c>
      <c r="L4031" s="3">
        <f t="shared" si="125"/>
        <v>7.9359999999999999</v>
      </c>
    </row>
    <row r="4032" spans="1:12" x14ac:dyDescent="0.3">
      <c r="A4032" s="2">
        <v>40549</v>
      </c>
      <c r="B4032" t="s">
        <v>13</v>
      </c>
      <c r="D4032" s="2">
        <v>41280</v>
      </c>
      <c r="E4032">
        <v>8</v>
      </c>
      <c r="G4032" s="2">
        <v>41280</v>
      </c>
      <c r="H4032">
        <v>7.9359999999999999</v>
      </c>
      <c r="J4032" s="2">
        <v>41287</v>
      </c>
      <c r="K4032" s="3">
        <f t="shared" si="124"/>
        <v>8</v>
      </c>
      <c r="L4032" s="3">
        <f t="shared" si="125"/>
        <v>7.9359999999999999</v>
      </c>
    </row>
    <row r="4033" spans="1:12" x14ac:dyDescent="0.3">
      <c r="A4033" s="2">
        <v>40550</v>
      </c>
      <c r="B4033" t="s">
        <v>13</v>
      </c>
      <c r="D4033" s="2">
        <v>41281</v>
      </c>
      <c r="E4033">
        <v>8</v>
      </c>
      <c r="G4033" s="2">
        <v>41281</v>
      </c>
      <c r="H4033">
        <v>7.9359999999999999</v>
      </c>
      <c r="J4033" s="2">
        <v>41288</v>
      </c>
      <c r="K4033" s="3">
        <f t="shared" si="124"/>
        <v>8</v>
      </c>
      <c r="L4033" s="3">
        <f t="shared" si="125"/>
        <v>7.9359999999999999</v>
      </c>
    </row>
    <row r="4034" spans="1:12" x14ac:dyDescent="0.3">
      <c r="A4034" s="2">
        <v>40551</v>
      </c>
      <c r="B4034" t="s">
        <v>13</v>
      </c>
      <c r="D4034" s="2">
        <v>41282</v>
      </c>
      <c r="E4034">
        <v>8</v>
      </c>
      <c r="G4034" s="2">
        <v>41282</v>
      </c>
      <c r="H4034">
        <v>7.9359999999999999</v>
      </c>
      <c r="J4034" s="2">
        <v>41289</v>
      </c>
      <c r="K4034" s="3">
        <f t="shared" si="124"/>
        <v>8</v>
      </c>
      <c r="L4034" s="3">
        <f t="shared" si="125"/>
        <v>7.8310000000000004</v>
      </c>
    </row>
    <row r="4035" spans="1:12" x14ac:dyDescent="0.3">
      <c r="A4035" s="2">
        <v>40552</v>
      </c>
      <c r="B4035" t="s">
        <v>13</v>
      </c>
      <c r="D4035" s="2">
        <v>41283</v>
      </c>
      <c r="E4035">
        <v>8</v>
      </c>
      <c r="G4035" s="2">
        <v>41283</v>
      </c>
      <c r="H4035">
        <v>7.9359999999999999</v>
      </c>
      <c r="J4035" s="2">
        <v>41290</v>
      </c>
      <c r="K4035" s="3">
        <f t="shared" ref="K4035:K4098" si="126">E4042</f>
        <v>8</v>
      </c>
      <c r="L4035" s="3">
        <f t="shared" ref="L4035:L4098" si="127">H4042</f>
        <v>7.835</v>
      </c>
    </row>
    <row r="4036" spans="1:12" x14ac:dyDescent="0.3">
      <c r="A4036" s="2">
        <v>40553</v>
      </c>
      <c r="B4036" t="s">
        <v>13</v>
      </c>
      <c r="D4036" s="2">
        <v>41284</v>
      </c>
      <c r="E4036">
        <v>8</v>
      </c>
      <c r="G4036" s="2">
        <v>41284</v>
      </c>
      <c r="H4036">
        <v>7.9359999999999999</v>
      </c>
      <c r="J4036" s="2">
        <v>41291</v>
      </c>
      <c r="K4036" s="3">
        <f t="shared" si="126"/>
        <v>8</v>
      </c>
      <c r="L4036" s="3">
        <f t="shared" si="127"/>
        <v>7.835</v>
      </c>
    </row>
    <row r="4037" spans="1:12" x14ac:dyDescent="0.3">
      <c r="A4037" s="2">
        <v>40554</v>
      </c>
      <c r="B4037" t="s">
        <v>13</v>
      </c>
      <c r="D4037" s="2">
        <v>41285</v>
      </c>
      <c r="E4037">
        <v>8</v>
      </c>
      <c r="G4037" s="2">
        <v>41285</v>
      </c>
      <c r="H4037">
        <v>7.9359999999999999</v>
      </c>
      <c r="J4037" s="2">
        <v>41292</v>
      </c>
      <c r="K4037" s="3">
        <f t="shared" si="126"/>
        <v>8</v>
      </c>
      <c r="L4037" s="3">
        <f t="shared" si="127"/>
        <v>7.835</v>
      </c>
    </row>
    <row r="4038" spans="1:12" x14ac:dyDescent="0.3">
      <c r="A4038" s="2">
        <v>40555</v>
      </c>
      <c r="B4038" t="s">
        <v>13</v>
      </c>
      <c r="D4038" s="2">
        <v>41286</v>
      </c>
      <c r="E4038">
        <v>8</v>
      </c>
      <c r="G4038" s="2">
        <v>41286</v>
      </c>
      <c r="H4038">
        <v>7.9359999999999999</v>
      </c>
      <c r="J4038" s="2">
        <v>41293</v>
      </c>
      <c r="K4038" s="3">
        <f t="shared" si="126"/>
        <v>8</v>
      </c>
      <c r="L4038" s="3">
        <f t="shared" si="127"/>
        <v>7.835</v>
      </c>
    </row>
    <row r="4039" spans="1:12" x14ac:dyDescent="0.3">
      <c r="A4039" s="2">
        <v>40556</v>
      </c>
      <c r="B4039" t="s">
        <v>13</v>
      </c>
      <c r="D4039" s="2">
        <v>41287</v>
      </c>
      <c r="E4039">
        <v>8</v>
      </c>
      <c r="G4039" s="2">
        <v>41287</v>
      </c>
      <c r="H4039">
        <v>7.9359999999999999</v>
      </c>
      <c r="J4039" s="2">
        <v>41294</v>
      </c>
      <c r="K4039" s="3">
        <f t="shared" si="126"/>
        <v>8</v>
      </c>
      <c r="L4039" s="3">
        <f t="shared" si="127"/>
        <v>7.835</v>
      </c>
    </row>
    <row r="4040" spans="1:12" x14ac:dyDescent="0.3">
      <c r="A4040" s="2">
        <v>40557</v>
      </c>
      <c r="B4040" t="s">
        <v>13</v>
      </c>
      <c r="D4040" s="2">
        <v>41288</v>
      </c>
      <c r="E4040">
        <v>8</v>
      </c>
      <c r="G4040" s="2">
        <v>41288</v>
      </c>
      <c r="H4040">
        <v>7.9359999999999999</v>
      </c>
      <c r="J4040" s="2">
        <v>41295</v>
      </c>
      <c r="K4040" s="3">
        <f t="shared" si="126"/>
        <v>8</v>
      </c>
      <c r="L4040" s="3">
        <f t="shared" si="127"/>
        <v>7.835</v>
      </c>
    </row>
    <row r="4041" spans="1:12" x14ac:dyDescent="0.3">
      <c r="A4041" s="2">
        <v>40558</v>
      </c>
      <c r="B4041" t="s">
        <v>13</v>
      </c>
      <c r="D4041" s="2">
        <v>41289</v>
      </c>
      <c r="E4041">
        <v>8</v>
      </c>
      <c r="G4041" s="2">
        <v>41289</v>
      </c>
      <c r="H4041">
        <v>7.8310000000000004</v>
      </c>
      <c r="J4041" s="2">
        <v>41296</v>
      </c>
      <c r="K4041" s="3">
        <f t="shared" si="126"/>
        <v>8</v>
      </c>
      <c r="L4041" s="3">
        <f t="shared" si="127"/>
        <v>7.8570000000000002</v>
      </c>
    </row>
    <row r="4042" spans="1:12" x14ac:dyDescent="0.3">
      <c r="A4042" s="2">
        <v>40559</v>
      </c>
      <c r="B4042" t="s">
        <v>13</v>
      </c>
      <c r="D4042" s="2">
        <v>41290</v>
      </c>
      <c r="E4042">
        <v>8</v>
      </c>
      <c r="G4042" s="2">
        <v>41290</v>
      </c>
      <c r="H4042">
        <v>7.835</v>
      </c>
      <c r="J4042" s="2">
        <v>41297</v>
      </c>
      <c r="K4042" s="3">
        <f t="shared" si="126"/>
        <v>8</v>
      </c>
      <c r="L4042" s="3">
        <f t="shared" si="127"/>
        <v>7.8570000000000002</v>
      </c>
    </row>
    <row r="4043" spans="1:12" x14ac:dyDescent="0.3">
      <c r="A4043" s="2">
        <v>40560</v>
      </c>
      <c r="B4043" t="s">
        <v>13</v>
      </c>
      <c r="D4043" s="2">
        <v>41291</v>
      </c>
      <c r="E4043">
        <v>8</v>
      </c>
      <c r="G4043" s="2">
        <v>41291</v>
      </c>
      <c r="H4043">
        <v>7.835</v>
      </c>
      <c r="J4043" s="2">
        <v>41298</v>
      </c>
      <c r="K4043" s="3">
        <f t="shared" si="126"/>
        <v>8</v>
      </c>
      <c r="L4043" s="3">
        <f t="shared" si="127"/>
        <v>7.8570000000000002</v>
      </c>
    </row>
    <row r="4044" spans="1:12" x14ac:dyDescent="0.3">
      <c r="A4044" s="2">
        <v>40561</v>
      </c>
      <c r="B4044" t="s">
        <v>13</v>
      </c>
      <c r="D4044" s="2">
        <v>41292</v>
      </c>
      <c r="E4044">
        <v>8</v>
      </c>
      <c r="G4044" s="2">
        <v>41292</v>
      </c>
      <c r="H4044">
        <v>7.835</v>
      </c>
      <c r="J4044" s="2">
        <v>41299</v>
      </c>
      <c r="K4044" s="3">
        <f t="shared" si="126"/>
        <v>8</v>
      </c>
      <c r="L4044" s="3">
        <f t="shared" si="127"/>
        <v>7.8570000000000002</v>
      </c>
    </row>
    <row r="4045" spans="1:12" x14ac:dyDescent="0.3">
      <c r="A4045" s="2">
        <v>40562</v>
      </c>
      <c r="B4045" t="s">
        <v>13</v>
      </c>
      <c r="D4045" s="2">
        <v>41293</v>
      </c>
      <c r="E4045">
        <v>8</v>
      </c>
      <c r="G4045" s="2">
        <v>41293</v>
      </c>
      <c r="H4045">
        <v>7.835</v>
      </c>
      <c r="J4045" s="2">
        <v>41300</v>
      </c>
      <c r="K4045" s="3">
        <f t="shared" si="126"/>
        <v>8</v>
      </c>
      <c r="L4045" s="3">
        <f t="shared" si="127"/>
        <v>7.8570000000000002</v>
      </c>
    </row>
    <row r="4046" spans="1:12" x14ac:dyDescent="0.3">
      <c r="A4046" s="2">
        <v>40563</v>
      </c>
      <c r="B4046" t="s">
        <v>13</v>
      </c>
      <c r="D4046" s="2">
        <v>41294</v>
      </c>
      <c r="E4046">
        <v>8</v>
      </c>
      <c r="G4046" s="2">
        <v>41294</v>
      </c>
      <c r="H4046">
        <v>7.835</v>
      </c>
      <c r="J4046" s="2">
        <v>41301</v>
      </c>
      <c r="K4046" s="3">
        <f t="shared" si="126"/>
        <v>8</v>
      </c>
      <c r="L4046" s="3">
        <f t="shared" si="127"/>
        <v>7.8570000000000002</v>
      </c>
    </row>
    <row r="4047" spans="1:12" x14ac:dyDescent="0.3">
      <c r="A4047" s="2">
        <v>40564</v>
      </c>
      <c r="B4047" t="s">
        <v>13</v>
      </c>
      <c r="D4047" s="2">
        <v>41295</v>
      </c>
      <c r="E4047">
        <v>8</v>
      </c>
      <c r="G4047" s="2">
        <v>41295</v>
      </c>
      <c r="H4047">
        <v>7.835</v>
      </c>
      <c r="J4047" s="2">
        <v>41302</v>
      </c>
      <c r="K4047" s="3">
        <f t="shared" si="126"/>
        <v>8</v>
      </c>
      <c r="L4047" s="3">
        <f t="shared" si="127"/>
        <v>7.9210000000000003</v>
      </c>
    </row>
    <row r="4048" spans="1:12" x14ac:dyDescent="0.3">
      <c r="A4048" s="2">
        <v>40565</v>
      </c>
      <c r="B4048" t="s">
        <v>13</v>
      </c>
      <c r="D4048" s="2">
        <v>41296</v>
      </c>
      <c r="E4048">
        <v>8</v>
      </c>
      <c r="G4048" s="2">
        <v>41296</v>
      </c>
      <c r="H4048">
        <v>7.8570000000000002</v>
      </c>
      <c r="J4048" s="2">
        <v>41303</v>
      </c>
      <c r="K4048" s="3">
        <f t="shared" si="126"/>
        <v>7.75</v>
      </c>
      <c r="L4048" s="3">
        <f t="shared" si="127"/>
        <v>7.875</v>
      </c>
    </row>
    <row r="4049" spans="1:12" x14ac:dyDescent="0.3">
      <c r="A4049" s="2">
        <v>40566</v>
      </c>
      <c r="B4049" t="s">
        <v>13</v>
      </c>
      <c r="D4049" s="2">
        <v>41297</v>
      </c>
      <c r="E4049">
        <v>8</v>
      </c>
      <c r="G4049" s="2">
        <v>41297</v>
      </c>
      <c r="H4049">
        <v>7.8570000000000002</v>
      </c>
      <c r="J4049" s="2">
        <v>41304</v>
      </c>
      <c r="K4049" s="3">
        <f t="shared" si="126"/>
        <v>7.75</v>
      </c>
      <c r="L4049" s="3">
        <f t="shared" si="127"/>
        <v>7.87</v>
      </c>
    </row>
    <row r="4050" spans="1:12" x14ac:dyDescent="0.3">
      <c r="A4050" s="2">
        <v>40567</v>
      </c>
      <c r="B4050" t="s">
        <v>13</v>
      </c>
      <c r="D4050" s="2">
        <v>41298</v>
      </c>
      <c r="E4050">
        <v>8</v>
      </c>
      <c r="G4050" s="2">
        <v>41298</v>
      </c>
      <c r="H4050">
        <v>7.8570000000000002</v>
      </c>
      <c r="J4050" s="2">
        <v>41305</v>
      </c>
      <c r="K4050" s="3">
        <f t="shared" si="126"/>
        <v>7.75</v>
      </c>
      <c r="L4050" s="3">
        <f t="shared" si="127"/>
        <v>7.819</v>
      </c>
    </row>
    <row r="4051" spans="1:12" x14ac:dyDescent="0.3">
      <c r="A4051" s="2">
        <v>40568</v>
      </c>
      <c r="B4051" t="s">
        <v>13</v>
      </c>
      <c r="D4051" s="2">
        <v>41299</v>
      </c>
      <c r="E4051">
        <v>8</v>
      </c>
      <c r="G4051" s="2">
        <v>41299</v>
      </c>
      <c r="H4051">
        <v>7.8570000000000002</v>
      </c>
      <c r="J4051" s="2">
        <v>41306</v>
      </c>
      <c r="K4051" s="3">
        <f t="shared" si="126"/>
        <v>7.75</v>
      </c>
      <c r="L4051" s="3">
        <f t="shared" si="127"/>
        <v>7.8280000000000003</v>
      </c>
    </row>
    <row r="4052" spans="1:12" x14ac:dyDescent="0.3">
      <c r="A4052" s="2">
        <v>40569</v>
      </c>
      <c r="B4052" t="s">
        <v>13</v>
      </c>
      <c r="D4052" s="2">
        <v>41300</v>
      </c>
      <c r="E4052">
        <v>8</v>
      </c>
      <c r="G4052" s="2">
        <v>41300</v>
      </c>
      <c r="H4052">
        <v>7.8570000000000002</v>
      </c>
      <c r="J4052" s="2">
        <v>41307</v>
      </c>
      <c r="K4052" s="3">
        <f t="shared" si="126"/>
        <v>7.75</v>
      </c>
      <c r="L4052" s="3">
        <f t="shared" si="127"/>
        <v>7.8280000000000003</v>
      </c>
    </row>
    <row r="4053" spans="1:12" x14ac:dyDescent="0.3">
      <c r="A4053" s="2">
        <v>40570</v>
      </c>
      <c r="B4053" t="s">
        <v>13</v>
      </c>
      <c r="D4053" s="2">
        <v>41301</v>
      </c>
      <c r="E4053">
        <v>8</v>
      </c>
      <c r="G4053" s="2">
        <v>41301</v>
      </c>
      <c r="H4053">
        <v>7.8570000000000002</v>
      </c>
      <c r="J4053" s="2">
        <v>41308</v>
      </c>
      <c r="K4053" s="3">
        <f t="shared" si="126"/>
        <v>7.75</v>
      </c>
      <c r="L4053" s="3">
        <f t="shared" si="127"/>
        <v>7.8280000000000003</v>
      </c>
    </row>
    <row r="4054" spans="1:12" x14ac:dyDescent="0.3">
      <c r="A4054" s="2">
        <v>40571</v>
      </c>
      <c r="B4054" t="s">
        <v>13</v>
      </c>
      <c r="D4054" s="2">
        <v>41302</v>
      </c>
      <c r="E4054">
        <v>8</v>
      </c>
      <c r="G4054" s="2">
        <v>41302</v>
      </c>
      <c r="H4054">
        <v>7.9210000000000003</v>
      </c>
      <c r="J4054" s="2">
        <v>41309</v>
      </c>
      <c r="K4054" s="3">
        <f t="shared" si="126"/>
        <v>7.75</v>
      </c>
      <c r="L4054" s="3">
        <f t="shared" si="127"/>
        <v>7.8520000000000003</v>
      </c>
    </row>
    <row r="4055" spans="1:12" x14ac:dyDescent="0.3">
      <c r="A4055" s="2">
        <v>40572</v>
      </c>
      <c r="B4055" t="s">
        <v>13</v>
      </c>
      <c r="D4055" s="2">
        <v>41303</v>
      </c>
      <c r="E4055">
        <v>7.75</v>
      </c>
      <c r="G4055" s="2">
        <v>41303</v>
      </c>
      <c r="H4055">
        <v>7.875</v>
      </c>
      <c r="J4055" s="2">
        <v>41310</v>
      </c>
      <c r="K4055" s="3">
        <f t="shared" si="126"/>
        <v>7.75</v>
      </c>
      <c r="L4055" s="3">
        <f t="shared" si="127"/>
        <v>7.8150000000000004</v>
      </c>
    </row>
    <row r="4056" spans="1:12" x14ac:dyDescent="0.3">
      <c r="A4056" s="2">
        <v>40573</v>
      </c>
      <c r="B4056" t="s">
        <v>13</v>
      </c>
      <c r="D4056" s="2">
        <v>41304</v>
      </c>
      <c r="E4056">
        <v>7.75</v>
      </c>
      <c r="G4056" s="2">
        <v>41304</v>
      </c>
      <c r="H4056">
        <v>7.87</v>
      </c>
      <c r="J4056" s="2">
        <v>41311</v>
      </c>
      <c r="K4056" s="3">
        <f t="shared" si="126"/>
        <v>7.75</v>
      </c>
      <c r="L4056" s="3">
        <f t="shared" si="127"/>
        <v>7.8330000000000002</v>
      </c>
    </row>
    <row r="4057" spans="1:12" x14ac:dyDescent="0.3">
      <c r="A4057" s="2">
        <v>40574</v>
      </c>
      <c r="B4057" t="s">
        <v>13</v>
      </c>
      <c r="D4057" s="2">
        <v>41305</v>
      </c>
      <c r="E4057">
        <v>7.75</v>
      </c>
      <c r="G4057" s="2">
        <v>41305</v>
      </c>
      <c r="H4057">
        <v>7.819</v>
      </c>
      <c r="J4057" s="2">
        <v>41312</v>
      </c>
      <c r="K4057" s="3">
        <f t="shared" si="126"/>
        <v>7.75</v>
      </c>
      <c r="L4057" s="3">
        <f t="shared" si="127"/>
        <v>7.8259999999999996</v>
      </c>
    </row>
    <row r="4058" spans="1:12" x14ac:dyDescent="0.3">
      <c r="A4058" s="2">
        <v>40575</v>
      </c>
      <c r="B4058" t="s">
        <v>13</v>
      </c>
      <c r="D4058" s="2">
        <v>41306</v>
      </c>
      <c r="E4058">
        <v>7.75</v>
      </c>
      <c r="G4058" s="2">
        <v>41306</v>
      </c>
      <c r="H4058">
        <v>7.8280000000000003</v>
      </c>
      <c r="J4058" s="2">
        <v>41313</v>
      </c>
      <c r="K4058" s="3">
        <f t="shared" si="126"/>
        <v>7.75</v>
      </c>
      <c r="L4058" s="3">
        <f t="shared" si="127"/>
        <v>7.8090000000000002</v>
      </c>
    </row>
    <row r="4059" spans="1:12" x14ac:dyDescent="0.3">
      <c r="A4059" s="2">
        <v>40576</v>
      </c>
      <c r="B4059" t="s">
        <v>13</v>
      </c>
      <c r="D4059" s="2">
        <v>41307</v>
      </c>
      <c r="E4059">
        <v>7.75</v>
      </c>
      <c r="G4059" s="2">
        <v>41307</v>
      </c>
      <c r="H4059">
        <v>7.8280000000000003</v>
      </c>
      <c r="J4059" s="2">
        <v>41314</v>
      </c>
      <c r="K4059" s="3">
        <f t="shared" si="126"/>
        <v>7.75</v>
      </c>
      <c r="L4059" s="3">
        <f t="shared" si="127"/>
        <v>7.8090000000000002</v>
      </c>
    </row>
    <row r="4060" spans="1:12" x14ac:dyDescent="0.3">
      <c r="A4060" s="2">
        <v>40577</v>
      </c>
      <c r="B4060" t="s">
        <v>13</v>
      </c>
      <c r="D4060" s="2">
        <v>41308</v>
      </c>
      <c r="E4060">
        <v>7.75</v>
      </c>
      <c r="G4060" s="2">
        <v>41308</v>
      </c>
      <c r="H4060">
        <v>7.8280000000000003</v>
      </c>
      <c r="J4060" s="2">
        <v>41315</v>
      </c>
      <c r="K4060" s="3">
        <f t="shared" si="126"/>
        <v>7.75</v>
      </c>
      <c r="L4060" s="3">
        <f t="shared" si="127"/>
        <v>7.8090000000000002</v>
      </c>
    </row>
    <row r="4061" spans="1:12" x14ac:dyDescent="0.3">
      <c r="A4061" s="2">
        <v>40578</v>
      </c>
      <c r="B4061" t="s">
        <v>13</v>
      </c>
      <c r="D4061" s="2">
        <v>41309</v>
      </c>
      <c r="E4061">
        <v>7.75</v>
      </c>
      <c r="G4061" s="2">
        <v>41309</v>
      </c>
      <c r="H4061">
        <v>7.8520000000000003</v>
      </c>
      <c r="J4061" s="2">
        <v>41316</v>
      </c>
      <c r="K4061" s="3">
        <f t="shared" si="126"/>
        <v>7.75</v>
      </c>
      <c r="L4061" s="3">
        <f t="shared" si="127"/>
        <v>7.82</v>
      </c>
    </row>
    <row r="4062" spans="1:12" x14ac:dyDescent="0.3">
      <c r="A4062" s="2">
        <v>40579</v>
      </c>
      <c r="B4062" t="s">
        <v>13</v>
      </c>
      <c r="D4062" s="2">
        <v>41310</v>
      </c>
      <c r="E4062">
        <v>7.75</v>
      </c>
      <c r="G4062" s="2">
        <v>41310</v>
      </c>
      <c r="H4062">
        <v>7.8150000000000004</v>
      </c>
      <c r="J4062" s="2">
        <v>41317</v>
      </c>
      <c r="K4062" s="3">
        <f t="shared" si="126"/>
        <v>7.75</v>
      </c>
      <c r="L4062" s="3">
        <f t="shared" si="127"/>
        <v>7.8280000000000003</v>
      </c>
    </row>
    <row r="4063" spans="1:12" x14ac:dyDescent="0.3">
      <c r="A4063" s="2">
        <v>40580</v>
      </c>
      <c r="B4063" t="s">
        <v>13</v>
      </c>
      <c r="D4063" s="2">
        <v>41311</v>
      </c>
      <c r="E4063">
        <v>7.75</v>
      </c>
      <c r="G4063" s="2">
        <v>41311</v>
      </c>
      <c r="H4063">
        <v>7.8330000000000002</v>
      </c>
      <c r="J4063" s="2">
        <v>41318</v>
      </c>
      <c r="K4063" s="3">
        <f t="shared" si="126"/>
        <v>7.75</v>
      </c>
      <c r="L4063" s="3">
        <f t="shared" si="127"/>
        <v>7.8239999999999998</v>
      </c>
    </row>
    <row r="4064" spans="1:12" x14ac:dyDescent="0.3">
      <c r="A4064" s="2">
        <v>40581</v>
      </c>
      <c r="B4064" t="s">
        <v>13</v>
      </c>
      <c r="D4064" s="2">
        <v>41312</v>
      </c>
      <c r="E4064">
        <v>7.75</v>
      </c>
      <c r="G4064" s="2">
        <v>41312</v>
      </c>
      <c r="H4064">
        <v>7.8259999999999996</v>
      </c>
      <c r="J4064" s="2">
        <v>41319</v>
      </c>
      <c r="K4064" s="3">
        <f t="shared" si="126"/>
        <v>7.75</v>
      </c>
      <c r="L4064" s="3">
        <f t="shared" si="127"/>
        <v>7.81</v>
      </c>
    </row>
    <row r="4065" spans="1:12" x14ac:dyDescent="0.3">
      <c r="A4065" s="2">
        <v>40582</v>
      </c>
      <c r="B4065" t="s">
        <v>13</v>
      </c>
      <c r="D4065" s="2">
        <v>41313</v>
      </c>
      <c r="E4065">
        <v>7.75</v>
      </c>
      <c r="G4065" s="2">
        <v>41313</v>
      </c>
      <c r="H4065">
        <v>7.8090000000000002</v>
      </c>
      <c r="J4065" s="2">
        <v>41320</v>
      </c>
      <c r="K4065" s="3">
        <f t="shared" si="126"/>
        <v>7.75</v>
      </c>
      <c r="L4065" s="3">
        <f t="shared" si="127"/>
        <v>7.8</v>
      </c>
    </row>
    <row r="4066" spans="1:12" x14ac:dyDescent="0.3">
      <c r="A4066" s="2">
        <v>40583</v>
      </c>
      <c r="B4066" t="s">
        <v>13</v>
      </c>
      <c r="D4066" s="2">
        <v>41314</v>
      </c>
      <c r="E4066">
        <v>7.75</v>
      </c>
      <c r="G4066" s="2">
        <v>41314</v>
      </c>
      <c r="H4066">
        <v>7.8090000000000002</v>
      </c>
      <c r="J4066" s="2">
        <v>41321</v>
      </c>
      <c r="K4066" s="3">
        <f t="shared" si="126"/>
        <v>7.75</v>
      </c>
      <c r="L4066" s="3">
        <f t="shared" si="127"/>
        <v>7.8</v>
      </c>
    </row>
    <row r="4067" spans="1:12" x14ac:dyDescent="0.3">
      <c r="A4067" s="2">
        <v>40584</v>
      </c>
      <c r="B4067" t="s">
        <v>13</v>
      </c>
      <c r="D4067" s="2">
        <v>41315</v>
      </c>
      <c r="E4067">
        <v>7.75</v>
      </c>
      <c r="G4067" s="2">
        <v>41315</v>
      </c>
      <c r="H4067">
        <v>7.8090000000000002</v>
      </c>
      <c r="J4067" s="2">
        <v>41322</v>
      </c>
      <c r="K4067" s="3">
        <f t="shared" si="126"/>
        <v>7.75</v>
      </c>
      <c r="L4067" s="3">
        <f t="shared" si="127"/>
        <v>7.8</v>
      </c>
    </row>
    <row r="4068" spans="1:12" x14ac:dyDescent="0.3">
      <c r="A4068" s="2">
        <v>40585</v>
      </c>
      <c r="B4068" t="s">
        <v>13</v>
      </c>
      <c r="D4068" s="2">
        <v>41316</v>
      </c>
      <c r="E4068">
        <v>7.75</v>
      </c>
      <c r="G4068" s="2">
        <v>41316</v>
      </c>
      <c r="H4068">
        <v>7.82</v>
      </c>
      <c r="J4068" s="2">
        <v>41323</v>
      </c>
      <c r="K4068" s="3">
        <f t="shared" si="126"/>
        <v>7.75</v>
      </c>
      <c r="L4068" s="3">
        <f t="shared" si="127"/>
        <v>7.8019999999999996</v>
      </c>
    </row>
    <row r="4069" spans="1:12" x14ac:dyDescent="0.3">
      <c r="A4069" s="2">
        <v>40586</v>
      </c>
      <c r="B4069" t="s">
        <v>13</v>
      </c>
      <c r="D4069" s="2">
        <v>41317</v>
      </c>
      <c r="E4069">
        <v>7.75</v>
      </c>
      <c r="G4069" s="2">
        <v>41317</v>
      </c>
      <c r="H4069">
        <v>7.8280000000000003</v>
      </c>
      <c r="J4069" s="2">
        <v>41324</v>
      </c>
      <c r="K4069" s="3">
        <f t="shared" si="126"/>
        <v>7.75</v>
      </c>
      <c r="L4069" s="3">
        <f t="shared" si="127"/>
        <v>7.8019999999999996</v>
      </c>
    </row>
    <row r="4070" spans="1:12" x14ac:dyDescent="0.3">
      <c r="A4070" s="2">
        <v>40587</v>
      </c>
      <c r="B4070" t="s">
        <v>13</v>
      </c>
      <c r="D4070" s="2">
        <v>41318</v>
      </c>
      <c r="E4070">
        <v>7.75</v>
      </c>
      <c r="G4070" s="2">
        <v>41318</v>
      </c>
      <c r="H4070">
        <v>7.8239999999999998</v>
      </c>
      <c r="J4070" s="2">
        <v>41325</v>
      </c>
      <c r="K4070" s="3">
        <f t="shared" si="126"/>
        <v>7.75</v>
      </c>
      <c r="L4070" s="3">
        <f t="shared" si="127"/>
        <v>7.7889999999999997</v>
      </c>
    </row>
    <row r="4071" spans="1:12" x14ac:dyDescent="0.3">
      <c r="A4071" s="2">
        <v>40588</v>
      </c>
      <c r="B4071" t="s">
        <v>13</v>
      </c>
      <c r="D4071" s="2">
        <v>41319</v>
      </c>
      <c r="E4071">
        <v>7.75</v>
      </c>
      <c r="G4071" s="2">
        <v>41319</v>
      </c>
      <c r="H4071">
        <v>7.81</v>
      </c>
      <c r="J4071" s="2">
        <v>41326</v>
      </c>
      <c r="K4071" s="3">
        <f t="shared" si="126"/>
        <v>7.75</v>
      </c>
      <c r="L4071" s="3">
        <f t="shared" si="127"/>
        <v>7.7930000000000001</v>
      </c>
    </row>
    <row r="4072" spans="1:12" x14ac:dyDescent="0.3">
      <c r="A4072" s="2">
        <v>40589</v>
      </c>
      <c r="B4072" t="s">
        <v>13</v>
      </c>
      <c r="D4072" s="2">
        <v>41320</v>
      </c>
      <c r="E4072">
        <v>7.75</v>
      </c>
      <c r="G4072" s="2">
        <v>41320</v>
      </c>
      <c r="H4072">
        <v>7.8</v>
      </c>
      <c r="J4072" s="2">
        <v>41327</v>
      </c>
      <c r="K4072" s="3">
        <f t="shared" si="126"/>
        <v>7.75</v>
      </c>
      <c r="L4072" s="3">
        <f t="shared" si="127"/>
        <v>7.8049999999999997</v>
      </c>
    </row>
    <row r="4073" spans="1:12" x14ac:dyDescent="0.3">
      <c r="A4073" s="2">
        <v>40590</v>
      </c>
      <c r="B4073" t="s">
        <v>13</v>
      </c>
      <c r="D4073" s="2">
        <v>41321</v>
      </c>
      <c r="E4073">
        <v>7.75</v>
      </c>
      <c r="G4073" s="2">
        <v>41321</v>
      </c>
      <c r="H4073">
        <v>7.8</v>
      </c>
      <c r="J4073" s="2">
        <v>41328</v>
      </c>
      <c r="K4073" s="3">
        <f t="shared" si="126"/>
        <v>7.75</v>
      </c>
      <c r="L4073" s="3">
        <f t="shared" si="127"/>
        <v>7.8049999999999997</v>
      </c>
    </row>
    <row r="4074" spans="1:12" x14ac:dyDescent="0.3">
      <c r="A4074" s="2">
        <v>40591</v>
      </c>
      <c r="B4074" t="s">
        <v>13</v>
      </c>
      <c r="D4074" s="2">
        <v>41322</v>
      </c>
      <c r="E4074">
        <v>7.75</v>
      </c>
      <c r="G4074" s="2">
        <v>41322</v>
      </c>
      <c r="H4074">
        <v>7.8</v>
      </c>
      <c r="J4074" s="2">
        <v>41329</v>
      </c>
      <c r="K4074" s="3">
        <f t="shared" si="126"/>
        <v>7.75</v>
      </c>
      <c r="L4074" s="3">
        <f t="shared" si="127"/>
        <v>7.8049999999999997</v>
      </c>
    </row>
    <row r="4075" spans="1:12" x14ac:dyDescent="0.3">
      <c r="A4075" s="2">
        <v>40592</v>
      </c>
      <c r="B4075" t="s">
        <v>13</v>
      </c>
      <c r="D4075" s="2">
        <v>41323</v>
      </c>
      <c r="E4075">
        <v>7.75</v>
      </c>
      <c r="G4075" s="2">
        <v>41323</v>
      </c>
      <c r="H4075">
        <v>7.8019999999999996</v>
      </c>
      <c r="J4075" s="2">
        <v>41330</v>
      </c>
      <c r="K4075" s="3">
        <f t="shared" si="126"/>
        <v>7.75</v>
      </c>
      <c r="L4075" s="3">
        <f t="shared" si="127"/>
        <v>7.8</v>
      </c>
    </row>
    <row r="4076" spans="1:12" x14ac:dyDescent="0.3">
      <c r="A4076" s="2">
        <v>40593</v>
      </c>
      <c r="B4076" t="s">
        <v>13</v>
      </c>
      <c r="D4076" s="2">
        <v>41324</v>
      </c>
      <c r="E4076">
        <v>7.75</v>
      </c>
      <c r="G4076" s="2">
        <v>41324</v>
      </c>
      <c r="H4076">
        <v>7.8019999999999996</v>
      </c>
      <c r="J4076" s="2">
        <v>41331</v>
      </c>
      <c r="K4076" s="3">
        <f t="shared" si="126"/>
        <v>7.75</v>
      </c>
      <c r="L4076" s="3">
        <f t="shared" si="127"/>
        <v>7.81</v>
      </c>
    </row>
    <row r="4077" spans="1:12" x14ac:dyDescent="0.3">
      <c r="A4077" s="2">
        <v>40594</v>
      </c>
      <c r="B4077" t="s">
        <v>13</v>
      </c>
      <c r="D4077" s="2">
        <v>41325</v>
      </c>
      <c r="E4077">
        <v>7.75</v>
      </c>
      <c r="G4077" s="2">
        <v>41325</v>
      </c>
      <c r="H4077">
        <v>7.7889999999999997</v>
      </c>
      <c r="J4077" s="2">
        <v>41332</v>
      </c>
      <c r="K4077" s="3">
        <f t="shared" si="126"/>
        <v>7.75</v>
      </c>
      <c r="L4077" s="3">
        <f t="shared" si="127"/>
        <v>7.7960000000000003</v>
      </c>
    </row>
    <row r="4078" spans="1:12" x14ac:dyDescent="0.3">
      <c r="A4078" s="2">
        <v>40595</v>
      </c>
      <c r="B4078" t="s">
        <v>13</v>
      </c>
      <c r="D4078" s="2">
        <v>41326</v>
      </c>
      <c r="E4078">
        <v>7.75</v>
      </c>
      <c r="G4078" s="2">
        <v>41326</v>
      </c>
      <c r="H4078">
        <v>7.7930000000000001</v>
      </c>
      <c r="J4078" s="2">
        <v>41333</v>
      </c>
      <c r="K4078" s="3">
        <f t="shared" si="126"/>
        <v>7.75</v>
      </c>
      <c r="L4078" s="3">
        <f t="shared" si="127"/>
        <v>7.8250000000000002</v>
      </c>
    </row>
    <row r="4079" spans="1:12" x14ac:dyDescent="0.3">
      <c r="A4079" s="2">
        <v>40596</v>
      </c>
      <c r="B4079" t="s">
        <v>13</v>
      </c>
      <c r="D4079" s="2">
        <v>41327</v>
      </c>
      <c r="E4079">
        <v>7.75</v>
      </c>
      <c r="G4079" s="2">
        <v>41327</v>
      </c>
      <c r="H4079">
        <v>7.8049999999999997</v>
      </c>
      <c r="J4079" s="2">
        <v>41334</v>
      </c>
      <c r="K4079" s="3">
        <f t="shared" si="126"/>
        <v>7.75</v>
      </c>
      <c r="L4079" s="3">
        <f t="shared" si="127"/>
        <v>7.8380000000000001</v>
      </c>
    </row>
    <row r="4080" spans="1:12" x14ac:dyDescent="0.3">
      <c r="A4080" s="2">
        <v>40597</v>
      </c>
      <c r="B4080" t="s">
        <v>13</v>
      </c>
      <c r="D4080" s="2">
        <v>41328</v>
      </c>
      <c r="E4080">
        <v>7.75</v>
      </c>
      <c r="G4080" s="2">
        <v>41328</v>
      </c>
      <c r="H4080">
        <v>7.8049999999999997</v>
      </c>
      <c r="J4080" s="2">
        <v>41335</v>
      </c>
      <c r="K4080" s="3">
        <f t="shared" si="126"/>
        <v>7.75</v>
      </c>
      <c r="L4080" s="3">
        <f t="shared" si="127"/>
        <v>7.8380000000000001</v>
      </c>
    </row>
    <row r="4081" spans="1:12" x14ac:dyDescent="0.3">
      <c r="A4081" s="2">
        <v>40598</v>
      </c>
      <c r="B4081" t="s">
        <v>13</v>
      </c>
      <c r="D4081" s="2">
        <v>41329</v>
      </c>
      <c r="E4081">
        <v>7.75</v>
      </c>
      <c r="G4081" s="2">
        <v>41329</v>
      </c>
      <c r="H4081">
        <v>7.8049999999999997</v>
      </c>
      <c r="J4081" s="2">
        <v>41336</v>
      </c>
      <c r="K4081" s="3">
        <f t="shared" si="126"/>
        <v>7.75</v>
      </c>
      <c r="L4081" s="3">
        <f t="shared" si="127"/>
        <v>7.8380000000000001</v>
      </c>
    </row>
    <row r="4082" spans="1:12" x14ac:dyDescent="0.3">
      <c r="A4082" s="2">
        <v>40599</v>
      </c>
      <c r="B4082" t="s">
        <v>13</v>
      </c>
      <c r="D4082" s="2">
        <v>41330</v>
      </c>
      <c r="E4082">
        <v>7.75</v>
      </c>
      <c r="G4082" s="2">
        <v>41330</v>
      </c>
      <c r="H4082">
        <v>7.8</v>
      </c>
      <c r="J4082" s="2">
        <v>41337</v>
      </c>
      <c r="K4082" s="3">
        <f t="shared" si="126"/>
        <v>7.75</v>
      </c>
      <c r="L4082" s="3">
        <f t="shared" si="127"/>
        <v>7.8289999999999997</v>
      </c>
    </row>
    <row r="4083" spans="1:12" x14ac:dyDescent="0.3">
      <c r="A4083" s="2">
        <v>40600</v>
      </c>
      <c r="B4083" t="s">
        <v>13</v>
      </c>
      <c r="D4083" s="2">
        <v>41331</v>
      </c>
      <c r="E4083">
        <v>7.75</v>
      </c>
      <c r="G4083" s="2">
        <v>41331</v>
      </c>
      <c r="H4083">
        <v>7.81</v>
      </c>
      <c r="J4083" s="2">
        <v>41338</v>
      </c>
      <c r="K4083" s="3">
        <f t="shared" si="126"/>
        <v>7.75</v>
      </c>
      <c r="L4083" s="3">
        <f t="shared" si="127"/>
        <v>7.827</v>
      </c>
    </row>
    <row r="4084" spans="1:12" x14ac:dyDescent="0.3">
      <c r="A4084" s="2">
        <v>40601</v>
      </c>
      <c r="B4084" t="s">
        <v>13</v>
      </c>
      <c r="D4084" s="2">
        <v>41332</v>
      </c>
      <c r="E4084">
        <v>7.75</v>
      </c>
      <c r="G4084" s="2">
        <v>41332</v>
      </c>
      <c r="H4084">
        <v>7.7960000000000003</v>
      </c>
      <c r="J4084" s="2">
        <v>41339</v>
      </c>
      <c r="K4084" s="3">
        <f t="shared" si="126"/>
        <v>7.75</v>
      </c>
      <c r="L4084" s="3">
        <f t="shared" si="127"/>
        <v>7.8310000000000004</v>
      </c>
    </row>
    <row r="4085" spans="1:12" x14ac:dyDescent="0.3">
      <c r="A4085" s="2">
        <v>40602</v>
      </c>
      <c r="B4085" t="s">
        <v>13</v>
      </c>
      <c r="D4085" s="2">
        <v>41333</v>
      </c>
      <c r="E4085">
        <v>7.75</v>
      </c>
      <c r="G4085" s="2">
        <v>41333</v>
      </c>
      <c r="H4085">
        <v>7.8250000000000002</v>
      </c>
      <c r="J4085" s="2">
        <v>41340</v>
      </c>
      <c r="K4085" s="3">
        <f t="shared" si="126"/>
        <v>7.75</v>
      </c>
      <c r="L4085" s="3">
        <f t="shared" si="127"/>
        <v>7.8129999999999997</v>
      </c>
    </row>
    <row r="4086" spans="1:12" x14ac:dyDescent="0.3">
      <c r="A4086" s="2">
        <v>40603</v>
      </c>
      <c r="B4086" t="s">
        <v>13</v>
      </c>
      <c r="D4086" s="2">
        <v>41334</v>
      </c>
      <c r="E4086">
        <v>7.75</v>
      </c>
      <c r="G4086" s="2">
        <v>41334</v>
      </c>
      <c r="H4086">
        <v>7.8380000000000001</v>
      </c>
      <c r="J4086" s="2">
        <v>41341</v>
      </c>
      <c r="K4086" s="3">
        <f t="shared" si="126"/>
        <v>7.75</v>
      </c>
      <c r="L4086" s="3">
        <f t="shared" si="127"/>
        <v>7.798</v>
      </c>
    </row>
    <row r="4087" spans="1:12" x14ac:dyDescent="0.3">
      <c r="A4087" s="2">
        <v>40604</v>
      </c>
      <c r="B4087" t="s">
        <v>13</v>
      </c>
      <c r="D4087" s="2">
        <v>41335</v>
      </c>
      <c r="E4087">
        <v>7.75</v>
      </c>
      <c r="G4087" s="2">
        <v>41335</v>
      </c>
      <c r="H4087">
        <v>7.8380000000000001</v>
      </c>
      <c r="J4087" s="2">
        <v>41342</v>
      </c>
      <c r="K4087" s="3">
        <f t="shared" si="126"/>
        <v>7.75</v>
      </c>
      <c r="L4087" s="3">
        <f t="shared" si="127"/>
        <v>7.798</v>
      </c>
    </row>
    <row r="4088" spans="1:12" x14ac:dyDescent="0.3">
      <c r="A4088" s="2">
        <v>40605</v>
      </c>
      <c r="B4088" t="s">
        <v>13</v>
      </c>
      <c r="D4088" s="2">
        <v>41336</v>
      </c>
      <c r="E4088">
        <v>7.75</v>
      </c>
      <c r="G4088" s="2">
        <v>41336</v>
      </c>
      <c r="H4088">
        <v>7.8380000000000001</v>
      </c>
      <c r="J4088" s="2">
        <v>41343</v>
      </c>
      <c r="K4088" s="3">
        <f t="shared" si="126"/>
        <v>7.75</v>
      </c>
      <c r="L4088" s="3">
        <f t="shared" si="127"/>
        <v>7.798</v>
      </c>
    </row>
    <row r="4089" spans="1:12" x14ac:dyDescent="0.3">
      <c r="A4089" s="2">
        <v>40606</v>
      </c>
      <c r="B4089" t="s">
        <v>13</v>
      </c>
      <c r="D4089" s="2">
        <v>41337</v>
      </c>
      <c r="E4089">
        <v>7.75</v>
      </c>
      <c r="G4089" s="2">
        <v>41337</v>
      </c>
      <c r="H4089">
        <v>7.8289999999999997</v>
      </c>
      <c r="J4089" s="2">
        <v>41344</v>
      </c>
      <c r="K4089" s="3">
        <f t="shared" si="126"/>
        <v>7.75</v>
      </c>
      <c r="L4089" s="3">
        <f t="shared" si="127"/>
        <v>7.8019999999999996</v>
      </c>
    </row>
    <row r="4090" spans="1:12" x14ac:dyDescent="0.3">
      <c r="A4090" s="2">
        <v>40607</v>
      </c>
      <c r="B4090" t="s">
        <v>13</v>
      </c>
      <c r="D4090" s="2">
        <v>41338</v>
      </c>
      <c r="E4090">
        <v>7.75</v>
      </c>
      <c r="G4090" s="2">
        <v>41338</v>
      </c>
      <c r="H4090">
        <v>7.827</v>
      </c>
      <c r="J4090" s="2">
        <v>41345</v>
      </c>
      <c r="K4090" s="3">
        <f t="shared" si="126"/>
        <v>7.75</v>
      </c>
      <c r="L4090" s="3">
        <f t="shared" si="127"/>
        <v>7.8120000000000003</v>
      </c>
    </row>
    <row r="4091" spans="1:12" x14ac:dyDescent="0.3">
      <c r="A4091" s="2">
        <v>40608</v>
      </c>
      <c r="B4091" t="s">
        <v>13</v>
      </c>
      <c r="D4091" s="2">
        <v>41339</v>
      </c>
      <c r="E4091">
        <v>7.75</v>
      </c>
      <c r="G4091" s="2">
        <v>41339</v>
      </c>
      <c r="H4091">
        <v>7.8310000000000004</v>
      </c>
      <c r="J4091" s="2">
        <v>41346</v>
      </c>
      <c r="K4091" s="3">
        <f t="shared" si="126"/>
        <v>7.75</v>
      </c>
      <c r="L4091" s="3">
        <f t="shared" si="127"/>
        <v>7.8239999999999998</v>
      </c>
    </row>
    <row r="4092" spans="1:12" x14ac:dyDescent="0.3">
      <c r="A4092" s="2">
        <v>40609</v>
      </c>
      <c r="B4092" t="s">
        <v>13</v>
      </c>
      <c r="D4092" s="2">
        <v>41340</v>
      </c>
      <c r="E4092">
        <v>7.75</v>
      </c>
      <c r="G4092" s="2">
        <v>41340</v>
      </c>
      <c r="H4092">
        <v>7.8129999999999997</v>
      </c>
      <c r="J4092" s="2">
        <v>41347</v>
      </c>
      <c r="K4092" s="3">
        <f t="shared" si="126"/>
        <v>7.75</v>
      </c>
      <c r="L4092" s="3">
        <f t="shared" si="127"/>
        <v>7.8029999999999999</v>
      </c>
    </row>
    <row r="4093" spans="1:12" x14ac:dyDescent="0.3">
      <c r="A4093" s="2">
        <v>40610</v>
      </c>
      <c r="B4093" t="s">
        <v>13</v>
      </c>
      <c r="D4093" s="2">
        <v>41341</v>
      </c>
      <c r="E4093">
        <v>7.75</v>
      </c>
      <c r="G4093" s="2">
        <v>41341</v>
      </c>
      <c r="H4093">
        <v>7.798</v>
      </c>
      <c r="J4093" s="2">
        <v>41348</v>
      </c>
      <c r="K4093" s="3">
        <f t="shared" si="126"/>
        <v>7.75</v>
      </c>
      <c r="L4093" s="3">
        <f t="shared" si="127"/>
        <v>7.8040000000000003</v>
      </c>
    </row>
    <row r="4094" spans="1:12" x14ac:dyDescent="0.3">
      <c r="A4094" s="2">
        <v>40611</v>
      </c>
      <c r="B4094" t="s">
        <v>13</v>
      </c>
      <c r="D4094" s="2">
        <v>41342</v>
      </c>
      <c r="E4094">
        <v>7.75</v>
      </c>
      <c r="G4094" s="2">
        <v>41342</v>
      </c>
      <c r="H4094">
        <v>7.798</v>
      </c>
      <c r="J4094" s="2">
        <v>41349</v>
      </c>
      <c r="K4094" s="3">
        <f t="shared" si="126"/>
        <v>7.75</v>
      </c>
      <c r="L4094" s="3">
        <f t="shared" si="127"/>
        <v>7.8040000000000003</v>
      </c>
    </row>
    <row r="4095" spans="1:12" x14ac:dyDescent="0.3">
      <c r="A4095" s="2">
        <v>40612</v>
      </c>
      <c r="B4095" t="s">
        <v>13</v>
      </c>
      <c r="D4095" s="2">
        <v>41343</v>
      </c>
      <c r="E4095">
        <v>7.75</v>
      </c>
      <c r="G4095" s="2">
        <v>41343</v>
      </c>
      <c r="H4095">
        <v>7.798</v>
      </c>
      <c r="J4095" s="2">
        <v>41350</v>
      </c>
      <c r="K4095" s="3">
        <f t="shared" si="126"/>
        <v>7.75</v>
      </c>
      <c r="L4095" s="3">
        <f t="shared" si="127"/>
        <v>7.8040000000000003</v>
      </c>
    </row>
    <row r="4096" spans="1:12" x14ac:dyDescent="0.3">
      <c r="A4096" s="2">
        <v>40613</v>
      </c>
      <c r="B4096" t="s">
        <v>13</v>
      </c>
      <c r="D4096" s="2">
        <v>41344</v>
      </c>
      <c r="E4096">
        <v>7.75</v>
      </c>
      <c r="G4096" s="2">
        <v>41344</v>
      </c>
      <c r="H4096">
        <v>7.8019999999999996</v>
      </c>
      <c r="J4096" s="2">
        <v>41351</v>
      </c>
      <c r="K4096" s="3">
        <f t="shared" si="126"/>
        <v>7.75</v>
      </c>
      <c r="L4096" s="3">
        <f t="shared" si="127"/>
        <v>7.8079999999999998</v>
      </c>
    </row>
    <row r="4097" spans="1:12" x14ac:dyDescent="0.3">
      <c r="A4097" s="2">
        <v>40614</v>
      </c>
      <c r="B4097" t="s">
        <v>13</v>
      </c>
      <c r="D4097" s="2">
        <v>41345</v>
      </c>
      <c r="E4097">
        <v>7.75</v>
      </c>
      <c r="G4097" s="2">
        <v>41345</v>
      </c>
      <c r="H4097">
        <v>7.8120000000000003</v>
      </c>
      <c r="J4097" s="2">
        <v>41352</v>
      </c>
      <c r="K4097" s="3">
        <f t="shared" si="126"/>
        <v>7.5</v>
      </c>
      <c r="L4097" s="3">
        <f t="shared" si="127"/>
        <v>7.8040000000000003</v>
      </c>
    </row>
    <row r="4098" spans="1:12" x14ac:dyDescent="0.3">
      <c r="A4098" s="2">
        <v>40615</v>
      </c>
      <c r="B4098" t="s">
        <v>13</v>
      </c>
      <c r="D4098" s="2">
        <v>41346</v>
      </c>
      <c r="E4098">
        <v>7.75</v>
      </c>
      <c r="G4098" s="2">
        <v>41346</v>
      </c>
      <c r="H4098">
        <v>7.8239999999999998</v>
      </c>
      <c r="J4098" s="2">
        <v>41353</v>
      </c>
      <c r="K4098" s="3">
        <f t="shared" si="126"/>
        <v>7.5</v>
      </c>
      <c r="L4098" s="3">
        <f t="shared" si="127"/>
        <v>7.8</v>
      </c>
    </row>
    <row r="4099" spans="1:12" x14ac:dyDescent="0.3">
      <c r="A4099" s="2">
        <v>40616</v>
      </c>
      <c r="B4099" t="s">
        <v>13</v>
      </c>
      <c r="D4099" s="2">
        <v>41347</v>
      </c>
      <c r="E4099">
        <v>7.75</v>
      </c>
      <c r="G4099" s="2">
        <v>41347</v>
      </c>
      <c r="H4099">
        <v>7.8029999999999999</v>
      </c>
      <c r="J4099" s="2">
        <v>41354</v>
      </c>
      <c r="K4099" s="3">
        <f t="shared" ref="K4099:K4162" si="128">E4106</f>
        <v>7.5</v>
      </c>
      <c r="L4099" s="3">
        <f t="shared" ref="L4099:L4162" si="129">H4106</f>
        <v>7.806</v>
      </c>
    </row>
    <row r="4100" spans="1:12" x14ac:dyDescent="0.3">
      <c r="A4100" s="2">
        <v>40617</v>
      </c>
      <c r="B4100" t="s">
        <v>13</v>
      </c>
      <c r="D4100" s="2">
        <v>41348</v>
      </c>
      <c r="E4100">
        <v>7.75</v>
      </c>
      <c r="G4100" s="2">
        <v>41348</v>
      </c>
      <c r="H4100">
        <v>7.8040000000000003</v>
      </c>
      <c r="J4100" s="2">
        <v>41355</v>
      </c>
      <c r="K4100" s="3">
        <f t="shared" si="128"/>
        <v>7.5</v>
      </c>
      <c r="L4100" s="3">
        <f t="shared" si="129"/>
        <v>7.819</v>
      </c>
    </row>
    <row r="4101" spans="1:12" x14ac:dyDescent="0.3">
      <c r="A4101" s="2">
        <v>40618</v>
      </c>
      <c r="B4101" t="s">
        <v>13</v>
      </c>
      <c r="D4101" s="2">
        <v>41349</v>
      </c>
      <c r="E4101">
        <v>7.75</v>
      </c>
      <c r="G4101" s="2">
        <v>41349</v>
      </c>
      <c r="H4101">
        <v>7.8040000000000003</v>
      </c>
      <c r="J4101" s="2">
        <v>41356</v>
      </c>
      <c r="K4101" s="3">
        <f t="shared" si="128"/>
        <v>7.5</v>
      </c>
      <c r="L4101" s="3">
        <f t="shared" si="129"/>
        <v>7.819</v>
      </c>
    </row>
    <row r="4102" spans="1:12" x14ac:dyDescent="0.3">
      <c r="A4102" s="2">
        <v>40619</v>
      </c>
      <c r="B4102" t="s">
        <v>13</v>
      </c>
      <c r="D4102" s="2">
        <v>41350</v>
      </c>
      <c r="E4102">
        <v>7.75</v>
      </c>
      <c r="G4102" s="2">
        <v>41350</v>
      </c>
      <c r="H4102">
        <v>7.8040000000000003</v>
      </c>
      <c r="J4102" s="2">
        <v>41357</v>
      </c>
      <c r="K4102" s="3">
        <f t="shared" si="128"/>
        <v>7.5</v>
      </c>
      <c r="L4102" s="3">
        <f t="shared" si="129"/>
        <v>7.819</v>
      </c>
    </row>
    <row r="4103" spans="1:12" x14ac:dyDescent="0.3">
      <c r="A4103" s="2">
        <v>40620</v>
      </c>
      <c r="B4103" t="s">
        <v>13</v>
      </c>
      <c r="D4103" s="2">
        <v>41351</v>
      </c>
      <c r="E4103">
        <v>7.75</v>
      </c>
      <c r="G4103" s="2">
        <v>41351</v>
      </c>
      <c r="H4103">
        <v>7.8079999999999998</v>
      </c>
      <c r="J4103" s="2">
        <v>41358</v>
      </c>
      <c r="K4103" s="3">
        <f t="shared" si="128"/>
        <v>7.5</v>
      </c>
      <c r="L4103" s="3">
        <f t="shared" si="129"/>
        <v>7.819</v>
      </c>
    </row>
    <row r="4104" spans="1:12" x14ac:dyDescent="0.3">
      <c r="A4104" s="2">
        <v>40621</v>
      </c>
      <c r="B4104" t="s">
        <v>13</v>
      </c>
      <c r="D4104" s="2">
        <v>41352</v>
      </c>
      <c r="E4104">
        <v>7.5</v>
      </c>
      <c r="G4104" s="2">
        <v>41352</v>
      </c>
      <c r="H4104">
        <v>7.8040000000000003</v>
      </c>
      <c r="J4104" s="2">
        <v>41359</v>
      </c>
      <c r="K4104" s="3">
        <f t="shared" si="128"/>
        <v>7.5</v>
      </c>
      <c r="L4104" s="3">
        <f t="shared" si="129"/>
        <v>7.819</v>
      </c>
    </row>
    <row r="4105" spans="1:12" x14ac:dyDescent="0.3">
      <c r="A4105" s="2">
        <v>40622</v>
      </c>
      <c r="B4105" t="s">
        <v>13</v>
      </c>
      <c r="D4105" s="2">
        <v>41353</v>
      </c>
      <c r="E4105">
        <v>7.5</v>
      </c>
      <c r="G4105" s="2">
        <v>41353</v>
      </c>
      <c r="H4105">
        <v>7.8</v>
      </c>
      <c r="J4105" s="2">
        <v>41360</v>
      </c>
      <c r="K4105" s="3">
        <f t="shared" si="128"/>
        <v>7.5</v>
      </c>
      <c r="L4105" s="3">
        <f t="shared" si="129"/>
        <v>7.819</v>
      </c>
    </row>
    <row r="4106" spans="1:12" x14ac:dyDescent="0.3">
      <c r="A4106" s="2">
        <v>40623</v>
      </c>
      <c r="B4106" t="s">
        <v>13</v>
      </c>
      <c r="D4106" s="2">
        <v>41354</v>
      </c>
      <c r="E4106">
        <v>7.5</v>
      </c>
      <c r="G4106" s="2">
        <v>41354</v>
      </c>
      <c r="H4106">
        <v>7.806</v>
      </c>
      <c r="J4106" s="2">
        <v>41361</v>
      </c>
      <c r="K4106" s="3">
        <f t="shared" si="128"/>
        <v>7.5</v>
      </c>
      <c r="L4106" s="3">
        <f t="shared" si="129"/>
        <v>7.819</v>
      </c>
    </row>
    <row r="4107" spans="1:12" x14ac:dyDescent="0.3">
      <c r="A4107" s="2">
        <v>40624</v>
      </c>
      <c r="B4107" t="s">
        <v>13</v>
      </c>
      <c r="D4107" s="2">
        <v>41355</v>
      </c>
      <c r="E4107">
        <v>7.5</v>
      </c>
      <c r="G4107" s="2">
        <v>41355</v>
      </c>
      <c r="H4107">
        <v>7.819</v>
      </c>
      <c r="J4107" s="2">
        <v>41362</v>
      </c>
      <c r="K4107" s="3">
        <f t="shared" si="128"/>
        <v>7.5</v>
      </c>
      <c r="L4107" s="3">
        <f t="shared" si="129"/>
        <v>7.819</v>
      </c>
    </row>
    <row r="4108" spans="1:12" x14ac:dyDescent="0.3">
      <c r="A4108" s="2">
        <v>40625</v>
      </c>
      <c r="B4108" t="s">
        <v>13</v>
      </c>
      <c r="D4108" s="2">
        <v>41356</v>
      </c>
      <c r="E4108">
        <v>7.5</v>
      </c>
      <c r="G4108" s="2">
        <v>41356</v>
      </c>
      <c r="H4108">
        <v>7.819</v>
      </c>
      <c r="J4108" s="2">
        <v>41363</v>
      </c>
      <c r="K4108" s="3">
        <f t="shared" si="128"/>
        <v>7.5</v>
      </c>
      <c r="L4108" s="3">
        <f t="shared" si="129"/>
        <v>7.819</v>
      </c>
    </row>
    <row r="4109" spans="1:12" x14ac:dyDescent="0.3">
      <c r="A4109" s="2">
        <v>40626</v>
      </c>
      <c r="B4109" t="s">
        <v>13</v>
      </c>
      <c r="D4109" s="2">
        <v>41357</v>
      </c>
      <c r="E4109">
        <v>7.5</v>
      </c>
      <c r="G4109" s="2">
        <v>41357</v>
      </c>
      <c r="H4109">
        <v>7.819</v>
      </c>
      <c r="J4109" s="2">
        <v>41364</v>
      </c>
      <c r="K4109" s="3">
        <f t="shared" si="128"/>
        <v>7.5</v>
      </c>
      <c r="L4109" s="3">
        <f t="shared" si="129"/>
        <v>7.819</v>
      </c>
    </row>
    <row r="4110" spans="1:12" x14ac:dyDescent="0.3">
      <c r="A4110" s="2">
        <v>40627</v>
      </c>
      <c r="B4110" t="s">
        <v>13</v>
      </c>
      <c r="D4110" s="2">
        <v>41358</v>
      </c>
      <c r="E4110">
        <v>7.5</v>
      </c>
      <c r="G4110" s="2">
        <v>41358</v>
      </c>
      <c r="H4110">
        <v>7.819</v>
      </c>
      <c r="J4110" s="2">
        <v>41365</v>
      </c>
      <c r="K4110" s="3">
        <f t="shared" si="128"/>
        <v>7.5</v>
      </c>
      <c r="L4110" s="3">
        <f t="shared" si="129"/>
        <v>7.819</v>
      </c>
    </row>
    <row r="4111" spans="1:12" x14ac:dyDescent="0.3">
      <c r="A4111" s="2">
        <v>40628</v>
      </c>
      <c r="B4111" t="s">
        <v>13</v>
      </c>
      <c r="D4111" s="2">
        <v>41359</v>
      </c>
      <c r="E4111">
        <v>7.5</v>
      </c>
      <c r="G4111" s="2">
        <v>41359</v>
      </c>
      <c r="H4111">
        <v>7.819</v>
      </c>
      <c r="J4111" s="2">
        <v>41366</v>
      </c>
      <c r="K4111" s="3">
        <f t="shared" si="128"/>
        <v>7.5</v>
      </c>
      <c r="L4111" s="3">
        <f t="shared" si="129"/>
        <v>7.819</v>
      </c>
    </row>
    <row r="4112" spans="1:12" x14ac:dyDescent="0.3">
      <c r="A4112" s="2">
        <v>40629</v>
      </c>
      <c r="B4112" t="s">
        <v>13</v>
      </c>
      <c r="D4112" s="2">
        <v>41360</v>
      </c>
      <c r="E4112">
        <v>7.5</v>
      </c>
      <c r="G4112" s="2">
        <v>41360</v>
      </c>
      <c r="H4112">
        <v>7.819</v>
      </c>
      <c r="J4112" s="2">
        <v>41367</v>
      </c>
      <c r="K4112" s="3">
        <f t="shared" si="128"/>
        <v>7.5</v>
      </c>
      <c r="L4112" s="3">
        <f t="shared" si="129"/>
        <v>7.702</v>
      </c>
    </row>
    <row r="4113" spans="1:12" x14ac:dyDescent="0.3">
      <c r="A4113" s="2">
        <v>40630</v>
      </c>
      <c r="B4113" t="s">
        <v>13</v>
      </c>
      <c r="D4113" s="2">
        <v>41361</v>
      </c>
      <c r="E4113">
        <v>7.5</v>
      </c>
      <c r="G4113" s="2">
        <v>41361</v>
      </c>
      <c r="H4113">
        <v>7.819</v>
      </c>
      <c r="J4113" s="2">
        <v>41368</v>
      </c>
      <c r="K4113" s="3">
        <f t="shared" si="128"/>
        <v>7.5</v>
      </c>
      <c r="L4113" s="3">
        <f t="shared" si="129"/>
        <v>7.7080000000000002</v>
      </c>
    </row>
    <row r="4114" spans="1:12" x14ac:dyDescent="0.3">
      <c r="A4114" s="2">
        <v>40631</v>
      </c>
      <c r="B4114" t="s">
        <v>13</v>
      </c>
      <c r="D4114" s="2">
        <v>41362</v>
      </c>
      <c r="E4114">
        <v>7.5</v>
      </c>
      <c r="G4114" s="2">
        <v>41362</v>
      </c>
      <c r="H4114">
        <v>7.819</v>
      </c>
      <c r="J4114" s="2">
        <v>41369</v>
      </c>
      <c r="K4114" s="3">
        <f t="shared" si="128"/>
        <v>7.5</v>
      </c>
      <c r="L4114" s="3">
        <f t="shared" si="129"/>
        <v>7.7450000000000001</v>
      </c>
    </row>
    <row r="4115" spans="1:12" x14ac:dyDescent="0.3">
      <c r="A4115" s="2">
        <v>40632</v>
      </c>
      <c r="B4115" t="s">
        <v>13</v>
      </c>
      <c r="D4115" s="2">
        <v>41363</v>
      </c>
      <c r="E4115">
        <v>7.5</v>
      </c>
      <c r="G4115" s="2">
        <v>41363</v>
      </c>
      <c r="H4115">
        <v>7.819</v>
      </c>
      <c r="J4115" s="2">
        <v>41370</v>
      </c>
      <c r="K4115" s="3">
        <f t="shared" si="128"/>
        <v>7.5</v>
      </c>
      <c r="L4115" s="3">
        <f t="shared" si="129"/>
        <v>7.7450000000000001</v>
      </c>
    </row>
    <row r="4116" spans="1:12" x14ac:dyDescent="0.3">
      <c r="A4116" s="2">
        <v>40633</v>
      </c>
      <c r="B4116" t="s">
        <v>13</v>
      </c>
      <c r="D4116" s="2">
        <v>41364</v>
      </c>
      <c r="E4116">
        <v>7.5</v>
      </c>
      <c r="G4116" s="2">
        <v>41364</v>
      </c>
      <c r="H4116">
        <v>7.819</v>
      </c>
      <c r="J4116" s="2">
        <v>41371</v>
      </c>
      <c r="K4116" s="3">
        <f t="shared" si="128"/>
        <v>7.5</v>
      </c>
      <c r="L4116" s="3">
        <f t="shared" si="129"/>
        <v>7.7450000000000001</v>
      </c>
    </row>
    <row r="4117" spans="1:12" x14ac:dyDescent="0.3">
      <c r="A4117" s="2">
        <v>40634</v>
      </c>
      <c r="B4117" t="s">
        <v>13</v>
      </c>
      <c r="D4117" s="2">
        <v>41365</v>
      </c>
      <c r="E4117">
        <v>7.5</v>
      </c>
      <c r="G4117" s="2">
        <v>41365</v>
      </c>
      <c r="H4117">
        <v>7.819</v>
      </c>
      <c r="J4117" s="2">
        <v>41372</v>
      </c>
      <c r="K4117" s="3">
        <f t="shared" si="128"/>
        <v>7.5</v>
      </c>
      <c r="L4117" s="3">
        <f t="shared" si="129"/>
        <v>7.7489999999999997</v>
      </c>
    </row>
    <row r="4118" spans="1:12" x14ac:dyDescent="0.3">
      <c r="A4118" s="2">
        <v>40635</v>
      </c>
      <c r="B4118" t="s">
        <v>13</v>
      </c>
      <c r="D4118" s="2">
        <v>41366</v>
      </c>
      <c r="E4118">
        <v>7.5</v>
      </c>
      <c r="G4118" s="2">
        <v>41366</v>
      </c>
      <c r="H4118">
        <v>7.819</v>
      </c>
      <c r="J4118" s="2">
        <v>41373</v>
      </c>
      <c r="K4118" s="3">
        <f t="shared" si="128"/>
        <v>7.5</v>
      </c>
      <c r="L4118" s="3">
        <f t="shared" si="129"/>
        <v>7.7069999999999999</v>
      </c>
    </row>
    <row r="4119" spans="1:12" x14ac:dyDescent="0.3">
      <c r="A4119" s="2">
        <v>40636</v>
      </c>
      <c r="B4119" t="s">
        <v>13</v>
      </c>
      <c r="D4119" s="2">
        <v>41367</v>
      </c>
      <c r="E4119">
        <v>7.5</v>
      </c>
      <c r="G4119" s="2">
        <v>41367</v>
      </c>
      <c r="H4119">
        <v>7.702</v>
      </c>
      <c r="J4119" s="2">
        <v>41374</v>
      </c>
      <c r="K4119" s="3">
        <f t="shared" si="128"/>
        <v>7.5</v>
      </c>
      <c r="L4119" s="3">
        <f t="shared" si="129"/>
        <v>7.6989999999999998</v>
      </c>
    </row>
    <row r="4120" spans="1:12" x14ac:dyDescent="0.3">
      <c r="A4120" s="2">
        <v>40637</v>
      </c>
      <c r="B4120" t="s">
        <v>13</v>
      </c>
      <c r="D4120" s="2">
        <v>41368</v>
      </c>
      <c r="E4120">
        <v>7.5</v>
      </c>
      <c r="G4120" s="2">
        <v>41368</v>
      </c>
      <c r="H4120">
        <v>7.7080000000000002</v>
      </c>
      <c r="J4120" s="2">
        <v>41375</v>
      </c>
      <c r="K4120" s="3">
        <f t="shared" si="128"/>
        <v>7.5</v>
      </c>
      <c r="L4120" s="3">
        <f t="shared" si="129"/>
        <v>7.6989999999999998</v>
      </c>
    </row>
    <row r="4121" spans="1:12" x14ac:dyDescent="0.3">
      <c r="A4121" s="2">
        <v>40638</v>
      </c>
      <c r="B4121" t="s">
        <v>13</v>
      </c>
      <c r="D4121" s="2">
        <v>41369</v>
      </c>
      <c r="E4121">
        <v>7.5</v>
      </c>
      <c r="G4121" s="2">
        <v>41369</v>
      </c>
      <c r="H4121">
        <v>7.7450000000000001</v>
      </c>
      <c r="J4121" s="2">
        <v>41376</v>
      </c>
      <c r="K4121" s="3">
        <f t="shared" si="128"/>
        <v>7.5</v>
      </c>
      <c r="L4121" s="3">
        <f t="shared" si="129"/>
        <v>7.6790000000000003</v>
      </c>
    </row>
    <row r="4122" spans="1:12" x14ac:dyDescent="0.3">
      <c r="A4122" s="2">
        <v>40639</v>
      </c>
      <c r="B4122" t="s">
        <v>13</v>
      </c>
      <c r="D4122" s="2">
        <v>41370</v>
      </c>
      <c r="E4122">
        <v>7.5</v>
      </c>
      <c r="G4122" s="2">
        <v>41370</v>
      </c>
      <c r="H4122">
        <v>7.7450000000000001</v>
      </c>
      <c r="J4122" s="2">
        <v>41377</v>
      </c>
      <c r="K4122" s="3">
        <f t="shared" si="128"/>
        <v>7.5</v>
      </c>
      <c r="L4122" s="3">
        <f t="shared" si="129"/>
        <v>7.6790000000000003</v>
      </c>
    </row>
    <row r="4123" spans="1:12" x14ac:dyDescent="0.3">
      <c r="A4123" s="2">
        <v>40640</v>
      </c>
      <c r="B4123" t="s">
        <v>13</v>
      </c>
      <c r="D4123" s="2">
        <v>41371</v>
      </c>
      <c r="E4123">
        <v>7.5</v>
      </c>
      <c r="G4123" s="2">
        <v>41371</v>
      </c>
      <c r="H4123">
        <v>7.7450000000000001</v>
      </c>
      <c r="J4123" s="2">
        <v>41378</v>
      </c>
      <c r="K4123" s="3">
        <f t="shared" si="128"/>
        <v>7.5</v>
      </c>
      <c r="L4123" s="3">
        <f t="shared" si="129"/>
        <v>7.6790000000000003</v>
      </c>
    </row>
    <row r="4124" spans="1:12" x14ac:dyDescent="0.3">
      <c r="A4124" s="2">
        <v>40641</v>
      </c>
      <c r="B4124" t="s">
        <v>13</v>
      </c>
      <c r="D4124" s="2">
        <v>41372</v>
      </c>
      <c r="E4124">
        <v>7.5</v>
      </c>
      <c r="G4124" s="2">
        <v>41372</v>
      </c>
      <c r="H4124">
        <v>7.7489999999999997</v>
      </c>
      <c r="J4124" s="2">
        <v>41379</v>
      </c>
      <c r="K4124" s="3">
        <f t="shared" si="128"/>
        <v>7.5</v>
      </c>
      <c r="L4124" s="3">
        <f t="shared" si="129"/>
        <v>7.6529999999999996</v>
      </c>
    </row>
    <row r="4125" spans="1:12" x14ac:dyDescent="0.3">
      <c r="A4125" s="2">
        <v>40642</v>
      </c>
      <c r="B4125" t="s">
        <v>13</v>
      </c>
      <c r="D4125" s="2">
        <v>41373</v>
      </c>
      <c r="E4125">
        <v>7.5</v>
      </c>
      <c r="G4125" s="2">
        <v>41373</v>
      </c>
      <c r="H4125">
        <v>7.7069999999999999</v>
      </c>
      <c r="J4125" s="2">
        <v>41380</v>
      </c>
      <c r="K4125" s="3">
        <f t="shared" si="128"/>
        <v>7.5</v>
      </c>
      <c r="L4125" s="3">
        <f t="shared" si="129"/>
        <v>7.633</v>
      </c>
    </row>
    <row r="4126" spans="1:12" x14ac:dyDescent="0.3">
      <c r="A4126" s="2">
        <v>40643</v>
      </c>
      <c r="B4126" t="s">
        <v>13</v>
      </c>
      <c r="D4126" s="2">
        <v>41374</v>
      </c>
      <c r="E4126">
        <v>7.5</v>
      </c>
      <c r="G4126" s="2">
        <v>41374</v>
      </c>
      <c r="H4126">
        <v>7.6989999999999998</v>
      </c>
      <c r="J4126" s="2">
        <v>41381</v>
      </c>
      <c r="K4126" s="3">
        <f t="shared" si="128"/>
        <v>7.5</v>
      </c>
      <c r="L4126" s="3">
        <f t="shared" si="129"/>
        <v>7.59</v>
      </c>
    </row>
    <row r="4127" spans="1:12" x14ac:dyDescent="0.3">
      <c r="A4127" s="2">
        <v>40644</v>
      </c>
      <c r="B4127" t="s">
        <v>13</v>
      </c>
      <c r="D4127" s="2">
        <v>41375</v>
      </c>
      <c r="E4127">
        <v>7.5</v>
      </c>
      <c r="G4127" s="2">
        <v>41375</v>
      </c>
      <c r="H4127">
        <v>7.6989999999999998</v>
      </c>
      <c r="J4127" s="2">
        <v>41382</v>
      </c>
      <c r="K4127" s="3">
        <f t="shared" si="128"/>
        <v>7.5</v>
      </c>
      <c r="L4127" s="3">
        <f t="shared" si="129"/>
        <v>7.5940000000000003</v>
      </c>
    </row>
    <row r="4128" spans="1:12" x14ac:dyDescent="0.3">
      <c r="A4128" s="2">
        <v>40645</v>
      </c>
      <c r="B4128" t="s">
        <v>13</v>
      </c>
      <c r="D4128" s="2">
        <v>41376</v>
      </c>
      <c r="E4128">
        <v>7.5</v>
      </c>
      <c r="G4128" s="2">
        <v>41376</v>
      </c>
      <c r="H4128">
        <v>7.6790000000000003</v>
      </c>
      <c r="J4128" s="2">
        <v>41383</v>
      </c>
      <c r="K4128" s="3">
        <f t="shared" si="128"/>
        <v>7.5</v>
      </c>
      <c r="L4128" s="3">
        <f t="shared" si="129"/>
        <v>7.5940000000000003</v>
      </c>
    </row>
    <row r="4129" spans="1:12" x14ac:dyDescent="0.3">
      <c r="A4129" s="2">
        <v>40646</v>
      </c>
      <c r="B4129" t="s">
        <v>13</v>
      </c>
      <c r="D4129" s="2">
        <v>41377</v>
      </c>
      <c r="E4129">
        <v>7.5</v>
      </c>
      <c r="G4129" s="2">
        <v>41377</v>
      </c>
      <c r="H4129">
        <v>7.6790000000000003</v>
      </c>
      <c r="J4129" s="2">
        <v>41384</v>
      </c>
      <c r="K4129" s="3">
        <f t="shared" si="128"/>
        <v>7.5</v>
      </c>
      <c r="L4129" s="3">
        <f t="shared" si="129"/>
        <v>7.5940000000000003</v>
      </c>
    </row>
    <row r="4130" spans="1:12" x14ac:dyDescent="0.3">
      <c r="A4130" s="2">
        <v>40647</v>
      </c>
      <c r="B4130" t="s">
        <v>13</v>
      </c>
      <c r="D4130" s="2">
        <v>41378</v>
      </c>
      <c r="E4130">
        <v>7.5</v>
      </c>
      <c r="G4130" s="2">
        <v>41378</v>
      </c>
      <c r="H4130">
        <v>7.6790000000000003</v>
      </c>
      <c r="J4130" s="2">
        <v>41385</v>
      </c>
      <c r="K4130" s="3">
        <f t="shared" si="128"/>
        <v>7.5</v>
      </c>
      <c r="L4130" s="3">
        <f t="shared" si="129"/>
        <v>7.5940000000000003</v>
      </c>
    </row>
    <row r="4131" spans="1:12" x14ac:dyDescent="0.3">
      <c r="A4131" s="2">
        <v>40648</v>
      </c>
      <c r="B4131" t="s">
        <v>13</v>
      </c>
      <c r="D4131" s="2">
        <v>41379</v>
      </c>
      <c r="E4131">
        <v>7.5</v>
      </c>
      <c r="G4131" s="2">
        <v>41379</v>
      </c>
      <c r="H4131">
        <v>7.6529999999999996</v>
      </c>
      <c r="J4131" s="2">
        <v>41386</v>
      </c>
      <c r="K4131" s="3">
        <f t="shared" si="128"/>
        <v>7.5</v>
      </c>
      <c r="L4131" s="3">
        <f t="shared" si="129"/>
        <v>7.5609999999999999</v>
      </c>
    </row>
    <row r="4132" spans="1:12" x14ac:dyDescent="0.3">
      <c r="A4132" s="2">
        <v>40649</v>
      </c>
      <c r="B4132" t="s">
        <v>13</v>
      </c>
      <c r="D4132" s="2">
        <v>41380</v>
      </c>
      <c r="E4132">
        <v>7.5</v>
      </c>
      <c r="G4132" s="2">
        <v>41380</v>
      </c>
      <c r="H4132">
        <v>7.633</v>
      </c>
      <c r="J4132" s="2">
        <v>41387</v>
      </c>
      <c r="K4132" s="3">
        <f t="shared" si="128"/>
        <v>7.5</v>
      </c>
      <c r="L4132" s="3">
        <f t="shared" si="129"/>
        <v>7.5720000000000001</v>
      </c>
    </row>
    <row r="4133" spans="1:12" x14ac:dyDescent="0.3">
      <c r="A4133" s="2">
        <v>40650</v>
      </c>
      <c r="B4133" t="s">
        <v>13</v>
      </c>
      <c r="D4133" s="2">
        <v>41381</v>
      </c>
      <c r="E4133">
        <v>7.5</v>
      </c>
      <c r="G4133" s="2">
        <v>41381</v>
      </c>
      <c r="H4133">
        <v>7.59</v>
      </c>
      <c r="J4133" s="2">
        <v>41388</v>
      </c>
      <c r="K4133" s="3">
        <f t="shared" si="128"/>
        <v>7.5</v>
      </c>
      <c r="L4133" s="3">
        <f t="shared" si="129"/>
        <v>7.5720000000000001</v>
      </c>
    </row>
    <row r="4134" spans="1:12" x14ac:dyDescent="0.3">
      <c r="A4134" s="2">
        <v>40651</v>
      </c>
      <c r="B4134" t="s">
        <v>13</v>
      </c>
      <c r="D4134" s="2">
        <v>41382</v>
      </c>
      <c r="E4134">
        <v>7.5</v>
      </c>
      <c r="G4134" s="2">
        <v>41382</v>
      </c>
      <c r="H4134">
        <v>7.5940000000000003</v>
      </c>
      <c r="J4134" s="2">
        <v>41389</v>
      </c>
      <c r="K4134" s="3">
        <f t="shared" si="128"/>
        <v>7.5</v>
      </c>
      <c r="L4134" s="3">
        <f t="shared" si="129"/>
        <v>7.5030000000000001</v>
      </c>
    </row>
    <row r="4135" spans="1:12" x14ac:dyDescent="0.3">
      <c r="A4135" s="2">
        <v>40652</v>
      </c>
      <c r="B4135" t="s">
        <v>13</v>
      </c>
      <c r="D4135" s="2">
        <v>41383</v>
      </c>
      <c r="E4135">
        <v>7.5</v>
      </c>
      <c r="G4135" s="2">
        <v>41383</v>
      </c>
      <c r="H4135">
        <v>7.5940000000000003</v>
      </c>
      <c r="J4135" s="2">
        <v>41390</v>
      </c>
      <c r="K4135" s="3">
        <f t="shared" si="128"/>
        <v>7.5</v>
      </c>
      <c r="L4135" s="3">
        <f t="shared" si="129"/>
        <v>7.5170000000000003</v>
      </c>
    </row>
    <row r="4136" spans="1:12" x14ac:dyDescent="0.3">
      <c r="A4136" s="2">
        <v>40653</v>
      </c>
      <c r="B4136" t="s">
        <v>13</v>
      </c>
      <c r="D4136" s="2">
        <v>41384</v>
      </c>
      <c r="E4136">
        <v>7.5</v>
      </c>
      <c r="G4136" s="2">
        <v>41384</v>
      </c>
      <c r="H4136">
        <v>7.5940000000000003</v>
      </c>
      <c r="J4136" s="2">
        <v>41391</v>
      </c>
      <c r="K4136" s="3">
        <f t="shared" si="128"/>
        <v>7.5</v>
      </c>
      <c r="L4136" s="3">
        <f t="shared" si="129"/>
        <v>7.5170000000000003</v>
      </c>
    </row>
    <row r="4137" spans="1:12" x14ac:dyDescent="0.3">
      <c r="A4137" s="2">
        <v>40654</v>
      </c>
      <c r="B4137" t="s">
        <v>13</v>
      </c>
      <c r="D4137" s="2">
        <v>41385</v>
      </c>
      <c r="E4137">
        <v>7.5</v>
      </c>
      <c r="G4137" s="2">
        <v>41385</v>
      </c>
      <c r="H4137">
        <v>7.5940000000000003</v>
      </c>
      <c r="J4137" s="2">
        <v>41392</v>
      </c>
      <c r="K4137" s="3">
        <f t="shared" si="128"/>
        <v>7.5</v>
      </c>
      <c r="L4137" s="3">
        <f t="shared" si="129"/>
        <v>7.5170000000000003</v>
      </c>
    </row>
    <row r="4138" spans="1:12" x14ac:dyDescent="0.3">
      <c r="A4138" s="2">
        <v>40655</v>
      </c>
      <c r="B4138" t="s">
        <v>13</v>
      </c>
      <c r="D4138" s="2">
        <v>41386</v>
      </c>
      <c r="E4138">
        <v>7.5</v>
      </c>
      <c r="G4138" s="2">
        <v>41386</v>
      </c>
      <c r="H4138">
        <v>7.5609999999999999</v>
      </c>
      <c r="J4138" s="2">
        <v>41393</v>
      </c>
      <c r="K4138" s="3">
        <f t="shared" si="128"/>
        <v>7.5</v>
      </c>
      <c r="L4138" s="3">
        <f t="shared" si="129"/>
        <v>7.5209999999999999</v>
      </c>
    </row>
    <row r="4139" spans="1:12" x14ac:dyDescent="0.3">
      <c r="A4139" s="2">
        <v>40656</v>
      </c>
      <c r="B4139" t="s">
        <v>13</v>
      </c>
      <c r="D4139" s="2">
        <v>41387</v>
      </c>
      <c r="E4139">
        <v>7.5</v>
      </c>
      <c r="G4139" s="2">
        <v>41387</v>
      </c>
      <c r="H4139">
        <v>7.5720000000000001</v>
      </c>
      <c r="J4139" s="2">
        <v>41394</v>
      </c>
      <c r="K4139" s="3">
        <f t="shared" si="128"/>
        <v>7.5</v>
      </c>
      <c r="L4139" s="3">
        <f t="shared" si="129"/>
        <v>7.4870000000000001</v>
      </c>
    </row>
    <row r="4140" spans="1:12" x14ac:dyDescent="0.3">
      <c r="A4140" s="2">
        <v>40657</v>
      </c>
      <c r="B4140" t="s">
        <v>13</v>
      </c>
      <c r="D4140" s="2">
        <v>41388</v>
      </c>
      <c r="E4140">
        <v>7.5</v>
      </c>
      <c r="G4140" s="2">
        <v>41388</v>
      </c>
      <c r="H4140">
        <v>7.5720000000000001</v>
      </c>
      <c r="J4140" s="2">
        <v>41395</v>
      </c>
      <c r="K4140" s="3">
        <f t="shared" si="128"/>
        <v>7.5</v>
      </c>
      <c r="L4140" s="3">
        <f t="shared" si="129"/>
        <v>7.4870000000000001</v>
      </c>
    </row>
    <row r="4141" spans="1:12" x14ac:dyDescent="0.3">
      <c r="A4141" s="2">
        <v>40658</v>
      </c>
      <c r="B4141" t="s">
        <v>13</v>
      </c>
      <c r="D4141" s="2">
        <v>41389</v>
      </c>
      <c r="E4141">
        <v>7.5</v>
      </c>
      <c r="G4141" s="2">
        <v>41389</v>
      </c>
      <c r="H4141">
        <v>7.5030000000000001</v>
      </c>
      <c r="J4141" s="2">
        <v>41396</v>
      </c>
      <c r="K4141" s="3">
        <f t="shared" si="128"/>
        <v>7.5</v>
      </c>
      <c r="L4141" s="3">
        <f t="shared" si="129"/>
        <v>7.4870000000000001</v>
      </c>
    </row>
    <row r="4142" spans="1:12" x14ac:dyDescent="0.3">
      <c r="A4142" s="2">
        <v>40659</v>
      </c>
      <c r="B4142" t="s">
        <v>13</v>
      </c>
      <c r="D4142" s="2">
        <v>41390</v>
      </c>
      <c r="E4142">
        <v>7.5</v>
      </c>
      <c r="G4142" s="2">
        <v>41390</v>
      </c>
      <c r="H4142">
        <v>7.5170000000000003</v>
      </c>
      <c r="J4142" s="2">
        <v>41397</v>
      </c>
      <c r="K4142" s="3">
        <f t="shared" si="128"/>
        <v>7.25</v>
      </c>
      <c r="L4142" s="3">
        <f t="shared" si="129"/>
        <v>7.4939999999999998</v>
      </c>
    </row>
    <row r="4143" spans="1:12" x14ac:dyDescent="0.3">
      <c r="A4143" s="2">
        <v>40660</v>
      </c>
      <c r="B4143" t="s">
        <v>13</v>
      </c>
      <c r="D4143" s="2">
        <v>41391</v>
      </c>
      <c r="E4143">
        <v>7.5</v>
      </c>
      <c r="G4143" s="2">
        <v>41391</v>
      </c>
      <c r="H4143">
        <v>7.5170000000000003</v>
      </c>
      <c r="J4143" s="2">
        <v>41398</v>
      </c>
      <c r="K4143" s="3">
        <f t="shared" si="128"/>
        <v>7.25</v>
      </c>
      <c r="L4143" s="3">
        <f t="shared" si="129"/>
        <v>7.4939999999999998</v>
      </c>
    </row>
    <row r="4144" spans="1:12" x14ac:dyDescent="0.3">
      <c r="A4144" s="2">
        <v>40661</v>
      </c>
      <c r="B4144" t="s">
        <v>13</v>
      </c>
      <c r="D4144" s="2">
        <v>41392</v>
      </c>
      <c r="E4144">
        <v>7.5</v>
      </c>
      <c r="G4144" s="2">
        <v>41392</v>
      </c>
      <c r="H4144">
        <v>7.5170000000000003</v>
      </c>
      <c r="J4144" s="2">
        <v>41399</v>
      </c>
      <c r="K4144" s="3">
        <f t="shared" si="128"/>
        <v>7.25</v>
      </c>
      <c r="L4144" s="3">
        <f t="shared" si="129"/>
        <v>7.4939999999999998</v>
      </c>
    </row>
    <row r="4145" spans="1:12" x14ac:dyDescent="0.3">
      <c r="A4145" s="2">
        <v>40662</v>
      </c>
      <c r="B4145" t="s">
        <v>13</v>
      </c>
      <c r="D4145" s="2">
        <v>41393</v>
      </c>
      <c r="E4145">
        <v>7.5</v>
      </c>
      <c r="G4145" s="2">
        <v>41393</v>
      </c>
      <c r="H4145">
        <v>7.5209999999999999</v>
      </c>
      <c r="J4145" s="2">
        <v>41400</v>
      </c>
      <c r="K4145" s="3">
        <f t="shared" si="128"/>
        <v>7.25</v>
      </c>
      <c r="L4145" s="3">
        <f t="shared" si="129"/>
        <v>7.4980000000000002</v>
      </c>
    </row>
    <row r="4146" spans="1:12" x14ac:dyDescent="0.3">
      <c r="A4146" s="2">
        <v>40663</v>
      </c>
      <c r="B4146" t="s">
        <v>13</v>
      </c>
      <c r="D4146" s="2">
        <v>41394</v>
      </c>
      <c r="E4146">
        <v>7.5</v>
      </c>
      <c r="G4146" s="2">
        <v>41394</v>
      </c>
      <c r="H4146">
        <v>7.4870000000000001</v>
      </c>
      <c r="J4146" s="2">
        <v>41401</v>
      </c>
      <c r="K4146" s="3">
        <f t="shared" si="128"/>
        <v>7.25</v>
      </c>
      <c r="L4146" s="3">
        <f t="shared" si="129"/>
        <v>7.4909999999999997</v>
      </c>
    </row>
    <row r="4147" spans="1:12" x14ac:dyDescent="0.3">
      <c r="A4147" s="2">
        <v>40664</v>
      </c>
      <c r="B4147" t="s">
        <v>13</v>
      </c>
      <c r="D4147" s="2">
        <v>41395</v>
      </c>
      <c r="E4147">
        <v>7.5</v>
      </c>
      <c r="G4147" s="2">
        <v>41395</v>
      </c>
      <c r="H4147">
        <v>7.4870000000000001</v>
      </c>
      <c r="J4147" s="2">
        <v>41402</v>
      </c>
      <c r="K4147" s="3">
        <f t="shared" si="128"/>
        <v>7.25</v>
      </c>
      <c r="L4147" s="3">
        <f t="shared" si="129"/>
        <v>7.4950000000000001</v>
      </c>
    </row>
    <row r="4148" spans="1:12" x14ac:dyDescent="0.3">
      <c r="A4148" s="2">
        <v>40665</v>
      </c>
      <c r="B4148" t="s">
        <v>13</v>
      </c>
      <c r="D4148" s="2">
        <v>41396</v>
      </c>
      <c r="E4148">
        <v>7.5</v>
      </c>
      <c r="G4148" s="2">
        <v>41396</v>
      </c>
      <c r="H4148">
        <v>7.4870000000000001</v>
      </c>
      <c r="J4148" s="2">
        <v>41403</v>
      </c>
      <c r="K4148" s="3">
        <f t="shared" si="128"/>
        <v>7.25</v>
      </c>
      <c r="L4148" s="3">
        <f t="shared" si="129"/>
        <v>7.3179999999999996</v>
      </c>
    </row>
    <row r="4149" spans="1:12" x14ac:dyDescent="0.3">
      <c r="A4149" s="2">
        <v>40666</v>
      </c>
      <c r="B4149" t="s">
        <v>13</v>
      </c>
      <c r="D4149" s="2">
        <v>41397</v>
      </c>
      <c r="E4149">
        <v>7.25</v>
      </c>
      <c r="G4149" s="2">
        <v>41397</v>
      </c>
      <c r="H4149">
        <v>7.4939999999999998</v>
      </c>
      <c r="J4149" s="2">
        <v>41404</v>
      </c>
      <c r="K4149" s="3">
        <f t="shared" si="128"/>
        <v>7.25</v>
      </c>
      <c r="L4149" s="3">
        <f t="shared" si="129"/>
        <v>7.4139999999999997</v>
      </c>
    </row>
    <row r="4150" spans="1:12" x14ac:dyDescent="0.3">
      <c r="A4150" s="2">
        <v>40667</v>
      </c>
      <c r="B4150" t="s">
        <v>13</v>
      </c>
      <c r="D4150" s="2">
        <v>41398</v>
      </c>
      <c r="E4150">
        <v>7.25</v>
      </c>
      <c r="G4150" s="2">
        <v>41398</v>
      </c>
      <c r="H4150">
        <v>7.4939999999999998</v>
      </c>
      <c r="J4150" s="2">
        <v>41405</v>
      </c>
      <c r="K4150" s="3">
        <f t="shared" si="128"/>
        <v>7.25</v>
      </c>
      <c r="L4150" s="3">
        <f t="shared" si="129"/>
        <v>7.4139999999999997</v>
      </c>
    </row>
    <row r="4151" spans="1:12" x14ac:dyDescent="0.3">
      <c r="A4151" s="2">
        <v>40668</v>
      </c>
      <c r="B4151" t="s">
        <v>13</v>
      </c>
      <c r="D4151" s="2">
        <v>41399</v>
      </c>
      <c r="E4151">
        <v>7.25</v>
      </c>
      <c r="G4151" s="2">
        <v>41399</v>
      </c>
      <c r="H4151">
        <v>7.4939999999999998</v>
      </c>
      <c r="J4151" s="2">
        <v>41406</v>
      </c>
      <c r="K4151" s="3">
        <f t="shared" si="128"/>
        <v>7.25</v>
      </c>
      <c r="L4151" s="3">
        <f t="shared" si="129"/>
        <v>7.4139999999999997</v>
      </c>
    </row>
    <row r="4152" spans="1:12" x14ac:dyDescent="0.3">
      <c r="A4152" s="2">
        <v>40669</v>
      </c>
      <c r="B4152" t="s">
        <v>13</v>
      </c>
      <c r="D4152" s="2">
        <v>41400</v>
      </c>
      <c r="E4152">
        <v>7.25</v>
      </c>
      <c r="G4152" s="2">
        <v>41400</v>
      </c>
      <c r="H4152">
        <v>7.4980000000000002</v>
      </c>
      <c r="J4152" s="2">
        <v>41407</v>
      </c>
      <c r="K4152" s="3">
        <f t="shared" si="128"/>
        <v>7.25</v>
      </c>
      <c r="L4152" s="3">
        <f t="shared" si="129"/>
        <v>7.4180000000000001</v>
      </c>
    </row>
    <row r="4153" spans="1:12" x14ac:dyDescent="0.3">
      <c r="A4153" s="2">
        <v>40670</v>
      </c>
      <c r="B4153" t="s">
        <v>13</v>
      </c>
      <c r="D4153" s="2">
        <v>41401</v>
      </c>
      <c r="E4153">
        <v>7.25</v>
      </c>
      <c r="G4153" s="2">
        <v>41401</v>
      </c>
      <c r="H4153">
        <v>7.4909999999999997</v>
      </c>
      <c r="J4153" s="2">
        <v>41408</v>
      </c>
      <c r="K4153" s="3">
        <f t="shared" si="128"/>
        <v>7.25</v>
      </c>
      <c r="L4153" s="3">
        <f t="shared" si="129"/>
        <v>7.3949999999999996</v>
      </c>
    </row>
    <row r="4154" spans="1:12" x14ac:dyDescent="0.3">
      <c r="A4154" s="2">
        <v>40671</v>
      </c>
      <c r="B4154" t="s">
        <v>13</v>
      </c>
      <c r="D4154" s="2">
        <v>41402</v>
      </c>
      <c r="E4154">
        <v>7.25</v>
      </c>
      <c r="G4154" s="2">
        <v>41402</v>
      </c>
      <c r="H4154">
        <v>7.4950000000000001</v>
      </c>
      <c r="J4154" s="2">
        <v>41409</v>
      </c>
      <c r="K4154" s="3">
        <f t="shared" si="128"/>
        <v>7.25</v>
      </c>
      <c r="L4154" s="3">
        <f t="shared" si="129"/>
        <v>7.234</v>
      </c>
    </row>
    <row r="4155" spans="1:12" x14ac:dyDescent="0.3">
      <c r="A4155" s="2">
        <v>40672</v>
      </c>
      <c r="B4155" t="s">
        <v>13</v>
      </c>
      <c r="D4155" s="2">
        <v>41403</v>
      </c>
      <c r="E4155">
        <v>7.25</v>
      </c>
      <c r="G4155" s="2">
        <v>41403</v>
      </c>
      <c r="H4155">
        <v>7.3179999999999996</v>
      </c>
      <c r="J4155" s="2">
        <v>41410</v>
      </c>
      <c r="K4155" s="3">
        <f t="shared" si="128"/>
        <v>7.25</v>
      </c>
      <c r="L4155" s="3">
        <f t="shared" si="129"/>
        <v>7.2670000000000003</v>
      </c>
    </row>
    <row r="4156" spans="1:12" x14ac:dyDescent="0.3">
      <c r="A4156" s="2">
        <v>40673</v>
      </c>
      <c r="B4156" t="s">
        <v>13</v>
      </c>
      <c r="D4156" s="2">
        <v>41404</v>
      </c>
      <c r="E4156">
        <v>7.25</v>
      </c>
      <c r="G4156" s="2">
        <v>41404</v>
      </c>
      <c r="H4156">
        <v>7.4139999999999997</v>
      </c>
      <c r="J4156" s="2">
        <v>41411</v>
      </c>
      <c r="K4156" s="3">
        <f t="shared" si="128"/>
        <v>7.25</v>
      </c>
      <c r="L4156" s="3">
        <f t="shared" si="129"/>
        <v>7.2759999999999998</v>
      </c>
    </row>
    <row r="4157" spans="1:12" x14ac:dyDescent="0.3">
      <c r="A4157" s="2">
        <v>40674</v>
      </c>
      <c r="B4157" t="s">
        <v>13</v>
      </c>
      <c r="D4157" s="2">
        <v>41405</v>
      </c>
      <c r="E4157">
        <v>7.25</v>
      </c>
      <c r="G4157" s="2">
        <v>41405</v>
      </c>
      <c r="H4157">
        <v>7.4139999999999997</v>
      </c>
      <c r="J4157" s="2">
        <v>41412</v>
      </c>
      <c r="K4157" s="3">
        <f t="shared" si="128"/>
        <v>7.25</v>
      </c>
      <c r="L4157" s="3">
        <f t="shared" si="129"/>
        <v>7.2759999999999998</v>
      </c>
    </row>
    <row r="4158" spans="1:12" x14ac:dyDescent="0.3">
      <c r="A4158" s="2">
        <v>40675</v>
      </c>
      <c r="B4158" t="s">
        <v>13</v>
      </c>
      <c r="D4158" s="2">
        <v>41406</v>
      </c>
      <c r="E4158">
        <v>7.25</v>
      </c>
      <c r="G4158" s="2">
        <v>41406</v>
      </c>
      <c r="H4158">
        <v>7.4139999999999997</v>
      </c>
      <c r="J4158" s="2">
        <v>41413</v>
      </c>
      <c r="K4158" s="3">
        <f t="shared" si="128"/>
        <v>7.25</v>
      </c>
      <c r="L4158" s="3">
        <f t="shared" si="129"/>
        <v>7.2759999999999998</v>
      </c>
    </row>
    <row r="4159" spans="1:12" x14ac:dyDescent="0.3">
      <c r="A4159" s="2">
        <v>40676</v>
      </c>
      <c r="B4159" t="s">
        <v>13</v>
      </c>
      <c r="D4159" s="2">
        <v>41407</v>
      </c>
      <c r="E4159">
        <v>7.25</v>
      </c>
      <c r="G4159" s="2">
        <v>41407</v>
      </c>
      <c r="H4159">
        <v>7.4180000000000001</v>
      </c>
      <c r="J4159" s="2">
        <v>41414</v>
      </c>
      <c r="K4159" s="3">
        <f t="shared" si="128"/>
        <v>7.25</v>
      </c>
      <c r="L4159" s="3">
        <f t="shared" si="129"/>
        <v>7.2759999999999998</v>
      </c>
    </row>
    <row r="4160" spans="1:12" x14ac:dyDescent="0.3">
      <c r="A4160" s="2">
        <v>40677</v>
      </c>
      <c r="B4160" t="s">
        <v>13</v>
      </c>
      <c r="D4160" s="2">
        <v>41408</v>
      </c>
      <c r="E4160">
        <v>7.25</v>
      </c>
      <c r="G4160" s="2">
        <v>41408</v>
      </c>
      <c r="H4160">
        <v>7.3949999999999996</v>
      </c>
      <c r="J4160" s="2">
        <v>41415</v>
      </c>
      <c r="K4160" s="3">
        <f t="shared" si="128"/>
        <v>7.25</v>
      </c>
      <c r="L4160" s="3">
        <f t="shared" si="129"/>
        <v>7.258</v>
      </c>
    </row>
    <row r="4161" spans="1:12" x14ac:dyDescent="0.3">
      <c r="A4161" s="2">
        <v>40678</v>
      </c>
      <c r="B4161" t="s">
        <v>13</v>
      </c>
      <c r="D4161" s="2">
        <v>41409</v>
      </c>
      <c r="E4161">
        <v>7.25</v>
      </c>
      <c r="G4161" s="2">
        <v>41409</v>
      </c>
      <c r="H4161">
        <v>7.234</v>
      </c>
      <c r="J4161" s="2">
        <v>41416</v>
      </c>
      <c r="K4161" s="3">
        <f t="shared" si="128"/>
        <v>7.25</v>
      </c>
      <c r="L4161" s="3">
        <f t="shared" si="129"/>
        <v>7.2759999999999998</v>
      </c>
    </row>
    <row r="4162" spans="1:12" x14ac:dyDescent="0.3">
      <c r="A4162" s="2">
        <v>40679</v>
      </c>
      <c r="B4162" t="s">
        <v>13</v>
      </c>
      <c r="D4162" s="2">
        <v>41410</v>
      </c>
      <c r="E4162">
        <v>7.25</v>
      </c>
      <c r="G4162" s="2">
        <v>41410</v>
      </c>
      <c r="H4162">
        <v>7.2670000000000003</v>
      </c>
      <c r="J4162" s="2">
        <v>41417</v>
      </c>
      <c r="K4162" s="3">
        <f t="shared" si="128"/>
        <v>7.25</v>
      </c>
      <c r="L4162" s="3">
        <f t="shared" si="129"/>
        <v>7.2679999999999998</v>
      </c>
    </row>
    <row r="4163" spans="1:12" x14ac:dyDescent="0.3">
      <c r="A4163" s="2">
        <v>40680</v>
      </c>
      <c r="B4163" t="s">
        <v>13</v>
      </c>
      <c r="D4163" s="2">
        <v>41411</v>
      </c>
      <c r="E4163">
        <v>7.25</v>
      </c>
      <c r="G4163" s="2">
        <v>41411</v>
      </c>
      <c r="H4163">
        <v>7.2759999999999998</v>
      </c>
      <c r="J4163" s="2">
        <v>41418</v>
      </c>
      <c r="K4163" s="3">
        <f t="shared" ref="K4163:K4226" si="130">E4170</f>
        <v>7.25</v>
      </c>
      <c r="L4163" s="3">
        <f t="shared" ref="L4163:L4226" si="131">H4170</f>
        <v>7.2640000000000002</v>
      </c>
    </row>
    <row r="4164" spans="1:12" x14ac:dyDescent="0.3">
      <c r="A4164" s="2">
        <v>40681</v>
      </c>
      <c r="B4164" t="s">
        <v>13</v>
      </c>
      <c r="D4164" s="2">
        <v>41412</v>
      </c>
      <c r="E4164">
        <v>7.25</v>
      </c>
      <c r="G4164" s="2">
        <v>41412</v>
      </c>
      <c r="H4164">
        <v>7.2759999999999998</v>
      </c>
      <c r="J4164" s="2">
        <v>41419</v>
      </c>
      <c r="K4164" s="3">
        <f t="shared" si="130"/>
        <v>7.25</v>
      </c>
      <c r="L4164" s="3">
        <f t="shared" si="131"/>
        <v>7.2640000000000002</v>
      </c>
    </row>
    <row r="4165" spans="1:12" x14ac:dyDescent="0.3">
      <c r="A4165" s="2">
        <v>40682</v>
      </c>
      <c r="B4165" t="s">
        <v>13</v>
      </c>
      <c r="D4165" s="2">
        <v>41413</v>
      </c>
      <c r="E4165">
        <v>7.25</v>
      </c>
      <c r="G4165" s="2">
        <v>41413</v>
      </c>
      <c r="H4165">
        <v>7.2759999999999998</v>
      </c>
      <c r="J4165" s="2">
        <v>41420</v>
      </c>
      <c r="K4165" s="3">
        <f t="shared" si="130"/>
        <v>7.25</v>
      </c>
      <c r="L4165" s="3">
        <f t="shared" si="131"/>
        <v>7.2640000000000002</v>
      </c>
    </row>
    <row r="4166" spans="1:12" x14ac:dyDescent="0.3">
      <c r="A4166" s="2">
        <v>40683</v>
      </c>
      <c r="B4166" t="s">
        <v>13</v>
      </c>
      <c r="D4166" s="2">
        <v>41414</v>
      </c>
      <c r="E4166">
        <v>7.25</v>
      </c>
      <c r="G4166" s="2">
        <v>41414</v>
      </c>
      <c r="H4166">
        <v>7.2759999999999998</v>
      </c>
      <c r="J4166" s="2">
        <v>41421</v>
      </c>
      <c r="K4166" s="3">
        <f t="shared" si="130"/>
        <v>7.25</v>
      </c>
      <c r="L4166" s="3">
        <f t="shared" si="131"/>
        <v>7.2670000000000003</v>
      </c>
    </row>
    <row r="4167" spans="1:12" x14ac:dyDescent="0.3">
      <c r="A4167" s="2">
        <v>40684</v>
      </c>
      <c r="B4167" t="s">
        <v>13</v>
      </c>
      <c r="D4167" s="2">
        <v>41415</v>
      </c>
      <c r="E4167">
        <v>7.25</v>
      </c>
      <c r="G4167" s="2">
        <v>41415</v>
      </c>
      <c r="H4167">
        <v>7.258</v>
      </c>
      <c r="J4167" s="2">
        <v>41422</v>
      </c>
      <c r="K4167" s="3">
        <f t="shared" si="130"/>
        <v>7.25</v>
      </c>
      <c r="L4167" s="3">
        <f t="shared" si="131"/>
        <v>7.1859999999999999</v>
      </c>
    </row>
    <row r="4168" spans="1:12" x14ac:dyDescent="0.3">
      <c r="A4168" s="2">
        <v>40685</v>
      </c>
      <c r="B4168" t="s">
        <v>13</v>
      </c>
      <c r="D4168" s="2">
        <v>41416</v>
      </c>
      <c r="E4168">
        <v>7.25</v>
      </c>
      <c r="G4168" s="2">
        <v>41416</v>
      </c>
      <c r="H4168">
        <v>7.2759999999999998</v>
      </c>
      <c r="J4168" s="2">
        <v>41423</v>
      </c>
      <c r="K4168" s="3">
        <f t="shared" si="130"/>
        <v>7.25</v>
      </c>
      <c r="L4168" s="3">
        <f t="shared" si="131"/>
        <v>7.2309999999999999</v>
      </c>
    </row>
    <row r="4169" spans="1:12" x14ac:dyDescent="0.3">
      <c r="A4169" s="2">
        <v>40686</v>
      </c>
      <c r="B4169" t="s">
        <v>13</v>
      </c>
      <c r="D4169" s="2">
        <v>41417</v>
      </c>
      <c r="E4169">
        <v>7.25</v>
      </c>
      <c r="G4169" s="2">
        <v>41417</v>
      </c>
      <c r="H4169">
        <v>7.2679999999999998</v>
      </c>
      <c r="J4169" s="2">
        <v>41424</v>
      </c>
      <c r="K4169" s="3">
        <f t="shared" si="130"/>
        <v>7.25</v>
      </c>
      <c r="L4169" s="3">
        <f t="shared" si="131"/>
        <v>7.2809999999999997</v>
      </c>
    </row>
    <row r="4170" spans="1:12" x14ac:dyDescent="0.3">
      <c r="A4170" s="2">
        <v>40687</v>
      </c>
      <c r="B4170" t="s">
        <v>13</v>
      </c>
      <c r="D4170" s="2">
        <v>41418</v>
      </c>
      <c r="E4170">
        <v>7.25</v>
      </c>
      <c r="G4170" s="2">
        <v>41418</v>
      </c>
      <c r="H4170">
        <v>7.2640000000000002</v>
      </c>
      <c r="J4170" s="2">
        <v>41425</v>
      </c>
      <c r="K4170" s="3">
        <f t="shared" si="130"/>
        <v>7.25</v>
      </c>
      <c r="L4170" s="3">
        <f t="shared" si="131"/>
        <v>7.2910000000000004</v>
      </c>
    </row>
    <row r="4171" spans="1:12" x14ac:dyDescent="0.3">
      <c r="A4171" s="2">
        <v>40688</v>
      </c>
      <c r="B4171" t="s">
        <v>13</v>
      </c>
      <c r="D4171" s="2">
        <v>41419</v>
      </c>
      <c r="E4171">
        <v>7.25</v>
      </c>
      <c r="G4171" s="2">
        <v>41419</v>
      </c>
      <c r="H4171">
        <v>7.2640000000000002</v>
      </c>
      <c r="J4171" s="2">
        <v>41426</v>
      </c>
      <c r="K4171" s="3">
        <f t="shared" si="130"/>
        <v>7.25</v>
      </c>
      <c r="L4171" s="3">
        <f t="shared" si="131"/>
        <v>7.2910000000000004</v>
      </c>
    </row>
    <row r="4172" spans="1:12" x14ac:dyDescent="0.3">
      <c r="A4172" s="2">
        <v>40689</v>
      </c>
      <c r="B4172" t="s">
        <v>13</v>
      </c>
      <c r="D4172" s="2">
        <v>41420</v>
      </c>
      <c r="E4172">
        <v>7.25</v>
      </c>
      <c r="G4172" s="2">
        <v>41420</v>
      </c>
      <c r="H4172">
        <v>7.2640000000000002</v>
      </c>
      <c r="J4172" s="2">
        <v>41427</v>
      </c>
      <c r="K4172" s="3">
        <f t="shared" si="130"/>
        <v>7.25</v>
      </c>
      <c r="L4172" s="3">
        <f t="shared" si="131"/>
        <v>7.2910000000000004</v>
      </c>
    </row>
    <row r="4173" spans="1:12" x14ac:dyDescent="0.3">
      <c r="A4173" s="2">
        <v>40690</v>
      </c>
      <c r="B4173" t="s">
        <v>13</v>
      </c>
      <c r="D4173" s="2">
        <v>41421</v>
      </c>
      <c r="E4173">
        <v>7.25</v>
      </c>
      <c r="G4173" s="2">
        <v>41421</v>
      </c>
      <c r="H4173">
        <v>7.2670000000000003</v>
      </c>
      <c r="J4173" s="2">
        <v>41428</v>
      </c>
      <c r="K4173" s="3">
        <f t="shared" si="130"/>
        <v>7.25</v>
      </c>
      <c r="L4173" s="3">
        <f t="shared" si="131"/>
        <v>7.2939999999999996</v>
      </c>
    </row>
    <row r="4174" spans="1:12" x14ac:dyDescent="0.3">
      <c r="A4174" s="2">
        <v>40691</v>
      </c>
      <c r="B4174" t="s">
        <v>13</v>
      </c>
      <c r="D4174" s="2">
        <v>41422</v>
      </c>
      <c r="E4174">
        <v>7.25</v>
      </c>
      <c r="G4174" s="2">
        <v>41422</v>
      </c>
      <c r="H4174">
        <v>7.1859999999999999</v>
      </c>
      <c r="J4174" s="2">
        <v>41429</v>
      </c>
      <c r="K4174" s="3">
        <f t="shared" si="130"/>
        <v>7.25</v>
      </c>
      <c r="L4174" s="3">
        <f t="shared" si="131"/>
        <v>7.2939999999999996</v>
      </c>
    </row>
    <row r="4175" spans="1:12" x14ac:dyDescent="0.3">
      <c r="A4175" s="2">
        <v>40692</v>
      </c>
      <c r="B4175" t="s">
        <v>13</v>
      </c>
      <c r="D4175" s="2">
        <v>41423</v>
      </c>
      <c r="E4175">
        <v>7.25</v>
      </c>
      <c r="G4175" s="2">
        <v>41423</v>
      </c>
      <c r="H4175">
        <v>7.2309999999999999</v>
      </c>
      <c r="J4175" s="2">
        <v>41430</v>
      </c>
      <c r="K4175" s="3">
        <f t="shared" si="130"/>
        <v>7.25</v>
      </c>
      <c r="L4175" s="3">
        <f t="shared" si="131"/>
        <v>7.2939999999999996</v>
      </c>
    </row>
    <row r="4176" spans="1:12" x14ac:dyDescent="0.3">
      <c r="A4176" s="2">
        <v>40693</v>
      </c>
      <c r="B4176" t="s">
        <v>13</v>
      </c>
      <c r="D4176" s="2">
        <v>41424</v>
      </c>
      <c r="E4176">
        <v>7.25</v>
      </c>
      <c r="G4176" s="2">
        <v>41424</v>
      </c>
      <c r="H4176">
        <v>7.2809999999999997</v>
      </c>
      <c r="J4176" s="2">
        <v>41431</v>
      </c>
      <c r="K4176" s="3">
        <f t="shared" si="130"/>
        <v>7.25</v>
      </c>
      <c r="L4176" s="3">
        <f t="shared" si="131"/>
        <v>7.2939999999999996</v>
      </c>
    </row>
    <row r="4177" spans="1:12" x14ac:dyDescent="0.3">
      <c r="A4177" s="2">
        <v>40694</v>
      </c>
      <c r="B4177" t="s">
        <v>13</v>
      </c>
      <c r="D4177" s="2">
        <v>41425</v>
      </c>
      <c r="E4177">
        <v>7.25</v>
      </c>
      <c r="G4177" s="2">
        <v>41425</v>
      </c>
      <c r="H4177">
        <v>7.2910000000000004</v>
      </c>
      <c r="J4177" s="2">
        <v>41432</v>
      </c>
      <c r="K4177" s="3">
        <f t="shared" si="130"/>
        <v>7.25</v>
      </c>
      <c r="L4177" s="3">
        <f t="shared" si="131"/>
        <v>7.3079999999999998</v>
      </c>
    </row>
    <row r="4178" spans="1:12" x14ac:dyDescent="0.3">
      <c r="A4178" s="2">
        <v>40695</v>
      </c>
      <c r="B4178" t="s">
        <v>13</v>
      </c>
      <c r="D4178" s="2">
        <v>41426</v>
      </c>
      <c r="E4178">
        <v>7.25</v>
      </c>
      <c r="G4178" s="2">
        <v>41426</v>
      </c>
      <c r="H4178">
        <v>7.2910000000000004</v>
      </c>
      <c r="J4178" s="2">
        <v>41433</v>
      </c>
      <c r="K4178" s="3">
        <f t="shared" si="130"/>
        <v>7.25</v>
      </c>
      <c r="L4178" s="3">
        <f t="shared" si="131"/>
        <v>7.3079999999999998</v>
      </c>
    </row>
    <row r="4179" spans="1:12" x14ac:dyDescent="0.3">
      <c r="A4179" s="2">
        <v>40696</v>
      </c>
      <c r="B4179" t="s">
        <v>13</v>
      </c>
      <c r="D4179" s="2">
        <v>41427</v>
      </c>
      <c r="E4179">
        <v>7.25</v>
      </c>
      <c r="G4179" s="2">
        <v>41427</v>
      </c>
      <c r="H4179">
        <v>7.2910000000000004</v>
      </c>
      <c r="J4179" s="2">
        <v>41434</v>
      </c>
      <c r="K4179" s="3">
        <f t="shared" si="130"/>
        <v>7.25</v>
      </c>
      <c r="L4179" s="3">
        <f t="shared" si="131"/>
        <v>7.3079999999999998</v>
      </c>
    </row>
    <row r="4180" spans="1:12" x14ac:dyDescent="0.3">
      <c r="A4180" s="2">
        <v>40697</v>
      </c>
      <c r="B4180" t="s">
        <v>13</v>
      </c>
      <c r="D4180" s="2">
        <v>41428</v>
      </c>
      <c r="E4180">
        <v>7.25</v>
      </c>
      <c r="G4180" s="2">
        <v>41428</v>
      </c>
      <c r="H4180">
        <v>7.2939999999999996</v>
      </c>
      <c r="J4180" s="2">
        <v>41435</v>
      </c>
      <c r="K4180" s="3">
        <f t="shared" si="130"/>
        <v>7.25</v>
      </c>
      <c r="L4180" s="3">
        <f t="shared" si="131"/>
        <v>7.3109999999999999</v>
      </c>
    </row>
    <row r="4181" spans="1:12" x14ac:dyDescent="0.3">
      <c r="A4181" s="2">
        <v>40698</v>
      </c>
      <c r="B4181" t="s">
        <v>13</v>
      </c>
      <c r="D4181" s="2">
        <v>41429</v>
      </c>
      <c r="E4181">
        <v>7.25</v>
      </c>
      <c r="G4181" s="2">
        <v>41429</v>
      </c>
      <c r="H4181">
        <v>7.2939999999999996</v>
      </c>
      <c r="J4181" s="2">
        <v>41436</v>
      </c>
      <c r="K4181" s="3">
        <f t="shared" si="130"/>
        <v>7.25</v>
      </c>
      <c r="L4181" s="3">
        <f t="shared" si="131"/>
        <v>7.3109999999999999</v>
      </c>
    </row>
    <row r="4182" spans="1:12" x14ac:dyDescent="0.3">
      <c r="A4182" s="2">
        <v>40699</v>
      </c>
      <c r="B4182" t="s">
        <v>13</v>
      </c>
      <c r="D4182" s="2">
        <v>41430</v>
      </c>
      <c r="E4182">
        <v>7.25</v>
      </c>
      <c r="G4182" s="2">
        <v>41430</v>
      </c>
      <c r="H4182">
        <v>7.2939999999999996</v>
      </c>
      <c r="J4182" s="2">
        <v>41437</v>
      </c>
      <c r="K4182" s="3">
        <f t="shared" si="130"/>
        <v>7.25</v>
      </c>
      <c r="L4182" s="3">
        <f t="shared" si="131"/>
        <v>7.7409999999999997</v>
      </c>
    </row>
    <row r="4183" spans="1:12" x14ac:dyDescent="0.3">
      <c r="A4183" s="2">
        <v>40700</v>
      </c>
      <c r="B4183" t="s">
        <v>13</v>
      </c>
      <c r="D4183" s="2">
        <v>41431</v>
      </c>
      <c r="E4183">
        <v>7.25</v>
      </c>
      <c r="G4183" s="2">
        <v>41431</v>
      </c>
      <c r="H4183">
        <v>7.2939999999999996</v>
      </c>
      <c r="J4183" s="2">
        <v>41438</v>
      </c>
      <c r="K4183" s="3">
        <f t="shared" si="130"/>
        <v>7.25</v>
      </c>
      <c r="L4183" s="3">
        <f t="shared" si="131"/>
        <v>7.415</v>
      </c>
    </row>
    <row r="4184" spans="1:12" x14ac:dyDescent="0.3">
      <c r="A4184" s="2">
        <v>40701</v>
      </c>
      <c r="B4184" t="s">
        <v>13</v>
      </c>
      <c r="D4184" s="2">
        <v>41432</v>
      </c>
      <c r="E4184">
        <v>7.25</v>
      </c>
      <c r="G4184" s="2">
        <v>41432</v>
      </c>
      <c r="H4184">
        <v>7.3079999999999998</v>
      </c>
      <c r="J4184" s="2">
        <v>41439</v>
      </c>
      <c r="K4184" s="3">
        <f t="shared" si="130"/>
        <v>7.25</v>
      </c>
      <c r="L4184" s="3">
        <f t="shared" si="131"/>
        <v>7.4729999999999999</v>
      </c>
    </row>
    <row r="4185" spans="1:12" x14ac:dyDescent="0.3">
      <c r="A4185" s="2">
        <v>40702</v>
      </c>
      <c r="B4185" t="s">
        <v>13</v>
      </c>
      <c r="D4185" s="2">
        <v>41433</v>
      </c>
      <c r="E4185">
        <v>7.25</v>
      </c>
      <c r="G4185" s="2">
        <v>41433</v>
      </c>
      <c r="H4185">
        <v>7.3079999999999998</v>
      </c>
      <c r="J4185" s="2">
        <v>41440</v>
      </c>
      <c r="K4185" s="3">
        <f t="shared" si="130"/>
        <v>7.25</v>
      </c>
      <c r="L4185" s="3">
        <f t="shared" si="131"/>
        <v>7.4729999999999999</v>
      </c>
    </row>
    <row r="4186" spans="1:12" x14ac:dyDescent="0.3">
      <c r="A4186" s="2">
        <v>40703</v>
      </c>
      <c r="B4186" t="s">
        <v>13</v>
      </c>
      <c r="D4186" s="2">
        <v>41434</v>
      </c>
      <c r="E4186">
        <v>7.25</v>
      </c>
      <c r="G4186" s="2">
        <v>41434</v>
      </c>
      <c r="H4186">
        <v>7.3079999999999998</v>
      </c>
      <c r="J4186" s="2">
        <v>41441</v>
      </c>
      <c r="K4186" s="3">
        <f t="shared" si="130"/>
        <v>7.25</v>
      </c>
      <c r="L4186" s="3">
        <f t="shared" si="131"/>
        <v>7.4729999999999999</v>
      </c>
    </row>
    <row r="4187" spans="1:12" x14ac:dyDescent="0.3">
      <c r="A4187" s="2">
        <v>40704</v>
      </c>
      <c r="B4187" t="s">
        <v>13</v>
      </c>
      <c r="D4187" s="2">
        <v>41435</v>
      </c>
      <c r="E4187">
        <v>7.25</v>
      </c>
      <c r="G4187" s="2">
        <v>41435</v>
      </c>
      <c r="H4187">
        <v>7.3109999999999999</v>
      </c>
      <c r="J4187" s="2">
        <v>41442</v>
      </c>
      <c r="K4187" s="3">
        <f t="shared" si="130"/>
        <v>7.25</v>
      </c>
      <c r="L4187" s="3">
        <f t="shared" si="131"/>
        <v>7.3680000000000003</v>
      </c>
    </row>
    <row r="4188" spans="1:12" x14ac:dyDescent="0.3">
      <c r="A4188" s="2">
        <v>40705</v>
      </c>
      <c r="B4188" t="s">
        <v>13</v>
      </c>
      <c r="D4188" s="2">
        <v>41436</v>
      </c>
      <c r="E4188">
        <v>7.25</v>
      </c>
      <c r="G4188" s="2">
        <v>41436</v>
      </c>
      <c r="H4188">
        <v>7.3109999999999999</v>
      </c>
      <c r="J4188" s="2">
        <v>41443</v>
      </c>
      <c r="K4188" s="3">
        <f t="shared" si="130"/>
        <v>7.25</v>
      </c>
      <c r="L4188" s="3">
        <f t="shared" si="131"/>
        <v>7.3680000000000003</v>
      </c>
    </row>
    <row r="4189" spans="1:12" x14ac:dyDescent="0.3">
      <c r="A4189" s="2">
        <v>40706</v>
      </c>
      <c r="B4189" t="s">
        <v>13</v>
      </c>
      <c r="D4189" s="2">
        <v>41437</v>
      </c>
      <c r="E4189">
        <v>7.25</v>
      </c>
      <c r="G4189" s="2">
        <v>41437</v>
      </c>
      <c r="H4189">
        <v>7.7409999999999997</v>
      </c>
      <c r="J4189" s="2">
        <v>41444</v>
      </c>
      <c r="K4189" s="3">
        <f t="shared" si="130"/>
        <v>7.25</v>
      </c>
      <c r="L4189" s="3">
        <f t="shared" si="131"/>
        <v>7.3789999999999996</v>
      </c>
    </row>
    <row r="4190" spans="1:12" x14ac:dyDescent="0.3">
      <c r="A4190" s="2">
        <v>40707</v>
      </c>
      <c r="B4190" t="s">
        <v>13</v>
      </c>
      <c r="D4190" s="2">
        <v>41438</v>
      </c>
      <c r="E4190">
        <v>7.25</v>
      </c>
      <c r="G4190" s="2">
        <v>41438</v>
      </c>
      <c r="H4190">
        <v>7.415</v>
      </c>
      <c r="J4190" s="2">
        <v>41445</v>
      </c>
      <c r="K4190" s="3">
        <f t="shared" si="130"/>
        <v>7.25</v>
      </c>
      <c r="L4190" s="3">
        <f t="shared" si="131"/>
        <v>7.4640000000000004</v>
      </c>
    </row>
    <row r="4191" spans="1:12" x14ac:dyDescent="0.3">
      <c r="A4191" s="2">
        <v>40708</v>
      </c>
      <c r="B4191" t="s">
        <v>13</v>
      </c>
      <c r="D4191" s="2">
        <v>41439</v>
      </c>
      <c r="E4191">
        <v>7.25</v>
      </c>
      <c r="G4191" s="2">
        <v>41439</v>
      </c>
      <c r="H4191">
        <v>7.4729999999999999</v>
      </c>
      <c r="J4191" s="2">
        <v>41446</v>
      </c>
      <c r="K4191" s="3">
        <f t="shared" si="130"/>
        <v>7.25</v>
      </c>
      <c r="L4191" s="3">
        <f t="shared" si="131"/>
        <v>7.4749999999999996</v>
      </c>
    </row>
    <row r="4192" spans="1:12" x14ac:dyDescent="0.3">
      <c r="A4192" s="2">
        <v>40709</v>
      </c>
      <c r="B4192" t="s">
        <v>13</v>
      </c>
      <c r="D4192" s="2">
        <v>41440</v>
      </c>
      <c r="E4192">
        <v>7.25</v>
      </c>
      <c r="G4192" s="2">
        <v>41440</v>
      </c>
      <c r="H4192">
        <v>7.4729999999999999</v>
      </c>
      <c r="J4192" s="2">
        <v>41447</v>
      </c>
      <c r="K4192" s="3">
        <f t="shared" si="130"/>
        <v>7.25</v>
      </c>
      <c r="L4192" s="3">
        <f t="shared" si="131"/>
        <v>7.4749999999999996</v>
      </c>
    </row>
    <row r="4193" spans="1:12" x14ac:dyDescent="0.3">
      <c r="A4193" s="2">
        <v>40710</v>
      </c>
      <c r="B4193" t="s">
        <v>13</v>
      </c>
      <c r="D4193" s="2">
        <v>41441</v>
      </c>
      <c r="E4193">
        <v>7.25</v>
      </c>
      <c r="G4193" s="2">
        <v>41441</v>
      </c>
      <c r="H4193">
        <v>7.4729999999999999</v>
      </c>
      <c r="J4193" s="2">
        <v>41448</v>
      </c>
      <c r="K4193" s="3">
        <f t="shared" si="130"/>
        <v>7.25</v>
      </c>
      <c r="L4193" s="3">
        <f t="shared" si="131"/>
        <v>7.4749999999999996</v>
      </c>
    </row>
    <row r="4194" spans="1:12" x14ac:dyDescent="0.3">
      <c r="A4194" s="2">
        <v>40711</v>
      </c>
      <c r="B4194" t="s">
        <v>13</v>
      </c>
      <c r="D4194" s="2">
        <v>41442</v>
      </c>
      <c r="E4194">
        <v>7.25</v>
      </c>
      <c r="G4194" s="2">
        <v>41442</v>
      </c>
      <c r="H4194">
        <v>7.3680000000000003</v>
      </c>
      <c r="J4194" s="2">
        <v>41449</v>
      </c>
      <c r="K4194" s="3">
        <f t="shared" si="130"/>
        <v>7.25</v>
      </c>
      <c r="L4194" s="3">
        <f t="shared" si="131"/>
        <v>7.4790000000000001</v>
      </c>
    </row>
    <row r="4195" spans="1:12" x14ac:dyDescent="0.3">
      <c r="A4195" s="2">
        <v>40712</v>
      </c>
      <c r="B4195" t="s">
        <v>13</v>
      </c>
      <c r="D4195" s="2">
        <v>41443</v>
      </c>
      <c r="E4195">
        <v>7.25</v>
      </c>
      <c r="G4195" s="2">
        <v>41443</v>
      </c>
      <c r="H4195">
        <v>7.3680000000000003</v>
      </c>
      <c r="J4195" s="2">
        <v>41450</v>
      </c>
      <c r="K4195" s="3">
        <f t="shared" si="130"/>
        <v>7.25</v>
      </c>
      <c r="L4195" s="3">
        <f t="shared" si="131"/>
        <v>7.7240000000000002</v>
      </c>
    </row>
    <row r="4196" spans="1:12" x14ac:dyDescent="0.3">
      <c r="A4196" s="2">
        <v>40713</v>
      </c>
      <c r="B4196" t="s">
        <v>13</v>
      </c>
      <c r="D4196" s="2">
        <v>41444</v>
      </c>
      <c r="E4196">
        <v>7.25</v>
      </c>
      <c r="G4196" s="2">
        <v>41444</v>
      </c>
      <c r="H4196">
        <v>7.3789999999999996</v>
      </c>
      <c r="J4196" s="2">
        <v>41451</v>
      </c>
      <c r="K4196" s="3">
        <f t="shared" si="130"/>
        <v>7.25</v>
      </c>
      <c r="L4196" s="3">
        <f t="shared" si="131"/>
        <v>7.7329999999999997</v>
      </c>
    </row>
    <row r="4197" spans="1:12" x14ac:dyDescent="0.3">
      <c r="A4197" s="2">
        <v>40714</v>
      </c>
      <c r="B4197" t="s">
        <v>13</v>
      </c>
      <c r="D4197" s="2">
        <v>41445</v>
      </c>
      <c r="E4197">
        <v>7.25</v>
      </c>
      <c r="G4197" s="2">
        <v>41445</v>
      </c>
      <c r="H4197">
        <v>7.4640000000000004</v>
      </c>
      <c r="J4197" s="2">
        <v>41452</v>
      </c>
      <c r="K4197" s="3">
        <f t="shared" si="130"/>
        <v>7.25</v>
      </c>
      <c r="L4197" s="3">
        <f t="shared" si="131"/>
        <v>7.7380000000000004</v>
      </c>
    </row>
    <row r="4198" spans="1:12" x14ac:dyDescent="0.3">
      <c r="A4198" s="2">
        <v>40715</v>
      </c>
      <c r="B4198" t="s">
        <v>13</v>
      </c>
      <c r="D4198" s="2">
        <v>41446</v>
      </c>
      <c r="E4198">
        <v>7.25</v>
      </c>
      <c r="G4198" s="2">
        <v>41446</v>
      </c>
      <c r="H4198">
        <v>7.4749999999999996</v>
      </c>
      <c r="J4198" s="2">
        <v>41453</v>
      </c>
      <c r="K4198" s="3">
        <f t="shared" si="130"/>
        <v>7.25</v>
      </c>
      <c r="L4198" s="3">
        <f t="shared" si="131"/>
        <v>7.7380000000000004</v>
      </c>
    </row>
    <row r="4199" spans="1:12" x14ac:dyDescent="0.3">
      <c r="A4199" s="2">
        <v>40716</v>
      </c>
      <c r="B4199" t="s">
        <v>13</v>
      </c>
      <c r="D4199" s="2">
        <v>41447</v>
      </c>
      <c r="E4199">
        <v>7.25</v>
      </c>
      <c r="G4199" s="2">
        <v>41447</v>
      </c>
      <c r="H4199">
        <v>7.4749999999999996</v>
      </c>
      <c r="J4199" s="2">
        <v>41454</v>
      </c>
      <c r="K4199" s="3">
        <f t="shared" si="130"/>
        <v>7.25</v>
      </c>
      <c r="L4199" s="3">
        <f t="shared" si="131"/>
        <v>7.7380000000000004</v>
      </c>
    </row>
    <row r="4200" spans="1:12" x14ac:dyDescent="0.3">
      <c r="A4200" s="2">
        <v>40717</v>
      </c>
      <c r="B4200" t="s">
        <v>13</v>
      </c>
      <c r="D4200" s="2">
        <v>41448</v>
      </c>
      <c r="E4200">
        <v>7.25</v>
      </c>
      <c r="G4200" s="2">
        <v>41448</v>
      </c>
      <c r="H4200">
        <v>7.4749999999999996</v>
      </c>
      <c r="J4200" s="2">
        <v>41455</v>
      </c>
      <c r="K4200" s="3">
        <f t="shared" si="130"/>
        <v>7.25</v>
      </c>
      <c r="L4200" s="3">
        <f t="shared" si="131"/>
        <v>7.7380000000000004</v>
      </c>
    </row>
    <row r="4201" spans="1:12" x14ac:dyDescent="0.3">
      <c r="A4201" s="2">
        <v>40718</v>
      </c>
      <c r="B4201" t="s">
        <v>13</v>
      </c>
      <c r="D4201" s="2">
        <v>41449</v>
      </c>
      <c r="E4201">
        <v>7.25</v>
      </c>
      <c r="G4201" s="2">
        <v>41449</v>
      </c>
      <c r="H4201">
        <v>7.4790000000000001</v>
      </c>
      <c r="J4201" s="2">
        <v>41456</v>
      </c>
      <c r="K4201" s="3">
        <f t="shared" si="130"/>
        <v>7.25</v>
      </c>
      <c r="L4201" s="3">
        <f t="shared" si="131"/>
        <v>7.7530000000000001</v>
      </c>
    </row>
    <row r="4202" spans="1:12" x14ac:dyDescent="0.3">
      <c r="A4202" s="2">
        <v>40719</v>
      </c>
      <c r="B4202" t="s">
        <v>13</v>
      </c>
      <c r="D4202" s="2">
        <v>41450</v>
      </c>
      <c r="E4202">
        <v>7.25</v>
      </c>
      <c r="G4202" s="2">
        <v>41450</v>
      </c>
      <c r="H4202">
        <v>7.7240000000000002</v>
      </c>
      <c r="J4202" s="2">
        <v>41457</v>
      </c>
      <c r="K4202" s="3">
        <f t="shared" si="130"/>
        <v>7.25</v>
      </c>
      <c r="L4202" s="3">
        <f t="shared" si="131"/>
        <v>7.758</v>
      </c>
    </row>
    <row r="4203" spans="1:12" x14ac:dyDescent="0.3">
      <c r="A4203" s="2">
        <v>40720</v>
      </c>
      <c r="B4203" t="s">
        <v>13</v>
      </c>
      <c r="D4203" s="2">
        <v>41451</v>
      </c>
      <c r="E4203">
        <v>7.25</v>
      </c>
      <c r="G4203" s="2">
        <v>41451</v>
      </c>
      <c r="H4203">
        <v>7.7329999999999997</v>
      </c>
      <c r="J4203" s="2">
        <v>41458</v>
      </c>
      <c r="K4203" s="3">
        <f t="shared" si="130"/>
        <v>7.25</v>
      </c>
      <c r="L4203" s="3">
        <f t="shared" si="131"/>
        <v>7.641</v>
      </c>
    </row>
    <row r="4204" spans="1:12" x14ac:dyDescent="0.3">
      <c r="A4204" s="2">
        <v>40721</v>
      </c>
      <c r="B4204" t="s">
        <v>13</v>
      </c>
      <c r="D4204" s="2">
        <v>41452</v>
      </c>
      <c r="E4204">
        <v>7.25</v>
      </c>
      <c r="G4204" s="2">
        <v>41452</v>
      </c>
      <c r="H4204">
        <v>7.7380000000000004</v>
      </c>
      <c r="J4204" s="2">
        <v>41459</v>
      </c>
      <c r="K4204" s="3">
        <f t="shared" si="130"/>
        <v>7.25</v>
      </c>
      <c r="L4204" s="3">
        <f t="shared" si="131"/>
        <v>7.6449999999999996</v>
      </c>
    </row>
    <row r="4205" spans="1:12" x14ac:dyDescent="0.3">
      <c r="A4205" s="2">
        <v>40722</v>
      </c>
      <c r="B4205" t="s">
        <v>13</v>
      </c>
      <c r="D4205" s="2">
        <v>41453</v>
      </c>
      <c r="E4205">
        <v>7.25</v>
      </c>
      <c r="G4205" s="2">
        <v>41453</v>
      </c>
      <c r="H4205">
        <v>7.7380000000000004</v>
      </c>
      <c r="J4205" s="2">
        <v>41460</v>
      </c>
      <c r="K4205" s="3">
        <f t="shared" si="130"/>
        <v>7.25</v>
      </c>
      <c r="L4205" s="3">
        <f t="shared" si="131"/>
        <v>7.6589999999999998</v>
      </c>
    </row>
    <row r="4206" spans="1:12" x14ac:dyDescent="0.3">
      <c r="A4206" s="2">
        <v>40723</v>
      </c>
      <c r="B4206" t="s">
        <v>13</v>
      </c>
      <c r="D4206" s="2">
        <v>41454</v>
      </c>
      <c r="E4206">
        <v>7.25</v>
      </c>
      <c r="G4206" s="2">
        <v>41454</v>
      </c>
      <c r="H4206">
        <v>7.7380000000000004</v>
      </c>
      <c r="J4206" s="2">
        <v>41461</v>
      </c>
      <c r="K4206" s="3">
        <f t="shared" si="130"/>
        <v>7.25</v>
      </c>
      <c r="L4206" s="3">
        <f t="shared" si="131"/>
        <v>7.6589999999999998</v>
      </c>
    </row>
    <row r="4207" spans="1:12" x14ac:dyDescent="0.3">
      <c r="A4207" s="2">
        <v>40724</v>
      </c>
      <c r="B4207" t="s">
        <v>13</v>
      </c>
      <c r="D4207" s="2">
        <v>41455</v>
      </c>
      <c r="E4207">
        <v>7.25</v>
      </c>
      <c r="G4207" s="2">
        <v>41455</v>
      </c>
      <c r="H4207">
        <v>7.7380000000000004</v>
      </c>
      <c r="J4207" s="2">
        <v>41462</v>
      </c>
      <c r="K4207" s="3">
        <f t="shared" si="130"/>
        <v>7.25</v>
      </c>
      <c r="L4207" s="3">
        <f t="shared" si="131"/>
        <v>7.6589999999999998</v>
      </c>
    </row>
    <row r="4208" spans="1:12" x14ac:dyDescent="0.3">
      <c r="A4208" s="2">
        <v>40725</v>
      </c>
      <c r="B4208" t="s">
        <v>13</v>
      </c>
      <c r="D4208" s="2">
        <v>41456</v>
      </c>
      <c r="E4208">
        <v>7.25</v>
      </c>
      <c r="G4208" s="2">
        <v>41456</v>
      </c>
      <c r="H4208">
        <v>7.7530000000000001</v>
      </c>
      <c r="J4208" s="2">
        <v>41463</v>
      </c>
      <c r="K4208" s="3">
        <f t="shared" si="130"/>
        <v>7.25</v>
      </c>
      <c r="L4208" s="3">
        <f t="shared" si="131"/>
        <v>7.7270000000000003</v>
      </c>
    </row>
    <row r="4209" spans="1:12" x14ac:dyDescent="0.3">
      <c r="A4209" s="2">
        <v>40726</v>
      </c>
      <c r="B4209" t="s">
        <v>13</v>
      </c>
      <c r="D4209" s="2">
        <v>41457</v>
      </c>
      <c r="E4209">
        <v>7.25</v>
      </c>
      <c r="G4209" s="2">
        <v>41457</v>
      </c>
      <c r="H4209">
        <v>7.758</v>
      </c>
      <c r="J4209" s="2">
        <v>41464</v>
      </c>
      <c r="K4209" s="3">
        <f t="shared" si="130"/>
        <v>7.25</v>
      </c>
      <c r="L4209" s="3">
        <f t="shared" si="131"/>
        <v>7.7320000000000002</v>
      </c>
    </row>
    <row r="4210" spans="1:12" x14ac:dyDescent="0.3">
      <c r="A4210" s="2">
        <v>40727</v>
      </c>
      <c r="B4210" t="s">
        <v>13</v>
      </c>
      <c r="D4210" s="2">
        <v>41458</v>
      </c>
      <c r="E4210">
        <v>7.25</v>
      </c>
      <c r="G4210" s="2">
        <v>41458</v>
      </c>
      <c r="H4210">
        <v>7.641</v>
      </c>
      <c r="J4210" s="2">
        <v>41465</v>
      </c>
      <c r="K4210" s="3">
        <f t="shared" si="130"/>
        <v>7.25</v>
      </c>
      <c r="L4210" s="3">
        <f t="shared" si="131"/>
        <v>7.7370000000000001</v>
      </c>
    </row>
    <row r="4211" spans="1:12" x14ac:dyDescent="0.3">
      <c r="A4211" s="2">
        <v>40728</v>
      </c>
      <c r="B4211" t="s">
        <v>13</v>
      </c>
      <c r="D4211" s="2">
        <v>41459</v>
      </c>
      <c r="E4211">
        <v>7.25</v>
      </c>
      <c r="G4211" s="2">
        <v>41459</v>
      </c>
      <c r="H4211">
        <v>7.6449999999999996</v>
      </c>
      <c r="J4211" s="2">
        <v>41466</v>
      </c>
      <c r="K4211" s="3">
        <f t="shared" si="130"/>
        <v>7.25</v>
      </c>
      <c r="L4211" s="3">
        <f t="shared" si="131"/>
        <v>7.641</v>
      </c>
    </row>
    <row r="4212" spans="1:12" x14ac:dyDescent="0.3">
      <c r="A4212" s="2">
        <v>40729</v>
      </c>
      <c r="B4212" t="s">
        <v>13</v>
      </c>
      <c r="D4212" s="2">
        <v>41460</v>
      </c>
      <c r="E4212">
        <v>7.25</v>
      </c>
      <c r="G4212" s="2">
        <v>41460</v>
      </c>
      <c r="H4212">
        <v>7.6589999999999998</v>
      </c>
      <c r="J4212" s="2">
        <v>41467</v>
      </c>
      <c r="K4212" s="3">
        <f t="shared" si="130"/>
        <v>7.25</v>
      </c>
      <c r="L4212" s="3">
        <f t="shared" si="131"/>
        <v>7.758</v>
      </c>
    </row>
    <row r="4213" spans="1:12" x14ac:dyDescent="0.3">
      <c r="A4213" s="2">
        <v>40730</v>
      </c>
      <c r="B4213" t="s">
        <v>13</v>
      </c>
      <c r="D4213" s="2">
        <v>41461</v>
      </c>
      <c r="E4213">
        <v>7.25</v>
      </c>
      <c r="G4213" s="2">
        <v>41461</v>
      </c>
      <c r="H4213">
        <v>7.6589999999999998</v>
      </c>
      <c r="J4213" s="2">
        <v>41468</v>
      </c>
      <c r="K4213" s="3">
        <f t="shared" si="130"/>
        <v>7.25</v>
      </c>
      <c r="L4213" s="3">
        <f t="shared" si="131"/>
        <v>7.758</v>
      </c>
    </row>
    <row r="4214" spans="1:12" x14ac:dyDescent="0.3">
      <c r="A4214" s="2">
        <v>40731</v>
      </c>
      <c r="B4214" t="s">
        <v>13</v>
      </c>
      <c r="D4214" s="2">
        <v>41462</v>
      </c>
      <c r="E4214">
        <v>7.25</v>
      </c>
      <c r="G4214" s="2">
        <v>41462</v>
      </c>
      <c r="H4214">
        <v>7.6589999999999998</v>
      </c>
      <c r="J4214" s="2">
        <v>41469</v>
      </c>
      <c r="K4214" s="3">
        <f t="shared" si="130"/>
        <v>7.25</v>
      </c>
      <c r="L4214" s="3">
        <f t="shared" si="131"/>
        <v>7.758</v>
      </c>
    </row>
    <row r="4215" spans="1:12" x14ac:dyDescent="0.3">
      <c r="A4215" s="2">
        <v>40732</v>
      </c>
      <c r="B4215" t="s">
        <v>13</v>
      </c>
      <c r="D4215" s="2">
        <v>41463</v>
      </c>
      <c r="E4215">
        <v>7.25</v>
      </c>
      <c r="G4215" s="2">
        <v>41463</v>
      </c>
      <c r="H4215">
        <v>7.7270000000000003</v>
      </c>
      <c r="J4215" s="2">
        <v>41470</v>
      </c>
      <c r="K4215" s="3">
        <f t="shared" si="130"/>
        <v>7.25</v>
      </c>
      <c r="L4215" s="3">
        <f t="shared" si="131"/>
        <v>7.7510000000000003</v>
      </c>
    </row>
    <row r="4216" spans="1:12" x14ac:dyDescent="0.3">
      <c r="A4216" s="2">
        <v>40733</v>
      </c>
      <c r="B4216" t="s">
        <v>13</v>
      </c>
      <c r="D4216" s="2">
        <v>41464</v>
      </c>
      <c r="E4216">
        <v>7.25</v>
      </c>
      <c r="G4216" s="2">
        <v>41464</v>
      </c>
      <c r="H4216">
        <v>7.7320000000000002</v>
      </c>
      <c r="J4216" s="2">
        <v>41471</v>
      </c>
      <c r="K4216" s="3">
        <f t="shared" si="130"/>
        <v>7.25</v>
      </c>
      <c r="L4216" s="3">
        <f t="shared" si="131"/>
        <v>7.7510000000000003</v>
      </c>
    </row>
    <row r="4217" spans="1:12" x14ac:dyDescent="0.3">
      <c r="A4217" s="2">
        <v>40734</v>
      </c>
      <c r="B4217" t="s">
        <v>13</v>
      </c>
      <c r="D4217" s="2">
        <v>41465</v>
      </c>
      <c r="E4217">
        <v>7.25</v>
      </c>
      <c r="G4217" s="2">
        <v>41465</v>
      </c>
      <c r="H4217">
        <v>7.7370000000000001</v>
      </c>
      <c r="J4217" s="2">
        <v>41472</v>
      </c>
      <c r="K4217" s="3">
        <f t="shared" si="130"/>
        <v>7.25</v>
      </c>
      <c r="L4217" s="3">
        <f t="shared" si="131"/>
        <v>7.7510000000000003</v>
      </c>
    </row>
    <row r="4218" spans="1:12" x14ac:dyDescent="0.3">
      <c r="A4218" s="2">
        <v>40735</v>
      </c>
      <c r="B4218" t="s">
        <v>13</v>
      </c>
      <c r="D4218" s="2">
        <v>41466</v>
      </c>
      <c r="E4218">
        <v>7.25</v>
      </c>
      <c r="G4218" s="2">
        <v>41466</v>
      </c>
      <c r="H4218">
        <v>7.641</v>
      </c>
      <c r="J4218" s="2">
        <v>41473</v>
      </c>
      <c r="K4218" s="3">
        <f t="shared" si="130"/>
        <v>7.25</v>
      </c>
      <c r="L4218" s="3">
        <f t="shared" si="131"/>
        <v>9.1539999999999999</v>
      </c>
    </row>
    <row r="4219" spans="1:12" x14ac:dyDescent="0.3">
      <c r="A4219" s="2">
        <v>40736</v>
      </c>
      <c r="B4219" t="s">
        <v>13</v>
      </c>
      <c r="D4219" s="2">
        <v>41467</v>
      </c>
      <c r="E4219">
        <v>7.25</v>
      </c>
      <c r="G4219" s="2">
        <v>41467</v>
      </c>
      <c r="H4219">
        <v>7.758</v>
      </c>
      <c r="J4219" s="2">
        <v>41474</v>
      </c>
      <c r="K4219" s="3">
        <f t="shared" si="130"/>
        <v>7.25</v>
      </c>
      <c r="L4219" s="3">
        <f t="shared" si="131"/>
        <v>9.1539999999999999</v>
      </c>
    </row>
    <row r="4220" spans="1:12" x14ac:dyDescent="0.3">
      <c r="A4220" s="2">
        <v>40737</v>
      </c>
      <c r="B4220" t="s">
        <v>13</v>
      </c>
      <c r="D4220" s="2">
        <v>41468</v>
      </c>
      <c r="E4220">
        <v>7.25</v>
      </c>
      <c r="G4220" s="2">
        <v>41468</v>
      </c>
      <c r="H4220">
        <v>7.758</v>
      </c>
      <c r="J4220" s="2">
        <v>41475</v>
      </c>
      <c r="K4220" s="3">
        <f t="shared" si="130"/>
        <v>7.25</v>
      </c>
      <c r="L4220" s="3">
        <f t="shared" si="131"/>
        <v>9.1539999999999999</v>
      </c>
    </row>
    <row r="4221" spans="1:12" x14ac:dyDescent="0.3">
      <c r="A4221" s="2">
        <v>40738</v>
      </c>
      <c r="B4221" t="s">
        <v>13</v>
      </c>
      <c r="D4221" s="2">
        <v>41469</v>
      </c>
      <c r="E4221">
        <v>7.25</v>
      </c>
      <c r="G4221" s="2">
        <v>41469</v>
      </c>
      <c r="H4221">
        <v>7.758</v>
      </c>
      <c r="J4221" s="2">
        <v>41476</v>
      </c>
      <c r="K4221" s="3">
        <f t="shared" si="130"/>
        <v>7.25</v>
      </c>
      <c r="L4221" s="3">
        <f t="shared" si="131"/>
        <v>9.1539999999999999</v>
      </c>
    </row>
    <row r="4222" spans="1:12" x14ac:dyDescent="0.3">
      <c r="A4222" s="2">
        <v>40739</v>
      </c>
      <c r="B4222" t="s">
        <v>13</v>
      </c>
      <c r="D4222" s="2">
        <v>41470</v>
      </c>
      <c r="E4222">
        <v>7.25</v>
      </c>
      <c r="G4222" s="2">
        <v>41470</v>
      </c>
      <c r="H4222">
        <v>7.7510000000000003</v>
      </c>
      <c r="J4222" s="2">
        <v>41477</v>
      </c>
      <c r="K4222" s="3">
        <f t="shared" si="130"/>
        <v>7.25</v>
      </c>
      <c r="L4222" s="3">
        <f t="shared" si="131"/>
        <v>9.1539999999999999</v>
      </c>
    </row>
    <row r="4223" spans="1:12" x14ac:dyDescent="0.3">
      <c r="A4223" s="2">
        <v>40740</v>
      </c>
      <c r="B4223" t="s">
        <v>13</v>
      </c>
      <c r="D4223" s="2">
        <v>41471</v>
      </c>
      <c r="E4223">
        <v>7.25</v>
      </c>
      <c r="G4223" s="2">
        <v>41471</v>
      </c>
      <c r="H4223">
        <v>7.7510000000000003</v>
      </c>
      <c r="J4223" s="2">
        <v>41478</v>
      </c>
      <c r="K4223" s="3">
        <f t="shared" si="130"/>
        <v>7.25</v>
      </c>
      <c r="L4223" s="3">
        <f t="shared" si="131"/>
        <v>9.1539999999999999</v>
      </c>
    </row>
    <row r="4224" spans="1:12" x14ac:dyDescent="0.3">
      <c r="A4224" s="2">
        <v>40741</v>
      </c>
      <c r="B4224" t="s">
        <v>13</v>
      </c>
      <c r="D4224" s="2">
        <v>41472</v>
      </c>
      <c r="E4224">
        <v>7.25</v>
      </c>
      <c r="G4224" s="2">
        <v>41472</v>
      </c>
      <c r="H4224">
        <v>7.7510000000000003</v>
      </c>
      <c r="J4224" s="2">
        <v>41479</v>
      </c>
      <c r="K4224" s="3">
        <f t="shared" si="130"/>
        <v>7.25</v>
      </c>
      <c r="L4224" s="3">
        <f t="shared" si="131"/>
        <v>9.1539999999999999</v>
      </c>
    </row>
    <row r="4225" spans="1:12" x14ac:dyDescent="0.3">
      <c r="A4225" s="2">
        <v>40742</v>
      </c>
      <c r="B4225" t="s">
        <v>13</v>
      </c>
      <c r="D4225" s="2">
        <v>41473</v>
      </c>
      <c r="E4225">
        <v>7.25</v>
      </c>
      <c r="G4225" s="2">
        <v>41473</v>
      </c>
      <c r="H4225">
        <v>9.1539999999999999</v>
      </c>
      <c r="J4225" s="2">
        <v>41480</v>
      </c>
      <c r="K4225" s="3">
        <f t="shared" si="130"/>
        <v>7.25</v>
      </c>
      <c r="L4225" s="3">
        <f t="shared" si="131"/>
        <v>9.1539999999999999</v>
      </c>
    </row>
    <row r="4226" spans="1:12" x14ac:dyDescent="0.3">
      <c r="A4226" s="2">
        <v>40743</v>
      </c>
      <c r="B4226" t="s">
        <v>13</v>
      </c>
      <c r="D4226" s="2">
        <v>41474</v>
      </c>
      <c r="E4226">
        <v>7.25</v>
      </c>
      <c r="G4226" s="2">
        <v>41474</v>
      </c>
      <c r="H4226">
        <v>9.1539999999999999</v>
      </c>
      <c r="J4226" s="2">
        <v>41481</v>
      </c>
      <c r="K4226" s="3">
        <f t="shared" si="130"/>
        <v>7.25</v>
      </c>
      <c r="L4226" s="3">
        <f t="shared" si="131"/>
        <v>9.1539999999999999</v>
      </c>
    </row>
    <row r="4227" spans="1:12" x14ac:dyDescent="0.3">
      <c r="A4227" s="2">
        <v>40744</v>
      </c>
      <c r="B4227" t="s">
        <v>13</v>
      </c>
      <c r="D4227" s="2">
        <v>41475</v>
      </c>
      <c r="E4227">
        <v>7.25</v>
      </c>
      <c r="G4227" s="2">
        <v>41475</v>
      </c>
      <c r="H4227">
        <v>9.1539999999999999</v>
      </c>
      <c r="J4227" s="2">
        <v>41482</v>
      </c>
      <c r="K4227" s="3">
        <f t="shared" ref="K4227:K4290" si="132">E4234</f>
        <v>7.25</v>
      </c>
      <c r="L4227" s="3">
        <f t="shared" ref="L4227:L4290" si="133">H4234</f>
        <v>9.1539999999999999</v>
      </c>
    </row>
    <row r="4228" spans="1:12" x14ac:dyDescent="0.3">
      <c r="A4228" s="2">
        <v>40745</v>
      </c>
      <c r="B4228" t="s">
        <v>13</v>
      </c>
      <c r="D4228" s="2">
        <v>41476</v>
      </c>
      <c r="E4228">
        <v>7.25</v>
      </c>
      <c r="G4228" s="2">
        <v>41476</v>
      </c>
      <c r="H4228">
        <v>9.1539999999999999</v>
      </c>
      <c r="J4228" s="2">
        <v>41483</v>
      </c>
      <c r="K4228" s="3">
        <f t="shared" si="132"/>
        <v>7.25</v>
      </c>
      <c r="L4228" s="3">
        <f t="shared" si="133"/>
        <v>9.1539999999999999</v>
      </c>
    </row>
    <row r="4229" spans="1:12" x14ac:dyDescent="0.3">
      <c r="A4229" s="2">
        <v>40746</v>
      </c>
      <c r="B4229" t="s">
        <v>13</v>
      </c>
      <c r="D4229" s="2">
        <v>41477</v>
      </c>
      <c r="E4229">
        <v>7.25</v>
      </c>
      <c r="G4229" s="2">
        <v>41477</v>
      </c>
      <c r="H4229">
        <v>9.1539999999999999</v>
      </c>
      <c r="J4229" s="2">
        <v>41484</v>
      </c>
      <c r="K4229" s="3">
        <f t="shared" si="132"/>
        <v>7.25</v>
      </c>
      <c r="L4229" s="3">
        <f t="shared" si="133"/>
        <v>9.1539999999999999</v>
      </c>
    </row>
    <row r="4230" spans="1:12" x14ac:dyDescent="0.3">
      <c r="A4230" s="2">
        <v>40747</v>
      </c>
      <c r="B4230" t="s">
        <v>13</v>
      </c>
      <c r="D4230" s="2">
        <v>41478</v>
      </c>
      <c r="E4230">
        <v>7.25</v>
      </c>
      <c r="G4230" s="2">
        <v>41478</v>
      </c>
      <c r="H4230">
        <v>9.1539999999999999</v>
      </c>
      <c r="J4230" s="2">
        <v>41485</v>
      </c>
      <c r="K4230" s="3">
        <f t="shared" si="132"/>
        <v>7.25</v>
      </c>
      <c r="L4230" s="3">
        <f t="shared" si="133"/>
        <v>9.1539999999999999</v>
      </c>
    </row>
    <row r="4231" spans="1:12" x14ac:dyDescent="0.3">
      <c r="A4231" s="2">
        <v>40748</v>
      </c>
      <c r="B4231" t="s">
        <v>13</v>
      </c>
      <c r="D4231" s="2">
        <v>41479</v>
      </c>
      <c r="E4231">
        <v>7.25</v>
      </c>
      <c r="G4231" s="2">
        <v>41479</v>
      </c>
      <c r="H4231">
        <v>9.1539999999999999</v>
      </c>
      <c r="J4231" s="2">
        <v>41486</v>
      </c>
      <c r="K4231" s="3">
        <f t="shared" si="132"/>
        <v>7.25</v>
      </c>
      <c r="L4231" s="3">
        <f t="shared" si="133"/>
        <v>10.776</v>
      </c>
    </row>
    <row r="4232" spans="1:12" x14ac:dyDescent="0.3">
      <c r="A4232" s="2">
        <v>40749</v>
      </c>
      <c r="B4232" t="s">
        <v>13</v>
      </c>
      <c r="D4232" s="2">
        <v>41480</v>
      </c>
      <c r="E4232">
        <v>7.25</v>
      </c>
      <c r="G4232" s="2">
        <v>41480</v>
      </c>
      <c r="H4232">
        <v>9.1539999999999999</v>
      </c>
      <c r="J4232" s="2">
        <v>41487</v>
      </c>
      <c r="K4232" s="3">
        <f t="shared" si="132"/>
        <v>7.25</v>
      </c>
      <c r="L4232" s="3">
        <f t="shared" si="133"/>
        <v>10.545</v>
      </c>
    </row>
    <row r="4233" spans="1:12" x14ac:dyDescent="0.3">
      <c r="A4233" s="2">
        <v>40750</v>
      </c>
      <c r="B4233" t="s">
        <v>13</v>
      </c>
      <c r="D4233" s="2">
        <v>41481</v>
      </c>
      <c r="E4233">
        <v>7.25</v>
      </c>
      <c r="G4233" s="2">
        <v>41481</v>
      </c>
      <c r="H4233">
        <v>9.1539999999999999</v>
      </c>
      <c r="J4233" s="2">
        <v>41488</v>
      </c>
      <c r="K4233" s="3">
        <f t="shared" si="132"/>
        <v>7.25</v>
      </c>
      <c r="L4233" s="3">
        <f t="shared" si="133"/>
        <v>10.545</v>
      </c>
    </row>
    <row r="4234" spans="1:12" x14ac:dyDescent="0.3">
      <c r="A4234" s="2">
        <v>40751</v>
      </c>
      <c r="B4234" t="s">
        <v>13</v>
      </c>
      <c r="D4234" s="2">
        <v>41482</v>
      </c>
      <c r="E4234">
        <v>7.25</v>
      </c>
      <c r="G4234" s="2">
        <v>41482</v>
      </c>
      <c r="H4234">
        <v>9.1539999999999999</v>
      </c>
      <c r="J4234" s="2">
        <v>41489</v>
      </c>
      <c r="K4234" s="3">
        <f t="shared" si="132"/>
        <v>7.25</v>
      </c>
      <c r="L4234" s="3">
        <f t="shared" si="133"/>
        <v>10.545</v>
      </c>
    </row>
    <row r="4235" spans="1:12" x14ac:dyDescent="0.3">
      <c r="A4235" s="2">
        <v>40752</v>
      </c>
      <c r="B4235" t="s">
        <v>13</v>
      </c>
      <c r="D4235" s="2">
        <v>41483</v>
      </c>
      <c r="E4235">
        <v>7.25</v>
      </c>
      <c r="G4235" s="2">
        <v>41483</v>
      </c>
      <c r="H4235">
        <v>9.1539999999999999</v>
      </c>
      <c r="J4235" s="2">
        <v>41490</v>
      </c>
      <c r="K4235" s="3">
        <f t="shared" si="132"/>
        <v>7.25</v>
      </c>
      <c r="L4235" s="3">
        <f t="shared" si="133"/>
        <v>10.545</v>
      </c>
    </row>
    <row r="4236" spans="1:12" x14ac:dyDescent="0.3">
      <c r="A4236" s="2">
        <v>40753</v>
      </c>
      <c r="B4236" t="s">
        <v>13</v>
      </c>
      <c r="D4236" s="2">
        <v>41484</v>
      </c>
      <c r="E4236">
        <v>7.25</v>
      </c>
      <c r="G4236" s="2">
        <v>41484</v>
      </c>
      <c r="H4236">
        <v>9.1539999999999999</v>
      </c>
      <c r="J4236" s="2">
        <v>41491</v>
      </c>
      <c r="K4236" s="3">
        <f t="shared" si="132"/>
        <v>7.25</v>
      </c>
      <c r="L4236" s="3">
        <f t="shared" si="133"/>
        <v>10.026</v>
      </c>
    </row>
    <row r="4237" spans="1:12" x14ac:dyDescent="0.3">
      <c r="A4237" s="2">
        <v>40754</v>
      </c>
      <c r="B4237" t="s">
        <v>13</v>
      </c>
      <c r="D4237" s="2">
        <v>41485</v>
      </c>
      <c r="E4237">
        <v>7.25</v>
      </c>
      <c r="G4237" s="2">
        <v>41485</v>
      </c>
      <c r="H4237">
        <v>9.1539999999999999</v>
      </c>
      <c r="J4237" s="2">
        <v>41492</v>
      </c>
      <c r="K4237" s="3">
        <f t="shared" si="132"/>
        <v>7.25</v>
      </c>
      <c r="L4237" s="3">
        <f t="shared" si="133"/>
        <v>10.497</v>
      </c>
    </row>
    <row r="4238" spans="1:12" x14ac:dyDescent="0.3">
      <c r="A4238" s="2">
        <v>40755</v>
      </c>
      <c r="B4238" t="s">
        <v>13</v>
      </c>
      <c r="D4238" s="2">
        <v>41486</v>
      </c>
      <c r="E4238">
        <v>7.25</v>
      </c>
      <c r="G4238" s="2">
        <v>41486</v>
      </c>
      <c r="H4238">
        <v>10.776</v>
      </c>
      <c r="J4238" s="2">
        <v>41493</v>
      </c>
      <c r="K4238" s="3">
        <f t="shared" si="132"/>
        <v>7.25</v>
      </c>
      <c r="L4238" s="3">
        <f t="shared" si="133"/>
        <v>9.9969999999999999</v>
      </c>
    </row>
    <row r="4239" spans="1:12" x14ac:dyDescent="0.3">
      <c r="A4239" s="2">
        <v>40756</v>
      </c>
      <c r="B4239" t="s">
        <v>13</v>
      </c>
      <c r="D4239" s="2">
        <v>41487</v>
      </c>
      <c r="E4239">
        <v>7.25</v>
      </c>
      <c r="G4239" s="2">
        <v>41487</v>
      </c>
      <c r="H4239">
        <v>10.545</v>
      </c>
      <c r="J4239" s="2">
        <v>41494</v>
      </c>
      <c r="K4239" s="3">
        <f t="shared" si="132"/>
        <v>7.25</v>
      </c>
      <c r="L4239" s="3">
        <f t="shared" si="133"/>
        <v>10.053000000000001</v>
      </c>
    </row>
    <row r="4240" spans="1:12" x14ac:dyDescent="0.3">
      <c r="A4240" s="2">
        <v>40757</v>
      </c>
      <c r="B4240" t="s">
        <v>13</v>
      </c>
      <c r="D4240" s="2">
        <v>41488</v>
      </c>
      <c r="E4240">
        <v>7.25</v>
      </c>
      <c r="G4240" s="2">
        <v>41488</v>
      </c>
      <c r="H4240">
        <v>10.545</v>
      </c>
      <c r="J4240" s="2">
        <v>41495</v>
      </c>
      <c r="K4240" s="3">
        <f t="shared" si="132"/>
        <v>7.25</v>
      </c>
      <c r="L4240" s="3">
        <f t="shared" si="133"/>
        <v>10.053000000000001</v>
      </c>
    </row>
    <row r="4241" spans="1:12" x14ac:dyDescent="0.3">
      <c r="A4241" s="2">
        <v>40758</v>
      </c>
      <c r="B4241" t="s">
        <v>13</v>
      </c>
      <c r="D4241" s="2">
        <v>41489</v>
      </c>
      <c r="E4241">
        <v>7.25</v>
      </c>
      <c r="G4241" s="2">
        <v>41489</v>
      </c>
      <c r="H4241">
        <v>10.545</v>
      </c>
      <c r="J4241" s="2">
        <v>41496</v>
      </c>
      <c r="K4241" s="3">
        <f t="shared" si="132"/>
        <v>7.25</v>
      </c>
      <c r="L4241" s="3">
        <f t="shared" si="133"/>
        <v>10.053000000000001</v>
      </c>
    </row>
    <row r="4242" spans="1:12" x14ac:dyDescent="0.3">
      <c r="A4242" s="2">
        <v>40759</v>
      </c>
      <c r="B4242" t="s">
        <v>13</v>
      </c>
      <c r="D4242" s="2">
        <v>41490</v>
      </c>
      <c r="E4242">
        <v>7.25</v>
      </c>
      <c r="G4242" s="2">
        <v>41490</v>
      </c>
      <c r="H4242">
        <v>10.545</v>
      </c>
      <c r="J4242" s="2">
        <v>41497</v>
      </c>
      <c r="K4242" s="3">
        <f t="shared" si="132"/>
        <v>7.25</v>
      </c>
      <c r="L4242" s="3">
        <f t="shared" si="133"/>
        <v>10.053000000000001</v>
      </c>
    </row>
    <row r="4243" spans="1:12" x14ac:dyDescent="0.3">
      <c r="A4243" s="2">
        <v>40760</v>
      </c>
      <c r="B4243" t="s">
        <v>13</v>
      </c>
      <c r="D4243" s="2">
        <v>41491</v>
      </c>
      <c r="E4243">
        <v>7.25</v>
      </c>
      <c r="G4243" s="2">
        <v>41491</v>
      </c>
      <c r="H4243">
        <v>10.026</v>
      </c>
      <c r="J4243" s="2">
        <v>41498</v>
      </c>
      <c r="K4243" s="3">
        <f t="shared" si="132"/>
        <v>7.25</v>
      </c>
      <c r="L4243" s="3">
        <f t="shared" si="133"/>
        <v>10.053000000000001</v>
      </c>
    </row>
    <row r="4244" spans="1:12" x14ac:dyDescent="0.3">
      <c r="A4244" s="2">
        <v>40761</v>
      </c>
      <c r="B4244" t="s">
        <v>13</v>
      </c>
      <c r="D4244" s="2">
        <v>41492</v>
      </c>
      <c r="E4244">
        <v>7.25</v>
      </c>
      <c r="G4244" s="2">
        <v>41492</v>
      </c>
      <c r="H4244">
        <v>10.497</v>
      </c>
      <c r="J4244" s="2">
        <v>41499</v>
      </c>
      <c r="K4244" s="3">
        <f t="shared" si="132"/>
        <v>7.25</v>
      </c>
      <c r="L4244" s="3">
        <f t="shared" si="133"/>
        <v>10.053000000000001</v>
      </c>
    </row>
    <row r="4245" spans="1:12" x14ac:dyDescent="0.3">
      <c r="A4245" s="2">
        <v>40762</v>
      </c>
      <c r="B4245" t="s">
        <v>13</v>
      </c>
      <c r="D4245" s="2">
        <v>41493</v>
      </c>
      <c r="E4245">
        <v>7.25</v>
      </c>
      <c r="G4245" s="2">
        <v>41493</v>
      </c>
      <c r="H4245">
        <v>9.9969999999999999</v>
      </c>
      <c r="J4245" s="2">
        <v>41500</v>
      </c>
      <c r="K4245" s="3">
        <f t="shared" si="132"/>
        <v>7.25</v>
      </c>
      <c r="L4245" s="3">
        <f t="shared" si="133"/>
        <v>10.053000000000001</v>
      </c>
    </row>
    <row r="4246" spans="1:12" x14ac:dyDescent="0.3">
      <c r="A4246" s="2">
        <v>40763</v>
      </c>
      <c r="B4246" t="s">
        <v>13</v>
      </c>
      <c r="D4246" s="2">
        <v>41494</v>
      </c>
      <c r="E4246">
        <v>7.25</v>
      </c>
      <c r="G4246" s="2">
        <v>41494</v>
      </c>
      <c r="H4246">
        <v>10.053000000000001</v>
      </c>
      <c r="J4246" s="2">
        <v>41501</v>
      </c>
      <c r="K4246" s="3">
        <f t="shared" si="132"/>
        <v>7.25</v>
      </c>
      <c r="L4246" s="3">
        <f t="shared" si="133"/>
        <v>10.053000000000001</v>
      </c>
    </row>
    <row r="4247" spans="1:12" x14ac:dyDescent="0.3">
      <c r="A4247" s="2">
        <v>40764</v>
      </c>
      <c r="B4247" t="s">
        <v>13</v>
      </c>
      <c r="D4247" s="2">
        <v>41495</v>
      </c>
      <c r="E4247">
        <v>7.25</v>
      </c>
      <c r="G4247" s="2">
        <v>41495</v>
      </c>
      <c r="H4247">
        <v>10.053000000000001</v>
      </c>
      <c r="J4247" s="2">
        <v>41502</v>
      </c>
      <c r="K4247" s="3">
        <f t="shared" si="132"/>
        <v>7.25</v>
      </c>
      <c r="L4247" s="3">
        <f t="shared" si="133"/>
        <v>10.053000000000001</v>
      </c>
    </row>
    <row r="4248" spans="1:12" x14ac:dyDescent="0.3">
      <c r="A4248" s="2">
        <v>40765</v>
      </c>
      <c r="B4248" t="s">
        <v>13</v>
      </c>
      <c r="D4248" s="2">
        <v>41496</v>
      </c>
      <c r="E4248">
        <v>7.25</v>
      </c>
      <c r="G4248" s="2">
        <v>41496</v>
      </c>
      <c r="H4248">
        <v>10.053000000000001</v>
      </c>
      <c r="J4248" s="2">
        <v>41503</v>
      </c>
      <c r="K4248" s="3">
        <f t="shared" si="132"/>
        <v>7.25</v>
      </c>
      <c r="L4248" s="3">
        <f t="shared" si="133"/>
        <v>10.053000000000001</v>
      </c>
    </row>
    <row r="4249" spans="1:12" x14ac:dyDescent="0.3">
      <c r="A4249" s="2">
        <v>40766</v>
      </c>
      <c r="B4249" t="s">
        <v>13</v>
      </c>
      <c r="D4249" s="2">
        <v>41497</v>
      </c>
      <c r="E4249">
        <v>7.25</v>
      </c>
      <c r="G4249" s="2">
        <v>41497</v>
      </c>
      <c r="H4249">
        <v>10.053000000000001</v>
      </c>
      <c r="J4249" s="2">
        <v>41504</v>
      </c>
      <c r="K4249" s="3">
        <f t="shared" si="132"/>
        <v>7.25</v>
      </c>
      <c r="L4249" s="3">
        <f t="shared" si="133"/>
        <v>10.053000000000001</v>
      </c>
    </row>
    <row r="4250" spans="1:12" x14ac:dyDescent="0.3">
      <c r="A4250" s="2">
        <v>40767</v>
      </c>
      <c r="B4250" t="s">
        <v>13</v>
      </c>
      <c r="D4250" s="2">
        <v>41498</v>
      </c>
      <c r="E4250">
        <v>7.25</v>
      </c>
      <c r="G4250" s="2">
        <v>41498</v>
      </c>
      <c r="H4250">
        <v>10.053000000000001</v>
      </c>
      <c r="J4250" s="2">
        <v>41505</v>
      </c>
      <c r="K4250" s="3">
        <f t="shared" si="132"/>
        <v>7.25</v>
      </c>
      <c r="L4250" s="3">
        <f t="shared" si="133"/>
        <v>10.053000000000001</v>
      </c>
    </row>
    <row r="4251" spans="1:12" x14ac:dyDescent="0.3">
      <c r="A4251" s="2">
        <v>40768</v>
      </c>
      <c r="B4251" t="s">
        <v>13</v>
      </c>
      <c r="D4251" s="2">
        <v>41499</v>
      </c>
      <c r="E4251">
        <v>7.25</v>
      </c>
      <c r="G4251" s="2">
        <v>41499</v>
      </c>
      <c r="H4251">
        <v>10.053000000000001</v>
      </c>
      <c r="J4251" s="2">
        <v>41506</v>
      </c>
      <c r="K4251" s="3">
        <f t="shared" si="132"/>
        <v>7.25</v>
      </c>
      <c r="L4251" s="3">
        <f t="shared" si="133"/>
        <v>10.053000000000001</v>
      </c>
    </row>
    <row r="4252" spans="1:12" x14ac:dyDescent="0.3">
      <c r="A4252" s="2">
        <v>40769</v>
      </c>
      <c r="B4252" t="s">
        <v>13</v>
      </c>
      <c r="D4252" s="2">
        <v>41500</v>
      </c>
      <c r="E4252">
        <v>7.25</v>
      </c>
      <c r="G4252" s="2">
        <v>41500</v>
      </c>
      <c r="H4252">
        <v>10.053000000000001</v>
      </c>
      <c r="J4252" s="2">
        <v>41507</v>
      </c>
      <c r="K4252" s="3">
        <f t="shared" si="132"/>
        <v>7.25</v>
      </c>
      <c r="L4252" s="3">
        <f t="shared" si="133"/>
        <v>10.244999999999999</v>
      </c>
    </row>
    <row r="4253" spans="1:12" x14ac:dyDescent="0.3">
      <c r="A4253" s="2">
        <v>40770</v>
      </c>
      <c r="B4253" t="s">
        <v>13</v>
      </c>
      <c r="D4253" s="2">
        <v>41501</v>
      </c>
      <c r="E4253">
        <v>7.25</v>
      </c>
      <c r="G4253" s="2">
        <v>41501</v>
      </c>
      <c r="H4253">
        <v>10.053000000000001</v>
      </c>
      <c r="J4253" s="2">
        <v>41508</v>
      </c>
      <c r="K4253" s="3">
        <f t="shared" si="132"/>
        <v>7.25</v>
      </c>
      <c r="L4253" s="3">
        <f t="shared" si="133"/>
        <v>10.244999999999999</v>
      </c>
    </row>
    <row r="4254" spans="1:12" x14ac:dyDescent="0.3">
      <c r="A4254" s="2">
        <v>40771</v>
      </c>
      <c r="B4254" t="s">
        <v>13</v>
      </c>
      <c r="D4254" s="2">
        <v>41502</v>
      </c>
      <c r="E4254">
        <v>7.25</v>
      </c>
      <c r="G4254" s="2">
        <v>41502</v>
      </c>
      <c r="H4254">
        <v>10.053000000000001</v>
      </c>
      <c r="J4254" s="2">
        <v>41509</v>
      </c>
      <c r="K4254" s="3">
        <f t="shared" si="132"/>
        <v>7.25</v>
      </c>
      <c r="L4254" s="3">
        <f t="shared" si="133"/>
        <v>10.244999999999999</v>
      </c>
    </row>
    <row r="4255" spans="1:12" x14ac:dyDescent="0.3">
      <c r="A4255" s="2">
        <v>40772</v>
      </c>
      <c r="B4255" t="s">
        <v>13</v>
      </c>
      <c r="D4255" s="2">
        <v>41503</v>
      </c>
      <c r="E4255">
        <v>7.25</v>
      </c>
      <c r="G4255" s="2">
        <v>41503</v>
      </c>
      <c r="H4255">
        <v>10.053000000000001</v>
      </c>
      <c r="J4255" s="2">
        <v>41510</v>
      </c>
      <c r="K4255" s="3">
        <f t="shared" si="132"/>
        <v>7.25</v>
      </c>
      <c r="L4255" s="3">
        <f t="shared" si="133"/>
        <v>10.244999999999999</v>
      </c>
    </row>
    <row r="4256" spans="1:12" x14ac:dyDescent="0.3">
      <c r="A4256" s="2">
        <v>40773</v>
      </c>
      <c r="B4256" t="s">
        <v>13</v>
      </c>
      <c r="D4256" s="2">
        <v>41504</v>
      </c>
      <c r="E4256">
        <v>7.25</v>
      </c>
      <c r="G4256" s="2">
        <v>41504</v>
      </c>
      <c r="H4256">
        <v>10.053000000000001</v>
      </c>
      <c r="J4256" s="2">
        <v>41511</v>
      </c>
      <c r="K4256" s="3">
        <f t="shared" si="132"/>
        <v>7.25</v>
      </c>
      <c r="L4256" s="3">
        <f t="shared" si="133"/>
        <v>10.244999999999999</v>
      </c>
    </row>
    <row r="4257" spans="1:12" x14ac:dyDescent="0.3">
      <c r="A4257" s="2">
        <v>40774</v>
      </c>
      <c r="B4257" t="s">
        <v>13</v>
      </c>
      <c r="D4257" s="2">
        <v>41505</v>
      </c>
      <c r="E4257">
        <v>7.25</v>
      </c>
      <c r="G4257" s="2">
        <v>41505</v>
      </c>
      <c r="H4257">
        <v>10.053000000000001</v>
      </c>
      <c r="J4257" s="2">
        <v>41512</v>
      </c>
      <c r="K4257" s="3">
        <f t="shared" si="132"/>
        <v>7.25</v>
      </c>
      <c r="L4257" s="3">
        <f t="shared" si="133"/>
        <v>10.244999999999999</v>
      </c>
    </row>
    <row r="4258" spans="1:12" x14ac:dyDescent="0.3">
      <c r="A4258" s="2">
        <v>40775</v>
      </c>
      <c r="B4258" t="s">
        <v>13</v>
      </c>
      <c r="D4258" s="2">
        <v>41506</v>
      </c>
      <c r="E4258">
        <v>7.25</v>
      </c>
      <c r="G4258" s="2">
        <v>41506</v>
      </c>
      <c r="H4258">
        <v>10.053000000000001</v>
      </c>
      <c r="J4258" s="2">
        <v>41513</v>
      </c>
      <c r="K4258" s="3">
        <f t="shared" si="132"/>
        <v>7.25</v>
      </c>
      <c r="L4258" s="3">
        <f t="shared" si="133"/>
        <v>10.244999999999999</v>
      </c>
    </row>
    <row r="4259" spans="1:12" x14ac:dyDescent="0.3">
      <c r="A4259" s="2">
        <v>40776</v>
      </c>
      <c r="B4259" t="s">
        <v>13</v>
      </c>
      <c r="D4259" s="2">
        <v>41507</v>
      </c>
      <c r="E4259">
        <v>7.25</v>
      </c>
      <c r="G4259" s="2">
        <v>41507</v>
      </c>
      <c r="H4259">
        <v>10.244999999999999</v>
      </c>
      <c r="J4259" s="2">
        <v>41514</v>
      </c>
      <c r="K4259" s="3">
        <f t="shared" si="132"/>
        <v>7.25</v>
      </c>
      <c r="L4259" s="3">
        <f t="shared" si="133"/>
        <v>10.244999999999999</v>
      </c>
    </row>
    <row r="4260" spans="1:12" x14ac:dyDescent="0.3">
      <c r="A4260" s="2">
        <v>40777</v>
      </c>
      <c r="B4260" t="s">
        <v>13</v>
      </c>
      <c r="D4260" s="2">
        <v>41508</v>
      </c>
      <c r="E4260">
        <v>7.25</v>
      </c>
      <c r="G4260" s="2">
        <v>41508</v>
      </c>
      <c r="H4260">
        <v>10.244999999999999</v>
      </c>
      <c r="J4260" s="2">
        <v>41515</v>
      </c>
      <c r="K4260" s="3">
        <f t="shared" si="132"/>
        <v>7.25</v>
      </c>
      <c r="L4260" s="3">
        <f t="shared" si="133"/>
        <v>10.779</v>
      </c>
    </row>
    <row r="4261" spans="1:12" x14ac:dyDescent="0.3">
      <c r="A4261" s="2">
        <v>40778</v>
      </c>
      <c r="B4261" t="s">
        <v>13</v>
      </c>
      <c r="D4261" s="2">
        <v>41509</v>
      </c>
      <c r="E4261">
        <v>7.25</v>
      </c>
      <c r="G4261" s="2">
        <v>41509</v>
      </c>
      <c r="H4261">
        <v>10.244999999999999</v>
      </c>
      <c r="J4261" s="2">
        <v>41516</v>
      </c>
      <c r="K4261" s="3">
        <f t="shared" si="132"/>
        <v>7.25</v>
      </c>
      <c r="L4261" s="3">
        <f t="shared" si="133"/>
        <v>10.273</v>
      </c>
    </row>
    <row r="4262" spans="1:12" x14ac:dyDescent="0.3">
      <c r="A4262" s="2">
        <v>40779</v>
      </c>
      <c r="B4262" t="s">
        <v>13</v>
      </c>
      <c r="D4262" s="2">
        <v>41510</v>
      </c>
      <c r="E4262">
        <v>7.25</v>
      </c>
      <c r="G4262" s="2">
        <v>41510</v>
      </c>
      <c r="H4262">
        <v>10.244999999999999</v>
      </c>
      <c r="J4262" s="2">
        <v>41517</v>
      </c>
      <c r="K4262" s="3">
        <f t="shared" si="132"/>
        <v>7.25</v>
      </c>
      <c r="L4262" s="3">
        <f t="shared" si="133"/>
        <v>10.273</v>
      </c>
    </row>
    <row r="4263" spans="1:12" x14ac:dyDescent="0.3">
      <c r="A4263" s="2">
        <v>40780</v>
      </c>
      <c r="B4263" t="s">
        <v>13</v>
      </c>
      <c r="D4263" s="2">
        <v>41511</v>
      </c>
      <c r="E4263">
        <v>7.25</v>
      </c>
      <c r="G4263" s="2">
        <v>41511</v>
      </c>
      <c r="H4263">
        <v>10.244999999999999</v>
      </c>
      <c r="J4263" s="2">
        <v>41518</v>
      </c>
      <c r="K4263" s="3">
        <f t="shared" si="132"/>
        <v>7.25</v>
      </c>
      <c r="L4263" s="3">
        <f t="shared" si="133"/>
        <v>10.273</v>
      </c>
    </row>
    <row r="4264" spans="1:12" x14ac:dyDescent="0.3">
      <c r="A4264" s="2">
        <v>40781</v>
      </c>
      <c r="B4264" t="s">
        <v>13</v>
      </c>
      <c r="D4264" s="2">
        <v>41512</v>
      </c>
      <c r="E4264">
        <v>7.25</v>
      </c>
      <c r="G4264" s="2">
        <v>41512</v>
      </c>
      <c r="H4264">
        <v>10.244999999999999</v>
      </c>
      <c r="J4264" s="2">
        <v>41519</v>
      </c>
      <c r="K4264" s="3">
        <f t="shared" si="132"/>
        <v>7.25</v>
      </c>
      <c r="L4264" s="3">
        <f t="shared" si="133"/>
        <v>10.273</v>
      </c>
    </row>
    <row r="4265" spans="1:12" x14ac:dyDescent="0.3">
      <c r="A4265" s="2">
        <v>40782</v>
      </c>
      <c r="B4265" t="s">
        <v>13</v>
      </c>
      <c r="D4265" s="2">
        <v>41513</v>
      </c>
      <c r="E4265">
        <v>7.25</v>
      </c>
      <c r="G4265" s="2">
        <v>41513</v>
      </c>
      <c r="H4265">
        <v>10.244999999999999</v>
      </c>
      <c r="J4265" s="2">
        <v>41520</v>
      </c>
      <c r="K4265" s="3">
        <f t="shared" si="132"/>
        <v>7.25</v>
      </c>
      <c r="L4265" s="3">
        <f t="shared" si="133"/>
        <v>10.273</v>
      </c>
    </row>
    <row r="4266" spans="1:12" x14ac:dyDescent="0.3">
      <c r="A4266" s="2">
        <v>40783</v>
      </c>
      <c r="B4266" t="s">
        <v>13</v>
      </c>
      <c r="D4266" s="2">
        <v>41514</v>
      </c>
      <c r="E4266">
        <v>7.25</v>
      </c>
      <c r="G4266" s="2">
        <v>41514</v>
      </c>
      <c r="H4266">
        <v>10.244999999999999</v>
      </c>
      <c r="J4266" s="2">
        <v>41521</v>
      </c>
      <c r="K4266" s="3">
        <f t="shared" si="132"/>
        <v>7.25</v>
      </c>
      <c r="L4266" s="3">
        <f t="shared" si="133"/>
        <v>10.273</v>
      </c>
    </row>
    <row r="4267" spans="1:12" x14ac:dyDescent="0.3">
      <c r="A4267" s="2">
        <v>40784</v>
      </c>
      <c r="B4267" t="s">
        <v>13</v>
      </c>
      <c r="D4267" s="2">
        <v>41515</v>
      </c>
      <c r="E4267">
        <v>7.25</v>
      </c>
      <c r="G4267" s="2">
        <v>41515</v>
      </c>
      <c r="H4267">
        <v>10.779</v>
      </c>
      <c r="J4267" s="2">
        <v>41522</v>
      </c>
      <c r="K4267" s="3">
        <f t="shared" si="132"/>
        <v>7.25</v>
      </c>
      <c r="L4267" s="3">
        <f t="shared" si="133"/>
        <v>9.7149999999999999</v>
      </c>
    </row>
    <row r="4268" spans="1:12" x14ac:dyDescent="0.3">
      <c r="A4268" s="2">
        <v>40785</v>
      </c>
      <c r="B4268" t="s">
        <v>13</v>
      </c>
      <c r="D4268" s="2">
        <v>41516</v>
      </c>
      <c r="E4268">
        <v>7.25</v>
      </c>
      <c r="G4268" s="2">
        <v>41516</v>
      </c>
      <c r="H4268">
        <v>10.273</v>
      </c>
      <c r="J4268" s="2">
        <v>41523</v>
      </c>
      <c r="K4268" s="3">
        <f t="shared" si="132"/>
        <v>7.25</v>
      </c>
      <c r="L4268" s="3">
        <f t="shared" si="133"/>
        <v>9.7040000000000006</v>
      </c>
    </row>
    <row r="4269" spans="1:12" x14ac:dyDescent="0.3">
      <c r="A4269" s="2">
        <v>40786</v>
      </c>
      <c r="B4269" t="s">
        <v>13</v>
      </c>
      <c r="D4269" s="2">
        <v>41517</v>
      </c>
      <c r="E4269">
        <v>7.25</v>
      </c>
      <c r="G4269" s="2">
        <v>41517</v>
      </c>
      <c r="H4269">
        <v>10.273</v>
      </c>
      <c r="J4269" s="2">
        <v>41524</v>
      </c>
      <c r="K4269" s="3">
        <f t="shared" si="132"/>
        <v>7.25</v>
      </c>
      <c r="L4269" s="3">
        <f t="shared" si="133"/>
        <v>9.7040000000000006</v>
      </c>
    </row>
    <row r="4270" spans="1:12" x14ac:dyDescent="0.3">
      <c r="A4270" s="2">
        <v>40787</v>
      </c>
      <c r="B4270" t="s">
        <v>13</v>
      </c>
      <c r="D4270" s="2">
        <v>41518</v>
      </c>
      <c r="E4270">
        <v>7.25</v>
      </c>
      <c r="G4270" s="2">
        <v>41518</v>
      </c>
      <c r="H4270">
        <v>10.273</v>
      </c>
      <c r="J4270" s="2">
        <v>41525</v>
      </c>
      <c r="K4270" s="3">
        <f t="shared" si="132"/>
        <v>7.25</v>
      </c>
      <c r="L4270" s="3">
        <f t="shared" si="133"/>
        <v>9.7040000000000006</v>
      </c>
    </row>
    <row r="4271" spans="1:12" x14ac:dyDescent="0.3">
      <c r="A4271" s="2">
        <v>40788</v>
      </c>
      <c r="B4271" t="s">
        <v>13</v>
      </c>
      <c r="D4271" s="2">
        <v>41519</v>
      </c>
      <c r="E4271">
        <v>7.25</v>
      </c>
      <c r="G4271" s="2">
        <v>41519</v>
      </c>
      <c r="H4271">
        <v>10.273</v>
      </c>
      <c r="J4271" s="2">
        <v>41526</v>
      </c>
      <c r="K4271" s="3">
        <f t="shared" si="132"/>
        <v>7.25</v>
      </c>
      <c r="L4271" s="3">
        <f t="shared" si="133"/>
        <v>9.7040000000000006</v>
      </c>
    </row>
    <row r="4272" spans="1:12" x14ac:dyDescent="0.3">
      <c r="A4272" s="2">
        <v>40789</v>
      </c>
      <c r="B4272" t="s">
        <v>13</v>
      </c>
      <c r="D4272" s="2">
        <v>41520</v>
      </c>
      <c r="E4272">
        <v>7.25</v>
      </c>
      <c r="G4272" s="2">
        <v>41520</v>
      </c>
      <c r="H4272">
        <v>10.273</v>
      </c>
      <c r="J4272" s="2">
        <v>41527</v>
      </c>
      <c r="K4272" s="3">
        <f t="shared" si="132"/>
        <v>7.25</v>
      </c>
      <c r="L4272" s="3">
        <f t="shared" si="133"/>
        <v>9.7040000000000006</v>
      </c>
    </row>
    <row r="4273" spans="1:12" x14ac:dyDescent="0.3">
      <c r="A4273" s="2">
        <v>40790</v>
      </c>
      <c r="B4273" t="s">
        <v>13</v>
      </c>
      <c r="D4273" s="2">
        <v>41521</v>
      </c>
      <c r="E4273">
        <v>7.25</v>
      </c>
      <c r="G4273" s="2">
        <v>41521</v>
      </c>
      <c r="H4273">
        <v>10.273</v>
      </c>
      <c r="J4273" s="2">
        <v>41528</v>
      </c>
      <c r="K4273" s="3">
        <f t="shared" si="132"/>
        <v>7.25</v>
      </c>
      <c r="L4273" s="3">
        <f t="shared" si="133"/>
        <v>9.8000000000000007</v>
      </c>
    </row>
    <row r="4274" spans="1:12" x14ac:dyDescent="0.3">
      <c r="A4274" s="2">
        <v>40791</v>
      </c>
      <c r="B4274" t="s">
        <v>13</v>
      </c>
      <c r="D4274" s="2">
        <v>41522</v>
      </c>
      <c r="E4274">
        <v>7.25</v>
      </c>
      <c r="G4274" s="2">
        <v>41522</v>
      </c>
      <c r="H4274">
        <v>9.7149999999999999</v>
      </c>
      <c r="J4274" s="2">
        <v>41529</v>
      </c>
      <c r="K4274" s="3">
        <f t="shared" si="132"/>
        <v>7.25</v>
      </c>
      <c r="L4274" s="3">
        <f t="shared" si="133"/>
        <v>10.007999999999999</v>
      </c>
    </row>
    <row r="4275" spans="1:12" x14ac:dyDescent="0.3">
      <c r="A4275" s="2">
        <v>40792</v>
      </c>
      <c r="B4275" t="s">
        <v>13</v>
      </c>
      <c r="D4275" s="2">
        <v>41523</v>
      </c>
      <c r="E4275">
        <v>7.25</v>
      </c>
      <c r="G4275" s="2">
        <v>41523</v>
      </c>
      <c r="H4275">
        <v>9.7040000000000006</v>
      </c>
      <c r="J4275" s="2">
        <v>41530</v>
      </c>
      <c r="K4275" s="3">
        <f t="shared" si="132"/>
        <v>7.25</v>
      </c>
      <c r="L4275" s="3">
        <f t="shared" si="133"/>
        <v>9.8109999999999999</v>
      </c>
    </row>
    <row r="4276" spans="1:12" x14ac:dyDescent="0.3">
      <c r="A4276" s="2">
        <v>40793</v>
      </c>
      <c r="B4276" t="s">
        <v>13</v>
      </c>
      <c r="D4276" s="2">
        <v>41524</v>
      </c>
      <c r="E4276">
        <v>7.25</v>
      </c>
      <c r="G4276" s="2">
        <v>41524</v>
      </c>
      <c r="H4276">
        <v>9.7040000000000006</v>
      </c>
      <c r="J4276" s="2">
        <v>41531</v>
      </c>
      <c r="K4276" s="3">
        <f t="shared" si="132"/>
        <v>7.25</v>
      </c>
      <c r="L4276" s="3">
        <f t="shared" si="133"/>
        <v>9.8109999999999999</v>
      </c>
    </row>
    <row r="4277" spans="1:12" x14ac:dyDescent="0.3">
      <c r="A4277" s="2">
        <v>40794</v>
      </c>
      <c r="B4277" t="s">
        <v>13</v>
      </c>
      <c r="D4277" s="2">
        <v>41525</v>
      </c>
      <c r="E4277">
        <v>7.25</v>
      </c>
      <c r="G4277" s="2">
        <v>41525</v>
      </c>
      <c r="H4277">
        <v>9.7040000000000006</v>
      </c>
      <c r="J4277" s="2">
        <v>41532</v>
      </c>
      <c r="K4277" s="3">
        <f t="shared" si="132"/>
        <v>7.25</v>
      </c>
      <c r="L4277" s="3">
        <f t="shared" si="133"/>
        <v>9.8109999999999999</v>
      </c>
    </row>
    <row r="4278" spans="1:12" x14ac:dyDescent="0.3">
      <c r="A4278" s="2">
        <v>40795</v>
      </c>
      <c r="B4278" t="s">
        <v>13</v>
      </c>
      <c r="D4278" s="2">
        <v>41526</v>
      </c>
      <c r="E4278">
        <v>7.25</v>
      </c>
      <c r="G4278" s="2">
        <v>41526</v>
      </c>
      <c r="H4278">
        <v>9.7040000000000006</v>
      </c>
      <c r="J4278" s="2">
        <v>41533</v>
      </c>
      <c r="K4278" s="3">
        <f t="shared" si="132"/>
        <v>7.25</v>
      </c>
      <c r="L4278" s="3">
        <f t="shared" si="133"/>
        <v>9.8109999999999999</v>
      </c>
    </row>
    <row r="4279" spans="1:12" x14ac:dyDescent="0.3">
      <c r="A4279" s="2">
        <v>40796</v>
      </c>
      <c r="B4279" t="s">
        <v>13</v>
      </c>
      <c r="D4279" s="2">
        <v>41527</v>
      </c>
      <c r="E4279">
        <v>7.25</v>
      </c>
      <c r="G4279" s="2">
        <v>41527</v>
      </c>
      <c r="H4279">
        <v>9.7040000000000006</v>
      </c>
      <c r="J4279" s="2">
        <v>41534</v>
      </c>
      <c r="K4279" s="3">
        <f t="shared" si="132"/>
        <v>7.25</v>
      </c>
      <c r="L4279" s="3">
        <f t="shared" si="133"/>
        <v>9.8239999999999998</v>
      </c>
    </row>
    <row r="4280" spans="1:12" x14ac:dyDescent="0.3">
      <c r="A4280" s="2">
        <v>40797</v>
      </c>
      <c r="B4280" t="s">
        <v>13</v>
      </c>
      <c r="D4280" s="2">
        <v>41528</v>
      </c>
      <c r="E4280">
        <v>7.25</v>
      </c>
      <c r="G4280" s="2">
        <v>41528</v>
      </c>
      <c r="H4280">
        <v>9.8000000000000007</v>
      </c>
      <c r="J4280" s="2">
        <v>41535</v>
      </c>
      <c r="K4280" s="3">
        <f t="shared" si="132"/>
        <v>7.25</v>
      </c>
      <c r="L4280" s="3">
        <f t="shared" si="133"/>
        <v>9.7949999999999999</v>
      </c>
    </row>
    <row r="4281" spans="1:12" x14ac:dyDescent="0.3">
      <c r="A4281" s="2">
        <v>40798</v>
      </c>
      <c r="B4281" t="s">
        <v>13</v>
      </c>
      <c r="D4281" s="2">
        <v>41529</v>
      </c>
      <c r="E4281">
        <v>7.25</v>
      </c>
      <c r="G4281" s="2">
        <v>41529</v>
      </c>
      <c r="H4281">
        <v>10.007999999999999</v>
      </c>
      <c r="J4281" s="2">
        <v>41536</v>
      </c>
      <c r="K4281" s="3">
        <f t="shared" si="132"/>
        <v>7.25</v>
      </c>
      <c r="L4281" s="3">
        <f t="shared" si="133"/>
        <v>9.7949999999999999</v>
      </c>
    </row>
    <row r="4282" spans="1:12" x14ac:dyDescent="0.3">
      <c r="A4282" s="2">
        <v>40799</v>
      </c>
      <c r="B4282" t="s">
        <v>13</v>
      </c>
      <c r="D4282" s="2">
        <v>41530</v>
      </c>
      <c r="E4282">
        <v>7.25</v>
      </c>
      <c r="G4282" s="2">
        <v>41530</v>
      </c>
      <c r="H4282">
        <v>9.8109999999999999</v>
      </c>
      <c r="J4282" s="2">
        <v>41537</v>
      </c>
      <c r="K4282" s="3">
        <f t="shared" si="132"/>
        <v>7.5</v>
      </c>
      <c r="L4282" s="3">
        <f t="shared" si="133"/>
        <v>9.7949999999999999</v>
      </c>
    </row>
    <row r="4283" spans="1:12" x14ac:dyDescent="0.3">
      <c r="A4283" s="2">
        <v>40800</v>
      </c>
      <c r="B4283" t="s">
        <v>13</v>
      </c>
      <c r="D4283" s="2">
        <v>41531</v>
      </c>
      <c r="E4283">
        <v>7.25</v>
      </c>
      <c r="G4283" s="2">
        <v>41531</v>
      </c>
      <c r="H4283">
        <v>9.8109999999999999</v>
      </c>
      <c r="J4283" s="2">
        <v>41538</v>
      </c>
      <c r="K4283" s="3">
        <f t="shared" si="132"/>
        <v>7.5</v>
      </c>
      <c r="L4283" s="3">
        <f t="shared" si="133"/>
        <v>9.7949999999999999</v>
      </c>
    </row>
    <row r="4284" spans="1:12" x14ac:dyDescent="0.3">
      <c r="A4284" s="2">
        <v>40801</v>
      </c>
      <c r="B4284" t="s">
        <v>13</v>
      </c>
      <c r="D4284" s="2">
        <v>41532</v>
      </c>
      <c r="E4284">
        <v>7.25</v>
      </c>
      <c r="G4284" s="2">
        <v>41532</v>
      </c>
      <c r="H4284">
        <v>9.8109999999999999</v>
      </c>
      <c r="J4284" s="2">
        <v>41539</v>
      </c>
      <c r="K4284" s="3">
        <f t="shared" si="132"/>
        <v>7.5</v>
      </c>
      <c r="L4284" s="3">
        <f t="shared" si="133"/>
        <v>9.7949999999999999</v>
      </c>
    </row>
    <row r="4285" spans="1:12" x14ac:dyDescent="0.3">
      <c r="A4285" s="2">
        <v>40802</v>
      </c>
      <c r="B4285" t="s">
        <v>13</v>
      </c>
      <c r="D4285" s="2">
        <v>41533</v>
      </c>
      <c r="E4285">
        <v>7.25</v>
      </c>
      <c r="G4285" s="2">
        <v>41533</v>
      </c>
      <c r="H4285">
        <v>9.8109999999999999</v>
      </c>
      <c r="J4285" s="2">
        <v>41540</v>
      </c>
      <c r="K4285" s="3">
        <f t="shared" si="132"/>
        <v>7.5</v>
      </c>
      <c r="L4285" s="3">
        <f t="shared" si="133"/>
        <v>9.7949999999999999</v>
      </c>
    </row>
    <row r="4286" spans="1:12" x14ac:dyDescent="0.3">
      <c r="A4286" s="2">
        <v>40803</v>
      </c>
      <c r="B4286" t="s">
        <v>13</v>
      </c>
      <c r="D4286" s="2">
        <v>41534</v>
      </c>
      <c r="E4286">
        <v>7.25</v>
      </c>
      <c r="G4286" s="2">
        <v>41534</v>
      </c>
      <c r="H4286">
        <v>9.8239999999999998</v>
      </c>
      <c r="J4286" s="2">
        <v>41541</v>
      </c>
      <c r="K4286" s="3">
        <f t="shared" si="132"/>
        <v>7.5</v>
      </c>
      <c r="L4286" s="3">
        <f t="shared" si="133"/>
        <v>9.7949999999999999</v>
      </c>
    </row>
    <row r="4287" spans="1:12" x14ac:dyDescent="0.3">
      <c r="A4287" s="2">
        <v>40804</v>
      </c>
      <c r="B4287" t="s">
        <v>13</v>
      </c>
      <c r="D4287" s="2">
        <v>41535</v>
      </c>
      <c r="E4287">
        <v>7.25</v>
      </c>
      <c r="G4287" s="2">
        <v>41535</v>
      </c>
      <c r="H4287">
        <v>9.7949999999999999</v>
      </c>
      <c r="J4287" s="2">
        <v>41542</v>
      </c>
      <c r="K4287" s="3">
        <f t="shared" si="132"/>
        <v>7.5</v>
      </c>
      <c r="L4287" s="3">
        <f t="shared" si="133"/>
        <v>9.6959999999999997</v>
      </c>
    </row>
    <row r="4288" spans="1:12" x14ac:dyDescent="0.3">
      <c r="A4288" s="2">
        <v>40805</v>
      </c>
      <c r="B4288" t="s">
        <v>13</v>
      </c>
      <c r="D4288" s="2">
        <v>41536</v>
      </c>
      <c r="E4288">
        <v>7.25</v>
      </c>
      <c r="G4288" s="2">
        <v>41536</v>
      </c>
      <c r="H4288">
        <v>9.7949999999999999</v>
      </c>
      <c r="J4288" s="2">
        <v>41543</v>
      </c>
      <c r="K4288" s="3">
        <f t="shared" si="132"/>
        <v>7.5</v>
      </c>
      <c r="L4288" s="3">
        <f t="shared" si="133"/>
        <v>9.3889999999999993</v>
      </c>
    </row>
    <row r="4289" spans="1:12" x14ac:dyDescent="0.3">
      <c r="A4289" s="2">
        <v>40806</v>
      </c>
      <c r="B4289" t="s">
        <v>13</v>
      </c>
      <c r="D4289" s="2">
        <v>41537</v>
      </c>
      <c r="E4289">
        <v>7.5</v>
      </c>
      <c r="G4289" s="2">
        <v>41537</v>
      </c>
      <c r="H4289">
        <v>9.7949999999999999</v>
      </c>
      <c r="J4289" s="2">
        <v>41544</v>
      </c>
      <c r="K4289" s="3">
        <f t="shared" si="132"/>
        <v>7.5</v>
      </c>
      <c r="L4289" s="3">
        <f t="shared" si="133"/>
        <v>9.3330000000000002</v>
      </c>
    </row>
    <row r="4290" spans="1:12" x14ac:dyDescent="0.3">
      <c r="A4290" s="2">
        <v>40807</v>
      </c>
      <c r="B4290" t="s">
        <v>13</v>
      </c>
      <c r="D4290" s="2">
        <v>41538</v>
      </c>
      <c r="E4290">
        <v>7.5</v>
      </c>
      <c r="G4290" s="2">
        <v>41538</v>
      </c>
      <c r="H4290">
        <v>9.7949999999999999</v>
      </c>
      <c r="J4290" s="2">
        <v>41545</v>
      </c>
      <c r="K4290" s="3">
        <f t="shared" si="132"/>
        <v>7.5</v>
      </c>
      <c r="L4290" s="3">
        <f t="shared" si="133"/>
        <v>9.3330000000000002</v>
      </c>
    </row>
    <row r="4291" spans="1:12" x14ac:dyDescent="0.3">
      <c r="A4291" s="2">
        <v>40808</v>
      </c>
      <c r="B4291" t="s">
        <v>13</v>
      </c>
      <c r="D4291" s="2">
        <v>41539</v>
      </c>
      <c r="E4291">
        <v>7.5</v>
      </c>
      <c r="G4291" s="2">
        <v>41539</v>
      </c>
      <c r="H4291">
        <v>9.7949999999999999</v>
      </c>
      <c r="J4291" s="2">
        <v>41546</v>
      </c>
      <c r="K4291" s="3">
        <f t="shared" ref="K4291:K4354" si="134">E4298</f>
        <v>7.5</v>
      </c>
      <c r="L4291" s="3">
        <f t="shared" ref="L4291:L4354" si="135">H4298</f>
        <v>9.3330000000000002</v>
      </c>
    </row>
    <row r="4292" spans="1:12" x14ac:dyDescent="0.3">
      <c r="A4292" s="2">
        <v>40809</v>
      </c>
      <c r="B4292" t="s">
        <v>13</v>
      </c>
      <c r="D4292" s="2">
        <v>41540</v>
      </c>
      <c r="E4292">
        <v>7.5</v>
      </c>
      <c r="G4292" s="2">
        <v>41540</v>
      </c>
      <c r="H4292">
        <v>9.7949999999999999</v>
      </c>
      <c r="J4292" s="2">
        <v>41547</v>
      </c>
      <c r="K4292" s="3">
        <f t="shared" si="134"/>
        <v>7.5</v>
      </c>
      <c r="L4292" s="3">
        <f t="shared" si="135"/>
        <v>9.1829999999999998</v>
      </c>
    </row>
    <row r="4293" spans="1:12" x14ac:dyDescent="0.3">
      <c r="A4293" s="2">
        <v>40810</v>
      </c>
      <c r="B4293" t="s">
        <v>13</v>
      </c>
      <c r="D4293" s="2">
        <v>41541</v>
      </c>
      <c r="E4293">
        <v>7.5</v>
      </c>
      <c r="G4293" s="2">
        <v>41541</v>
      </c>
      <c r="H4293">
        <v>9.7949999999999999</v>
      </c>
      <c r="J4293" s="2">
        <v>41548</v>
      </c>
      <c r="K4293" s="3">
        <f t="shared" si="134"/>
        <v>7.5</v>
      </c>
      <c r="L4293" s="3">
        <f t="shared" si="135"/>
        <v>9.19</v>
      </c>
    </row>
    <row r="4294" spans="1:12" x14ac:dyDescent="0.3">
      <c r="A4294" s="2">
        <v>40811</v>
      </c>
      <c r="B4294" t="s">
        <v>13</v>
      </c>
      <c r="D4294" s="2">
        <v>41542</v>
      </c>
      <c r="E4294">
        <v>7.5</v>
      </c>
      <c r="G4294" s="2">
        <v>41542</v>
      </c>
      <c r="H4294">
        <v>9.6959999999999997</v>
      </c>
      <c r="J4294" s="2">
        <v>41549</v>
      </c>
      <c r="K4294" s="3">
        <f t="shared" si="134"/>
        <v>7.5</v>
      </c>
      <c r="L4294" s="3">
        <f t="shared" si="135"/>
        <v>9.19</v>
      </c>
    </row>
    <row r="4295" spans="1:12" x14ac:dyDescent="0.3">
      <c r="A4295" s="2">
        <v>40812</v>
      </c>
      <c r="B4295" t="s">
        <v>13</v>
      </c>
      <c r="D4295" s="2">
        <v>41543</v>
      </c>
      <c r="E4295">
        <v>7.5</v>
      </c>
      <c r="G4295" s="2">
        <v>41543</v>
      </c>
      <c r="H4295">
        <v>9.3889999999999993</v>
      </c>
      <c r="J4295" s="2">
        <v>41550</v>
      </c>
      <c r="K4295" s="3">
        <f t="shared" si="134"/>
        <v>7.5</v>
      </c>
      <c r="L4295" s="3">
        <f t="shared" si="135"/>
        <v>9.19</v>
      </c>
    </row>
    <row r="4296" spans="1:12" x14ac:dyDescent="0.3">
      <c r="A4296" s="2">
        <v>40813</v>
      </c>
      <c r="B4296" t="s">
        <v>13</v>
      </c>
      <c r="D4296" s="2">
        <v>41544</v>
      </c>
      <c r="E4296">
        <v>7.5</v>
      </c>
      <c r="G4296" s="2">
        <v>41544</v>
      </c>
      <c r="H4296">
        <v>9.3330000000000002</v>
      </c>
      <c r="J4296" s="2">
        <v>41551</v>
      </c>
      <c r="K4296" s="3">
        <f t="shared" si="134"/>
        <v>7.5</v>
      </c>
      <c r="L4296" s="3">
        <f t="shared" si="135"/>
        <v>9.1029999999999998</v>
      </c>
    </row>
    <row r="4297" spans="1:12" x14ac:dyDescent="0.3">
      <c r="A4297" s="2">
        <v>40814</v>
      </c>
      <c r="B4297" t="s">
        <v>13</v>
      </c>
      <c r="D4297" s="2">
        <v>41545</v>
      </c>
      <c r="E4297">
        <v>7.5</v>
      </c>
      <c r="G4297" s="2">
        <v>41545</v>
      </c>
      <c r="H4297">
        <v>9.3330000000000002</v>
      </c>
      <c r="J4297" s="2">
        <v>41552</v>
      </c>
      <c r="K4297" s="3">
        <f t="shared" si="134"/>
        <v>7.5</v>
      </c>
      <c r="L4297" s="3">
        <f t="shared" si="135"/>
        <v>9.1029999999999998</v>
      </c>
    </row>
    <row r="4298" spans="1:12" x14ac:dyDescent="0.3">
      <c r="A4298" s="2">
        <v>40815</v>
      </c>
      <c r="B4298" t="s">
        <v>13</v>
      </c>
      <c r="D4298" s="2">
        <v>41546</v>
      </c>
      <c r="E4298">
        <v>7.5</v>
      </c>
      <c r="G4298" s="2">
        <v>41546</v>
      </c>
      <c r="H4298">
        <v>9.3330000000000002</v>
      </c>
      <c r="J4298" s="2">
        <v>41553</v>
      </c>
      <c r="K4298" s="3">
        <f t="shared" si="134"/>
        <v>7.5</v>
      </c>
      <c r="L4298" s="3">
        <f t="shared" si="135"/>
        <v>9.1029999999999998</v>
      </c>
    </row>
    <row r="4299" spans="1:12" x14ac:dyDescent="0.3">
      <c r="A4299" s="2">
        <v>40816</v>
      </c>
      <c r="B4299" t="s">
        <v>13</v>
      </c>
      <c r="D4299" s="2">
        <v>41547</v>
      </c>
      <c r="E4299">
        <v>7.5</v>
      </c>
      <c r="G4299" s="2">
        <v>41547</v>
      </c>
      <c r="H4299">
        <v>9.1829999999999998</v>
      </c>
      <c r="J4299" s="2">
        <v>41554</v>
      </c>
      <c r="K4299" s="3">
        <f t="shared" si="134"/>
        <v>7.5</v>
      </c>
      <c r="L4299" s="3">
        <f t="shared" si="135"/>
        <v>9.1029999999999998</v>
      </c>
    </row>
    <row r="4300" spans="1:12" x14ac:dyDescent="0.3">
      <c r="A4300" s="2">
        <v>40817</v>
      </c>
      <c r="B4300" t="s">
        <v>13</v>
      </c>
      <c r="D4300" s="2">
        <v>41548</v>
      </c>
      <c r="E4300">
        <v>7.5</v>
      </c>
      <c r="G4300" s="2">
        <v>41548</v>
      </c>
      <c r="H4300">
        <v>9.19</v>
      </c>
      <c r="J4300" s="2">
        <v>41555</v>
      </c>
      <c r="K4300" s="3">
        <f t="shared" si="134"/>
        <v>7.5</v>
      </c>
      <c r="L4300" s="3">
        <f t="shared" si="135"/>
        <v>8.7810000000000006</v>
      </c>
    </row>
    <row r="4301" spans="1:12" x14ac:dyDescent="0.3">
      <c r="A4301" s="2">
        <v>40818</v>
      </c>
      <c r="B4301" t="s">
        <v>13</v>
      </c>
      <c r="D4301" s="2">
        <v>41549</v>
      </c>
      <c r="E4301">
        <v>7.5</v>
      </c>
      <c r="G4301" s="2">
        <v>41549</v>
      </c>
      <c r="H4301">
        <v>9.19</v>
      </c>
      <c r="J4301" s="2">
        <v>41556</v>
      </c>
      <c r="K4301" s="3">
        <f t="shared" si="134"/>
        <v>7.5</v>
      </c>
      <c r="L4301" s="3">
        <f t="shared" si="135"/>
        <v>8.8800000000000008</v>
      </c>
    </row>
    <row r="4302" spans="1:12" x14ac:dyDescent="0.3">
      <c r="A4302" s="2">
        <v>40819</v>
      </c>
      <c r="B4302" t="s">
        <v>13</v>
      </c>
      <c r="D4302" s="2">
        <v>41550</v>
      </c>
      <c r="E4302">
        <v>7.5</v>
      </c>
      <c r="G4302" s="2">
        <v>41550</v>
      </c>
      <c r="H4302">
        <v>9.19</v>
      </c>
      <c r="J4302" s="2">
        <v>41557</v>
      </c>
      <c r="K4302" s="3">
        <f t="shared" si="134"/>
        <v>7.5</v>
      </c>
      <c r="L4302" s="3">
        <f t="shared" si="135"/>
        <v>8.8930000000000007</v>
      </c>
    </row>
    <row r="4303" spans="1:12" x14ac:dyDescent="0.3">
      <c r="A4303" s="2">
        <v>40820</v>
      </c>
      <c r="B4303" t="s">
        <v>13</v>
      </c>
      <c r="D4303" s="2">
        <v>41551</v>
      </c>
      <c r="E4303">
        <v>7.5</v>
      </c>
      <c r="G4303" s="2">
        <v>41551</v>
      </c>
      <c r="H4303">
        <v>9.1029999999999998</v>
      </c>
      <c r="J4303" s="2">
        <v>41558</v>
      </c>
      <c r="K4303" s="3">
        <f t="shared" si="134"/>
        <v>7.5</v>
      </c>
      <c r="L4303" s="3">
        <f t="shared" si="135"/>
        <v>8.9120000000000008</v>
      </c>
    </row>
    <row r="4304" spans="1:12" x14ac:dyDescent="0.3">
      <c r="A4304" s="2">
        <v>40821</v>
      </c>
      <c r="B4304" t="s">
        <v>13</v>
      </c>
      <c r="D4304" s="2">
        <v>41552</v>
      </c>
      <c r="E4304">
        <v>7.5</v>
      </c>
      <c r="G4304" s="2">
        <v>41552</v>
      </c>
      <c r="H4304">
        <v>9.1029999999999998</v>
      </c>
      <c r="J4304" s="2">
        <v>41559</v>
      </c>
      <c r="K4304" s="3">
        <f t="shared" si="134"/>
        <v>7.5</v>
      </c>
      <c r="L4304" s="3">
        <f t="shared" si="135"/>
        <v>8.9120000000000008</v>
      </c>
    </row>
    <row r="4305" spans="1:12" x14ac:dyDescent="0.3">
      <c r="A4305" s="2">
        <v>40822</v>
      </c>
      <c r="B4305" t="s">
        <v>13</v>
      </c>
      <c r="D4305" s="2">
        <v>41553</v>
      </c>
      <c r="E4305">
        <v>7.5</v>
      </c>
      <c r="G4305" s="2">
        <v>41553</v>
      </c>
      <c r="H4305">
        <v>9.1029999999999998</v>
      </c>
      <c r="J4305" s="2">
        <v>41560</v>
      </c>
      <c r="K4305" s="3">
        <f t="shared" si="134"/>
        <v>7.5</v>
      </c>
      <c r="L4305" s="3">
        <f t="shared" si="135"/>
        <v>8.9120000000000008</v>
      </c>
    </row>
    <row r="4306" spans="1:12" x14ac:dyDescent="0.3">
      <c r="A4306" s="2">
        <v>40823</v>
      </c>
      <c r="B4306" t="s">
        <v>13</v>
      </c>
      <c r="D4306" s="2">
        <v>41554</v>
      </c>
      <c r="E4306">
        <v>7.5</v>
      </c>
      <c r="G4306" s="2">
        <v>41554</v>
      </c>
      <c r="H4306">
        <v>9.1029999999999998</v>
      </c>
      <c r="J4306" s="2">
        <v>41561</v>
      </c>
      <c r="K4306" s="3">
        <f t="shared" si="134"/>
        <v>7.5</v>
      </c>
      <c r="L4306" s="3">
        <f t="shared" si="135"/>
        <v>8.9960000000000004</v>
      </c>
    </row>
    <row r="4307" spans="1:12" x14ac:dyDescent="0.3">
      <c r="A4307" s="2">
        <v>40824</v>
      </c>
      <c r="B4307" t="s">
        <v>13</v>
      </c>
      <c r="D4307" s="2">
        <v>41555</v>
      </c>
      <c r="E4307">
        <v>7.5</v>
      </c>
      <c r="G4307" s="2">
        <v>41555</v>
      </c>
      <c r="H4307">
        <v>8.7810000000000006</v>
      </c>
      <c r="J4307" s="2">
        <v>41562</v>
      </c>
      <c r="K4307" s="3">
        <f t="shared" si="134"/>
        <v>7.5</v>
      </c>
      <c r="L4307" s="3">
        <f t="shared" si="135"/>
        <v>9.0489999999999995</v>
      </c>
    </row>
    <row r="4308" spans="1:12" x14ac:dyDescent="0.3">
      <c r="A4308" s="2">
        <v>40825</v>
      </c>
      <c r="B4308" t="s">
        <v>13</v>
      </c>
      <c r="D4308" s="2">
        <v>41556</v>
      </c>
      <c r="E4308">
        <v>7.5</v>
      </c>
      <c r="G4308" s="2">
        <v>41556</v>
      </c>
      <c r="H4308">
        <v>8.8800000000000008</v>
      </c>
      <c r="J4308" s="2">
        <v>41563</v>
      </c>
      <c r="K4308" s="3">
        <f t="shared" si="134"/>
        <v>7.5</v>
      </c>
      <c r="L4308" s="3">
        <f t="shared" si="135"/>
        <v>9.0489999999999995</v>
      </c>
    </row>
    <row r="4309" spans="1:12" x14ac:dyDescent="0.3">
      <c r="A4309" s="2">
        <v>40826</v>
      </c>
      <c r="B4309" t="s">
        <v>13</v>
      </c>
      <c r="D4309" s="2">
        <v>41557</v>
      </c>
      <c r="E4309">
        <v>7.5</v>
      </c>
      <c r="G4309" s="2">
        <v>41557</v>
      </c>
      <c r="H4309">
        <v>8.8930000000000007</v>
      </c>
      <c r="J4309" s="2">
        <v>41564</v>
      </c>
      <c r="K4309" s="3">
        <f t="shared" si="134"/>
        <v>7.5</v>
      </c>
      <c r="L4309" s="3">
        <f t="shared" si="135"/>
        <v>8.9779999999999998</v>
      </c>
    </row>
    <row r="4310" spans="1:12" x14ac:dyDescent="0.3">
      <c r="A4310" s="2">
        <v>40827</v>
      </c>
      <c r="B4310" t="s">
        <v>13</v>
      </c>
      <c r="D4310" s="2">
        <v>41558</v>
      </c>
      <c r="E4310">
        <v>7.5</v>
      </c>
      <c r="G4310" s="2">
        <v>41558</v>
      </c>
      <c r="H4310">
        <v>8.9120000000000008</v>
      </c>
      <c r="J4310" s="2">
        <v>41565</v>
      </c>
      <c r="K4310" s="3">
        <f t="shared" si="134"/>
        <v>7.5</v>
      </c>
      <c r="L4310" s="3">
        <f t="shared" si="135"/>
        <v>9</v>
      </c>
    </row>
    <row r="4311" spans="1:12" x14ac:dyDescent="0.3">
      <c r="A4311" s="2">
        <v>40828</v>
      </c>
      <c r="B4311" t="s">
        <v>13</v>
      </c>
      <c r="D4311" s="2">
        <v>41559</v>
      </c>
      <c r="E4311">
        <v>7.5</v>
      </c>
      <c r="G4311" s="2">
        <v>41559</v>
      </c>
      <c r="H4311">
        <v>8.9120000000000008</v>
      </c>
      <c r="J4311" s="2">
        <v>41566</v>
      </c>
      <c r="K4311" s="3">
        <f t="shared" si="134"/>
        <v>7.5</v>
      </c>
      <c r="L4311" s="3">
        <f t="shared" si="135"/>
        <v>9</v>
      </c>
    </row>
    <row r="4312" spans="1:12" x14ac:dyDescent="0.3">
      <c r="A4312" s="2">
        <v>40829</v>
      </c>
      <c r="B4312" t="s">
        <v>13</v>
      </c>
      <c r="D4312" s="2">
        <v>41560</v>
      </c>
      <c r="E4312">
        <v>7.5</v>
      </c>
      <c r="G4312" s="2">
        <v>41560</v>
      </c>
      <c r="H4312">
        <v>8.9120000000000008</v>
      </c>
      <c r="J4312" s="2">
        <v>41567</v>
      </c>
      <c r="K4312" s="3">
        <f t="shared" si="134"/>
        <v>7.5</v>
      </c>
      <c r="L4312" s="3">
        <f t="shared" si="135"/>
        <v>9</v>
      </c>
    </row>
    <row r="4313" spans="1:12" x14ac:dyDescent="0.3">
      <c r="A4313" s="2">
        <v>40830</v>
      </c>
      <c r="B4313" t="s">
        <v>13</v>
      </c>
      <c r="D4313" s="2">
        <v>41561</v>
      </c>
      <c r="E4313">
        <v>7.5</v>
      </c>
      <c r="G4313" s="2">
        <v>41561</v>
      </c>
      <c r="H4313">
        <v>8.9960000000000004</v>
      </c>
      <c r="J4313" s="2">
        <v>41568</v>
      </c>
      <c r="K4313" s="3">
        <f t="shared" si="134"/>
        <v>7.5</v>
      </c>
      <c r="L4313" s="3">
        <f t="shared" si="135"/>
        <v>8.8480000000000008</v>
      </c>
    </row>
    <row r="4314" spans="1:12" x14ac:dyDescent="0.3">
      <c r="A4314" s="2">
        <v>40831</v>
      </c>
      <c r="B4314" t="s">
        <v>13</v>
      </c>
      <c r="D4314" s="2">
        <v>41562</v>
      </c>
      <c r="E4314">
        <v>7.5</v>
      </c>
      <c r="G4314" s="2">
        <v>41562</v>
      </c>
      <c r="H4314">
        <v>9.0489999999999995</v>
      </c>
      <c r="J4314" s="2">
        <v>41569</v>
      </c>
      <c r="K4314" s="3">
        <f t="shared" si="134"/>
        <v>7.5</v>
      </c>
      <c r="L4314" s="3">
        <f t="shared" si="135"/>
        <v>9.0890000000000004</v>
      </c>
    </row>
    <row r="4315" spans="1:12" x14ac:dyDescent="0.3">
      <c r="A4315" s="2">
        <v>40832</v>
      </c>
      <c r="B4315" t="s">
        <v>13</v>
      </c>
      <c r="D4315" s="2">
        <v>41563</v>
      </c>
      <c r="E4315">
        <v>7.5</v>
      </c>
      <c r="G4315" s="2">
        <v>41563</v>
      </c>
      <c r="H4315">
        <v>9.0489999999999995</v>
      </c>
      <c r="J4315" s="2">
        <v>41570</v>
      </c>
      <c r="K4315" s="3">
        <f t="shared" si="134"/>
        <v>7.5</v>
      </c>
      <c r="L4315" s="3">
        <f t="shared" si="135"/>
        <v>9.1150000000000002</v>
      </c>
    </row>
    <row r="4316" spans="1:12" x14ac:dyDescent="0.3">
      <c r="A4316" s="2">
        <v>40833</v>
      </c>
      <c r="B4316" t="s">
        <v>13</v>
      </c>
      <c r="D4316" s="2">
        <v>41564</v>
      </c>
      <c r="E4316">
        <v>7.5</v>
      </c>
      <c r="G4316" s="2">
        <v>41564</v>
      </c>
      <c r="H4316">
        <v>8.9779999999999998</v>
      </c>
      <c r="J4316" s="2">
        <v>41571</v>
      </c>
      <c r="K4316" s="3">
        <f t="shared" si="134"/>
        <v>7.5</v>
      </c>
      <c r="L4316" s="3">
        <f t="shared" si="135"/>
        <v>9.1150000000000002</v>
      </c>
    </row>
    <row r="4317" spans="1:12" x14ac:dyDescent="0.3">
      <c r="A4317" s="2">
        <v>40834</v>
      </c>
      <c r="B4317" t="s">
        <v>13</v>
      </c>
      <c r="D4317" s="2">
        <v>41565</v>
      </c>
      <c r="E4317">
        <v>7.5</v>
      </c>
      <c r="G4317" s="2">
        <v>41565</v>
      </c>
      <c r="H4317">
        <v>9</v>
      </c>
      <c r="J4317" s="2">
        <v>41572</v>
      </c>
      <c r="K4317" s="3">
        <f t="shared" si="134"/>
        <v>7.5</v>
      </c>
      <c r="L4317" s="3">
        <f t="shared" si="135"/>
        <v>9.1150000000000002</v>
      </c>
    </row>
    <row r="4318" spans="1:12" x14ac:dyDescent="0.3">
      <c r="A4318" s="2">
        <v>40835</v>
      </c>
      <c r="B4318" t="s">
        <v>13</v>
      </c>
      <c r="D4318" s="2">
        <v>41566</v>
      </c>
      <c r="E4318">
        <v>7.5</v>
      </c>
      <c r="G4318" s="2">
        <v>41566</v>
      </c>
      <c r="H4318">
        <v>9</v>
      </c>
      <c r="J4318" s="2">
        <v>41573</v>
      </c>
      <c r="K4318" s="3">
        <f t="shared" si="134"/>
        <v>7.5</v>
      </c>
      <c r="L4318" s="3">
        <f t="shared" si="135"/>
        <v>9.1150000000000002</v>
      </c>
    </row>
    <row r="4319" spans="1:12" x14ac:dyDescent="0.3">
      <c r="A4319" s="2">
        <v>40836</v>
      </c>
      <c r="B4319" t="s">
        <v>13</v>
      </c>
      <c r="D4319" s="2">
        <v>41567</v>
      </c>
      <c r="E4319">
        <v>7.5</v>
      </c>
      <c r="G4319" s="2">
        <v>41567</v>
      </c>
      <c r="H4319">
        <v>9</v>
      </c>
      <c r="J4319" s="2">
        <v>41574</v>
      </c>
      <c r="K4319" s="3">
        <f t="shared" si="134"/>
        <v>7.5</v>
      </c>
      <c r="L4319" s="3">
        <f t="shared" si="135"/>
        <v>9.1150000000000002</v>
      </c>
    </row>
    <row r="4320" spans="1:12" x14ac:dyDescent="0.3">
      <c r="A4320" s="2">
        <v>40837</v>
      </c>
      <c r="B4320" t="s">
        <v>13</v>
      </c>
      <c r="D4320" s="2">
        <v>41568</v>
      </c>
      <c r="E4320">
        <v>7.5</v>
      </c>
      <c r="G4320" s="2">
        <v>41568</v>
      </c>
      <c r="H4320">
        <v>8.8480000000000008</v>
      </c>
      <c r="J4320" s="2">
        <v>41575</v>
      </c>
      <c r="K4320" s="3">
        <f t="shared" si="134"/>
        <v>7.5</v>
      </c>
      <c r="L4320" s="3">
        <f t="shared" si="135"/>
        <v>8.6150000000000002</v>
      </c>
    </row>
    <row r="4321" spans="1:12" x14ac:dyDescent="0.3">
      <c r="A4321" s="2">
        <v>40838</v>
      </c>
      <c r="B4321" t="s">
        <v>13</v>
      </c>
      <c r="D4321" s="2">
        <v>41569</v>
      </c>
      <c r="E4321">
        <v>7.5</v>
      </c>
      <c r="G4321" s="2">
        <v>41569</v>
      </c>
      <c r="H4321">
        <v>9.0890000000000004</v>
      </c>
      <c r="J4321" s="2">
        <v>41576</v>
      </c>
      <c r="K4321" s="3">
        <f t="shared" si="134"/>
        <v>7.75</v>
      </c>
      <c r="L4321" s="3">
        <f t="shared" si="135"/>
        <v>8.8539999999999992</v>
      </c>
    </row>
    <row r="4322" spans="1:12" x14ac:dyDescent="0.3">
      <c r="A4322" s="2">
        <v>40839</v>
      </c>
      <c r="B4322" t="s">
        <v>13</v>
      </c>
      <c r="D4322" s="2">
        <v>41570</v>
      </c>
      <c r="E4322">
        <v>7.5</v>
      </c>
      <c r="G4322" s="2">
        <v>41570</v>
      </c>
      <c r="H4322">
        <v>9.1150000000000002</v>
      </c>
      <c r="J4322" s="2">
        <v>41577</v>
      </c>
      <c r="K4322" s="3">
        <f t="shared" si="134"/>
        <v>7.75</v>
      </c>
      <c r="L4322" s="3">
        <f t="shared" si="135"/>
        <v>8.9619999999999997</v>
      </c>
    </row>
    <row r="4323" spans="1:12" x14ac:dyDescent="0.3">
      <c r="A4323" s="2">
        <v>40840</v>
      </c>
      <c r="B4323" t="s">
        <v>13</v>
      </c>
      <c r="D4323" s="2">
        <v>41571</v>
      </c>
      <c r="E4323">
        <v>7.5</v>
      </c>
      <c r="G4323" s="2">
        <v>41571</v>
      </c>
      <c r="H4323">
        <v>9.1150000000000002</v>
      </c>
      <c r="J4323" s="2">
        <v>41578</v>
      </c>
      <c r="K4323" s="3">
        <f t="shared" si="134"/>
        <v>7.75</v>
      </c>
      <c r="L4323" s="3">
        <f t="shared" si="135"/>
        <v>8.9619999999999997</v>
      </c>
    </row>
    <row r="4324" spans="1:12" x14ac:dyDescent="0.3">
      <c r="A4324" s="2">
        <v>40841</v>
      </c>
      <c r="B4324" t="s">
        <v>13</v>
      </c>
      <c r="D4324" s="2">
        <v>41572</v>
      </c>
      <c r="E4324">
        <v>7.5</v>
      </c>
      <c r="G4324" s="2">
        <v>41572</v>
      </c>
      <c r="H4324">
        <v>9.1150000000000002</v>
      </c>
      <c r="J4324" s="2">
        <v>41579</v>
      </c>
      <c r="K4324" s="3">
        <f t="shared" si="134"/>
        <v>7.75</v>
      </c>
      <c r="L4324" s="3">
        <f t="shared" si="135"/>
        <v>8.6959999999999997</v>
      </c>
    </row>
    <row r="4325" spans="1:12" x14ac:dyDescent="0.3">
      <c r="A4325" s="2">
        <v>40842</v>
      </c>
      <c r="B4325" t="s">
        <v>13</v>
      </c>
      <c r="D4325" s="2">
        <v>41573</v>
      </c>
      <c r="E4325">
        <v>7.5</v>
      </c>
      <c r="G4325" s="2">
        <v>41573</v>
      </c>
      <c r="H4325">
        <v>9.1150000000000002</v>
      </c>
      <c r="J4325" s="2">
        <v>41580</v>
      </c>
      <c r="K4325" s="3">
        <f t="shared" si="134"/>
        <v>7.75</v>
      </c>
      <c r="L4325" s="3">
        <f t="shared" si="135"/>
        <v>8.6959999999999997</v>
      </c>
    </row>
    <row r="4326" spans="1:12" x14ac:dyDescent="0.3">
      <c r="A4326" s="2">
        <v>40843</v>
      </c>
      <c r="B4326" t="s">
        <v>13</v>
      </c>
      <c r="D4326" s="2">
        <v>41574</v>
      </c>
      <c r="E4326">
        <v>7.5</v>
      </c>
      <c r="G4326" s="2">
        <v>41574</v>
      </c>
      <c r="H4326">
        <v>9.1150000000000002</v>
      </c>
      <c r="J4326" s="2">
        <v>41581</v>
      </c>
      <c r="K4326" s="3">
        <f t="shared" si="134"/>
        <v>7.75</v>
      </c>
      <c r="L4326" s="3">
        <f t="shared" si="135"/>
        <v>8.6959999999999997</v>
      </c>
    </row>
    <row r="4327" spans="1:12" x14ac:dyDescent="0.3">
      <c r="A4327" s="2">
        <v>40844</v>
      </c>
      <c r="B4327" t="s">
        <v>13</v>
      </c>
      <c r="D4327" s="2">
        <v>41575</v>
      </c>
      <c r="E4327">
        <v>7.5</v>
      </c>
      <c r="G4327" s="2">
        <v>41575</v>
      </c>
      <c r="H4327">
        <v>8.6150000000000002</v>
      </c>
      <c r="J4327" s="2">
        <v>41582</v>
      </c>
      <c r="K4327" s="3">
        <f t="shared" si="134"/>
        <v>7.75</v>
      </c>
      <c r="L4327" s="3">
        <f t="shared" si="135"/>
        <v>8.6959999999999997</v>
      </c>
    </row>
    <row r="4328" spans="1:12" x14ac:dyDescent="0.3">
      <c r="A4328" s="2">
        <v>40845</v>
      </c>
      <c r="B4328" t="s">
        <v>13</v>
      </c>
      <c r="D4328" s="2">
        <v>41576</v>
      </c>
      <c r="E4328">
        <v>7.75</v>
      </c>
      <c r="G4328" s="2">
        <v>41576</v>
      </c>
      <c r="H4328">
        <v>8.8539999999999992</v>
      </c>
      <c r="J4328" s="2">
        <v>41583</v>
      </c>
      <c r="K4328" s="3">
        <f t="shared" si="134"/>
        <v>7.75</v>
      </c>
      <c r="L4328" s="3">
        <f t="shared" si="135"/>
        <v>8.67</v>
      </c>
    </row>
    <row r="4329" spans="1:12" x14ac:dyDescent="0.3">
      <c r="A4329" s="2">
        <v>40846</v>
      </c>
      <c r="B4329" t="s">
        <v>13</v>
      </c>
      <c r="D4329" s="2">
        <v>41577</v>
      </c>
      <c r="E4329">
        <v>7.75</v>
      </c>
      <c r="G4329" s="2">
        <v>41577</v>
      </c>
      <c r="H4329">
        <v>8.9619999999999997</v>
      </c>
      <c r="J4329" s="2">
        <v>41584</v>
      </c>
      <c r="K4329" s="3">
        <f t="shared" si="134"/>
        <v>7.75</v>
      </c>
      <c r="L4329" s="3">
        <f t="shared" si="135"/>
        <v>8.7639999999999993</v>
      </c>
    </row>
    <row r="4330" spans="1:12" x14ac:dyDescent="0.3">
      <c r="A4330" s="2">
        <v>40847</v>
      </c>
      <c r="B4330" t="s">
        <v>13</v>
      </c>
      <c r="D4330" s="2">
        <v>41578</v>
      </c>
      <c r="E4330">
        <v>7.75</v>
      </c>
      <c r="G4330" s="2">
        <v>41578</v>
      </c>
      <c r="H4330">
        <v>8.9619999999999997</v>
      </c>
      <c r="J4330" s="2">
        <v>41585</v>
      </c>
      <c r="K4330" s="3">
        <f t="shared" si="134"/>
        <v>7.75</v>
      </c>
      <c r="L4330" s="3">
        <f t="shared" si="135"/>
        <v>8.7780000000000005</v>
      </c>
    </row>
    <row r="4331" spans="1:12" x14ac:dyDescent="0.3">
      <c r="A4331" s="2">
        <v>40848</v>
      </c>
      <c r="B4331" t="s">
        <v>13</v>
      </c>
      <c r="D4331" s="2">
        <v>41579</v>
      </c>
      <c r="E4331">
        <v>7.75</v>
      </c>
      <c r="G4331" s="2">
        <v>41579</v>
      </c>
      <c r="H4331">
        <v>8.6959999999999997</v>
      </c>
      <c r="J4331" s="2">
        <v>41586</v>
      </c>
      <c r="K4331" s="3">
        <f t="shared" si="134"/>
        <v>7.75</v>
      </c>
      <c r="L4331" s="3">
        <f t="shared" si="135"/>
        <v>8.8800000000000008</v>
      </c>
    </row>
    <row r="4332" spans="1:12" x14ac:dyDescent="0.3">
      <c r="A4332" s="2">
        <v>40849</v>
      </c>
      <c r="B4332" t="s">
        <v>13</v>
      </c>
      <c r="D4332" s="2">
        <v>41580</v>
      </c>
      <c r="E4332">
        <v>7.75</v>
      </c>
      <c r="G4332" s="2">
        <v>41580</v>
      </c>
      <c r="H4332">
        <v>8.6959999999999997</v>
      </c>
      <c r="J4332" s="2">
        <v>41587</v>
      </c>
      <c r="K4332" s="3">
        <f t="shared" si="134"/>
        <v>7.75</v>
      </c>
      <c r="L4332" s="3">
        <f t="shared" si="135"/>
        <v>8.8800000000000008</v>
      </c>
    </row>
    <row r="4333" spans="1:12" x14ac:dyDescent="0.3">
      <c r="A4333" s="2">
        <v>40850</v>
      </c>
      <c r="B4333" t="s">
        <v>13</v>
      </c>
      <c r="D4333" s="2">
        <v>41581</v>
      </c>
      <c r="E4333">
        <v>7.75</v>
      </c>
      <c r="G4333" s="2">
        <v>41581</v>
      </c>
      <c r="H4333">
        <v>8.6959999999999997</v>
      </c>
      <c r="J4333" s="2">
        <v>41588</v>
      </c>
      <c r="K4333" s="3">
        <f t="shared" si="134"/>
        <v>7.75</v>
      </c>
      <c r="L4333" s="3">
        <f t="shared" si="135"/>
        <v>8.8800000000000008</v>
      </c>
    </row>
    <row r="4334" spans="1:12" x14ac:dyDescent="0.3">
      <c r="A4334" s="2">
        <v>40851</v>
      </c>
      <c r="B4334" t="s">
        <v>13</v>
      </c>
      <c r="D4334" s="2">
        <v>41582</v>
      </c>
      <c r="E4334">
        <v>7.75</v>
      </c>
      <c r="G4334" s="2">
        <v>41582</v>
      </c>
      <c r="H4334">
        <v>8.6959999999999997</v>
      </c>
      <c r="J4334" s="2">
        <v>41589</v>
      </c>
      <c r="K4334" s="3">
        <f t="shared" si="134"/>
        <v>7.75</v>
      </c>
      <c r="L4334" s="3">
        <f t="shared" si="135"/>
        <v>9.0109999999999992</v>
      </c>
    </row>
    <row r="4335" spans="1:12" x14ac:dyDescent="0.3">
      <c r="A4335" s="2">
        <v>40852</v>
      </c>
      <c r="B4335" t="s">
        <v>13</v>
      </c>
      <c r="D4335" s="2">
        <v>41583</v>
      </c>
      <c r="E4335">
        <v>7.75</v>
      </c>
      <c r="G4335" s="2">
        <v>41583</v>
      </c>
      <c r="H4335">
        <v>8.67</v>
      </c>
      <c r="J4335" s="2">
        <v>41590</v>
      </c>
      <c r="K4335" s="3">
        <f t="shared" si="134"/>
        <v>7.75</v>
      </c>
      <c r="L4335" s="3">
        <f t="shared" si="135"/>
        <v>9.0109999999999992</v>
      </c>
    </row>
    <row r="4336" spans="1:12" x14ac:dyDescent="0.3">
      <c r="A4336" s="2">
        <v>40853</v>
      </c>
      <c r="B4336" t="s">
        <v>13</v>
      </c>
      <c r="D4336" s="2">
        <v>41584</v>
      </c>
      <c r="E4336">
        <v>7.75</v>
      </c>
      <c r="G4336" s="2">
        <v>41584</v>
      </c>
      <c r="H4336">
        <v>8.7639999999999993</v>
      </c>
      <c r="J4336" s="2">
        <v>41591</v>
      </c>
      <c r="K4336" s="3">
        <f t="shared" si="134"/>
        <v>7.75</v>
      </c>
      <c r="L4336" s="3">
        <f t="shared" si="135"/>
        <v>9.0109999999999992</v>
      </c>
    </row>
    <row r="4337" spans="1:12" x14ac:dyDescent="0.3">
      <c r="A4337" s="2">
        <v>40854</v>
      </c>
      <c r="B4337" t="s">
        <v>13</v>
      </c>
      <c r="D4337" s="2">
        <v>41585</v>
      </c>
      <c r="E4337">
        <v>7.75</v>
      </c>
      <c r="G4337" s="2">
        <v>41585</v>
      </c>
      <c r="H4337">
        <v>8.7780000000000005</v>
      </c>
      <c r="J4337" s="2">
        <v>41592</v>
      </c>
      <c r="K4337" s="3">
        <f t="shared" si="134"/>
        <v>7.75</v>
      </c>
      <c r="L4337" s="3">
        <f t="shared" si="135"/>
        <v>8.952</v>
      </c>
    </row>
    <row r="4338" spans="1:12" x14ac:dyDescent="0.3">
      <c r="A4338" s="2">
        <v>40855</v>
      </c>
      <c r="B4338" t="s">
        <v>13</v>
      </c>
      <c r="D4338" s="2">
        <v>41586</v>
      </c>
      <c r="E4338">
        <v>7.75</v>
      </c>
      <c r="G4338" s="2">
        <v>41586</v>
      </c>
      <c r="H4338">
        <v>8.8800000000000008</v>
      </c>
      <c r="J4338" s="2">
        <v>41593</v>
      </c>
      <c r="K4338" s="3">
        <f t="shared" si="134"/>
        <v>7.75</v>
      </c>
      <c r="L4338" s="3">
        <f t="shared" si="135"/>
        <v>8.952</v>
      </c>
    </row>
    <row r="4339" spans="1:12" x14ac:dyDescent="0.3">
      <c r="A4339" s="2">
        <v>40856</v>
      </c>
      <c r="B4339" t="s">
        <v>13</v>
      </c>
      <c r="D4339" s="2">
        <v>41587</v>
      </c>
      <c r="E4339">
        <v>7.75</v>
      </c>
      <c r="G4339" s="2">
        <v>41587</v>
      </c>
      <c r="H4339">
        <v>8.8800000000000008</v>
      </c>
      <c r="J4339" s="2">
        <v>41594</v>
      </c>
      <c r="K4339" s="3">
        <f t="shared" si="134"/>
        <v>7.75</v>
      </c>
      <c r="L4339" s="3">
        <f t="shared" si="135"/>
        <v>8.952</v>
      </c>
    </row>
    <row r="4340" spans="1:12" x14ac:dyDescent="0.3">
      <c r="A4340" s="2">
        <v>40857</v>
      </c>
      <c r="B4340" t="s">
        <v>13</v>
      </c>
      <c r="D4340" s="2">
        <v>41588</v>
      </c>
      <c r="E4340">
        <v>7.75</v>
      </c>
      <c r="G4340" s="2">
        <v>41588</v>
      </c>
      <c r="H4340">
        <v>8.8800000000000008</v>
      </c>
      <c r="J4340" s="2">
        <v>41595</v>
      </c>
      <c r="K4340" s="3">
        <f t="shared" si="134"/>
        <v>7.75</v>
      </c>
      <c r="L4340" s="3">
        <f t="shared" si="135"/>
        <v>8.952</v>
      </c>
    </row>
    <row r="4341" spans="1:12" x14ac:dyDescent="0.3">
      <c r="A4341" s="2">
        <v>40858</v>
      </c>
      <c r="B4341" t="s">
        <v>13</v>
      </c>
      <c r="D4341" s="2">
        <v>41589</v>
      </c>
      <c r="E4341">
        <v>7.75</v>
      </c>
      <c r="G4341" s="2">
        <v>41589</v>
      </c>
      <c r="H4341">
        <v>9.0109999999999992</v>
      </c>
      <c r="J4341" s="2">
        <v>41596</v>
      </c>
      <c r="K4341" s="3">
        <f t="shared" si="134"/>
        <v>7.75</v>
      </c>
      <c r="L4341" s="3">
        <f t="shared" si="135"/>
        <v>8.9710000000000001</v>
      </c>
    </row>
    <row r="4342" spans="1:12" x14ac:dyDescent="0.3">
      <c r="A4342" s="2">
        <v>40859</v>
      </c>
      <c r="B4342" t="s">
        <v>13</v>
      </c>
      <c r="D4342" s="2">
        <v>41590</v>
      </c>
      <c r="E4342">
        <v>7.75</v>
      </c>
      <c r="G4342" s="2">
        <v>41590</v>
      </c>
      <c r="H4342">
        <v>9.0109999999999992</v>
      </c>
      <c r="J4342" s="2">
        <v>41597</v>
      </c>
      <c r="K4342" s="3">
        <f t="shared" si="134"/>
        <v>7.75</v>
      </c>
      <c r="L4342" s="3">
        <f t="shared" si="135"/>
        <v>8.9410000000000007</v>
      </c>
    </row>
    <row r="4343" spans="1:12" x14ac:dyDescent="0.3">
      <c r="A4343" s="2">
        <v>40860</v>
      </c>
      <c r="B4343" t="s">
        <v>13</v>
      </c>
      <c r="D4343" s="2">
        <v>41591</v>
      </c>
      <c r="E4343">
        <v>7.75</v>
      </c>
      <c r="G4343" s="2">
        <v>41591</v>
      </c>
      <c r="H4343">
        <v>9.0109999999999992</v>
      </c>
      <c r="J4343" s="2">
        <v>41598</v>
      </c>
      <c r="K4343" s="3">
        <f t="shared" si="134"/>
        <v>7.75</v>
      </c>
      <c r="L4343" s="3">
        <f t="shared" si="135"/>
        <v>9.0169999999999995</v>
      </c>
    </row>
    <row r="4344" spans="1:12" x14ac:dyDescent="0.3">
      <c r="A4344" s="2">
        <v>40861</v>
      </c>
      <c r="B4344" t="s">
        <v>13</v>
      </c>
      <c r="D4344" s="2">
        <v>41592</v>
      </c>
      <c r="E4344">
        <v>7.75</v>
      </c>
      <c r="G4344" s="2">
        <v>41592</v>
      </c>
      <c r="H4344">
        <v>8.952</v>
      </c>
      <c r="J4344" s="2">
        <v>41599</v>
      </c>
      <c r="K4344" s="3">
        <f t="shared" si="134"/>
        <v>7.75</v>
      </c>
      <c r="L4344" s="3">
        <f t="shared" si="135"/>
        <v>9.0310000000000006</v>
      </c>
    </row>
    <row r="4345" spans="1:12" x14ac:dyDescent="0.3">
      <c r="A4345" s="2">
        <v>40862</v>
      </c>
      <c r="B4345" t="s">
        <v>13</v>
      </c>
      <c r="D4345" s="2">
        <v>41593</v>
      </c>
      <c r="E4345">
        <v>7.75</v>
      </c>
      <c r="G4345" s="2">
        <v>41593</v>
      </c>
      <c r="H4345">
        <v>8.952</v>
      </c>
      <c r="J4345" s="2">
        <v>41600</v>
      </c>
      <c r="K4345" s="3">
        <f t="shared" si="134"/>
        <v>7.75</v>
      </c>
      <c r="L4345" s="3">
        <f t="shared" si="135"/>
        <v>9.02</v>
      </c>
    </row>
    <row r="4346" spans="1:12" x14ac:dyDescent="0.3">
      <c r="A4346" s="2">
        <v>40863</v>
      </c>
      <c r="B4346" t="s">
        <v>13</v>
      </c>
      <c r="D4346" s="2">
        <v>41594</v>
      </c>
      <c r="E4346">
        <v>7.75</v>
      </c>
      <c r="G4346" s="2">
        <v>41594</v>
      </c>
      <c r="H4346">
        <v>8.952</v>
      </c>
      <c r="J4346" s="2">
        <v>41601</v>
      </c>
      <c r="K4346" s="3">
        <f t="shared" si="134"/>
        <v>7.75</v>
      </c>
      <c r="L4346" s="3">
        <f t="shared" si="135"/>
        <v>9.02</v>
      </c>
    </row>
    <row r="4347" spans="1:12" x14ac:dyDescent="0.3">
      <c r="A4347" s="2">
        <v>40864</v>
      </c>
      <c r="B4347" t="s">
        <v>13</v>
      </c>
      <c r="D4347" s="2">
        <v>41595</v>
      </c>
      <c r="E4347">
        <v>7.75</v>
      </c>
      <c r="G4347" s="2">
        <v>41595</v>
      </c>
      <c r="H4347">
        <v>8.952</v>
      </c>
      <c r="J4347" s="2">
        <v>41602</v>
      </c>
      <c r="K4347" s="3">
        <f t="shared" si="134"/>
        <v>7.75</v>
      </c>
      <c r="L4347" s="3">
        <f t="shared" si="135"/>
        <v>9.02</v>
      </c>
    </row>
    <row r="4348" spans="1:12" x14ac:dyDescent="0.3">
      <c r="A4348" s="2">
        <v>40865</v>
      </c>
      <c r="B4348" t="s">
        <v>13</v>
      </c>
      <c r="D4348" s="2">
        <v>41596</v>
      </c>
      <c r="E4348">
        <v>7.75</v>
      </c>
      <c r="G4348" s="2">
        <v>41596</v>
      </c>
      <c r="H4348">
        <v>8.9710000000000001</v>
      </c>
      <c r="J4348" s="2">
        <v>41603</v>
      </c>
      <c r="K4348" s="3">
        <f t="shared" si="134"/>
        <v>7.75</v>
      </c>
      <c r="L4348" s="3">
        <f t="shared" si="135"/>
        <v>9.0500000000000007</v>
      </c>
    </row>
    <row r="4349" spans="1:12" x14ac:dyDescent="0.3">
      <c r="A4349" s="2">
        <v>40866</v>
      </c>
      <c r="B4349" t="s">
        <v>13</v>
      </c>
      <c r="D4349" s="2">
        <v>41597</v>
      </c>
      <c r="E4349">
        <v>7.75</v>
      </c>
      <c r="G4349" s="2">
        <v>41597</v>
      </c>
      <c r="H4349">
        <v>8.9410000000000007</v>
      </c>
      <c r="J4349" s="2">
        <v>41604</v>
      </c>
      <c r="K4349" s="3">
        <f t="shared" si="134"/>
        <v>7.75</v>
      </c>
      <c r="L4349" s="3">
        <f t="shared" si="135"/>
        <v>9.0220000000000002</v>
      </c>
    </row>
    <row r="4350" spans="1:12" x14ac:dyDescent="0.3">
      <c r="A4350" s="2">
        <v>40867</v>
      </c>
      <c r="B4350" t="s">
        <v>13</v>
      </c>
      <c r="D4350" s="2">
        <v>41598</v>
      </c>
      <c r="E4350">
        <v>7.75</v>
      </c>
      <c r="G4350" s="2">
        <v>41598</v>
      </c>
      <c r="H4350">
        <v>9.0169999999999995</v>
      </c>
      <c r="J4350" s="2">
        <v>41605</v>
      </c>
      <c r="K4350" s="3">
        <f t="shared" si="134"/>
        <v>7.75</v>
      </c>
      <c r="L4350" s="3">
        <f t="shared" si="135"/>
        <v>9.0210000000000008</v>
      </c>
    </row>
    <row r="4351" spans="1:12" x14ac:dyDescent="0.3">
      <c r="A4351" s="2">
        <v>40868</v>
      </c>
      <c r="B4351" t="s">
        <v>13</v>
      </c>
      <c r="D4351" s="2">
        <v>41599</v>
      </c>
      <c r="E4351">
        <v>7.75</v>
      </c>
      <c r="G4351" s="2">
        <v>41599</v>
      </c>
      <c r="H4351">
        <v>9.0310000000000006</v>
      </c>
      <c r="J4351" s="2">
        <v>41606</v>
      </c>
      <c r="K4351" s="3">
        <f t="shared" si="134"/>
        <v>7.75</v>
      </c>
      <c r="L4351" s="3">
        <f t="shared" si="135"/>
        <v>8.99</v>
      </c>
    </row>
    <row r="4352" spans="1:12" x14ac:dyDescent="0.3">
      <c r="A4352" s="2">
        <v>40869</v>
      </c>
      <c r="B4352" t="s">
        <v>13</v>
      </c>
      <c r="D4352" s="2">
        <v>41600</v>
      </c>
      <c r="E4352">
        <v>7.75</v>
      </c>
      <c r="G4352" s="2">
        <v>41600</v>
      </c>
      <c r="H4352">
        <v>9.02</v>
      </c>
      <c r="J4352" s="2">
        <v>41607</v>
      </c>
      <c r="K4352" s="3">
        <f t="shared" si="134"/>
        <v>7.75</v>
      </c>
      <c r="L4352" s="3">
        <f t="shared" si="135"/>
        <v>9.0120000000000005</v>
      </c>
    </row>
    <row r="4353" spans="1:12" x14ac:dyDescent="0.3">
      <c r="A4353" s="2">
        <v>40870</v>
      </c>
      <c r="B4353" t="s">
        <v>13</v>
      </c>
      <c r="D4353" s="2">
        <v>41601</v>
      </c>
      <c r="E4353">
        <v>7.75</v>
      </c>
      <c r="G4353" s="2">
        <v>41601</v>
      </c>
      <c r="H4353">
        <v>9.02</v>
      </c>
      <c r="J4353" s="2">
        <v>41608</v>
      </c>
      <c r="K4353" s="3">
        <f t="shared" si="134"/>
        <v>7.75</v>
      </c>
      <c r="L4353" s="3">
        <f t="shared" si="135"/>
        <v>9.0120000000000005</v>
      </c>
    </row>
    <row r="4354" spans="1:12" x14ac:dyDescent="0.3">
      <c r="A4354" s="2">
        <v>40871</v>
      </c>
      <c r="B4354" t="s">
        <v>13</v>
      </c>
      <c r="D4354" s="2">
        <v>41602</v>
      </c>
      <c r="E4354">
        <v>7.75</v>
      </c>
      <c r="G4354" s="2">
        <v>41602</v>
      </c>
      <c r="H4354">
        <v>9.02</v>
      </c>
      <c r="J4354" s="2">
        <v>41609</v>
      </c>
      <c r="K4354" s="3">
        <f t="shared" si="134"/>
        <v>7.75</v>
      </c>
      <c r="L4354" s="3">
        <f t="shared" si="135"/>
        <v>9.0120000000000005</v>
      </c>
    </row>
    <row r="4355" spans="1:12" x14ac:dyDescent="0.3">
      <c r="A4355" s="2">
        <v>40872</v>
      </c>
      <c r="B4355" t="s">
        <v>13</v>
      </c>
      <c r="D4355" s="2">
        <v>41603</v>
      </c>
      <c r="E4355">
        <v>7.75</v>
      </c>
      <c r="G4355" s="2">
        <v>41603</v>
      </c>
      <c r="H4355">
        <v>9.0500000000000007</v>
      </c>
      <c r="J4355" s="2">
        <v>41610</v>
      </c>
      <c r="K4355" s="3">
        <f t="shared" ref="K4355:K4418" si="136">E4362</f>
        <v>7.75</v>
      </c>
      <c r="L4355" s="3">
        <f t="shared" ref="L4355:L4418" si="137">H4362</f>
        <v>8.9239999999999995</v>
      </c>
    </row>
    <row r="4356" spans="1:12" x14ac:dyDescent="0.3">
      <c r="A4356" s="2">
        <v>40873</v>
      </c>
      <c r="B4356" t="s">
        <v>13</v>
      </c>
      <c r="D4356" s="2">
        <v>41604</v>
      </c>
      <c r="E4356">
        <v>7.75</v>
      </c>
      <c r="G4356" s="2">
        <v>41604</v>
      </c>
      <c r="H4356">
        <v>9.0220000000000002</v>
      </c>
      <c r="J4356" s="2">
        <v>41611</v>
      </c>
      <c r="K4356" s="3">
        <f t="shared" si="136"/>
        <v>7.75</v>
      </c>
      <c r="L4356" s="3">
        <f t="shared" si="137"/>
        <v>8.8659999999999997</v>
      </c>
    </row>
    <row r="4357" spans="1:12" x14ac:dyDescent="0.3">
      <c r="A4357" s="2">
        <v>40874</v>
      </c>
      <c r="B4357" t="s">
        <v>13</v>
      </c>
      <c r="D4357" s="2">
        <v>41605</v>
      </c>
      <c r="E4357">
        <v>7.75</v>
      </c>
      <c r="G4357" s="2">
        <v>41605</v>
      </c>
      <c r="H4357">
        <v>9.0210000000000008</v>
      </c>
      <c r="J4357" s="2">
        <v>41612</v>
      </c>
      <c r="K4357" s="3">
        <f t="shared" si="136"/>
        <v>7.75</v>
      </c>
      <c r="L4357" s="3">
        <f t="shared" si="137"/>
        <v>8.8490000000000002</v>
      </c>
    </row>
    <row r="4358" spans="1:12" x14ac:dyDescent="0.3">
      <c r="A4358" s="2">
        <v>40875</v>
      </c>
      <c r="B4358" t="s">
        <v>13</v>
      </c>
      <c r="D4358" s="2">
        <v>41606</v>
      </c>
      <c r="E4358">
        <v>7.75</v>
      </c>
      <c r="G4358" s="2">
        <v>41606</v>
      </c>
      <c r="H4358">
        <v>8.99</v>
      </c>
      <c r="J4358" s="2">
        <v>41613</v>
      </c>
      <c r="K4358" s="3">
        <f t="shared" si="136"/>
        <v>7.75</v>
      </c>
      <c r="L4358" s="3">
        <f t="shared" si="137"/>
        <v>8.8149999999999995</v>
      </c>
    </row>
    <row r="4359" spans="1:12" x14ac:dyDescent="0.3">
      <c r="A4359" s="2">
        <v>40876</v>
      </c>
      <c r="B4359" t="s">
        <v>13</v>
      </c>
      <c r="D4359" s="2">
        <v>41607</v>
      </c>
      <c r="E4359">
        <v>7.75</v>
      </c>
      <c r="G4359" s="2">
        <v>41607</v>
      </c>
      <c r="H4359">
        <v>9.0120000000000005</v>
      </c>
      <c r="J4359" s="2">
        <v>41614</v>
      </c>
      <c r="K4359" s="3">
        <f t="shared" si="136"/>
        <v>7.75</v>
      </c>
      <c r="L4359" s="3">
        <f t="shared" si="137"/>
        <v>8.8829999999999991</v>
      </c>
    </row>
    <row r="4360" spans="1:12" x14ac:dyDescent="0.3">
      <c r="A4360" s="2">
        <v>40877</v>
      </c>
      <c r="B4360" t="s">
        <v>13</v>
      </c>
      <c r="D4360" s="2">
        <v>41608</v>
      </c>
      <c r="E4360">
        <v>7.75</v>
      </c>
      <c r="G4360" s="2">
        <v>41608</v>
      </c>
      <c r="H4360">
        <v>9.0120000000000005</v>
      </c>
      <c r="J4360" s="2">
        <v>41615</v>
      </c>
      <c r="K4360" s="3">
        <f t="shared" si="136"/>
        <v>7.75</v>
      </c>
      <c r="L4360" s="3">
        <f t="shared" si="137"/>
        <v>8.8829999999999991</v>
      </c>
    </row>
    <row r="4361" spans="1:12" x14ac:dyDescent="0.3">
      <c r="A4361" s="2">
        <v>40878</v>
      </c>
      <c r="B4361" t="s">
        <v>13</v>
      </c>
      <c r="D4361" s="2">
        <v>41609</v>
      </c>
      <c r="E4361">
        <v>7.75</v>
      </c>
      <c r="G4361" s="2">
        <v>41609</v>
      </c>
      <c r="H4361">
        <v>9.0120000000000005</v>
      </c>
      <c r="J4361" s="2">
        <v>41616</v>
      </c>
      <c r="K4361" s="3">
        <f t="shared" si="136"/>
        <v>7.75</v>
      </c>
      <c r="L4361" s="3">
        <f t="shared" si="137"/>
        <v>8.8829999999999991</v>
      </c>
    </row>
    <row r="4362" spans="1:12" x14ac:dyDescent="0.3">
      <c r="A4362" s="2">
        <v>40879</v>
      </c>
      <c r="B4362" t="s">
        <v>13</v>
      </c>
      <c r="D4362" s="2">
        <v>41610</v>
      </c>
      <c r="E4362">
        <v>7.75</v>
      </c>
      <c r="G4362" s="2">
        <v>41610</v>
      </c>
      <c r="H4362">
        <v>8.9239999999999995</v>
      </c>
      <c r="J4362" s="2">
        <v>41617</v>
      </c>
      <c r="K4362" s="3">
        <f t="shared" si="136"/>
        <v>7.75</v>
      </c>
      <c r="L4362" s="3">
        <f t="shared" si="137"/>
        <v>8.9410000000000007</v>
      </c>
    </row>
    <row r="4363" spans="1:12" x14ac:dyDescent="0.3">
      <c r="A4363" s="2">
        <v>40880</v>
      </c>
      <c r="B4363" t="s">
        <v>13</v>
      </c>
      <c r="D4363" s="2">
        <v>41611</v>
      </c>
      <c r="E4363">
        <v>7.75</v>
      </c>
      <c r="G4363" s="2">
        <v>41611</v>
      </c>
      <c r="H4363">
        <v>8.8659999999999997</v>
      </c>
      <c r="J4363" s="2">
        <v>41618</v>
      </c>
      <c r="K4363" s="3">
        <f t="shared" si="136"/>
        <v>7.75</v>
      </c>
      <c r="L4363" s="3">
        <f t="shared" si="137"/>
        <v>8.8800000000000008</v>
      </c>
    </row>
    <row r="4364" spans="1:12" x14ac:dyDescent="0.3">
      <c r="A4364" s="2">
        <v>40881</v>
      </c>
      <c r="B4364" t="s">
        <v>13</v>
      </c>
      <c r="D4364" s="2">
        <v>41612</v>
      </c>
      <c r="E4364">
        <v>7.75</v>
      </c>
      <c r="G4364" s="2">
        <v>41612</v>
      </c>
      <c r="H4364">
        <v>8.8490000000000002</v>
      </c>
      <c r="J4364" s="2">
        <v>41619</v>
      </c>
      <c r="K4364" s="3">
        <f t="shared" si="136"/>
        <v>7.75</v>
      </c>
      <c r="L4364" s="3">
        <f t="shared" si="137"/>
        <v>8.8409999999999993</v>
      </c>
    </row>
    <row r="4365" spans="1:12" x14ac:dyDescent="0.3">
      <c r="A4365" s="2">
        <v>40882</v>
      </c>
      <c r="B4365" t="s">
        <v>13</v>
      </c>
      <c r="D4365" s="2">
        <v>41613</v>
      </c>
      <c r="E4365">
        <v>7.75</v>
      </c>
      <c r="G4365" s="2">
        <v>41613</v>
      </c>
      <c r="H4365">
        <v>8.8149999999999995</v>
      </c>
      <c r="J4365" s="2">
        <v>41620</v>
      </c>
      <c r="K4365" s="3">
        <f t="shared" si="136"/>
        <v>7.75</v>
      </c>
      <c r="L4365" s="3">
        <f t="shared" si="137"/>
        <v>8.8290000000000006</v>
      </c>
    </row>
    <row r="4366" spans="1:12" x14ac:dyDescent="0.3">
      <c r="A4366" s="2">
        <v>40883</v>
      </c>
      <c r="B4366" t="s">
        <v>13</v>
      </c>
      <c r="D4366" s="2">
        <v>41614</v>
      </c>
      <c r="E4366">
        <v>7.75</v>
      </c>
      <c r="G4366" s="2">
        <v>41614</v>
      </c>
      <c r="H4366">
        <v>8.8829999999999991</v>
      </c>
      <c r="J4366" s="2">
        <v>41621</v>
      </c>
      <c r="K4366" s="3">
        <f t="shared" si="136"/>
        <v>7.75</v>
      </c>
      <c r="L4366" s="3">
        <f t="shared" si="137"/>
        <v>8.8810000000000002</v>
      </c>
    </row>
    <row r="4367" spans="1:12" x14ac:dyDescent="0.3">
      <c r="A4367" s="2">
        <v>40884</v>
      </c>
      <c r="B4367" t="s">
        <v>13</v>
      </c>
      <c r="D4367" s="2">
        <v>41615</v>
      </c>
      <c r="E4367">
        <v>7.75</v>
      </c>
      <c r="G4367" s="2">
        <v>41615</v>
      </c>
      <c r="H4367">
        <v>8.8829999999999991</v>
      </c>
      <c r="J4367" s="2">
        <v>41622</v>
      </c>
      <c r="K4367" s="3">
        <f t="shared" si="136"/>
        <v>7.75</v>
      </c>
      <c r="L4367" s="3">
        <f t="shared" si="137"/>
        <v>8.8810000000000002</v>
      </c>
    </row>
    <row r="4368" spans="1:12" x14ac:dyDescent="0.3">
      <c r="A4368" s="2">
        <v>40885</v>
      </c>
      <c r="B4368" t="s">
        <v>13</v>
      </c>
      <c r="D4368" s="2">
        <v>41616</v>
      </c>
      <c r="E4368">
        <v>7.75</v>
      </c>
      <c r="G4368" s="2">
        <v>41616</v>
      </c>
      <c r="H4368">
        <v>8.8829999999999991</v>
      </c>
      <c r="J4368" s="2">
        <v>41623</v>
      </c>
      <c r="K4368" s="3">
        <f t="shared" si="136"/>
        <v>7.75</v>
      </c>
      <c r="L4368" s="3">
        <f t="shared" si="137"/>
        <v>8.8810000000000002</v>
      </c>
    </row>
    <row r="4369" spans="1:12" x14ac:dyDescent="0.3">
      <c r="A4369" s="2">
        <v>40886</v>
      </c>
      <c r="B4369" t="s">
        <v>13</v>
      </c>
      <c r="D4369" s="2">
        <v>41617</v>
      </c>
      <c r="E4369">
        <v>7.75</v>
      </c>
      <c r="G4369" s="2">
        <v>41617</v>
      </c>
      <c r="H4369">
        <v>8.9410000000000007</v>
      </c>
      <c r="J4369" s="2">
        <v>41624</v>
      </c>
      <c r="K4369" s="3">
        <f t="shared" si="136"/>
        <v>7.75</v>
      </c>
      <c r="L4369" s="3">
        <f t="shared" si="137"/>
        <v>8.9459999999999997</v>
      </c>
    </row>
    <row r="4370" spans="1:12" x14ac:dyDescent="0.3">
      <c r="A4370" s="2">
        <v>40887</v>
      </c>
      <c r="B4370" t="s">
        <v>13</v>
      </c>
      <c r="D4370" s="2">
        <v>41618</v>
      </c>
      <c r="E4370">
        <v>7.75</v>
      </c>
      <c r="G4370" s="2">
        <v>41618</v>
      </c>
      <c r="H4370">
        <v>8.8800000000000008</v>
      </c>
      <c r="J4370" s="2">
        <v>41625</v>
      </c>
      <c r="K4370" s="3">
        <f t="shared" si="136"/>
        <v>7.75</v>
      </c>
      <c r="L4370" s="3">
        <f t="shared" si="137"/>
        <v>8.9499999999999993</v>
      </c>
    </row>
    <row r="4371" spans="1:12" x14ac:dyDescent="0.3">
      <c r="A4371" s="2">
        <v>40888</v>
      </c>
      <c r="B4371" t="s">
        <v>13</v>
      </c>
      <c r="D4371" s="2">
        <v>41619</v>
      </c>
      <c r="E4371">
        <v>7.75</v>
      </c>
      <c r="G4371" s="2">
        <v>41619</v>
      </c>
      <c r="H4371">
        <v>8.8409999999999993</v>
      </c>
      <c r="J4371" s="2">
        <v>41626</v>
      </c>
      <c r="K4371" s="3">
        <f t="shared" si="136"/>
        <v>7.75</v>
      </c>
      <c r="L4371" s="3">
        <f t="shared" si="137"/>
        <v>8.859</v>
      </c>
    </row>
    <row r="4372" spans="1:12" x14ac:dyDescent="0.3">
      <c r="A4372" s="2">
        <v>40889</v>
      </c>
      <c r="B4372" t="s">
        <v>13</v>
      </c>
      <c r="D4372" s="2">
        <v>41620</v>
      </c>
      <c r="E4372">
        <v>7.75</v>
      </c>
      <c r="G4372" s="2">
        <v>41620</v>
      </c>
      <c r="H4372">
        <v>8.8290000000000006</v>
      </c>
      <c r="J4372" s="2">
        <v>41627</v>
      </c>
      <c r="K4372" s="3">
        <f t="shared" si="136"/>
        <v>7.75</v>
      </c>
      <c r="L4372" s="3">
        <f t="shared" si="137"/>
        <v>8.8230000000000004</v>
      </c>
    </row>
    <row r="4373" spans="1:12" x14ac:dyDescent="0.3">
      <c r="A4373" s="2">
        <v>40890</v>
      </c>
      <c r="B4373" t="s">
        <v>13</v>
      </c>
      <c r="D4373" s="2">
        <v>41621</v>
      </c>
      <c r="E4373">
        <v>7.75</v>
      </c>
      <c r="G4373" s="2">
        <v>41621</v>
      </c>
      <c r="H4373">
        <v>8.8810000000000002</v>
      </c>
      <c r="J4373" s="2">
        <v>41628</v>
      </c>
      <c r="K4373" s="3">
        <f t="shared" si="136"/>
        <v>7.75</v>
      </c>
      <c r="L4373" s="3">
        <f t="shared" si="137"/>
        <v>8.8640000000000008</v>
      </c>
    </row>
    <row r="4374" spans="1:12" x14ac:dyDescent="0.3">
      <c r="A4374" s="2">
        <v>40891</v>
      </c>
      <c r="B4374" t="s">
        <v>13</v>
      </c>
      <c r="D4374" s="2">
        <v>41622</v>
      </c>
      <c r="E4374">
        <v>7.75</v>
      </c>
      <c r="G4374" s="2">
        <v>41622</v>
      </c>
      <c r="H4374">
        <v>8.8810000000000002</v>
      </c>
      <c r="J4374" s="2">
        <v>41629</v>
      </c>
      <c r="K4374" s="3">
        <f t="shared" si="136"/>
        <v>7.75</v>
      </c>
      <c r="L4374" s="3">
        <f t="shared" si="137"/>
        <v>8.8640000000000008</v>
      </c>
    </row>
    <row r="4375" spans="1:12" x14ac:dyDescent="0.3">
      <c r="A4375" s="2">
        <v>40892</v>
      </c>
      <c r="B4375" t="s">
        <v>13</v>
      </c>
      <c r="D4375" s="2">
        <v>41623</v>
      </c>
      <c r="E4375">
        <v>7.75</v>
      </c>
      <c r="G4375" s="2">
        <v>41623</v>
      </c>
      <c r="H4375">
        <v>8.8810000000000002</v>
      </c>
      <c r="J4375" s="2">
        <v>41630</v>
      </c>
      <c r="K4375" s="3">
        <f t="shared" si="136"/>
        <v>7.75</v>
      </c>
      <c r="L4375" s="3">
        <f t="shared" si="137"/>
        <v>8.8640000000000008</v>
      </c>
    </row>
    <row r="4376" spans="1:12" x14ac:dyDescent="0.3">
      <c r="A4376" s="2">
        <v>40893</v>
      </c>
      <c r="B4376" t="s">
        <v>13</v>
      </c>
      <c r="D4376" s="2">
        <v>41624</v>
      </c>
      <c r="E4376">
        <v>7.75</v>
      </c>
      <c r="G4376" s="2">
        <v>41624</v>
      </c>
      <c r="H4376">
        <v>8.9459999999999997</v>
      </c>
      <c r="J4376" s="2">
        <v>41631</v>
      </c>
      <c r="K4376" s="3">
        <f t="shared" si="136"/>
        <v>7.75</v>
      </c>
      <c r="L4376" s="3">
        <f t="shared" si="137"/>
        <v>8.8659999999999997</v>
      </c>
    </row>
    <row r="4377" spans="1:12" x14ac:dyDescent="0.3">
      <c r="A4377" s="2">
        <v>40894</v>
      </c>
      <c r="B4377" t="s">
        <v>13</v>
      </c>
      <c r="D4377" s="2">
        <v>41625</v>
      </c>
      <c r="E4377">
        <v>7.75</v>
      </c>
      <c r="G4377" s="2">
        <v>41625</v>
      </c>
      <c r="H4377">
        <v>8.9499999999999993</v>
      </c>
      <c r="J4377" s="2">
        <v>41632</v>
      </c>
      <c r="K4377" s="3">
        <f t="shared" si="136"/>
        <v>7.75</v>
      </c>
      <c r="L4377" s="3">
        <f t="shared" si="137"/>
        <v>8.8800000000000008</v>
      </c>
    </row>
    <row r="4378" spans="1:12" x14ac:dyDescent="0.3">
      <c r="A4378" s="2">
        <v>40895</v>
      </c>
      <c r="B4378" t="s">
        <v>13</v>
      </c>
      <c r="D4378" s="2">
        <v>41626</v>
      </c>
      <c r="E4378">
        <v>7.75</v>
      </c>
      <c r="G4378" s="2">
        <v>41626</v>
      </c>
      <c r="H4378">
        <v>8.859</v>
      </c>
      <c r="J4378" s="2">
        <v>41633</v>
      </c>
      <c r="K4378" s="3">
        <f t="shared" si="136"/>
        <v>7.75</v>
      </c>
      <c r="L4378" s="3">
        <f t="shared" si="137"/>
        <v>8.8800000000000008</v>
      </c>
    </row>
    <row r="4379" spans="1:12" x14ac:dyDescent="0.3">
      <c r="A4379" s="2">
        <v>40896</v>
      </c>
      <c r="B4379" t="s">
        <v>13</v>
      </c>
      <c r="D4379" s="2">
        <v>41627</v>
      </c>
      <c r="E4379">
        <v>7.75</v>
      </c>
      <c r="G4379" s="2">
        <v>41627</v>
      </c>
      <c r="H4379">
        <v>8.8230000000000004</v>
      </c>
      <c r="J4379" s="2">
        <v>41634</v>
      </c>
      <c r="K4379" s="3">
        <f t="shared" si="136"/>
        <v>7.75</v>
      </c>
      <c r="L4379" s="3">
        <f t="shared" si="137"/>
        <v>8.923</v>
      </c>
    </row>
    <row r="4380" spans="1:12" x14ac:dyDescent="0.3">
      <c r="A4380" s="2">
        <v>40897</v>
      </c>
      <c r="B4380" t="s">
        <v>13</v>
      </c>
      <c r="D4380" s="2">
        <v>41628</v>
      </c>
      <c r="E4380">
        <v>7.75</v>
      </c>
      <c r="G4380" s="2">
        <v>41628</v>
      </c>
      <c r="H4380">
        <v>8.8640000000000008</v>
      </c>
      <c r="J4380" s="2">
        <v>41635</v>
      </c>
      <c r="K4380" s="3">
        <f t="shared" si="136"/>
        <v>7.75</v>
      </c>
      <c r="L4380" s="3">
        <f t="shared" si="137"/>
        <v>8.952</v>
      </c>
    </row>
    <row r="4381" spans="1:12" x14ac:dyDescent="0.3">
      <c r="A4381" s="2">
        <v>40898</v>
      </c>
      <c r="B4381" t="s">
        <v>13</v>
      </c>
      <c r="D4381" s="2">
        <v>41629</v>
      </c>
      <c r="E4381">
        <v>7.75</v>
      </c>
      <c r="G4381" s="2">
        <v>41629</v>
      </c>
      <c r="H4381">
        <v>8.8640000000000008</v>
      </c>
      <c r="J4381" s="2">
        <v>41636</v>
      </c>
      <c r="K4381" s="3">
        <f t="shared" si="136"/>
        <v>7.75</v>
      </c>
      <c r="L4381" s="3">
        <f t="shared" si="137"/>
        <v>8.952</v>
      </c>
    </row>
    <row r="4382" spans="1:12" x14ac:dyDescent="0.3">
      <c r="A4382" s="2">
        <v>40899</v>
      </c>
      <c r="B4382" t="s">
        <v>13</v>
      </c>
      <c r="D4382" s="2">
        <v>41630</v>
      </c>
      <c r="E4382">
        <v>7.75</v>
      </c>
      <c r="G4382" s="2">
        <v>41630</v>
      </c>
      <c r="H4382">
        <v>8.8640000000000008</v>
      </c>
      <c r="J4382" s="2">
        <v>41637</v>
      </c>
      <c r="K4382" s="3">
        <f t="shared" si="136"/>
        <v>7.75</v>
      </c>
      <c r="L4382" s="3">
        <f t="shared" si="137"/>
        <v>8.952</v>
      </c>
    </row>
    <row r="4383" spans="1:12" x14ac:dyDescent="0.3">
      <c r="A4383" s="2">
        <v>40900</v>
      </c>
      <c r="B4383" t="s">
        <v>13</v>
      </c>
      <c r="D4383" s="2">
        <v>41631</v>
      </c>
      <c r="E4383">
        <v>7.75</v>
      </c>
      <c r="G4383" s="2">
        <v>41631</v>
      </c>
      <c r="H4383">
        <v>8.8659999999999997</v>
      </c>
      <c r="J4383" s="2">
        <v>41638</v>
      </c>
      <c r="K4383" s="3">
        <f t="shared" si="136"/>
        <v>7.75</v>
      </c>
      <c r="L4383" s="3">
        <f t="shared" si="137"/>
        <v>8.8960000000000008</v>
      </c>
    </row>
    <row r="4384" spans="1:12" x14ac:dyDescent="0.3">
      <c r="A4384" s="2">
        <v>40901</v>
      </c>
      <c r="B4384" t="s">
        <v>13</v>
      </c>
      <c r="D4384" s="2">
        <v>41632</v>
      </c>
      <c r="E4384">
        <v>7.75</v>
      </c>
      <c r="G4384" s="2">
        <v>41632</v>
      </c>
      <c r="H4384">
        <v>8.8800000000000008</v>
      </c>
      <c r="J4384" s="2">
        <v>41639</v>
      </c>
      <c r="K4384" s="3">
        <f t="shared" si="136"/>
        <v>7.75</v>
      </c>
      <c r="L4384" s="3">
        <f t="shared" si="137"/>
        <v>8.8379999999999992</v>
      </c>
    </row>
    <row r="4385" spans="1:12" x14ac:dyDescent="0.3">
      <c r="A4385" s="2">
        <v>40902</v>
      </c>
      <c r="B4385" t="s">
        <v>13</v>
      </c>
      <c r="D4385" s="2">
        <v>41633</v>
      </c>
      <c r="E4385">
        <v>7.75</v>
      </c>
      <c r="G4385" s="2">
        <v>41633</v>
      </c>
      <c r="H4385">
        <v>8.8800000000000008</v>
      </c>
      <c r="J4385" s="2">
        <v>41640</v>
      </c>
      <c r="K4385" s="3">
        <f t="shared" si="136"/>
        <v>7.75</v>
      </c>
      <c r="L4385" s="3">
        <f t="shared" si="137"/>
        <v>8.8059999999999992</v>
      </c>
    </row>
    <row r="4386" spans="1:12" x14ac:dyDescent="0.3">
      <c r="A4386" s="2">
        <v>40903</v>
      </c>
      <c r="B4386" t="s">
        <v>13</v>
      </c>
      <c r="D4386" s="2">
        <v>41634</v>
      </c>
      <c r="E4386">
        <v>7.75</v>
      </c>
      <c r="G4386" s="2">
        <v>41634</v>
      </c>
      <c r="H4386">
        <v>8.923</v>
      </c>
      <c r="J4386" s="2">
        <v>41641</v>
      </c>
      <c r="K4386" s="3">
        <f t="shared" si="136"/>
        <v>7.75</v>
      </c>
      <c r="L4386" s="3">
        <f t="shared" si="137"/>
        <v>8.7279999999999998</v>
      </c>
    </row>
    <row r="4387" spans="1:12" x14ac:dyDescent="0.3">
      <c r="A4387" s="2">
        <v>40904</v>
      </c>
      <c r="B4387" t="s">
        <v>13</v>
      </c>
      <c r="D4387" s="2">
        <v>41635</v>
      </c>
      <c r="E4387">
        <v>7.75</v>
      </c>
      <c r="G4387" s="2">
        <v>41635</v>
      </c>
      <c r="H4387">
        <v>8.952</v>
      </c>
      <c r="J4387" s="2">
        <v>41642</v>
      </c>
      <c r="K4387" s="3">
        <f t="shared" si="136"/>
        <v>7.75</v>
      </c>
      <c r="L4387" s="3">
        <f t="shared" si="137"/>
        <v>8.5500000000000007</v>
      </c>
    </row>
    <row r="4388" spans="1:12" x14ac:dyDescent="0.3">
      <c r="A4388" s="2">
        <v>40905</v>
      </c>
      <c r="B4388" t="s">
        <v>13</v>
      </c>
      <c r="D4388" s="2">
        <v>41636</v>
      </c>
      <c r="E4388">
        <v>7.75</v>
      </c>
      <c r="G4388" s="2">
        <v>41636</v>
      </c>
      <c r="H4388">
        <v>8.952</v>
      </c>
      <c r="J4388" s="2">
        <v>41643</v>
      </c>
      <c r="K4388" s="3">
        <f t="shared" si="136"/>
        <v>7.75</v>
      </c>
      <c r="L4388" s="3">
        <f t="shared" si="137"/>
        <v>8.5500000000000007</v>
      </c>
    </row>
    <row r="4389" spans="1:12" x14ac:dyDescent="0.3">
      <c r="A4389" s="2">
        <v>40906</v>
      </c>
      <c r="B4389" t="s">
        <v>13</v>
      </c>
      <c r="D4389" s="2">
        <v>41637</v>
      </c>
      <c r="E4389">
        <v>7.75</v>
      </c>
      <c r="G4389" s="2">
        <v>41637</v>
      </c>
      <c r="H4389">
        <v>8.952</v>
      </c>
      <c r="J4389" s="2">
        <v>41644</v>
      </c>
      <c r="K4389" s="3">
        <f t="shared" si="136"/>
        <v>7.75</v>
      </c>
      <c r="L4389" s="3">
        <f t="shared" si="137"/>
        <v>8.5500000000000007</v>
      </c>
    </row>
    <row r="4390" spans="1:12" x14ac:dyDescent="0.3">
      <c r="A4390" s="2">
        <v>40907</v>
      </c>
      <c r="B4390" t="s">
        <v>13</v>
      </c>
      <c r="D4390" s="2">
        <v>41638</v>
      </c>
      <c r="E4390">
        <v>7.75</v>
      </c>
      <c r="G4390" s="2">
        <v>41638</v>
      </c>
      <c r="H4390">
        <v>8.8960000000000008</v>
      </c>
      <c r="J4390" s="2">
        <v>41645</v>
      </c>
      <c r="K4390" s="3">
        <f t="shared" si="136"/>
        <v>7.75</v>
      </c>
      <c r="L4390" s="3">
        <f t="shared" si="137"/>
        <v>8.5519999999999996</v>
      </c>
    </row>
    <row r="4391" spans="1:12" x14ac:dyDescent="0.3">
      <c r="A4391" s="2">
        <v>40908</v>
      </c>
      <c r="B4391" t="s">
        <v>13</v>
      </c>
      <c r="D4391" s="2">
        <v>41639</v>
      </c>
      <c r="E4391">
        <v>7.75</v>
      </c>
      <c r="G4391" s="2">
        <v>41639</v>
      </c>
      <c r="H4391">
        <v>8.8379999999999992</v>
      </c>
      <c r="J4391" s="2">
        <v>41646</v>
      </c>
      <c r="K4391" s="3">
        <f t="shared" si="136"/>
        <v>7.75</v>
      </c>
      <c r="L4391" s="3">
        <f t="shared" si="137"/>
        <v>8.577</v>
      </c>
    </row>
    <row r="4392" spans="1:12" x14ac:dyDescent="0.3">
      <c r="A4392" s="2">
        <v>40909</v>
      </c>
      <c r="B4392" t="s">
        <v>13</v>
      </c>
      <c r="D4392" s="2">
        <v>41640</v>
      </c>
      <c r="E4392">
        <v>7.75</v>
      </c>
      <c r="G4392" s="2">
        <v>41640</v>
      </c>
      <c r="H4392">
        <v>8.8059999999999992</v>
      </c>
      <c r="J4392" s="2">
        <v>41647</v>
      </c>
      <c r="K4392" s="3">
        <f t="shared" si="136"/>
        <v>7.75</v>
      </c>
      <c r="L4392" s="3">
        <f t="shared" si="137"/>
        <v>8.6769999999999996</v>
      </c>
    </row>
    <row r="4393" spans="1:12" x14ac:dyDescent="0.3">
      <c r="A4393" s="2">
        <v>40910</v>
      </c>
      <c r="B4393" t="s">
        <v>13</v>
      </c>
      <c r="D4393" s="2">
        <v>41641</v>
      </c>
      <c r="E4393">
        <v>7.75</v>
      </c>
      <c r="G4393" s="2">
        <v>41641</v>
      </c>
      <c r="H4393">
        <v>8.7279999999999998</v>
      </c>
      <c r="J4393" s="2">
        <v>41648</v>
      </c>
      <c r="K4393" s="3">
        <f t="shared" si="136"/>
        <v>7.75</v>
      </c>
      <c r="L4393" s="3">
        <f t="shared" si="137"/>
        <v>8.593</v>
      </c>
    </row>
    <row r="4394" spans="1:12" x14ac:dyDescent="0.3">
      <c r="A4394" s="2">
        <v>40911</v>
      </c>
      <c r="B4394" t="s">
        <v>13</v>
      </c>
      <c r="D4394" s="2">
        <v>41642</v>
      </c>
      <c r="E4394">
        <v>7.75</v>
      </c>
      <c r="G4394" s="2">
        <v>41642</v>
      </c>
      <c r="H4394">
        <v>8.5500000000000007</v>
      </c>
      <c r="J4394" s="2">
        <v>41649</v>
      </c>
      <c r="K4394" s="3">
        <f t="shared" si="136"/>
        <v>7.75</v>
      </c>
      <c r="L4394" s="3">
        <f t="shared" si="137"/>
        <v>8.4670000000000005</v>
      </c>
    </row>
    <row r="4395" spans="1:12" x14ac:dyDescent="0.3">
      <c r="A4395" s="2">
        <v>40912</v>
      </c>
      <c r="B4395" t="s">
        <v>13</v>
      </c>
      <c r="D4395" s="2">
        <v>41643</v>
      </c>
      <c r="E4395">
        <v>7.75</v>
      </c>
      <c r="G4395" s="2">
        <v>41643</v>
      </c>
      <c r="H4395">
        <v>8.5500000000000007</v>
      </c>
      <c r="J4395" s="2">
        <v>41650</v>
      </c>
      <c r="K4395" s="3">
        <f t="shared" si="136"/>
        <v>7.75</v>
      </c>
      <c r="L4395" s="3">
        <f t="shared" si="137"/>
        <v>8.4670000000000005</v>
      </c>
    </row>
    <row r="4396" spans="1:12" x14ac:dyDescent="0.3">
      <c r="A4396" s="2">
        <v>40913</v>
      </c>
      <c r="B4396" t="s">
        <v>13</v>
      </c>
      <c r="D4396" s="2">
        <v>41644</v>
      </c>
      <c r="E4396">
        <v>7.75</v>
      </c>
      <c r="G4396" s="2">
        <v>41644</v>
      </c>
      <c r="H4396">
        <v>8.5500000000000007</v>
      </c>
      <c r="J4396" s="2">
        <v>41651</v>
      </c>
      <c r="K4396" s="3">
        <f t="shared" si="136"/>
        <v>7.75</v>
      </c>
      <c r="L4396" s="3">
        <f t="shared" si="137"/>
        <v>8.4670000000000005</v>
      </c>
    </row>
    <row r="4397" spans="1:12" x14ac:dyDescent="0.3">
      <c r="A4397" s="2">
        <v>40914</v>
      </c>
      <c r="B4397" t="s">
        <v>13</v>
      </c>
      <c r="D4397" s="2">
        <v>41645</v>
      </c>
      <c r="E4397">
        <v>7.75</v>
      </c>
      <c r="G4397" s="2">
        <v>41645</v>
      </c>
      <c r="H4397">
        <v>8.5519999999999996</v>
      </c>
      <c r="J4397" s="2">
        <v>41652</v>
      </c>
      <c r="K4397" s="3">
        <f t="shared" si="136"/>
        <v>7.75</v>
      </c>
      <c r="L4397" s="3">
        <f t="shared" si="137"/>
        <v>8.5779999999999994</v>
      </c>
    </row>
    <row r="4398" spans="1:12" x14ac:dyDescent="0.3">
      <c r="A4398" s="2">
        <v>40915</v>
      </c>
      <c r="B4398" t="s">
        <v>13</v>
      </c>
      <c r="D4398" s="2">
        <v>41646</v>
      </c>
      <c r="E4398">
        <v>7.75</v>
      </c>
      <c r="G4398" s="2">
        <v>41646</v>
      </c>
      <c r="H4398">
        <v>8.577</v>
      </c>
      <c r="J4398" s="2">
        <v>41653</v>
      </c>
      <c r="K4398" s="3">
        <f t="shared" si="136"/>
        <v>7.75</v>
      </c>
      <c r="L4398" s="3">
        <f t="shared" si="137"/>
        <v>8.5760000000000005</v>
      </c>
    </row>
    <row r="4399" spans="1:12" x14ac:dyDescent="0.3">
      <c r="A4399" s="2">
        <v>40916</v>
      </c>
      <c r="B4399" t="s">
        <v>13</v>
      </c>
      <c r="D4399" s="2">
        <v>41647</v>
      </c>
      <c r="E4399">
        <v>7.75</v>
      </c>
      <c r="G4399" s="2">
        <v>41647</v>
      </c>
      <c r="H4399">
        <v>8.6769999999999996</v>
      </c>
      <c r="J4399" s="2">
        <v>41654</v>
      </c>
      <c r="K4399" s="3">
        <f t="shared" si="136"/>
        <v>7.75</v>
      </c>
      <c r="L4399" s="3">
        <f t="shared" si="137"/>
        <v>8.4540000000000006</v>
      </c>
    </row>
    <row r="4400" spans="1:12" x14ac:dyDescent="0.3">
      <c r="A4400" s="2">
        <v>40917</v>
      </c>
      <c r="B4400" t="s">
        <v>13</v>
      </c>
      <c r="D4400" s="2">
        <v>41648</v>
      </c>
      <c r="E4400">
        <v>7.75</v>
      </c>
      <c r="G4400" s="2">
        <v>41648</v>
      </c>
      <c r="H4400">
        <v>8.593</v>
      </c>
      <c r="J4400" s="2">
        <v>41655</v>
      </c>
      <c r="K4400" s="3">
        <f t="shared" si="136"/>
        <v>7.75</v>
      </c>
      <c r="L4400" s="3">
        <f t="shared" si="137"/>
        <v>8.4290000000000003</v>
      </c>
    </row>
    <row r="4401" spans="1:12" x14ac:dyDescent="0.3">
      <c r="A4401" s="2">
        <v>40918</v>
      </c>
      <c r="B4401" t="s">
        <v>13</v>
      </c>
      <c r="D4401" s="2">
        <v>41649</v>
      </c>
      <c r="E4401">
        <v>7.75</v>
      </c>
      <c r="G4401" s="2">
        <v>41649</v>
      </c>
      <c r="H4401">
        <v>8.4670000000000005</v>
      </c>
      <c r="J4401" s="2">
        <v>41656</v>
      </c>
      <c r="K4401" s="3">
        <f t="shared" si="136"/>
        <v>7.75</v>
      </c>
      <c r="L4401" s="3">
        <f t="shared" si="137"/>
        <v>8.5169999999999995</v>
      </c>
    </row>
    <row r="4402" spans="1:12" x14ac:dyDescent="0.3">
      <c r="A4402" s="2">
        <v>40919</v>
      </c>
      <c r="B4402" t="s">
        <v>13</v>
      </c>
      <c r="D4402" s="2">
        <v>41650</v>
      </c>
      <c r="E4402">
        <v>7.75</v>
      </c>
      <c r="G4402" s="2">
        <v>41650</v>
      </c>
      <c r="H4402">
        <v>8.4670000000000005</v>
      </c>
      <c r="J4402" s="2">
        <v>41657</v>
      </c>
      <c r="K4402" s="3">
        <f t="shared" si="136"/>
        <v>7.75</v>
      </c>
      <c r="L4402" s="3">
        <f t="shared" si="137"/>
        <v>8.5169999999999995</v>
      </c>
    </row>
    <row r="4403" spans="1:12" x14ac:dyDescent="0.3">
      <c r="A4403" s="2">
        <v>40920</v>
      </c>
      <c r="B4403" t="s">
        <v>13</v>
      </c>
      <c r="D4403" s="2">
        <v>41651</v>
      </c>
      <c r="E4403">
        <v>7.75</v>
      </c>
      <c r="G4403" s="2">
        <v>41651</v>
      </c>
      <c r="H4403">
        <v>8.4670000000000005</v>
      </c>
      <c r="J4403" s="2">
        <v>41658</v>
      </c>
      <c r="K4403" s="3">
        <f t="shared" si="136"/>
        <v>7.75</v>
      </c>
      <c r="L4403" s="3">
        <f t="shared" si="137"/>
        <v>8.5169999999999995</v>
      </c>
    </row>
    <row r="4404" spans="1:12" x14ac:dyDescent="0.3">
      <c r="A4404" s="2">
        <v>40921</v>
      </c>
      <c r="B4404" t="s">
        <v>13</v>
      </c>
      <c r="D4404" s="2">
        <v>41652</v>
      </c>
      <c r="E4404">
        <v>7.75</v>
      </c>
      <c r="G4404" s="2">
        <v>41652</v>
      </c>
      <c r="H4404">
        <v>8.5779999999999994</v>
      </c>
      <c r="J4404" s="2">
        <v>41659</v>
      </c>
      <c r="K4404" s="3">
        <f t="shared" si="136"/>
        <v>7.75</v>
      </c>
      <c r="L4404" s="3">
        <f t="shared" si="137"/>
        <v>8.3330000000000002</v>
      </c>
    </row>
    <row r="4405" spans="1:12" x14ac:dyDescent="0.3">
      <c r="A4405" s="2">
        <v>40922</v>
      </c>
      <c r="B4405" t="s">
        <v>13</v>
      </c>
      <c r="D4405" s="2">
        <v>41653</v>
      </c>
      <c r="E4405">
        <v>7.75</v>
      </c>
      <c r="G4405" s="2">
        <v>41653</v>
      </c>
      <c r="H4405">
        <v>8.5760000000000005</v>
      </c>
      <c r="J4405" s="2">
        <v>41660</v>
      </c>
      <c r="K4405" s="3">
        <f t="shared" si="136"/>
        <v>7.75</v>
      </c>
      <c r="L4405" s="3">
        <f t="shared" si="137"/>
        <v>8.5280000000000005</v>
      </c>
    </row>
    <row r="4406" spans="1:12" x14ac:dyDescent="0.3">
      <c r="A4406" s="2">
        <v>40923</v>
      </c>
      <c r="B4406" t="s">
        <v>13</v>
      </c>
      <c r="D4406" s="2">
        <v>41654</v>
      </c>
      <c r="E4406">
        <v>7.75</v>
      </c>
      <c r="G4406" s="2">
        <v>41654</v>
      </c>
      <c r="H4406">
        <v>8.4540000000000006</v>
      </c>
      <c r="J4406" s="2">
        <v>41661</v>
      </c>
      <c r="K4406" s="3">
        <f t="shared" si="136"/>
        <v>7.75</v>
      </c>
      <c r="L4406" s="3">
        <f t="shared" si="137"/>
        <v>8.5239999999999991</v>
      </c>
    </row>
    <row r="4407" spans="1:12" x14ac:dyDescent="0.3">
      <c r="A4407" s="2">
        <v>40924</v>
      </c>
      <c r="B4407" t="s">
        <v>13</v>
      </c>
      <c r="D4407" s="2">
        <v>41655</v>
      </c>
      <c r="E4407">
        <v>7.75</v>
      </c>
      <c r="G4407" s="2">
        <v>41655</v>
      </c>
      <c r="H4407">
        <v>8.4290000000000003</v>
      </c>
      <c r="J4407" s="2">
        <v>41662</v>
      </c>
      <c r="K4407" s="3">
        <f t="shared" si="136"/>
        <v>7.75</v>
      </c>
      <c r="L4407" s="3">
        <f t="shared" si="137"/>
        <v>8.5510000000000002</v>
      </c>
    </row>
    <row r="4408" spans="1:12" x14ac:dyDescent="0.3">
      <c r="A4408" s="2">
        <v>40925</v>
      </c>
      <c r="B4408" t="s">
        <v>13</v>
      </c>
      <c r="D4408" s="2">
        <v>41656</v>
      </c>
      <c r="E4408">
        <v>7.75</v>
      </c>
      <c r="G4408" s="2">
        <v>41656</v>
      </c>
      <c r="H4408">
        <v>8.5169999999999995</v>
      </c>
      <c r="J4408" s="2">
        <v>41663</v>
      </c>
      <c r="K4408" s="3">
        <f t="shared" si="136"/>
        <v>7.75</v>
      </c>
      <c r="L4408" s="3">
        <f t="shared" si="137"/>
        <v>8.4510000000000005</v>
      </c>
    </row>
    <row r="4409" spans="1:12" x14ac:dyDescent="0.3">
      <c r="A4409" s="2">
        <v>40926</v>
      </c>
      <c r="B4409" t="s">
        <v>13</v>
      </c>
      <c r="D4409" s="2">
        <v>41657</v>
      </c>
      <c r="E4409">
        <v>7.75</v>
      </c>
      <c r="G4409" s="2">
        <v>41657</v>
      </c>
      <c r="H4409">
        <v>8.5169999999999995</v>
      </c>
      <c r="J4409" s="2">
        <v>41664</v>
      </c>
      <c r="K4409" s="3">
        <f t="shared" si="136"/>
        <v>7.75</v>
      </c>
      <c r="L4409" s="3">
        <f t="shared" si="137"/>
        <v>8.4510000000000005</v>
      </c>
    </row>
    <row r="4410" spans="1:12" x14ac:dyDescent="0.3">
      <c r="A4410" s="2">
        <v>40927</v>
      </c>
      <c r="B4410" t="s">
        <v>13</v>
      </c>
      <c r="D4410" s="2">
        <v>41658</v>
      </c>
      <c r="E4410">
        <v>7.75</v>
      </c>
      <c r="G4410" s="2">
        <v>41658</v>
      </c>
      <c r="H4410">
        <v>8.5169999999999995</v>
      </c>
      <c r="J4410" s="2">
        <v>41665</v>
      </c>
      <c r="K4410" s="3">
        <f t="shared" si="136"/>
        <v>7.75</v>
      </c>
      <c r="L4410" s="3">
        <f t="shared" si="137"/>
        <v>8.4510000000000005</v>
      </c>
    </row>
    <row r="4411" spans="1:12" x14ac:dyDescent="0.3">
      <c r="A4411" s="2">
        <v>40928</v>
      </c>
      <c r="B4411" t="s">
        <v>13</v>
      </c>
      <c r="D4411" s="2">
        <v>41659</v>
      </c>
      <c r="E4411">
        <v>7.75</v>
      </c>
      <c r="G4411" s="2">
        <v>41659</v>
      </c>
      <c r="H4411">
        <v>8.3330000000000002</v>
      </c>
      <c r="J4411" s="2">
        <v>41666</v>
      </c>
      <c r="K4411" s="3">
        <f t="shared" si="136"/>
        <v>7.75</v>
      </c>
      <c r="L4411" s="3">
        <f t="shared" si="137"/>
        <v>8.4510000000000005</v>
      </c>
    </row>
    <row r="4412" spans="1:12" x14ac:dyDescent="0.3">
      <c r="A4412" s="2">
        <v>40929</v>
      </c>
      <c r="B4412" t="s">
        <v>13</v>
      </c>
      <c r="D4412" s="2">
        <v>41660</v>
      </c>
      <c r="E4412">
        <v>7.75</v>
      </c>
      <c r="G4412" s="2">
        <v>41660</v>
      </c>
      <c r="H4412">
        <v>8.5280000000000005</v>
      </c>
      <c r="J4412" s="2">
        <v>41667</v>
      </c>
      <c r="K4412" s="3">
        <f t="shared" si="136"/>
        <v>8</v>
      </c>
      <c r="L4412" s="3">
        <f t="shared" si="137"/>
        <v>8.3859999999999992</v>
      </c>
    </row>
    <row r="4413" spans="1:12" x14ac:dyDescent="0.3">
      <c r="A4413" s="2">
        <v>40930</v>
      </c>
      <c r="B4413" t="s">
        <v>13</v>
      </c>
      <c r="D4413" s="2">
        <v>41661</v>
      </c>
      <c r="E4413">
        <v>7.75</v>
      </c>
      <c r="G4413" s="2">
        <v>41661</v>
      </c>
      <c r="H4413">
        <v>8.5239999999999991</v>
      </c>
      <c r="J4413" s="2">
        <v>41668</v>
      </c>
      <c r="K4413" s="3">
        <f t="shared" si="136"/>
        <v>8</v>
      </c>
      <c r="L4413" s="3">
        <f t="shared" si="137"/>
        <v>8.4009999999999998</v>
      </c>
    </row>
    <row r="4414" spans="1:12" x14ac:dyDescent="0.3">
      <c r="A4414" s="2">
        <v>40931</v>
      </c>
      <c r="B4414" t="s">
        <v>13</v>
      </c>
      <c r="D4414" s="2">
        <v>41662</v>
      </c>
      <c r="E4414">
        <v>7.75</v>
      </c>
      <c r="G4414" s="2">
        <v>41662</v>
      </c>
      <c r="H4414">
        <v>8.5510000000000002</v>
      </c>
      <c r="J4414" s="2">
        <v>41669</v>
      </c>
      <c r="K4414" s="3">
        <f t="shared" si="136"/>
        <v>8</v>
      </c>
      <c r="L4414" s="3">
        <f t="shared" si="137"/>
        <v>8.5090000000000003</v>
      </c>
    </row>
    <row r="4415" spans="1:12" x14ac:dyDescent="0.3">
      <c r="A4415" s="2">
        <v>40932</v>
      </c>
      <c r="B4415" t="s">
        <v>13</v>
      </c>
      <c r="D4415" s="2">
        <v>41663</v>
      </c>
      <c r="E4415">
        <v>7.75</v>
      </c>
      <c r="G4415" s="2">
        <v>41663</v>
      </c>
      <c r="H4415">
        <v>8.4510000000000005</v>
      </c>
      <c r="J4415" s="2">
        <v>41670</v>
      </c>
      <c r="K4415" s="3">
        <f t="shared" si="136"/>
        <v>8</v>
      </c>
      <c r="L4415" s="3">
        <f t="shared" si="137"/>
        <v>8.5229999999999997</v>
      </c>
    </row>
    <row r="4416" spans="1:12" x14ac:dyDescent="0.3">
      <c r="A4416" s="2">
        <v>40933</v>
      </c>
      <c r="B4416" t="s">
        <v>13</v>
      </c>
      <c r="D4416" s="2">
        <v>41664</v>
      </c>
      <c r="E4416">
        <v>7.75</v>
      </c>
      <c r="G4416" s="2">
        <v>41664</v>
      </c>
      <c r="H4416">
        <v>8.4510000000000005</v>
      </c>
      <c r="J4416" s="2">
        <v>41671</v>
      </c>
      <c r="K4416" s="3">
        <f t="shared" si="136"/>
        <v>8</v>
      </c>
      <c r="L4416" s="3">
        <f t="shared" si="137"/>
        <v>8.5229999999999997</v>
      </c>
    </row>
    <row r="4417" spans="1:12" x14ac:dyDescent="0.3">
      <c r="A4417" s="2">
        <v>40934</v>
      </c>
      <c r="B4417" t="s">
        <v>13</v>
      </c>
      <c r="D4417" s="2">
        <v>41665</v>
      </c>
      <c r="E4417">
        <v>7.75</v>
      </c>
      <c r="G4417" s="2">
        <v>41665</v>
      </c>
      <c r="H4417">
        <v>8.4510000000000005</v>
      </c>
      <c r="J4417" s="2">
        <v>41672</v>
      </c>
      <c r="K4417" s="3">
        <f t="shared" si="136"/>
        <v>8</v>
      </c>
      <c r="L4417" s="3">
        <f t="shared" si="137"/>
        <v>8.5229999999999997</v>
      </c>
    </row>
    <row r="4418" spans="1:12" x14ac:dyDescent="0.3">
      <c r="A4418" s="2">
        <v>40935</v>
      </c>
      <c r="B4418" t="s">
        <v>13</v>
      </c>
      <c r="D4418" s="2">
        <v>41666</v>
      </c>
      <c r="E4418">
        <v>7.75</v>
      </c>
      <c r="G4418" s="2">
        <v>41666</v>
      </c>
      <c r="H4418">
        <v>8.4510000000000005</v>
      </c>
      <c r="J4418" s="2">
        <v>41673</v>
      </c>
      <c r="K4418" s="3">
        <f t="shared" si="136"/>
        <v>8</v>
      </c>
      <c r="L4418" s="3">
        <f t="shared" si="137"/>
        <v>8.6460000000000008</v>
      </c>
    </row>
    <row r="4419" spans="1:12" x14ac:dyDescent="0.3">
      <c r="A4419" s="2">
        <v>40936</v>
      </c>
      <c r="B4419" t="s">
        <v>13</v>
      </c>
      <c r="D4419" s="2">
        <v>41667</v>
      </c>
      <c r="E4419">
        <v>8</v>
      </c>
      <c r="G4419" s="2">
        <v>41667</v>
      </c>
      <c r="H4419">
        <v>8.3859999999999992</v>
      </c>
      <c r="J4419" s="2">
        <v>41674</v>
      </c>
      <c r="K4419" s="3">
        <f t="shared" ref="K4419:K4482" si="138">E4426</f>
        <v>8</v>
      </c>
      <c r="L4419" s="3">
        <f t="shared" ref="L4419:L4482" si="139">H4426</f>
        <v>8.51</v>
      </c>
    </row>
    <row r="4420" spans="1:12" x14ac:dyDescent="0.3">
      <c r="A4420" s="2">
        <v>40937</v>
      </c>
      <c r="B4420" t="s">
        <v>13</v>
      </c>
      <c r="D4420" s="2">
        <v>41668</v>
      </c>
      <c r="E4420">
        <v>8</v>
      </c>
      <c r="G4420" s="2">
        <v>41668</v>
      </c>
      <c r="H4420">
        <v>8.4009999999999998</v>
      </c>
      <c r="J4420" s="2">
        <v>41675</v>
      </c>
      <c r="K4420" s="3">
        <f t="shared" si="138"/>
        <v>8</v>
      </c>
      <c r="L4420" s="3">
        <f t="shared" si="139"/>
        <v>8.5009999999999994</v>
      </c>
    </row>
    <row r="4421" spans="1:12" x14ac:dyDescent="0.3">
      <c r="A4421" s="2">
        <v>40938</v>
      </c>
      <c r="B4421" t="s">
        <v>13</v>
      </c>
      <c r="D4421" s="2">
        <v>41669</v>
      </c>
      <c r="E4421">
        <v>8</v>
      </c>
      <c r="G4421" s="2">
        <v>41669</v>
      </c>
      <c r="H4421">
        <v>8.5090000000000003</v>
      </c>
      <c r="J4421" s="2">
        <v>41676</v>
      </c>
      <c r="K4421" s="3">
        <f t="shared" si="138"/>
        <v>8</v>
      </c>
      <c r="L4421" s="3">
        <f t="shared" si="139"/>
        <v>8.4979999999999993</v>
      </c>
    </row>
    <row r="4422" spans="1:12" x14ac:dyDescent="0.3">
      <c r="A4422" s="2">
        <v>40939</v>
      </c>
      <c r="B4422" t="s">
        <v>13</v>
      </c>
      <c r="D4422" s="2">
        <v>41670</v>
      </c>
      <c r="E4422">
        <v>8</v>
      </c>
      <c r="G4422" s="2">
        <v>41670</v>
      </c>
      <c r="H4422">
        <v>8.5229999999999997</v>
      </c>
      <c r="J4422" s="2">
        <v>41677</v>
      </c>
      <c r="K4422" s="3">
        <f t="shared" si="138"/>
        <v>8</v>
      </c>
      <c r="L4422" s="3">
        <f t="shared" si="139"/>
        <v>8.4580000000000002</v>
      </c>
    </row>
    <row r="4423" spans="1:12" x14ac:dyDescent="0.3">
      <c r="A4423" s="2">
        <v>40940</v>
      </c>
      <c r="B4423" t="s">
        <v>13</v>
      </c>
      <c r="D4423" s="2">
        <v>41671</v>
      </c>
      <c r="E4423">
        <v>8</v>
      </c>
      <c r="G4423" s="2">
        <v>41671</v>
      </c>
      <c r="H4423">
        <v>8.5229999999999997</v>
      </c>
      <c r="J4423" s="2">
        <v>41678</v>
      </c>
      <c r="K4423" s="3">
        <f t="shared" si="138"/>
        <v>8</v>
      </c>
      <c r="L4423" s="3">
        <f t="shared" si="139"/>
        <v>8.4580000000000002</v>
      </c>
    </row>
    <row r="4424" spans="1:12" x14ac:dyDescent="0.3">
      <c r="A4424" s="2">
        <v>40941</v>
      </c>
      <c r="B4424" t="s">
        <v>13</v>
      </c>
      <c r="D4424" s="2">
        <v>41672</v>
      </c>
      <c r="E4424">
        <v>8</v>
      </c>
      <c r="G4424" s="2">
        <v>41672</v>
      </c>
      <c r="H4424">
        <v>8.5229999999999997</v>
      </c>
      <c r="J4424" s="2">
        <v>41679</v>
      </c>
      <c r="K4424" s="3">
        <f t="shared" si="138"/>
        <v>8</v>
      </c>
      <c r="L4424" s="3">
        <f t="shared" si="139"/>
        <v>8.4580000000000002</v>
      </c>
    </row>
    <row r="4425" spans="1:12" x14ac:dyDescent="0.3">
      <c r="A4425" s="2">
        <v>40942</v>
      </c>
      <c r="B4425" t="s">
        <v>13</v>
      </c>
      <c r="D4425" s="2">
        <v>41673</v>
      </c>
      <c r="E4425">
        <v>8</v>
      </c>
      <c r="G4425" s="2">
        <v>41673</v>
      </c>
      <c r="H4425">
        <v>8.6460000000000008</v>
      </c>
      <c r="J4425" s="2">
        <v>41680</v>
      </c>
      <c r="K4425" s="3">
        <f t="shared" si="138"/>
        <v>8</v>
      </c>
      <c r="L4425" s="3">
        <f t="shared" si="139"/>
        <v>8.766</v>
      </c>
    </row>
    <row r="4426" spans="1:12" x14ac:dyDescent="0.3">
      <c r="A4426" s="2">
        <v>40943</v>
      </c>
      <c r="B4426" t="s">
        <v>13</v>
      </c>
      <c r="D4426" s="2">
        <v>41674</v>
      </c>
      <c r="E4426">
        <v>8</v>
      </c>
      <c r="G4426" s="2">
        <v>41674</v>
      </c>
      <c r="H4426">
        <v>8.51</v>
      </c>
      <c r="J4426" s="2">
        <v>41681</v>
      </c>
      <c r="K4426" s="3">
        <f t="shared" si="138"/>
        <v>8</v>
      </c>
      <c r="L4426" s="3">
        <f t="shared" si="139"/>
        <v>8.6720000000000006</v>
      </c>
    </row>
    <row r="4427" spans="1:12" x14ac:dyDescent="0.3">
      <c r="A4427" s="2">
        <v>40944</v>
      </c>
      <c r="B4427" t="s">
        <v>13</v>
      </c>
      <c r="D4427" s="2">
        <v>41675</v>
      </c>
      <c r="E4427">
        <v>8</v>
      </c>
      <c r="G4427" s="2">
        <v>41675</v>
      </c>
      <c r="H4427">
        <v>8.5009999999999994</v>
      </c>
      <c r="J4427" s="2">
        <v>41682</v>
      </c>
      <c r="K4427" s="3">
        <f t="shared" si="138"/>
        <v>8</v>
      </c>
      <c r="L4427" s="3">
        <f t="shared" si="139"/>
        <v>8.68</v>
      </c>
    </row>
    <row r="4428" spans="1:12" x14ac:dyDescent="0.3">
      <c r="A4428" s="2">
        <v>40945</v>
      </c>
      <c r="B4428" t="s">
        <v>13</v>
      </c>
      <c r="D4428" s="2">
        <v>41676</v>
      </c>
      <c r="E4428">
        <v>8</v>
      </c>
      <c r="G4428" s="2">
        <v>41676</v>
      </c>
      <c r="H4428">
        <v>8.4979999999999993</v>
      </c>
      <c r="J4428" s="2">
        <v>41683</v>
      </c>
      <c r="K4428" s="3">
        <f t="shared" si="138"/>
        <v>8</v>
      </c>
      <c r="L4428" s="3">
        <f t="shared" si="139"/>
        <v>8.766</v>
      </c>
    </row>
    <row r="4429" spans="1:12" x14ac:dyDescent="0.3">
      <c r="A4429" s="2">
        <v>40946</v>
      </c>
      <c r="B4429" t="s">
        <v>13</v>
      </c>
      <c r="D4429" s="2">
        <v>41677</v>
      </c>
      <c r="E4429">
        <v>8</v>
      </c>
      <c r="G4429" s="2">
        <v>41677</v>
      </c>
      <c r="H4429">
        <v>8.4580000000000002</v>
      </c>
      <c r="J4429" s="2">
        <v>41684</v>
      </c>
      <c r="K4429" s="3">
        <f t="shared" si="138"/>
        <v>8</v>
      </c>
      <c r="L4429" s="3">
        <f t="shared" si="139"/>
        <v>8.68</v>
      </c>
    </row>
    <row r="4430" spans="1:12" x14ac:dyDescent="0.3">
      <c r="A4430" s="2">
        <v>40947</v>
      </c>
      <c r="B4430" t="s">
        <v>13</v>
      </c>
      <c r="D4430" s="2">
        <v>41678</v>
      </c>
      <c r="E4430">
        <v>8</v>
      </c>
      <c r="G4430" s="2">
        <v>41678</v>
      </c>
      <c r="H4430">
        <v>8.4580000000000002</v>
      </c>
      <c r="J4430" s="2">
        <v>41685</v>
      </c>
      <c r="K4430" s="3">
        <f t="shared" si="138"/>
        <v>8</v>
      </c>
      <c r="L4430" s="3">
        <f t="shared" si="139"/>
        <v>8.68</v>
      </c>
    </row>
    <row r="4431" spans="1:12" x14ac:dyDescent="0.3">
      <c r="A4431" s="2">
        <v>40948</v>
      </c>
      <c r="B4431" t="s">
        <v>13</v>
      </c>
      <c r="D4431" s="2">
        <v>41679</v>
      </c>
      <c r="E4431">
        <v>8</v>
      </c>
      <c r="G4431" s="2">
        <v>41679</v>
      </c>
      <c r="H4431">
        <v>8.4580000000000002</v>
      </c>
      <c r="J4431" s="2">
        <v>41686</v>
      </c>
      <c r="K4431" s="3">
        <f t="shared" si="138"/>
        <v>8</v>
      </c>
      <c r="L4431" s="3">
        <f t="shared" si="139"/>
        <v>8.68</v>
      </c>
    </row>
    <row r="4432" spans="1:12" x14ac:dyDescent="0.3">
      <c r="A4432" s="2">
        <v>40949</v>
      </c>
      <c r="B4432" t="s">
        <v>13</v>
      </c>
      <c r="D4432" s="2">
        <v>41680</v>
      </c>
      <c r="E4432">
        <v>8</v>
      </c>
      <c r="G4432" s="2">
        <v>41680</v>
      </c>
      <c r="H4432">
        <v>8.766</v>
      </c>
      <c r="J4432" s="2">
        <v>41687</v>
      </c>
      <c r="K4432" s="3">
        <f t="shared" si="138"/>
        <v>8</v>
      </c>
      <c r="L4432" s="3">
        <f t="shared" si="139"/>
        <v>8.68</v>
      </c>
    </row>
    <row r="4433" spans="1:12" x14ac:dyDescent="0.3">
      <c r="A4433" s="2">
        <v>40950</v>
      </c>
      <c r="B4433" t="s">
        <v>13</v>
      </c>
      <c r="D4433" s="2">
        <v>41681</v>
      </c>
      <c r="E4433">
        <v>8</v>
      </c>
      <c r="G4433" s="2">
        <v>41681</v>
      </c>
      <c r="H4433">
        <v>8.6720000000000006</v>
      </c>
      <c r="J4433" s="2">
        <v>41688</v>
      </c>
      <c r="K4433" s="3">
        <f t="shared" si="138"/>
        <v>8</v>
      </c>
      <c r="L4433" s="3">
        <f t="shared" si="139"/>
        <v>9.9890000000000008</v>
      </c>
    </row>
    <row r="4434" spans="1:12" x14ac:dyDescent="0.3">
      <c r="A4434" s="2">
        <v>40951</v>
      </c>
      <c r="B4434" t="s">
        <v>13</v>
      </c>
      <c r="D4434" s="2">
        <v>41682</v>
      </c>
      <c r="E4434">
        <v>8</v>
      </c>
      <c r="G4434" s="2">
        <v>41682</v>
      </c>
      <c r="H4434">
        <v>8.68</v>
      </c>
      <c r="J4434" s="2">
        <v>41689</v>
      </c>
      <c r="K4434" s="3">
        <f t="shared" si="138"/>
        <v>8</v>
      </c>
      <c r="L4434" s="3">
        <f t="shared" si="139"/>
        <v>9.9890000000000008</v>
      </c>
    </row>
    <row r="4435" spans="1:12" x14ac:dyDescent="0.3">
      <c r="A4435" s="2">
        <v>40952</v>
      </c>
      <c r="B4435" t="s">
        <v>13</v>
      </c>
      <c r="D4435" s="2">
        <v>41683</v>
      </c>
      <c r="E4435">
        <v>8</v>
      </c>
      <c r="G4435" s="2">
        <v>41683</v>
      </c>
      <c r="H4435">
        <v>8.766</v>
      </c>
      <c r="J4435" s="2">
        <v>41690</v>
      </c>
      <c r="K4435" s="3">
        <f t="shared" si="138"/>
        <v>8</v>
      </c>
      <c r="L4435" s="3">
        <f t="shared" si="139"/>
        <v>8.6549999999999994</v>
      </c>
    </row>
    <row r="4436" spans="1:12" x14ac:dyDescent="0.3">
      <c r="A4436" s="2">
        <v>40953</v>
      </c>
      <c r="B4436" t="s">
        <v>13</v>
      </c>
      <c r="D4436" s="2">
        <v>41684</v>
      </c>
      <c r="E4436">
        <v>8</v>
      </c>
      <c r="G4436" s="2">
        <v>41684</v>
      </c>
      <c r="H4436">
        <v>8.68</v>
      </c>
      <c r="J4436" s="2">
        <v>41691</v>
      </c>
      <c r="K4436" s="3">
        <f t="shared" si="138"/>
        <v>8</v>
      </c>
      <c r="L4436" s="3">
        <f t="shared" si="139"/>
        <v>8.5609999999999999</v>
      </c>
    </row>
    <row r="4437" spans="1:12" x14ac:dyDescent="0.3">
      <c r="A4437" s="2">
        <v>40954</v>
      </c>
      <c r="B4437" t="s">
        <v>13</v>
      </c>
      <c r="D4437" s="2">
        <v>41685</v>
      </c>
      <c r="E4437">
        <v>8</v>
      </c>
      <c r="G4437" s="2">
        <v>41685</v>
      </c>
      <c r="H4437">
        <v>8.68</v>
      </c>
      <c r="J4437" s="2">
        <v>41692</v>
      </c>
      <c r="K4437" s="3">
        <f t="shared" si="138"/>
        <v>8</v>
      </c>
      <c r="L4437" s="3">
        <f t="shared" si="139"/>
        <v>8.5609999999999999</v>
      </c>
    </row>
    <row r="4438" spans="1:12" x14ac:dyDescent="0.3">
      <c r="A4438" s="2">
        <v>40955</v>
      </c>
      <c r="B4438" t="s">
        <v>13</v>
      </c>
      <c r="D4438" s="2">
        <v>41686</v>
      </c>
      <c r="E4438">
        <v>8</v>
      </c>
      <c r="G4438" s="2">
        <v>41686</v>
      </c>
      <c r="H4438">
        <v>8.68</v>
      </c>
      <c r="J4438" s="2">
        <v>41693</v>
      </c>
      <c r="K4438" s="3">
        <f t="shared" si="138"/>
        <v>8</v>
      </c>
      <c r="L4438" s="3">
        <f t="shared" si="139"/>
        <v>8.5609999999999999</v>
      </c>
    </row>
    <row r="4439" spans="1:12" x14ac:dyDescent="0.3">
      <c r="A4439" s="2">
        <v>40956</v>
      </c>
      <c r="B4439" t="s">
        <v>13</v>
      </c>
      <c r="D4439" s="2">
        <v>41687</v>
      </c>
      <c r="E4439">
        <v>8</v>
      </c>
      <c r="G4439" s="2">
        <v>41687</v>
      </c>
      <c r="H4439">
        <v>8.68</v>
      </c>
      <c r="J4439" s="2">
        <v>41694</v>
      </c>
      <c r="K4439" s="3">
        <f t="shared" si="138"/>
        <v>8</v>
      </c>
      <c r="L4439" s="3">
        <f t="shared" si="139"/>
        <v>8.5980000000000008</v>
      </c>
    </row>
    <row r="4440" spans="1:12" x14ac:dyDescent="0.3">
      <c r="A4440" s="2">
        <v>40957</v>
      </c>
      <c r="B4440" t="s">
        <v>13</v>
      </c>
      <c r="D4440" s="2">
        <v>41688</v>
      </c>
      <c r="E4440">
        <v>8</v>
      </c>
      <c r="G4440" s="2">
        <v>41688</v>
      </c>
      <c r="H4440">
        <v>9.9890000000000008</v>
      </c>
      <c r="J4440" s="2">
        <v>41695</v>
      </c>
      <c r="K4440" s="3">
        <f t="shared" si="138"/>
        <v>8</v>
      </c>
      <c r="L4440" s="3">
        <f t="shared" si="139"/>
        <v>8.6280000000000001</v>
      </c>
    </row>
    <row r="4441" spans="1:12" x14ac:dyDescent="0.3">
      <c r="A4441" s="2">
        <v>40958</v>
      </c>
      <c r="B4441" t="s">
        <v>13</v>
      </c>
      <c r="D4441" s="2">
        <v>41689</v>
      </c>
      <c r="E4441">
        <v>8</v>
      </c>
      <c r="G4441" s="2">
        <v>41689</v>
      </c>
      <c r="H4441">
        <v>9.9890000000000008</v>
      </c>
      <c r="J4441" s="2">
        <v>41696</v>
      </c>
      <c r="K4441" s="3">
        <f t="shared" si="138"/>
        <v>8</v>
      </c>
      <c r="L4441" s="3">
        <f t="shared" si="139"/>
        <v>8.6850000000000005</v>
      </c>
    </row>
    <row r="4442" spans="1:12" x14ac:dyDescent="0.3">
      <c r="A4442" s="2">
        <v>40959</v>
      </c>
      <c r="B4442" t="s">
        <v>13</v>
      </c>
      <c r="D4442" s="2">
        <v>41690</v>
      </c>
      <c r="E4442">
        <v>8</v>
      </c>
      <c r="G4442" s="2">
        <v>41690</v>
      </c>
      <c r="H4442">
        <v>8.6549999999999994</v>
      </c>
      <c r="J4442" s="2">
        <v>41697</v>
      </c>
      <c r="K4442" s="3">
        <f t="shared" si="138"/>
        <v>8</v>
      </c>
      <c r="L4442" s="3">
        <f t="shared" si="139"/>
        <v>8.6170000000000009</v>
      </c>
    </row>
    <row r="4443" spans="1:12" x14ac:dyDescent="0.3">
      <c r="A4443" s="2">
        <v>40960</v>
      </c>
      <c r="B4443" t="s">
        <v>13</v>
      </c>
      <c r="D4443" s="2">
        <v>41691</v>
      </c>
      <c r="E4443">
        <v>8</v>
      </c>
      <c r="G4443" s="2">
        <v>41691</v>
      </c>
      <c r="H4443">
        <v>8.5609999999999999</v>
      </c>
      <c r="J4443" s="2">
        <v>41698</v>
      </c>
      <c r="K4443" s="3">
        <f t="shared" si="138"/>
        <v>8</v>
      </c>
      <c r="L4443" s="3">
        <f t="shared" si="139"/>
        <v>8.6170000000000009</v>
      </c>
    </row>
    <row r="4444" spans="1:12" x14ac:dyDescent="0.3">
      <c r="A4444" s="2">
        <v>40961</v>
      </c>
      <c r="B4444" t="s">
        <v>13</v>
      </c>
      <c r="D4444" s="2">
        <v>41692</v>
      </c>
      <c r="E4444">
        <v>8</v>
      </c>
      <c r="G4444" s="2">
        <v>41692</v>
      </c>
      <c r="H4444">
        <v>8.5609999999999999</v>
      </c>
      <c r="J4444" s="2">
        <v>41699</v>
      </c>
      <c r="K4444" s="3">
        <f t="shared" si="138"/>
        <v>8</v>
      </c>
      <c r="L4444" s="3">
        <f t="shared" si="139"/>
        <v>8.6170000000000009</v>
      </c>
    </row>
    <row r="4445" spans="1:12" x14ac:dyDescent="0.3">
      <c r="A4445" s="2">
        <v>40962</v>
      </c>
      <c r="B4445" t="s">
        <v>13</v>
      </c>
      <c r="D4445" s="2">
        <v>41693</v>
      </c>
      <c r="E4445">
        <v>8</v>
      </c>
      <c r="G4445" s="2">
        <v>41693</v>
      </c>
      <c r="H4445">
        <v>8.5609999999999999</v>
      </c>
      <c r="J4445" s="2">
        <v>41700</v>
      </c>
      <c r="K4445" s="3">
        <f t="shared" si="138"/>
        <v>8</v>
      </c>
      <c r="L4445" s="3">
        <f t="shared" si="139"/>
        <v>8.6170000000000009</v>
      </c>
    </row>
    <row r="4446" spans="1:12" x14ac:dyDescent="0.3">
      <c r="A4446" s="2">
        <v>40963</v>
      </c>
      <c r="B4446" t="s">
        <v>13</v>
      </c>
      <c r="D4446" s="2">
        <v>41694</v>
      </c>
      <c r="E4446">
        <v>8</v>
      </c>
      <c r="G4446" s="2">
        <v>41694</v>
      </c>
      <c r="H4446">
        <v>8.5980000000000008</v>
      </c>
      <c r="J4446" s="2">
        <v>41701</v>
      </c>
      <c r="K4446" s="3">
        <f t="shared" si="138"/>
        <v>8</v>
      </c>
      <c r="L4446" s="3">
        <f t="shared" si="139"/>
        <v>8.7189999999999994</v>
      </c>
    </row>
    <row r="4447" spans="1:12" x14ac:dyDescent="0.3">
      <c r="A4447" s="2">
        <v>40964</v>
      </c>
      <c r="B4447" t="s">
        <v>13</v>
      </c>
      <c r="D4447" s="2">
        <v>41695</v>
      </c>
      <c r="E4447">
        <v>8</v>
      </c>
      <c r="G4447" s="2">
        <v>41695</v>
      </c>
      <c r="H4447">
        <v>8.6280000000000001</v>
      </c>
      <c r="J4447" s="2">
        <v>41702</v>
      </c>
      <c r="K4447" s="3">
        <f t="shared" si="138"/>
        <v>8</v>
      </c>
      <c r="L4447" s="3">
        <f t="shared" si="139"/>
        <v>8.7420000000000009</v>
      </c>
    </row>
    <row r="4448" spans="1:12" x14ac:dyDescent="0.3">
      <c r="A4448" s="2">
        <v>40965</v>
      </c>
      <c r="B4448" t="s">
        <v>13</v>
      </c>
      <c r="D4448" s="2">
        <v>41696</v>
      </c>
      <c r="E4448">
        <v>8</v>
      </c>
      <c r="G4448" s="2">
        <v>41696</v>
      </c>
      <c r="H4448">
        <v>8.6850000000000005</v>
      </c>
      <c r="J4448" s="2">
        <v>41703</v>
      </c>
      <c r="K4448" s="3">
        <f t="shared" si="138"/>
        <v>8</v>
      </c>
      <c r="L4448" s="3">
        <f t="shared" si="139"/>
        <v>8.74</v>
      </c>
    </row>
    <row r="4449" spans="1:12" x14ac:dyDescent="0.3">
      <c r="A4449" s="2">
        <v>40966</v>
      </c>
      <c r="B4449" t="s">
        <v>13</v>
      </c>
      <c r="D4449" s="2">
        <v>41697</v>
      </c>
      <c r="E4449">
        <v>8</v>
      </c>
      <c r="G4449" s="2">
        <v>41697</v>
      </c>
      <c r="H4449">
        <v>8.6170000000000009</v>
      </c>
      <c r="J4449" s="2">
        <v>41704</v>
      </c>
      <c r="K4449" s="3">
        <f t="shared" si="138"/>
        <v>8</v>
      </c>
      <c r="L4449" s="3">
        <f t="shared" si="139"/>
        <v>8.6630000000000003</v>
      </c>
    </row>
    <row r="4450" spans="1:12" x14ac:dyDescent="0.3">
      <c r="A4450" s="2">
        <v>40967</v>
      </c>
      <c r="B4450" t="s">
        <v>13</v>
      </c>
      <c r="D4450" s="2">
        <v>41698</v>
      </c>
      <c r="E4450">
        <v>8</v>
      </c>
      <c r="G4450" s="2">
        <v>41698</v>
      </c>
      <c r="H4450">
        <v>8.6170000000000009</v>
      </c>
      <c r="J4450" s="2">
        <v>41705</v>
      </c>
      <c r="K4450" s="3">
        <f t="shared" si="138"/>
        <v>8</v>
      </c>
      <c r="L4450" s="3">
        <f t="shared" si="139"/>
        <v>8.6229999999999993</v>
      </c>
    </row>
    <row r="4451" spans="1:12" x14ac:dyDescent="0.3">
      <c r="A4451" s="2">
        <v>40968</v>
      </c>
      <c r="B4451" t="s">
        <v>13</v>
      </c>
      <c r="D4451" s="2">
        <v>41699</v>
      </c>
      <c r="E4451">
        <v>8</v>
      </c>
      <c r="G4451" s="2">
        <v>41699</v>
      </c>
      <c r="H4451">
        <v>8.6170000000000009</v>
      </c>
      <c r="J4451" s="2">
        <v>41706</v>
      </c>
      <c r="K4451" s="3">
        <f t="shared" si="138"/>
        <v>8</v>
      </c>
      <c r="L4451" s="3">
        <f t="shared" si="139"/>
        <v>8.6229999999999993</v>
      </c>
    </row>
    <row r="4452" spans="1:12" x14ac:dyDescent="0.3">
      <c r="A4452" s="2">
        <v>40969</v>
      </c>
      <c r="B4452" t="s">
        <v>13</v>
      </c>
      <c r="D4452" s="2">
        <v>41700</v>
      </c>
      <c r="E4452">
        <v>8</v>
      </c>
      <c r="G4452" s="2">
        <v>41700</v>
      </c>
      <c r="H4452">
        <v>8.6170000000000009</v>
      </c>
      <c r="J4452" s="2">
        <v>41707</v>
      </c>
      <c r="K4452" s="3">
        <f t="shared" si="138"/>
        <v>8</v>
      </c>
      <c r="L4452" s="3">
        <f t="shared" si="139"/>
        <v>8.6229999999999993</v>
      </c>
    </row>
    <row r="4453" spans="1:12" x14ac:dyDescent="0.3">
      <c r="A4453" s="2">
        <v>40970</v>
      </c>
      <c r="B4453" t="s">
        <v>13</v>
      </c>
      <c r="D4453" s="2">
        <v>41701</v>
      </c>
      <c r="E4453">
        <v>8</v>
      </c>
      <c r="G4453" s="2">
        <v>41701</v>
      </c>
      <c r="H4453">
        <v>8.7189999999999994</v>
      </c>
      <c r="J4453" s="2">
        <v>41708</v>
      </c>
      <c r="K4453" s="3">
        <f t="shared" si="138"/>
        <v>8</v>
      </c>
      <c r="L4453" s="3">
        <f t="shared" si="139"/>
        <v>8.6229999999999993</v>
      </c>
    </row>
    <row r="4454" spans="1:12" x14ac:dyDescent="0.3">
      <c r="A4454" s="2">
        <v>40971</v>
      </c>
      <c r="B4454" t="s">
        <v>13</v>
      </c>
      <c r="D4454" s="2">
        <v>41702</v>
      </c>
      <c r="E4454">
        <v>8</v>
      </c>
      <c r="G4454" s="2">
        <v>41702</v>
      </c>
      <c r="H4454">
        <v>8.7420000000000009</v>
      </c>
      <c r="J4454" s="2">
        <v>41709</v>
      </c>
      <c r="K4454" s="3">
        <f t="shared" si="138"/>
        <v>8</v>
      </c>
      <c r="L4454" s="3">
        <f t="shared" si="139"/>
        <v>8.6790000000000003</v>
      </c>
    </row>
    <row r="4455" spans="1:12" x14ac:dyDescent="0.3">
      <c r="A4455" s="2">
        <v>40972</v>
      </c>
      <c r="B4455" t="s">
        <v>13</v>
      </c>
      <c r="D4455" s="2">
        <v>41703</v>
      </c>
      <c r="E4455">
        <v>8</v>
      </c>
      <c r="G4455" s="2">
        <v>41703</v>
      </c>
      <c r="H4455">
        <v>8.74</v>
      </c>
      <c r="J4455" s="2">
        <v>41710</v>
      </c>
      <c r="K4455" s="3">
        <f t="shared" si="138"/>
        <v>8</v>
      </c>
      <c r="L4455" s="3">
        <f t="shared" si="139"/>
        <v>8.5690000000000008</v>
      </c>
    </row>
    <row r="4456" spans="1:12" x14ac:dyDescent="0.3">
      <c r="A4456" s="2">
        <v>40973</v>
      </c>
      <c r="B4456" t="s">
        <v>13</v>
      </c>
      <c r="D4456" s="2">
        <v>41704</v>
      </c>
      <c r="E4456">
        <v>8</v>
      </c>
      <c r="G4456" s="2">
        <v>41704</v>
      </c>
      <c r="H4456">
        <v>8.6630000000000003</v>
      </c>
      <c r="J4456" s="2">
        <v>41711</v>
      </c>
      <c r="K4456" s="3">
        <f t="shared" si="138"/>
        <v>8</v>
      </c>
      <c r="L4456" s="3">
        <f t="shared" si="139"/>
        <v>8.6310000000000002</v>
      </c>
    </row>
    <row r="4457" spans="1:12" x14ac:dyDescent="0.3">
      <c r="A4457" s="2">
        <v>40974</v>
      </c>
      <c r="B4457" t="s">
        <v>13</v>
      </c>
      <c r="D4457" s="2">
        <v>41705</v>
      </c>
      <c r="E4457">
        <v>8</v>
      </c>
      <c r="G4457" s="2">
        <v>41705</v>
      </c>
      <c r="H4457">
        <v>8.6229999999999993</v>
      </c>
      <c r="J4457" s="2">
        <v>41712</v>
      </c>
      <c r="K4457" s="3">
        <f t="shared" si="138"/>
        <v>8</v>
      </c>
      <c r="L4457" s="3">
        <f t="shared" si="139"/>
        <v>8.6050000000000004</v>
      </c>
    </row>
    <row r="4458" spans="1:12" x14ac:dyDescent="0.3">
      <c r="A4458" s="2">
        <v>40975</v>
      </c>
      <c r="B4458" t="s">
        <v>13</v>
      </c>
      <c r="D4458" s="2">
        <v>41706</v>
      </c>
      <c r="E4458">
        <v>8</v>
      </c>
      <c r="G4458" s="2">
        <v>41706</v>
      </c>
      <c r="H4458">
        <v>8.6229999999999993</v>
      </c>
      <c r="J4458" s="2">
        <v>41713</v>
      </c>
      <c r="K4458" s="3">
        <f t="shared" si="138"/>
        <v>8</v>
      </c>
      <c r="L4458" s="3">
        <f t="shared" si="139"/>
        <v>8.6050000000000004</v>
      </c>
    </row>
    <row r="4459" spans="1:12" x14ac:dyDescent="0.3">
      <c r="A4459" s="2">
        <v>40976</v>
      </c>
      <c r="B4459" t="s">
        <v>13</v>
      </c>
      <c r="D4459" s="2">
        <v>41707</v>
      </c>
      <c r="E4459">
        <v>8</v>
      </c>
      <c r="G4459" s="2">
        <v>41707</v>
      </c>
      <c r="H4459">
        <v>8.6229999999999993</v>
      </c>
      <c r="J4459" s="2">
        <v>41714</v>
      </c>
      <c r="K4459" s="3">
        <f t="shared" si="138"/>
        <v>8</v>
      </c>
      <c r="L4459" s="3">
        <f t="shared" si="139"/>
        <v>8.6050000000000004</v>
      </c>
    </row>
    <row r="4460" spans="1:12" x14ac:dyDescent="0.3">
      <c r="A4460" s="2">
        <v>40977</v>
      </c>
      <c r="B4460" t="s">
        <v>13</v>
      </c>
      <c r="D4460" s="2">
        <v>41708</v>
      </c>
      <c r="E4460">
        <v>8</v>
      </c>
      <c r="G4460" s="2">
        <v>41708</v>
      </c>
      <c r="H4460">
        <v>8.6229999999999993</v>
      </c>
      <c r="J4460" s="2">
        <v>41715</v>
      </c>
      <c r="K4460" s="3">
        <f t="shared" si="138"/>
        <v>8</v>
      </c>
      <c r="L4460" s="3">
        <f t="shared" si="139"/>
        <v>8.6050000000000004</v>
      </c>
    </row>
    <row r="4461" spans="1:12" x14ac:dyDescent="0.3">
      <c r="A4461" s="2">
        <v>40978</v>
      </c>
      <c r="B4461" t="s">
        <v>13</v>
      </c>
      <c r="D4461" s="2">
        <v>41709</v>
      </c>
      <c r="E4461">
        <v>8</v>
      </c>
      <c r="G4461" s="2">
        <v>41709</v>
      </c>
      <c r="H4461">
        <v>8.6790000000000003</v>
      </c>
      <c r="J4461" s="2">
        <v>41716</v>
      </c>
      <c r="K4461" s="3">
        <f t="shared" si="138"/>
        <v>8</v>
      </c>
      <c r="L4461" s="3">
        <f t="shared" si="139"/>
        <v>8.6750000000000007</v>
      </c>
    </row>
    <row r="4462" spans="1:12" x14ac:dyDescent="0.3">
      <c r="A4462" s="2">
        <v>40979</v>
      </c>
      <c r="B4462" t="s">
        <v>13</v>
      </c>
      <c r="D4462" s="2">
        <v>41710</v>
      </c>
      <c r="E4462">
        <v>8</v>
      </c>
      <c r="G4462" s="2">
        <v>41710</v>
      </c>
      <c r="H4462">
        <v>8.5690000000000008</v>
      </c>
      <c r="J4462" s="2">
        <v>41717</v>
      </c>
      <c r="K4462" s="3">
        <f t="shared" si="138"/>
        <v>8</v>
      </c>
      <c r="L4462" s="3">
        <f t="shared" si="139"/>
        <v>8.7110000000000003</v>
      </c>
    </row>
    <row r="4463" spans="1:12" x14ac:dyDescent="0.3">
      <c r="A4463" s="2">
        <v>40980</v>
      </c>
      <c r="B4463" t="s">
        <v>13</v>
      </c>
      <c r="D4463" s="2">
        <v>41711</v>
      </c>
      <c r="E4463">
        <v>8</v>
      </c>
      <c r="G4463" s="2">
        <v>41711</v>
      </c>
      <c r="H4463">
        <v>8.6310000000000002</v>
      </c>
      <c r="J4463" s="2">
        <v>41718</v>
      </c>
      <c r="K4463" s="3">
        <f t="shared" si="138"/>
        <v>8</v>
      </c>
      <c r="L4463" s="3">
        <f t="shared" si="139"/>
        <v>8.7210000000000001</v>
      </c>
    </row>
    <row r="4464" spans="1:12" x14ac:dyDescent="0.3">
      <c r="A4464" s="2">
        <v>40981</v>
      </c>
      <c r="B4464" t="s">
        <v>13</v>
      </c>
      <c r="D4464" s="2">
        <v>41712</v>
      </c>
      <c r="E4464">
        <v>8</v>
      </c>
      <c r="G4464" s="2">
        <v>41712</v>
      </c>
      <c r="H4464">
        <v>8.6050000000000004</v>
      </c>
      <c r="J4464" s="2">
        <v>41719</v>
      </c>
      <c r="K4464" s="3">
        <f t="shared" si="138"/>
        <v>8</v>
      </c>
      <c r="L4464" s="3">
        <f t="shared" si="139"/>
        <v>8.6530000000000005</v>
      </c>
    </row>
    <row r="4465" spans="1:12" x14ac:dyDescent="0.3">
      <c r="A4465" s="2">
        <v>40982</v>
      </c>
      <c r="B4465" t="s">
        <v>13</v>
      </c>
      <c r="D4465" s="2">
        <v>41713</v>
      </c>
      <c r="E4465">
        <v>8</v>
      </c>
      <c r="G4465" s="2">
        <v>41713</v>
      </c>
      <c r="H4465">
        <v>8.6050000000000004</v>
      </c>
      <c r="J4465" s="2">
        <v>41720</v>
      </c>
      <c r="K4465" s="3">
        <f t="shared" si="138"/>
        <v>8</v>
      </c>
      <c r="L4465" s="3">
        <f t="shared" si="139"/>
        <v>8.6530000000000005</v>
      </c>
    </row>
    <row r="4466" spans="1:12" x14ac:dyDescent="0.3">
      <c r="A4466" s="2">
        <v>40983</v>
      </c>
      <c r="B4466" t="s">
        <v>13</v>
      </c>
      <c r="D4466" s="2">
        <v>41714</v>
      </c>
      <c r="E4466">
        <v>8</v>
      </c>
      <c r="G4466" s="2">
        <v>41714</v>
      </c>
      <c r="H4466">
        <v>8.6050000000000004</v>
      </c>
      <c r="J4466" s="2">
        <v>41721</v>
      </c>
      <c r="K4466" s="3">
        <f t="shared" si="138"/>
        <v>8</v>
      </c>
      <c r="L4466" s="3">
        <f t="shared" si="139"/>
        <v>8.6530000000000005</v>
      </c>
    </row>
    <row r="4467" spans="1:12" x14ac:dyDescent="0.3">
      <c r="A4467" s="2">
        <v>40984</v>
      </c>
      <c r="B4467" t="s">
        <v>13</v>
      </c>
      <c r="D4467" s="2">
        <v>41715</v>
      </c>
      <c r="E4467">
        <v>8</v>
      </c>
      <c r="G4467" s="2">
        <v>41715</v>
      </c>
      <c r="H4467">
        <v>8.6050000000000004</v>
      </c>
      <c r="J4467" s="2">
        <v>41722</v>
      </c>
      <c r="K4467" s="3">
        <f t="shared" si="138"/>
        <v>8</v>
      </c>
      <c r="L4467" s="3">
        <f t="shared" si="139"/>
        <v>8.6959999999999997</v>
      </c>
    </row>
    <row r="4468" spans="1:12" x14ac:dyDescent="0.3">
      <c r="A4468" s="2">
        <v>40985</v>
      </c>
      <c r="B4468" t="s">
        <v>13</v>
      </c>
      <c r="D4468" s="2">
        <v>41716</v>
      </c>
      <c r="E4468">
        <v>8</v>
      </c>
      <c r="G4468" s="2">
        <v>41716</v>
      </c>
      <c r="H4468">
        <v>8.6750000000000007</v>
      </c>
      <c r="J4468" s="2">
        <v>41723</v>
      </c>
      <c r="K4468" s="3">
        <f t="shared" si="138"/>
        <v>8</v>
      </c>
      <c r="L4468" s="3">
        <f t="shared" si="139"/>
        <v>8.6609999999999996</v>
      </c>
    </row>
    <row r="4469" spans="1:12" x14ac:dyDescent="0.3">
      <c r="A4469" s="2">
        <v>40986</v>
      </c>
      <c r="B4469" t="s">
        <v>13</v>
      </c>
      <c r="D4469" s="2">
        <v>41717</v>
      </c>
      <c r="E4469">
        <v>8</v>
      </c>
      <c r="G4469" s="2">
        <v>41717</v>
      </c>
      <c r="H4469">
        <v>8.7110000000000003</v>
      </c>
      <c r="J4469" s="2">
        <v>41724</v>
      </c>
      <c r="K4469" s="3">
        <f t="shared" si="138"/>
        <v>8</v>
      </c>
      <c r="L4469" s="3">
        <f t="shared" si="139"/>
        <v>8.734</v>
      </c>
    </row>
    <row r="4470" spans="1:12" x14ac:dyDescent="0.3">
      <c r="A4470" s="2">
        <v>40987</v>
      </c>
      <c r="B4470" t="s">
        <v>13</v>
      </c>
      <c r="D4470" s="2">
        <v>41718</v>
      </c>
      <c r="E4470">
        <v>8</v>
      </c>
      <c r="G4470" s="2">
        <v>41718</v>
      </c>
      <c r="H4470">
        <v>8.7210000000000001</v>
      </c>
      <c r="J4470" s="2">
        <v>41725</v>
      </c>
      <c r="K4470" s="3">
        <f t="shared" si="138"/>
        <v>8</v>
      </c>
      <c r="L4470" s="3">
        <f t="shared" si="139"/>
        <v>8.7170000000000005</v>
      </c>
    </row>
    <row r="4471" spans="1:12" x14ac:dyDescent="0.3">
      <c r="A4471" s="2">
        <v>40988</v>
      </c>
      <c r="B4471" t="s">
        <v>13</v>
      </c>
      <c r="D4471" s="2">
        <v>41719</v>
      </c>
      <c r="E4471">
        <v>8</v>
      </c>
      <c r="G4471" s="2">
        <v>41719</v>
      </c>
      <c r="H4471">
        <v>8.6530000000000005</v>
      </c>
      <c r="J4471" s="2">
        <v>41726</v>
      </c>
      <c r="K4471" s="3">
        <f t="shared" si="138"/>
        <v>8</v>
      </c>
      <c r="L4471" s="3">
        <f t="shared" si="139"/>
        <v>8.5950000000000006</v>
      </c>
    </row>
    <row r="4472" spans="1:12" x14ac:dyDescent="0.3">
      <c r="A4472" s="2">
        <v>40989</v>
      </c>
      <c r="B4472" t="s">
        <v>13</v>
      </c>
      <c r="D4472" s="2">
        <v>41720</v>
      </c>
      <c r="E4472">
        <v>8</v>
      </c>
      <c r="G4472" s="2">
        <v>41720</v>
      </c>
      <c r="H4472">
        <v>8.6530000000000005</v>
      </c>
      <c r="J4472" s="2">
        <v>41727</v>
      </c>
      <c r="K4472" s="3">
        <f t="shared" si="138"/>
        <v>8</v>
      </c>
      <c r="L4472" s="3">
        <f t="shared" si="139"/>
        <v>8.5950000000000006</v>
      </c>
    </row>
    <row r="4473" spans="1:12" x14ac:dyDescent="0.3">
      <c r="A4473" s="2">
        <v>40990</v>
      </c>
      <c r="B4473" t="s">
        <v>13</v>
      </c>
      <c r="D4473" s="2">
        <v>41721</v>
      </c>
      <c r="E4473">
        <v>8</v>
      </c>
      <c r="G4473" s="2">
        <v>41721</v>
      </c>
      <c r="H4473">
        <v>8.6530000000000005</v>
      </c>
      <c r="J4473" s="2">
        <v>41728</v>
      </c>
      <c r="K4473" s="3">
        <f t="shared" si="138"/>
        <v>8</v>
      </c>
      <c r="L4473" s="3">
        <f t="shared" si="139"/>
        <v>8.5950000000000006</v>
      </c>
    </row>
    <row r="4474" spans="1:12" x14ac:dyDescent="0.3">
      <c r="A4474" s="2">
        <v>40991</v>
      </c>
      <c r="B4474" t="s">
        <v>13</v>
      </c>
      <c r="D4474" s="2">
        <v>41722</v>
      </c>
      <c r="E4474">
        <v>8</v>
      </c>
      <c r="G4474" s="2">
        <v>41722</v>
      </c>
      <c r="H4474">
        <v>8.6959999999999997</v>
      </c>
      <c r="J4474" s="2">
        <v>41729</v>
      </c>
      <c r="K4474" s="3">
        <f t="shared" si="138"/>
        <v>8</v>
      </c>
      <c r="L4474" s="3">
        <f t="shared" si="139"/>
        <v>8.5950000000000006</v>
      </c>
    </row>
    <row r="4475" spans="1:12" x14ac:dyDescent="0.3">
      <c r="A4475" s="2">
        <v>40992</v>
      </c>
      <c r="B4475" t="s">
        <v>13</v>
      </c>
      <c r="D4475" s="2">
        <v>41723</v>
      </c>
      <c r="E4475">
        <v>8</v>
      </c>
      <c r="G4475" s="2">
        <v>41723</v>
      </c>
      <c r="H4475">
        <v>8.6609999999999996</v>
      </c>
      <c r="J4475" s="2">
        <v>41730</v>
      </c>
      <c r="K4475" s="3">
        <f t="shared" si="138"/>
        <v>8</v>
      </c>
      <c r="L4475" s="3">
        <f t="shared" si="139"/>
        <v>8.5950000000000006</v>
      </c>
    </row>
    <row r="4476" spans="1:12" x14ac:dyDescent="0.3">
      <c r="A4476" s="2">
        <v>40993</v>
      </c>
      <c r="B4476" t="s">
        <v>13</v>
      </c>
      <c r="D4476" s="2">
        <v>41724</v>
      </c>
      <c r="E4476">
        <v>8</v>
      </c>
      <c r="G4476" s="2">
        <v>41724</v>
      </c>
      <c r="H4476">
        <v>8.734</v>
      </c>
      <c r="J4476" s="2">
        <v>41731</v>
      </c>
      <c r="K4476" s="3">
        <f t="shared" si="138"/>
        <v>8</v>
      </c>
      <c r="L4476" s="3">
        <f t="shared" si="139"/>
        <v>8.76</v>
      </c>
    </row>
    <row r="4477" spans="1:12" x14ac:dyDescent="0.3">
      <c r="A4477" s="2">
        <v>40994</v>
      </c>
      <c r="B4477" t="s">
        <v>13</v>
      </c>
      <c r="D4477" s="2">
        <v>41725</v>
      </c>
      <c r="E4477">
        <v>8</v>
      </c>
      <c r="G4477" s="2">
        <v>41725</v>
      </c>
      <c r="H4477">
        <v>8.7170000000000005</v>
      </c>
      <c r="J4477" s="2">
        <v>41732</v>
      </c>
      <c r="K4477" s="3">
        <f t="shared" si="138"/>
        <v>8</v>
      </c>
      <c r="L4477" s="3">
        <f t="shared" si="139"/>
        <v>8.718</v>
      </c>
    </row>
    <row r="4478" spans="1:12" x14ac:dyDescent="0.3">
      <c r="A4478" s="2">
        <v>40995</v>
      </c>
      <c r="B4478" t="s">
        <v>13</v>
      </c>
      <c r="D4478" s="2">
        <v>41726</v>
      </c>
      <c r="E4478">
        <v>8</v>
      </c>
      <c r="G4478" s="2">
        <v>41726</v>
      </c>
      <c r="H4478">
        <v>8.5950000000000006</v>
      </c>
      <c r="J4478" s="2">
        <v>41733</v>
      </c>
      <c r="K4478" s="3">
        <f t="shared" si="138"/>
        <v>8</v>
      </c>
      <c r="L4478" s="3">
        <f t="shared" si="139"/>
        <v>8.734</v>
      </c>
    </row>
    <row r="4479" spans="1:12" x14ac:dyDescent="0.3">
      <c r="A4479" s="2">
        <v>40996</v>
      </c>
      <c r="B4479" t="s">
        <v>13</v>
      </c>
      <c r="D4479" s="2">
        <v>41727</v>
      </c>
      <c r="E4479">
        <v>8</v>
      </c>
      <c r="G4479" s="2">
        <v>41727</v>
      </c>
      <c r="H4479">
        <v>8.5950000000000006</v>
      </c>
      <c r="J4479" s="2">
        <v>41734</v>
      </c>
      <c r="K4479" s="3">
        <f t="shared" si="138"/>
        <v>8</v>
      </c>
      <c r="L4479" s="3">
        <f t="shared" si="139"/>
        <v>8.734</v>
      </c>
    </row>
    <row r="4480" spans="1:12" x14ac:dyDescent="0.3">
      <c r="A4480" s="2">
        <v>40997</v>
      </c>
      <c r="B4480" t="s">
        <v>13</v>
      </c>
      <c r="D4480" s="2">
        <v>41728</v>
      </c>
      <c r="E4480">
        <v>8</v>
      </c>
      <c r="G4480" s="2">
        <v>41728</v>
      </c>
      <c r="H4480">
        <v>8.5950000000000006</v>
      </c>
      <c r="J4480" s="2">
        <v>41735</v>
      </c>
      <c r="K4480" s="3">
        <f t="shared" si="138"/>
        <v>8</v>
      </c>
      <c r="L4480" s="3">
        <f t="shared" si="139"/>
        <v>8.734</v>
      </c>
    </row>
    <row r="4481" spans="1:12" x14ac:dyDescent="0.3">
      <c r="A4481" s="2">
        <v>40998</v>
      </c>
      <c r="B4481" t="s">
        <v>13</v>
      </c>
      <c r="D4481" s="2">
        <v>41729</v>
      </c>
      <c r="E4481">
        <v>8</v>
      </c>
      <c r="G4481" s="2">
        <v>41729</v>
      </c>
      <c r="H4481">
        <v>8.5950000000000006</v>
      </c>
      <c r="J4481" s="2">
        <v>41736</v>
      </c>
      <c r="K4481" s="3">
        <f t="shared" si="138"/>
        <v>8</v>
      </c>
      <c r="L4481" s="3">
        <f t="shared" si="139"/>
        <v>8.657</v>
      </c>
    </row>
    <row r="4482" spans="1:12" x14ac:dyDescent="0.3">
      <c r="A4482" s="2">
        <v>40999</v>
      </c>
      <c r="B4482" t="s">
        <v>13</v>
      </c>
      <c r="D4482" s="2">
        <v>41730</v>
      </c>
      <c r="E4482">
        <v>8</v>
      </c>
      <c r="G4482" s="2">
        <v>41730</v>
      </c>
      <c r="H4482">
        <v>8.5950000000000006</v>
      </c>
      <c r="J4482" s="2">
        <v>41737</v>
      </c>
      <c r="K4482" s="3">
        <f t="shared" si="138"/>
        <v>8</v>
      </c>
      <c r="L4482" s="3">
        <f t="shared" si="139"/>
        <v>8.6539999999999999</v>
      </c>
    </row>
    <row r="4483" spans="1:12" x14ac:dyDescent="0.3">
      <c r="A4483" s="2">
        <v>41000</v>
      </c>
      <c r="B4483" t="s">
        <v>13</v>
      </c>
      <c r="D4483" s="2">
        <v>41731</v>
      </c>
      <c r="E4483">
        <v>8</v>
      </c>
      <c r="G4483" s="2">
        <v>41731</v>
      </c>
      <c r="H4483">
        <v>8.76</v>
      </c>
      <c r="J4483" s="2">
        <v>41738</v>
      </c>
      <c r="K4483" s="3">
        <f t="shared" ref="K4483:K4546" si="140">E4490</f>
        <v>8</v>
      </c>
      <c r="L4483" s="3">
        <f t="shared" ref="L4483:L4546" si="141">H4490</f>
        <v>8.7840000000000007</v>
      </c>
    </row>
    <row r="4484" spans="1:12" x14ac:dyDescent="0.3">
      <c r="A4484" s="2">
        <v>41001</v>
      </c>
      <c r="B4484" t="s">
        <v>13</v>
      </c>
      <c r="D4484" s="2">
        <v>41732</v>
      </c>
      <c r="E4484">
        <v>8</v>
      </c>
      <c r="G4484" s="2">
        <v>41732</v>
      </c>
      <c r="H4484">
        <v>8.718</v>
      </c>
      <c r="J4484" s="2">
        <v>41739</v>
      </c>
      <c r="K4484" s="3">
        <f t="shared" si="140"/>
        <v>8</v>
      </c>
      <c r="L4484" s="3">
        <f t="shared" si="141"/>
        <v>8.6449999999999996</v>
      </c>
    </row>
    <row r="4485" spans="1:12" x14ac:dyDescent="0.3">
      <c r="A4485" s="2">
        <v>41002</v>
      </c>
      <c r="B4485" t="s">
        <v>13</v>
      </c>
      <c r="D4485" s="2">
        <v>41733</v>
      </c>
      <c r="E4485">
        <v>8</v>
      </c>
      <c r="G4485" s="2">
        <v>41733</v>
      </c>
      <c r="H4485">
        <v>8.734</v>
      </c>
      <c r="J4485" s="2">
        <v>41740</v>
      </c>
      <c r="K4485" s="3">
        <f t="shared" si="140"/>
        <v>8</v>
      </c>
      <c r="L4485" s="3">
        <f t="shared" si="141"/>
        <v>8.6259999999999994</v>
      </c>
    </row>
    <row r="4486" spans="1:12" x14ac:dyDescent="0.3">
      <c r="A4486" s="2">
        <v>41003</v>
      </c>
      <c r="B4486" t="s">
        <v>13</v>
      </c>
      <c r="D4486" s="2">
        <v>41734</v>
      </c>
      <c r="E4486">
        <v>8</v>
      </c>
      <c r="G4486" s="2">
        <v>41734</v>
      </c>
      <c r="H4486">
        <v>8.734</v>
      </c>
      <c r="J4486" s="2">
        <v>41741</v>
      </c>
      <c r="K4486" s="3">
        <f t="shared" si="140"/>
        <v>8</v>
      </c>
      <c r="L4486" s="3">
        <f t="shared" si="141"/>
        <v>8.6259999999999994</v>
      </c>
    </row>
    <row r="4487" spans="1:12" x14ac:dyDescent="0.3">
      <c r="A4487" s="2">
        <v>41004</v>
      </c>
      <c r="B4487" t="s">
        <v>13</v>
      </c>
      <c r="D4487" s="2">
        <v>41735</v>
      </c>
      <c r="E4487">
        <v>8</v>
      </c>
      <c r="G4487" s="2">
        <v>41735</v>
      </c>
      <c r="H4487">
        <v>8.734</v>
      </c>
      <c r="J4487" s="2">
        <v>41742</v>
      </c>
      <c r="K4487" s="3">
        <f t="shared" si="140"/>
        <v>8</v>
      </c>
      <c r="L4487" s="3">
        <f t="shared" si="141"/>
        <v>8.6259999999999994</v>
      </c>
    </row>
    <row r="4488" spans="1:12" x14ac:dyDescent="0.3">
      <c r="A4488" s="2">
        <v>41005</v>
      </c>
      <c r="B4488" t="s">
        <v>13</v>
      </c>
      <c r="D4488" s="2">
        <v>41736</v>
      </c>
      <c r="E4488">
        <v>8</v>
      </c>
      <c r="G4488" s="2">
        <v>41736</v>
      </c>
      <c r="H4488">
        <v>8.657</v>
      </c>
      <c r="J4488" s="2">
        <v>41743</v>
      </c>
      <c r="K4488" s="3">
        <f t="shared" si="140"/>
        <v>8</v>
      </c>
      <c r="L4488" s="3">
        <f t="shared" si="141"/>
        <v>8.6259999999999994</v>
      </c>
    </row>
    <row r="4489" spans="1:12" x14ac:dyDescent="0.3">
      <c r="A4489" s="2">
        <v>41006</v>
      </c>
      <c r="B4489" t="s">
        <v>13</v>
      </c>
      <c r="D4489" s="2">
        <v>41737</v>
      </c>
      <c r="E4489">
        <v>8</v>
      </c>
      <c r="G4489" s="2">
        <v>41737</v>
      </c>
      <c r="H4489">
        <v>8.6539999999999999</v>
      </c>
      <c r="J4489" s="2">
        <v>41744</v>
      </c>
      <c r="K4489" s="3">
        <f t="shared" si="140"/>
        <v>8</v>
      </c>
      <c r="L4489" s="3">
        <f t="shared" si="141"/>
        <v>8.6839999999999993</v>
      </c>
    </row>
    <row r="4490" spans="1:12" x14ac:dyDescent="0.3">
      <c r="A4490" s="2">
        <v>41007</v>
      </c>
      <c r="B4490" t="s">
        <v>13</v>
      </c>
      <c r="D4490" s="2">
        <v>41738</v>
      </c>
      <c r="E4490">
        <v>8</v>
      </c>
      <c r="G4490" s="2">
        <v>41738</v>
      </c>
      <c r="H4490">
        <v>8.7840000000000007</v>
      </c>
      <c r="J4490" s="2">
        <v>41745</v>
      </c>
      <c r="K4490" s="3">
        <f t="shared" si="140"/>
        <v>8</v>
      </c>
      <c r="L4490" s="3">
        <f t="shared" si="141"/>
        <v>8.7189999999999994</v>
      </c>
    </row>
    <row r="4491" spans="1:12" x14ac:dyDescent="0.3">
      <c r="A4491" s="2">
        <v>41008</v>
      </c>
      <c r="B4491" t="s">
        <v>13</v>
      </c>
      <c r="D4491" s="2">
        <v>41739</v>
      </c>
      <c r="E4491">
        <v>8</v>
      </c>
      <c r="G4491" s="2">
        <v>41739</v>
      </c>
      <c r="H4491">
        <v>8.6449999999999996</v>
      </c>
      <c r="J4491" s="2">
        <v>41746</v>
      </c>
      <c r="K4491" s="3">
        <f t="shared" si="140"/>
        <v>8</v>
      </c>
      <c r="L4491" s="3">
        <f t="shared" si="141"/>
        <v>8.6</v>
      </c>
    </row>
    <row r="4492" spans="1:12" x14ac:dyDescent="0.3">
      <c r="A4492" s="2">
        <v>41009</v>
      </c>
      <c r="B4492" t="s">
        <v>13</v>
      </c>
      <c r="D4492" s="2">
        <v>41740</v>
      </c>
      <c r="E4492">
        <v>8</v>
      </c>
      <c r="G4492" s="2">
        <v>41740</v>
      </c>
      <c r="H4492">
        <v>8.6259999999999994</v>
      </c>
      <c r="J4492" s="2">
        <v>41747</v>
      </c>
      <c r="K4492" s="3">
        <f t="shared" si="140"/>
        <v>8</v>
      </c>
      <c r="L4492" s="3">
        <f t="shared" si="141"/>
        <v>8.5990000000000002</v>
      </c>
    </row>
    <row r="4493" spans="1:12" x14ac:dyDescent="0.3">
      <c r="A4493" s="2">
        <v>41010</v>
      </c>
      <c r="B4493" t="s">
        <v>13</v>
      </c>
      <c r="D4493" s="2">
        <v>41741</v>
      </c>
      <c r="E4493">
        <v>8</v>
      </c>
      <c r="G4493" s="2">
        <v>41741</v>
      </c>
      <c r="H4493">
        <v>8.6259999999999994</v>
      </c>
      <c r="J4493" s="2">
        <v>41748</v>
      </c>
      <c r="K4493" s="3">
        <f t="shared" si="140"/>
        <v>8</v>
      </c>
      <c r="L4493" s="3">
        <f t="shared" si="141"/>
        <v>8.5990000000000002</v>
      </c>
    </row>
    <row r="4494" spans="1:12" x14ac:dyDescent="0.3">
      <c r="A4494" s="2">
        <v>41011</v>
      </c>
      <c r="B4494" t="s">
        <v>13</v>
      </c>
      <c r="D4494" s="2">
        <v>41742</v>
      </c>
      <c r="E4494">
        <v>8</v>
      </c>
      <c r="G4494" s="2">
        <v>41742</v>
      </c>
      <c r="H4494">
        <v>8.6259999999999994</v>
      </c>
      <c r="J4494" s="2">
        <v>41749</v>
      </c>
      <c r="K4494" s="3">
        <f t="shared" si="140"/>
        <v>8</v>
      </c>
      <c r="L4494" s="3">
        <f t="shared" si="141"/>
        <v>8.5990000000000002</v>
      </c>
    </row>
    <row r="4495" spans="1:12" x14ac:dyDescent="0.3">
      <c r="A4495" s="2">
        <v>41012</v>
      </c>
      <c r="B4495" t="s">
        <v>13</v>
      </c>
      <c r="D4495" s="2">
        <v>41743</v>
      </c>
      <c r="E4495">
        <v>8</v>
      </c>
      <c r="G4495" s="2">
        <v>41743</v>
      </c>
      <c r="H4495">
        <v>8.6259999999999994</v>
      </c>
      <c r="J4495" s="2">
        <v>41750</v>
      </c>
      <c r="K4495" s="3">
        <f t="shared" si="140"/>
        <v>8</v>
      </c>
      <c r="L4495" s="3">
        <f t="shared" si="141"/>
        <v>8.5990000000000002</v>
      </c>
    </row>
    <row r="4496" spans="1:12" x14ac:dyDescent="0.3">
      <c r="A4496" s="2">
        <v>41013</v>
      </c>
      <c r="B4496" t="s">
        <v>13</v>
      </c>
      <c r="D4496" s="2">
        <v>41744</v>
      </c>
      <c r="E4496">
        <v>8</v>
      </c>
      <c r="G4496" s="2">
        <v>41744</v>
      </c>
      <c r="H4496">
        <v>8.6839999999999993</v>
      </c>
      <c r="J4496" s="2">
        <v>41751</v>
      </c>
      <c r="K4496" s="3">
        <f t="shared" si="140"/>
        <v>8</v>
      </c>
      <c r="L4496" s="3">
        <f t="shared" si="141"/>
        <v>8.6069999999999993</v>
      </c>
    </row>
    <row r="4497" spans="1:12" x14ac:dyDescent="0.3">
      <c r="A4497" s="2">
        <v>41014</v>
      </c>
      <c r="B4497" t="s">
        <v>13</v>
      </c>
      <c r="D4497" s="2">
        <v>41745</v>
      </c>
      <c r="E4497">
        <v>8</v>
      </c>
      <c r="G4497" s="2">
        <v>41745</v>
      </c>
      <c r="H4497">
        <v>8.7189999999999994</v>
      </c>
      <c r="J4497" s="2">
        <v>41752</v>
      </c>
      <c r="K4497" s="3">
        <f t="shared" si="140"/>
        <v>8</v>
      </c>
      <c r="L4497" s="3">
        <f t="shared" si="141"/>
        <v>8.6560000000000006</v>
      </c>
    </row>
    <row r="4498" spans="1:12" x14ac:dyDescent="0.3">
      <c r="A4498" s="2">
        <v>41015</v>
      </c>
      <c r="B4498" t="s">
        <v>13</v>
      </c>
      <c r="D4498" s="2">
        <v>41746</v>
      </c>
      <c r="E4498">
        <v>8</v>
      </c>
      <c r="G4498" s="2">
        <v>41746</v>
      </c>
      <c r="H4498">
        <v>8.6</v>
      </c>
      <c r="J4498" s="2">
        <v>41753</v>
      </c>
      <c r="K4498" s="3">
        <f t="shared" si="140"/>
        <v>8</v>
      </c>
      <c r="L4498" s="3">
        <f t="shared" si="141"/>
        <v>8.6549999999999994</v>
      </c>
    </row>
    <row r="4499" spans="1:12" x14ac:dyDescent="0.3">
      <c r="A4499" s="2">
        <v>41016</v>
      </c>
      <c r="B4499" t="s">
        <v>13</v>
      </c>
      <c r="D4499" s="2">
        <v>41747</v>
      </c>
      <c r="E4499">
        <v>8</v>
      </c>
      <c r="G4499" s="2">
        <v>41747</v>
      </c>
      <c r="H4499">
        <v>8.5990000000000002</v>
      </c>
      <c r="J4499" s="2">
        <v>41754</v>
      </c>
      <c r="K4499" s="3">
        <f t="shared" si="140"/>
        <v>8</v>
      </c>
      <c r="L4499" s="3">
        <f t="shared" si="141"/>
        <v>8.6280000000000001</v>
      </c>
    </row>
    <row r="4500" spans="1:12" x14ac:dyDescent="0.3">
      <c r="A4500" s="2">
        <v>41017</v>
      </c>
      <c r="B4500" t="s">
        <v>13</v>
      </c>
      <c r="D4500" s="2">
        <v>41748</v>
      </c>
      <c r="E4500">
        <v>8</v>
      </c>
      <c r="G4500" s="2">
        <v>41748</v>
      </c>
      <c r="H4500">
        <v>8.5990000000000002</v>
      </c>
      <c r="J4500" s="2">
        <v>41755</v>
      </c>
      <c r="K4500" s="3">
        <f t="shared" si="140"/>
        <v>8</v>
      </c>
      <c r="L4500" s="3">
        <f t="shared" si="141"/>
        <v>8.6280000000000001</v>
      </c>
    </row>
    <row r="4501" spans="1:12" x14ac:dyDescent="0.3">
      <c r="A4501" s="2">
        <v>41018</v>
      </c>
      <c r="B4501" t="s">
        <v>13</v>
      </c>
      <c r="D4501" s="2">
        <v>41749</v>
      </c>
      <c r="E4501">
        <v>8</v>
      </c>
      <c r="G4501" s="2">
        <v>41749</v>
      </c>
      <c r="H4501">
        <v>8.5990000000000002</v>
      </c>
      <c r="J4501" s="2">
        <v>41756</v>
      </c>
      <c r="K4501" s="3">
        <f t="shared" si="140"/>
        <v>8</v>
      </c>
      <c r="L4501" s="3">
        <f t="shared" si="141"/>
        <v>8.6280000000000001</v>
      </c>
    </row>
    <row r="4502" spans="1:12" x14ac:dyDescent="0.3">
      <c r="A4502" s="2">
        <v>41019</v>
      </c>
      <c r="B4502" t="s">
        <v>13</v>
      </c>
      <c r="D4502" s="2">
        <v>41750</v>
      </c>
      <c r="E4502">
        <v>8</v>
      </c>
      <c r="G4502" s="2">
        <v>41750</v>
      </c>
      <c r="H4502">
        <v>8.5990000000000002</v>
      </c>
      <c r="J4502" s="2">
        <v>41757</v>
      </c>
      <c r="K4502" s="3">
        <f t="shared" si="140"/>
        <v>8</v>
      </c>
      <c r="L4502" s="3">
        <f t="shared" si="141"/>
        <v>8.6280000000000001</v>
      </c>
    </row>
    <row r="4503" spans="1:12" x14ac:dyDescent="0.3">
      <c r="A4503" s="2">
        <v>41020</v>
      </c>
      <c r="B4503" t="s">
        <v>13</v>
      </c>
      <c r="D4503" s="2">
        <v>41751</v>
      </c>
      <c r="E4503">
        <v>8</v>
      </c>
      <c r="G4503" s="2">
        <v>41751</v>
      </c>
      <c r="H4503">
        <v>8.6069999999999993</v>
      </c>
      <c r="J4503" s="2">
        <v>41758</v>
      </c>
      <c r="K4503" s="3">
        <f t="shared" si="140"/>
        <v>8</v>
      </c>
      <c r="L4503" s="3">
        <f t="shared" si="141"/>
        <v>8.6349999999999998</v>
      </c>
    </row>
    <row r="4504" spans="1:12" x14ac:dyDescent="0.3">
      <c r="A4504" s="2">
        <v>41021</v>
      </c>
      <c r="B4504" t="s">
        <v>13</v>
      </c>
      <c r="D4504" s="2">
        <v>41752</v>
      </c>
      <c r="E4504">
        <v>8</v>
      </c>
      <c r="G4504" s="2">
        <v>41752</v>
      </c>
      <c r="H4504">
        <v>8.6560000000000006</v>
      </c>
      <c r="J4504" s="2">
        <v>41759</v>
      </c>
      <c r="K4504" s="3">
        <f t="shared" si="140"/>
        <v>8</v>
      </c>
      <c r="L4504" s="3">
        <f t="shared" si="141"/>
        <v>8.641</v>
      </c>
    </row>
    <row r="4505" spans="1:12" x14ac:dyDescent="0.3">
      <c r="A4505" s="2">
        <v>41022</v>
      </c>
      <c r="B4505" t="s">
        <v>13</v>
      </c>
      <c r="D4505" s="2">
        <v>41753</v>
      </c>
      <c r="E4505">
        <v>8</v>
      </c>
      <c r="G4505" s="2">
        <v>41753</v>
      </c>
      <c r="H4505">
        <v>8.6549999999999994</v>
      </c>
      <c r="J4505" s="2">
        <v>41760</v>
      </c>
      <c r="K4505" s="3">
        <f t="shared" si="140"/>
        <v>8</v>
      </c>
      <c r="L4505" s="3">
        <f t="shared" si="141"/>
        <v>8.64</v>
      </c>
    </row>
    <row r="4506" spans="1:12" x14ac:dyDescent="0.3">
      <c r="A4506" s="2">
        <v>41023</v>
      </c>
      <c r="B4506" t="s">
        <v>13</v>
      </c>
      <c r="D4506" s="2">
        <v>41754</v>
      </c>
      <c r="E4506">
        <v>8</v>
      </c>
      <c r="G4506" s="2">
        <v>41754</v>
      </c>
      <c r="H4506">
        <v>8.6280000000000001</v>
      </c>
      <c r="J4506" s="2">
        <v>41761</v>
      </c>
      <c r="K4506" s="3">
        <f t="shared" si="140"/>
        <v>8</v>
      </c>
      <c r="L4506" s="3">
        <f t="shared" si="141"/>
        <v>8.6050000000000004</v>
      </c>
    </row>
    <row r="4507" spans="1:12" x14ac:dyDescent="0.3">
      <c r="A4507" s="2">
        <v>41024</v>
      </c>
      <c r="B4507" t="s">
        <v>13</v>
      </c>
      <c r="D4507" s="2">
        <v>41755</v>
      </c>
      <c r="E4507">
        <v>8</v>
      </c>
      <c r="G4507" s="2">
        <v>41755</v>
      </c>
      <c r="H4507">
        <v>8.6280000000000001</v>
      </c>
      <c r="J4507" s="2">
        <v>41762</v>
      </c>
      <c r="K4507" s="3">
        <f t="shared" si="140"/>
        <v>8</v>
      </c>
      <c r="L4507" s="3">
        <f t="shared" si="141"/>
        <v>8.6050000000000004</v>
      </c>
    </row>
    <row r="4508" spans="1:12" x14ac:dyDescent="0.3">
      <c r="A4508" s="2">
        <v>41025</v>
      </c>
      <c r="B4508" t="s">
        <v>13</v>
      </c>
      <c r="D4508" s="2">
        <v>41756</v>
      </c>
      <c r="E4508">
        <v>8</v>
      </c>
      <c r="G4508" s="2">
        <v>41756</v>
      </c>
      <c r="H4508">
        <v>8.6280000000000001</v>
      </c>
      <c r="J4508" s="2">
        <v>41763</v>
      </c>
      <c r="K4508" s="3">
        <f t="shared" si="140"/>
        <v>8</v>
      </c>
      <c r="L4508" s="3">
        <f t="shared" si="141"/>
        <v>8.6050000000000004</v>
      </c>
    </row>
    <row r="4509" spans="1:12" x14ac:dyDescent="0.3">
      <c r="A4509" s="2">
        <v>41026</v>
      </c>
      <c r="B4509" t="s">
        <v>13</v>
      </c>
      <c r="D4509" s="2">
        <v>41757</v>
      </c>
      <c r="E4509">
        <v>8</v>
      </c>
      <c r="G4509" s="2">
        <v>41757</v>
      </c>
      <c r="H4509">
        <v>8.6280000000000001</v>
      </c>
      <c r="J4509" s="2">
        <v>41764</v>
      </c>
      <c r="K4509" s="3">
        <f t="shared" si="140"/>
        <v>8</v>
      </c>
      <c r="L4509" s="3">
        <f t="shared" si="141"/>
        <v>8.5410000000000004</v>
      </c>
    </row>
    <row r="4510" spans="1:12" x14ac:dyDescent="0.3">
      <c r="A4510" s="2">
        <v>41027</v>
      </c>
      <c r="B4510" t="s">
        <v>13</v>
      </c>
      <c r="D4510" s="2">
        <v>41758</v>
      </c>
      <c r="E4510">
        <v>8</v>
      </c>
      <c r="G4510" s="2">
        <v>41758</v>
      </c>
      <c r="H4510">
        <v>8.6349999999999998</v>
      </c>
      <c r="J4510" s="2">
        <v>41765</v>
      </c>
      <c r="K4510" s="3">
        <f t="shared" si="140"/>
        <v>8</v>
      </c>
      <c r="L4510" s="3">
        <f t="shared" si="141"/>
        <v>8.5679999999999996</v>
      </c>
    </row>
    <row r="4511" spans="1:12" x14ac:dyDescent="0.3">
      <c r="A4511" s="2">
        <v>41028</v>
      </c>
      <c r="B4511" t="s">
        <v>13</v>
      </c>
      <c r="D4511" s="2">
        <v>41759</v>
      </c>
      <c r="E4511">
        <v>8</v>
      </c>
      <c r="G4511" s="2">
        <v>41759</v>
      </c>
      <c r="H4511">
        <v>8.641</v>
      </c>
      <c r="J4511" s="2">
        <v>41766</v>
      </c>
      <c r="K4511" s="3">
        <f t="shared" si="140"/>
        <v>8</v>
      </c>
      <c r="L4511" s="3">
        <f t="shared" si="141"/>
        <v>8.5690000000000008</v>
      </c>
    </row>
    <row r="4512" spans="1:12" x14ac:dyDescent="0.3">
      <c r="A4512" s="2">
        <v>41029</v>
      </c>
      <c r="B4512" t="s">
        <v>13</v>
      </c>
      <c r="D4512" s="2">
        <v>41760</v>
      </c>
      <c r="E4512">
        <v>8</v>
      </c>
      <c r="G4512" s="2">
        <v>41760</v>
      </c>
      <c r="H4512">
        <v>8.64</v>
      </c>
      <c r="J4512" s="2">
        <v>41767</v>
      </c>
      <c r="K4512" s="3">
        <f t="shared" si="140"/>
        <v>8</v>
      </c>
      <c r="L4512" s="3">
        <f t="shared" si="141"/>
        <v>8.5530000000000008</v>
      </c>
    </row>
    <row r="4513" spans="1:12" x14ac:dyDescent="0.3">
      <c r="A4513" s="2">
        <v>41030</v>
      </c>
      <c r="B4513" t="s">
        <v>13</v>
      </c>
      <c r="D4513" s="2">
        <v>41761</v>
      </c>
      <c r="E4513">
        <v>8</v>
      </c>
      <c r="G4513" s="2">
        <v>41761</v>
      </c>
      <c r="H4513">
        <v>8.6050000000000004</v>
      </c>
      <c r="J4513" s="2">
        <v>41768</v>
      </c>
      <c r="K4513" s="3">
        <f t="shared" si="140"/>
        <v>8</v>
      </c>
      <c r="L4513" s="3">
        <f t="shared" si="141"/>
        <v>8.5350000000000001</v>
      </c>
    </row>
    <row r="4514" spans="1:12" x14ac:dyDescent="0.3">
      <c r="A4514" s="2">
        <v>41031</v>
      </c>
      <c r="B4514" t="s">
        <v>13</v>
      </c>
      <c r="D4514" s="2">
        <v>41762</v>
      </c>
      <c r="E4514">
        <v>8</v>
      </c>
      <c r="G4514" s="2">
        <v>41762</v>
      </c>
      <c r="H4514">
        <v>8.6050000000000004</v>
      </c>
      <c r="J4514" s="2">
        <v>41769</v>
      </c>
      <c r="K4514" s="3">
        <f t="shared" si="140"/>
        <v>8</v>
      </c>
      <c r="L4514" s="3">
        <f t="shared" si="141"/>
        <v>8.5350000000000001</v>
      </c>
    </row>
    <row r="4515" spans="1:12" x14ac:dyDescent="0.3">
      <c r="A4515" s="2">
        <v>41032</v>
      </c>
      <c r="B4515" t="s">
        <v>13</v>
      </c>
      <c r="D4515" s="2">
        <v>41763</v>
      </c>
      <c r="E4515">
        <v>8</v>
      </c>
      <c r="G4515" s="2">
        <v>41763</v>
      </c>
      <c r="H4515">
        <v>8.6050000000000004</v>
      </c>
      <c r="J4515" s="2">
        <v>41770</v>
      </c>
      <c r="K4515" s="3">
        <f t="shared" si="140"/>
        <v>8</v>
      </c>
      <c r="L4515" s="3">
        <f t="shared" si="141"/>
        <v>8.5350000000000001</v>
      </c>
    </row>
    <row r="4516" spans="1:12" x14ac:dyDescent="0.3">
      <c r="A4516" s="2">
        <v>41033</v>
      </c>
      <c r="B4516" t="s">
        <v>13</v>
      </c>
      <c r="D4516" s="2">
        <v>41764</v>
      </c>
      <c r="E4516">
        <v>8</v>
      </c>
      <c r="G4516" s="2">
        <v>41764</v>
      </c>
      <c r="H4516">
        <v>8.5410000000000004</v>
      </c>
      <c r="J4516" s="2">
        <v>41771</v>
      </c>
      <c r="K4516" s="3">
        <f t="shared" si="140"/>
        <v>8</v>
      </c>
      <c r="L4516" s="3">
        <f t="shared" si="141"/>
        <v>8.5830000000000002</v>
      </c>
    </row>
    <row r="4517" spans="1:12" x14ac:dyDescent="0.3">
      <c r="A4517" s="2">
        <v>41034</v>
      </c>
      <c r="B4517" t="s">
        <v>13</v>
      </c>
      <c r="D4517" s="2">
        <v>41765</v>
      </c>
      <c r="E4517">
        <v>8</v>
      </c>
      <c r="G4517" s="2">
        <v>41765</v>
      </c>
      <c r="H4517">
        <v>8.5679999999999996</v>
      </c>
      <c r="J4517" s="2">
        <v>41772</v>
      </c>
      <c r="K4517" s="3">
        <f t="shared" si="140"/>
        <v>8</v>
      </c>
      <c r="L4517" s="3">
        <f t="shared" si="141"/>
        <v>8.5820000000000007</v>
      </c>
    </row>
    <row r="4518" spans="1:12" x14ac:dyDescent="0.3">
      <c r="A4518" s="2">
        <v>41035</v>
      </c>
      <c r="B4518" t="s">
        <v>13</v>
      </c>
      <c r="D4518" s="2">
        <v>41766</v>
      </c>
      <c r="E4518">
        <v>8</v>
      </c>
      <c r="G4518" s="2">
        <v>41766</v>
      </c>
      <c r="H4518">
        <v>8.5690000000000008</v>
      </c>
      <c r="J4518" s="2">
        <v>41773</v>
      </c>
      <c r="K4518" s="3">
        <f t="shared" si="140"/>
        <v>8</v>
      </c>
      <c r="L4518" s="3">
        <f t="shared" si="141"/>
        <v>8.5809999999999995</v>
      </c>
    </row>
    <row r="4519" spans="1:12" x14ac:dyDescent="0.3">
      <c r="A4519" s="2">
        <v>41036</v>
      </c>
      <c r="B4519" t="s">
        <v>13</v>
      </c>
      <c r="D4519" s="2">
        <v>41767</v>
      </c>
      <c r="E4519">
        <v>8</v>
      </c>
      <c r="G4519" s="2">
        <v>41767</v>
      </c>
      <c r="H4519">
        <v>8.5530000000000008</v>
      </c>
      <c r="J4519" s="2">
        <v>41774</v>
      </c>
      <c r="K4519" s="3">
        <f t="shared" si="140"/>
        <v>8</v>
      </c>
      <c r="L4519" s="3">
        <f t="shared" si="141"/>
        <v>8.5229999999999997</v>
      </c>
    </row>
    <row r="4520" spans="1:12" x14ac:dyDescent="0.3">
      <c r="A4520" s="2">
        <v>41037</v>
      </c>
      <c r="B4520" t="s">
        <v>13</v>
      </c>
      <c r="D4520" s="2">
        <v>41768</v>
      </c>
      <c r="E4520">
        <v>8</v>
      </c>
      <c r="G4520" s="2">
        <v>41768</v>
      </c>
      <c r="H4520">
        <v>8.5350000000000001</v>
      </c>
      <c r="J4520" s="2">
        <v>41775</v>
      </c>
      <c r="K4520" s="3">
        <f t="shared" si="140"/>
        <v>8</v>
      </c>
      <c r="L4520" s="3">
        <f t="shared" si="141"/>
        <v>8.4730000000000008</v>
      </c>
    </row>
    <row r="4521" spans="1:12" x14ac:dyDescent="0.3">
      <c r="A4521" s="2">
        <v>41038</v>
      </c>
      <c r="B4521" t="s">
        <v>13</v>
      </c>
      <c r="D4521" s="2">
        <v>41769</v>
      </c>
      <c r="E4521">
        <v>8</v>
      </c>
      <c r="G4521" s="2">
        <v>41769</v>
      </c>
      <c r="H4521">
        <v>8.5350000000000001</v>
      </c>
      <c r="J4521" s="2">
        <v>41776</v>
      </c>
      <c r="K4521" s="3">
        <f t="shared" si="140"/>
        <v>8</v>
      </c>
      <c r="L4521" s="3">
        <f t="shared" si="141"/>
        <v>8.4730000000000008</v>
      </c>
    </row>
    <row r="4522" spans="1:12" x14ac:dyDescent="0.3">
      <c r="A4522" s="2">
        <v>41039</v>
      </c>
      <c r="B4522" t="s">
        <v>13</v>
      </c>
      <c r="D4522" s="2">
        <v>41770</v>
      </c>
      <c r="E4522">
        <v>8</v>
      </c>
      <c r="G4522" s="2">
        <v>41770</v>
      </c>
      <c r="H4522">
        <v>8.5350000000000001</v>
      </c>
      <c r="J4522" s="2">
        <v>41777</v>
      </c>
      <c r="K4522" s="3">
        <f t="shared" si="140"/>
        <v>8</v>
      </c>
      <c r="L4522" s="3">
        <f t="shared" si="141"/>
        <v>8.4730000000000008</v>
      </c>
    </row>
    <row r="4523" spans="1:12" x14ac:dyDescent="0.3">
      <c r="A4523" s="2">
        <v>41040</v>
      </c>
      <c r="B4523" t="s">
        <v>13</v>
      </c>
      <c r="D4523" s="2">
        <v>41771</v>
      </c>
      <c r="E4523">
        <v>8</v>
      </c>
      <c r="G4523" s="2">
        <v>41771</v>
      </c>
      <c r="H4523">
        <v>8.5830000000000002</v>
      </c>
      <c r="J4523" s="2">
        <v>41778</v>
      </c>
      <c r="K4523" s="3">
        <f t="shared" si="140"/>
        <v>8</v>
      </c>
      <c r="L4523" s="3">
        <f t="shared" si="141"/>
        <v>8.4079999999999995</v>
      </c>
    </row>
    <row r="4524" spans="1:12" x14ac:dyDescent="0.3">
      <c r="A4524" s="2">
        <v>41041</v>
      </c>
      <c r="B4524" t="s">
        <v>13</v>
      </c>
      <c r="D4524" s="2">
        <v>41772</v>
      </c>
      <c r="E4524">
        <v>8</v>
      </c>
      <c r="G4524" s="2">
        <v>41772</v>
      </c>
      <c r="H4524">
        <v>8.5820000000000007</v>
      </c>
      <c r="J4524" s="2">
        <v>41779</v>
      </c>
      <c r="K4524" s="3">
        <f t="shared" si="140"/>
        <v>8</v>
      </c>
      <c r="L4524" s="3">
        <f t="shared" si="141"/>
        <v>8.468</v>
      </c>
    </row>
    <row r="4525" spans="1:12" x14ac:dyDescent="0.3">
      <c r="A4525" s="2">
        <v>41042</v>
      </c>
      <c r="B4525" t="s">
        <v>13</v>
      </c>
      <c r="D4525" s="2">
        <v>41773</v>
      </c>
      <c r="E4525">
        <v>8</v>
      </c>
      <c r="G4525" s="2">
        <v>41773</v>
      </c>
      <c r="H4525">
        <v>8.5809999999999995</v>
      </c>
      <c r="J4525" s="2">
        <v>41780</v>
      </c>
      <c r="K4525" s="3">
        <f t="shared" si="140"/>
        <v>8</v>
      </c>
      <c r="L4525" s="3">
        <f t="shared" si="141"/>
        <v>8.4380000000000006</v>
      </c>
    </row>
    <row r="4526" spans="1:12" x14ac:dyDescent="0.3">
      <c r="A4526" s="2">
        <v>41043</v>
      </c>
      <c r="B4526" t="s">
        <v>13</v>
      </c>
      <c r="D4526" s="2">
        <v>41774</v>
      </c>
      <c r="E4526">
        <v>8</v>
      </c>
      <c r="G4526" s="2">
        <v>41774</v>
      </c>
      <c r="H4526">
        <v>8.5229999999999997</v>
      </c>
      <c r="J4526" s="2">
        <v>41781</v>
      </c>
      <c r="K4526" s="3">
        <f t="shared" si="140"/>
        <v>8</v>
      </c>
      <c r="L4526" s="3">
        <f t="shared" si="141"/>
        <v>8.4700000000000006</v>
      </c>
    </row>
    <row r="4527" spans="1:12" x14ac:dyDescent="0.3">
      <c r="A4527" s="2">
        <v>41044</v>
      </c>
      <c r="B4527" t="s">
        <v>13</v>
      </c>
      <c r="D4527" s="2">
        <v>41775</v>
      </c>
      <c r="E4527">
        <v>8</v>
      </c>
      <c r="G4527" s="2">
        <v>41775</v>
      </c>
      <c r="H4527">
        <v>8.4730000000000008</v>
      </c>
      <c r="J4527" s="2">
        <v>41782</v>
      </c>
      <c r="K4527" s="3">
        <f t="shared" si="140"/>
        <v>8</v>
      </c>
      <c r="L4527" s="3">
        <f t="shared" si="141"/>
        <v>8.3810000000000002</v>
      </c>
    </row>
    <row r="4528" spans="1:12" x14ac:dyDescent="0.3">
      <c r="A4528" s="2">
        <v>41045</v>
      </c>
      <c r="B4528" t="s">
        <v>13</v>
      </c>
      <c r="D4528" s="2">
        <v>41776</v>
      </c>
      <c r="E4528">
        <v>8</v>
      </c>
      <c r="G4528" s="2">
        <v>41776</v>
      </c>
      <c r="H4528">
        <v>8.4730000000000008</v>
      </c>
      <c r="J4528" s="2">
        <v>41783</v>
      </c>
      <c r="K4528" s="3">
        <f t="shared" si="140"/>
        <v>8</v>
      </c>
      <c r="L4528" s="3">
        <f t="shared" si="141"/>
        <v>8.3810000000000002</v>
      </c>
    </row>
    <row r="4529" spans="1:12" x14ac:dyDescent="0.3">
      <c r="A4529" s="2">
        <v>41046</v>
      </c>
      <c r="B4529" t="s">
        <v>13</v>
      </c>
      <c r="D4529" s="2">
        <v>41777</v>
      </c>
      <c r="E4529">
        <v>8</v>
      </c>
      <c r="G4529" s="2">
        <v>41777</v>
      </c>
      <c r="H4529">
        <v>8.4730000000000008</v>
      </c>
      <c r="J4529" s="2">
        <v>41784</v>
      </c>
      <c r="K4529" s="3">
        <f t="shared" si="140"/>
        <v>8</v>
      </c>
      <c r="L4529" s="3">
        <f t="shared" si="141"/>
        <v>8.3810000000000002</v>
      </c>
    </row>
    <row r="4530" spans="1:12" x14ac:dyDescent="0.3">
      <c r="A4530" s="2">
        <v>41047</v>
      </c>
      <c r="B4530" t="s">
        <v>13</v>
      </c>
      <c r="D4530" s="2">
        <v>41778</v>
      </c>
      <c r="E4530">
        <v>8</v>
      </c>
      <c r="G4530" s="2">
        <v>41778</v>
      </c>
      <c r="H4530">
        <v>8.4079999999999995</v>
      </c>
      <c r="J4530" s="2">
        <v>41785</v>
      </c>
      <c r="K4530" s="3">
        <f t="shared" si="140"/>
        <v>8</v>
      </c>
      <c r="L4530" s="3">
        <f t="shared" si="141"/>
        <v>8.5079999999999991</v>
      </c>
    </row>
    <row r="4531" spans="1:12" x14ac:dyDescent="0.3">
      <c r="A4531" s="2">
        <v>41048</v>
      </c>
      <c r="B4531" t="s">
        <v>13</v>
      </c>
      <c r="D4531" s="2">
        <v>41779</v>
      </c>
      <c r="E4531">
        <v>8</v>
      </c>
      <c r="G4531" s="2">
        <v>41779</v>
      </c>
      <c r="H4531">
        <v>8.468</v>
      </c>
      <c r="J4531" s="2">
        <v>41786</v>
      </c>
      <c r="K4531" s="3">
        <f t="shared" si="140"/>
        <v>8</v>
      </c>
      <c r="L4531" s="3">
        <f t="shared" si="141"/>
        <v>8.3629999999999995</v>
      </c>
    </row>
    <row r="4532" spans="1:12" x14ac:dyDescent="0.3">
      <c r="A4532" s="2">
        <v>41049</v>
      </c>
      <c r="B4532" t="s">
        <v>13</v>
      </c>
      <c r="D4532" s="2">
        <v>41780</v>
      </c>
      <c r="E4532">
        <v>8</v>
      </c>
      <c r="G4532" s="2">
        <v>41780</v>
      </c>
      <c r="H4532">
        <v>8.4380000000000006</v>
      </c>
      <c r="J4532" s="2">
        <v>41787</v>
      </c>
      <c r="K4532" s="3">
        <f t="shared" si="140"/>
        <v>8</v>
      </c>
      <c r="L4532" s="3">
        <f t="shared" si="141"/>
        <v>8.2989999999999995</v>
      </c>
    </row>
    <row r="4533" spans="1:12" x14ac:dyDescent="0.3">
      <c r="A4533" s="2">
        <v>41050</v>
      </c>
      <c r="B4533" t="s">
        <v>13</v>
      </c>
      <c r="D4533" s="2">
        <v>41781</v>
      </c>
      <c r="E4533">
        <v>8</v>
      </c>
      <c r="G4533" s="2">
        <v>41781</v>
      </c>
      <c r="H4533">
        <v>8.4700000000000006</v>
      </c>
      <c r="J4533" s="2">
        <v>41788</v>
      </c>
      <c r="K4533" s="3">
        <f t="shared" si="140"/>
        <v>8</v>
      </c>
      <c r="L4533" s="3">
        <f t="shared" si="141"/>
        <v>8.3889999999999993</v>
      </c>
    </row>
    <row r="4534" spans="1:12" x14ac:dyDescent="0.3">
      <c r="A4534" s="2">
        <v>41051</v>
      </c>
      <c r="B4534" t="s">
        <v>13</v>
      </c>
      <c r="D4534" s="2">
        <v>41782</v>
      </c>
      <c r="E4534">
        <v>8</v>
      </c>
      <c r="G4534" s="2">
        <v>41782</v>
      </c>
      <c r="H4534">
        <v>8.3810000000000002</v>
      </c>
      <c r="J4534" s="2">
        <v>41789</v>
      </c>
      <c r="K4534" s="3">
        <f t="shared" si="140"/>
        <v>8</v>
      </c>
      <c r="L4534" s="3">
        <f t="shared" si="141"/>
        <v>8.298</v>
      </c>
    </row>
    <row r="4535" spans="1:12" x14ac:dyDescent="0.3">
      <c r="A4535" s="2">
        <v>41052</v>
      </c>
      <c r="B4535" t="s">
        <v>13</v>
      </c>
      <c r="D4535" s="2">
        <v>41783</v>
      </c>
      <c r="E4535">
        <v>8</v>
      </c>
      <c r="G4535" s="2">
        <v>41783</v>
      </c>
      <c r="H4535">
        <v>8.3810000000000002</v>
      </c>
      <c r="J4535" s="2">
        <v>41790</v>
      </c>
      <c r="K4535" s="3">
        <f t="shared" si="140"/>
        <v>8</v>
      </c>
      <c r="L4535" s="3">
        <f t="shared" si="141"/>
        <v>8.298</v>
      </c>
    </row>
    <row r="4536" spans="1:12" x14ac:dyDescent="0.3">
      <c r="A4536" s="2">
        <v>41053</v>
      </c>
      <c r="B4536" t="s">
        <v>13</v>
      </c>
      <c r="D4536" s="2">
        <v>41784</v>
      </c>
      <c r="E4536">
        <v>8</v>
      </c>
      <c r="G4536" s="2">
        <v>41784</v>
      </c>
      <c r="H4536">
        <v>8.3810000000000002</v>
      </c>
      <c r="J4536" s="2">
        <v>41791</v>
      </c>
      <c r="K4536" s="3">
        <f t="shared" si="140"/>
        <v>8</v>
      </c>
      <c r="L4536" s="3">
        <f t="shared" si="141"/>
        <v>8.298</v>
      </c>
    </row>
    <row r="4537" spans="1:12" x14ac:dyDescent="0.3">
      <c r="A4537" s="2">
        <v>41054</v>
      </c>
      <c r="B4537" t="s">
        <v>13</v>
      </c>
      <c r="D4537" s="2">
        <v>41785</v>
      </c>
      <c r="E4537">
        <v>8</v>
      </c>
      <c r="G4537" s="2">
        <v>41785</v>
      </c>
      <c r="H4537">
        <v>8.5079999999999991</v>
      </c>
      <c r="J4537" s="2">
        <v>41792</v>
      </c>
      <c r="K4537" s="3">
        <f t="shared" si="140"/>
        <v>8</v>
      </c>
      <c r="L4537" s="3">
        <f t="shared" si="141"/>
        <v>8.298</v>
      </c>
    </row>
    <row r="4538" spans="1:12" x14ac:dyDescent="0.3">
      <c r="A4538" s="2">
        <v>41055</v>
      </c>
      <c r="B4538" t="s">
        <v>13</v>
      </c>
      <c r="D4538" s="2">
        <v>41786</v>
      </c>
      <c r="E4538">
        <v>8</v>
      </c>
      <c r="G4538" s="2">
        <v>41786</v>
      </c>
      <c r="H4538">
        <v>8.3629999999999995</v>
      </c>
      <c r="J4538" s="2">
        <v>41793</v>
      </c>
      <c r="K4538" s="3">
        <f t="shared" si="140"/>
        <v>8</v>
      </c>
      <c r="L4538" s="3">
        <f t="shared" si="141"/>
        <v>8.3919999999999995</v>
      </c>
    </row>
    <row r="4539" spans="1:12" x14ac:dyDescent="0.3">
      <c r="A4539" s="2">
        <v>41056</v>
      </c>
      <c r="B4539" t="s">
        <v>13</v>
      </c>
      <c r="D4539" s="2">
        <v>41787</v>
      </c>
      <c r="E4539">
        <v>8</v>
      </c>
      <c r="G4539" s="2">
        <v>41787</v>
      </c>
      <c r="H4539">
        <v>8.2989999999999995</v>
      </c>
      <c r="J4539" s="2">
        <v>41794</v>
      </c>
      <c r="K4539" s="3">
        <f t="shared" si="140"/>
        <v>8</v>
      </c>
      <c r="L4539" s="3">
        <f t="shared" si="141"/>
        <v>8.3079999999999998</v>
      </c>
    </row>
    <row r="4540" spans="1:12" x14ac:dyDescent="0.3">
      <c r="A4540" s="2">
        <v>41057</v>
      </c>
      <c r="B4540" t="s">
        <v>13</v>
      </c>
      <c r="D4540" s="2">
        <v>41788</v>
      </c>
      <c r="E4540">
        <v>8</v>
      </c>
      <c r="G4540" s="2">
        <v>41788</v>
      </c>
      <c r="H4540">
        <v>8.3889999999999993</v>
      </c>
      <c r="J4540" s="2">
        <v>41795</v>
      </c>
      <c r="K4540" s="3">
        <f t="shared" si="140"/>
        <v>8</v>
      </c>
      <c r="L4540" s="3">
        <f t="shared" si="141"/>
        <v>8.2829999999999995</v>
      </c>
    </row>
    <row r="4541" spans="1:12" x14ac:dyDescent="0.3">
      <c r="A4541" s="2">
        <v>41058</v>
      </c>
      <c r="B4541" t="s">
        <v>13</v>
      </c>
      <c r="D4541" s="2">
        <v>41789</v>
      </c>
      <c r="E4541">
        <v>8</v>
      </c>
      <c r="G4541" s="2">
        <v>41789</v>
      </c>
      <c r="H4541">
        <v>8.298</v>
      </c>
      <c r="J4541" s="2">
        <v>41796</v>
      </c>
      <c r="K4541" s="3">
        <f t="shared" si="140"/>
        <v>8</v>
      </c>
      <c r="L4541" s="3">
        <f t="shared" si="141"/>
        <v>8.2620000000000005</v>
      </c>
    </row>
    <row r="4542" spans="1:12" x14ac:dyDescent="0.3">
      <c r="A4542" s="2">
        <v>41059</v>
      </c>
      <c r="B4542" t="s">
        <v>13</v>
      </c>
      <c r="D4542" s="2">
        <v>41790</v>
      </c>
      <c r="E4542">
        <v>8</v>
      </c>
      <c r="G4542" s="2">
        <v>41790</v>
      </c>
      <c r="H4542">
        <v>8.298</v>
      </c>
      <c r="J4542" s="2">
        <v>41797</v>
      </c>
      <c r="K4542" s="3">
        <f t="shared" si="140"/>
        <v>8</v>
      </c>
      <c r="L4542" s="3">
        <f t="shared" si="141"/>
        <v>8.2620000000000005</v>
      </c>
    </row>
    <row r="4543" spans="1:12" x14ac:dyDescent="0.3">
      <c r="A4543" s="2">
        <v>41060</v>
      </c>
      <c r="B4543" t="s">
        <v>13</v>
      </c>
      <c r="D4543" s="2">
        <v>41791</v>
      </c>
      <c r="E4543">
        <v>8</v>
      </c>
      <c r="G4543" s="2">
        <v>41791</v>
      </c>
      <c r="H4543">
        <v>8.298</v>
      </c>
      <c r="J4543" s="2">
        <v>41798</v>
      </c>
      <c r="K4543" s="3">
        <f t="shared" si="140"/>
        <v>8</v>
      </c>
      <c r="L4543" s="3">
        <f t="shared" si="141"/>
        <v>8.2620000000000005</v>
      </c>
    </row>
    <row r="4544" spans="1:12" x14ac:dyDescent="0.3">
      <c r="A4544" s="2">
        <v>41061</v>
      </c>
      <c r="B4544" t="s">
        <v>13</v>
      </c>
      <c r="D4544" s="2">
        <v>41792</v>
      </c>
      <c r="E4544">
        <v>8</v>
      </c>
      <c r="G4544" s="2">
        <v>41792</v>
      </c>
      <c r="H4544">
        <v>8.298</v>
      </c>
      <c r="J4544" s="2">
        <v>41799</v>
      </c>
      <c r="K4544" s="3">
        <f t="shared" si="140"/>
        <v>8</v>
      </c>
      <c r="L4544" s="3">
        <f t="shared" si="141"/>
        <v>8.2149999999999999</v>
      </c>
    </row>
    <row r="4545" spans="1:12" x14ac:dyDescent="0.3">
      <c r="A4545" s="2">
        <v>41062</v>
      </c>
      <c r="B4545" t="s">
        <v>13</v>
      </c>
      <c r="D4545" s="2">
        <v>41793</v>
      </c>
      <c r="E4545">
        <v>8</v>
      </c>
      <c r="G4545" s="2">
        <v>41793</v>
      </c>
      <c r="H4545">
        <v>8.3919999999999995</v>
      </c>
      <c r="J4545" s="2">
        <v>41800</v>
      </c>
      <c r="K4545" s="3">
        <f t="shared" si="140"/>
        <v>8</v>
      </c>
      <c r="L4545" s="3">
        <f t="shared" si="141"/>
        <v>8.2170000000000005</v>
      </c>
    </row>
    <row r="4546" spans="1:12" x14ac:dyDescent="0.3">
      <c r="A4546" s="2">
        <v>41063</v>
      </c>
      <c r="B4546" t="s">
        <v>13</v>
      </c>
      <c r="D4546" s="2">
        <v>41794</v>
      </c>
      <c r="E4546">
        <v>8</v>
      </c>
      <c r="G4546" s="2">
        <v>41794</v>
      </c>
      <c r="H4546">
        <v>8.3079999999999998</v>
      </c>
      <c r="J4546" s="2">
        <v>41801</v>
      </c>
      <c r="K4546" s="3">
        <f t="shared" si="140"/>
        <v>8</v>
      </c>
      <c r="L4546" s="3">
        <f t="shared" si="141"/>
        <v>8.1300000000000008</v>
      </c>
    </row>
    <row r="4547" spans="1:12" x14ac:dyDescent="0.3">
      <c r="A4547" s="2">
        <v>41064</v>
      </c>
      <c r="B4547" t="s">
        <v>13</v>
      </c>
      <c r="D4547" s="2">
        <v>41795</v>
      </c>
      <c r="E4547">
        <v>8</v>
      </c>
      <c r="G4547" s="2">
        <v>41795</v>
      </c>
      <c r="H4547">
        <v>8.2829999999999995</v>
      </c>
      <c r="J4547" s="2">
        <v>41802</v>
      </c>
      <c r="K4547" s="3">
        <f t="shared" ref="K4547:K4610" si="142">E4554</f>
        <v>8</v>
      </c>
      <c r="L4547" s="3">
        <f t="shared" ref="L4547:L4610" si="143">H4554</f>
        <v>9.2140000000000004</v>
      </c>
    </row>
    <row r="4548" spans="1:12" x14ac:dyDescent="0.3">
      <c r="A4548" s="2">
        <v>41065</v>
      </c>
      <c r="B4548" t="s">
        <v>13</v>
      </c>
      <c r="D4548" s="2">
        <v>41796</v>
      </c>
      <c r="E4548">
        <v>8</v>
      </c>
      <c r="G4548" s="2">
        <v>41796</v>
      </c>
      <c r="H4548">
        <v>8.2620000000000005</v>
      </c>
      <c r="J4548" s="2">
        <v>41803</v>
      </c>
      <c r="K4548" s="3">
        <f t="shared" si="142"/>
        <v>8</v>
      </c>
      <c r="L4548" s="3">
        <f t="shared" si="143"/>
        <v>9.1489999999999991</v>
      </c>
    </row>
    <row r="4549" spans="1:12" x14ac:dyDescent="0.3">
      <c r="A4549" s="2">
        <v>41066</v>
      </c>
      <c r="B4549" t="s">
        <v>13</v>
      </c>
      <c r="D4549" s="2">
        <v>41797</v>
      </c>
      <c r="E4549">
        <v>8</v>
      </c>
      <c r="G4549" s="2">
        <v>41797</v>
      </c>
      <c r="H4549">
        <v>8.2620000000000005</v>
      </c>
      <c r="J4549" s="2">
        <v>41804</v>
      </c>
      <c r="K4549" s="3">
        <f t="shared" si="142"/>
        <v>8</v>
      </c>
      <c r="L4549" s="3">
        <f t="shared" si="143"/>
        <v>9.1489999999999991</v>
      </c>
    </row>
    <row r="4550" spans="1:12" x14ac:dyDescent="0.3">
      <c r="A4550" s="2">
        <v>41067</v>
      </c>
      <c r="B4550" t="s">
        <v>13</v>
      </c>
      <c r="D4550" s="2">
        <v>41798</v>
      </c>
      <c r="E4550">
        <v>8</v>
      </c>
      <c r="G4550" s="2">
        <v>41798</v>
      </c>
      <c r="H4550">
        <v>8.2620000000000005</v>
      </c>
      <c r="J4550" s="2">
        <v>41805</v>
      </c>
      <c r="K4550" s="3">
        <f t="shared" si="142"/>
        <v>8</v>
      </c>
      <c r="L4550" s="3">
        <f t="shared" si="143"/>
        <v>9.1489999999999991</v>
      </c>
    </row>
    <row r="4551" spans="1:12" x14ac:dyDescent="0.3">
      <c r="A4551" s="2">
        <v>41068</v>
      </c>
      <c r="B4551" t="s">
        <v>13</v>
      </c>
      <c r="D4551" s="2">
        <v>41799</v>
      </c>
      <c r="E4551">
        <v>8</v>
      </c>
      <c r="G4551" s="2">
        <v>41799</v>
      </c>
      <c r="H4551">
        <v>8.2149999999999999</v>
      </c>
      <c r="J4551" s="2">
        <v>41806</v>
      </c>
      <c r="K4551" s="3">
        <f t="shared" si="142"/>
        <v>8</v>
      </c>
      <c r="L4551" s="3">
        <f t="shared" si="143"/>
        <v>9.1489999999999991</v>
      </c>
    </row>
    <row r="4552" spans="1:12" x14ac:dyDescent="0.3">
      <c r="A4552" s="2">
        <v>41069</v>
      </c>
      <c r="B4552" t="s">
        <v>13</v>
      </c>
      <c r="D4552" s="2">
        <v>41800</v>
      </c>
      <c r="E4552">
        <v>8</v>
      </c>
      <c r="G4552" s="2">
        <v>41800</v>
      </c>
      <c r="H4552">
        <v>8.2170000000000005</v>
      </c>
      <c r="J4552" s="2">
        <v>41807</v>
      </c>
      <c r="K4552" s="3">
        <f t="shared" si="142"/>
        <v>8</v>
      </c>
      <c r="L4552" s="3">
        <f t="shared" si="143"/>
        <v>9.1489999999999991</v>
      </c>
    </row>
    <row r="4553" spans="1:12" x14ac:dyDescent="0.3">
      <c r="A4553" s="2">
        <v>41070</v>
      </c>
      <c r="B4553" t="s">
        <v>13</v>
      </c>
      <c r="D4553" s="2">
        <v>41801</v>
      </c>
      <c r="E4553">
        <v>8</v>
      </c>
      <c r="G4553" s="2">
        <v>41801</v>
      </c>
      <c r="H4553">
        <v>8.1300000000000008</v>
      </c>
      <c r="J4553" s="2">
        <v>41808</v>
      </c>
      <c r="K4553" s="3">
        <f t="shared" si="142"/>
        <v>8</v>
      </c>
      <c r="L4553" s="3">
        <f t="shared" si="143"/>
        <v>8.5440000000000005</v>
      </c>
    </row>
    <row r="4554" spans="1:12" x14ac:dyDescent="0.3">
      <c r="A4554" s="2">
        <v>41071</v>
      </c>
      <c r="B4554" t="s">
        <v>13</v>
      </c>
      <c r="D4554" s="2">
        <v>41802</v>
      </c>
      <c r="E4554">
        <v>8</v>
      </c>
      <c r="G4554" s="2">
        <v>41802</v>
      </c>
      <c r="H4554">
        <v>9.2140000000000004</v>
      </c>
      <c r="J4554" s="2">
        <v>41809</v>
      </c>
      <c r="K4554" s="3">
        <f t="shared" si="142"/>
        <v>8</v>
      </c>
      <c r="L4554" s="3">
        <f t="shared" si="143"/>
        <v>8.5359999999999996</v>
      </c>
    </row>
    <row r="4555" spans="1:12" x14ac:dyDescent="0.3">
      <c r="A4555" s="2">
        <v>41072</v>
      </c>
      <c r="B4555" t="s">
        <v>13</v>
      </c>
      <c r="D4555" s="2">
        <v>41803</v>
      </c>
      <c r="E4555">
        <v>8</v>
      </c>
      <c r="G4555" s="2">
        <v>41803</v>
      </c>
      <c r="H4555">
        <v>9.1489999999999991</v>
      </c>
      <c r="J4555" s="2">
        <v>41810</v>
      </c>
      <c r="K4555" s="3">
        <f t="shared" si="142"/>
        <v>8</v>
      </c>
      <c r="L4555" s="3">
        <f t="shared" si="143"/>
        <v>8.5359999999999996</v>
      </c>
    </row>
    <row r="4556" spans="1:12" x14ac:dyDescent="0.3">
      <c r="A4556" s="2">
        <v>41073</v>
      </c>
      <c r="B4556" t="s">
        <v>13</v>
      </c>
      <c r="D4556" s="2">
        <v>41804</v>
      </c>
      <c r="E4556">
        <v>8</v>
      </c>
      <c r="G4556" s="2">
        <v>41804</v>
      </c>
      <c r="H4556">
        <v>9.1489999999999991</v>
      </c>
      <c r="J4556" s="2">
        <v>41811</v>
      </c>
      <c r="K4556" s="3">
        <f t="shared" si="142"/>
        <v>8</v>
      </c>
      <c r="L4556" s="3">
        <f t="shared" si="143"/>
        <v>8.5359999999999996</v>
      </c>
    </row>
    <row r="4557" spans="1:12" x14ac:dyDescent="0.3">
      <c r="A4557" s="2">
        <v>41074</v>
      </c>
      <c r="B4557" t="s">
        <v>13</v>
      </c>
      <c r="D4557" s="2">
        <v>41805</v>
      </c>
      <c r="E4557">
        <v>8</v>
      </c>
      <c r="G4557" s="2">
        <v>41805</v>
      </c>
      <c r="H4557">
        <v>9.1489999999999991</v>
      </c>
      <c r="J4557" s="2">
        <v>41812</v>
      </c>
      <c r="K4557" s="3">
        <f t="shared" si="142"/>
        <v>8</v>
      </c>
      <c r="L4557" s="3">
        <f t="shared" si="143"/>
        <v>8.5359999999999996</v>
      </c>
    </row>
    <row r="4558" spans="1:12" x14ac:dyDescent="0.3">
      <c r="A4558" s="2">
        <v>41075</v>
      </c>
      <c r="B4558" t="s">
        <v>13</v>
      </c>
      <c r="D4558" s="2">
        <v>41806</v>
      </c>
      <c r="E4558">
        <v>8</v>
      </c>
      <c r="G4558" s="2">
        <v>41806</v>
      </c>
      <c r="H4558">
        <v>9.1489999999999991</v>
      </c>
      <c r="J4558" s="2">
        <v>41813</v>
      </c>
      <c r="K4558" s="3">
        <f t="shared" si="142"/>
        <v>8</v>
      </c>
      <c r="L4558" s="3">
        <f t="shared" si="143"/>
        <v>8.5359999999999996</v>
      </c>
    </row>
    <row r="4559" spans="1:12" x14ac:dyDescent="0.3">
      <c r="A4559" s="2">
        <v>41076</v>
      </c>
      <c r="B4559" t="s">
        <v>13</v>
      </c>
      <c r="D4559" s="2">
        <v>41807</v>
      </c>
      <c r="E4559">
        <v>8</v>
      </c>
      <c r="G4559" s="2">
        <v>41807</v>
      </c>
      <c r="H4559">
        <v>9.1489999999999991</v>
      </c>
      <c r="J4559" s="2">
        <v>41814</v>
      </c>
      <c r="K4559" s="3">
        <f t="shared" si="142"/>
        <v>8</v>
      </c>
      <c r="L4559" s="3">
        <f t="shared" si="143"/>
        <v>8.4779999999999998</v>
      </c>
    </row>
    <row r="4560" spans="1:12" x14ac:dyDescent="0.3">
      <c r="A4560" s="2">
        <v>41077</v>
      </c>
      <c r="B4560" t="s">
        <v>13</v>
      </c>
      <c r="D4560" s="2">
        <v>41808</v>
      </c>
      <c r="E4560">
        <v>8</v>
      </c>
      <c r="G4560" s="2">
        <v>41808</v>
      </c>
      <c r="H4560">
        <v>8.5440000000000005</v>
      </c>
      <c r="J4560" s="2">
        <v>41815</v>
      </c>
      <c r="K4560" s="3">
        <f t="shared" si="142"/>
        <v>8</v>
      </c>
      <c r="L4560" s="3">
        <f t="shared" si="143"/>
        <v>8.4689999999999994</v>
      </c>
    </row>
    <row r="4561" spans="1:12" x14ac:dyDescent="0.3">
      <c r="A4561" s="2">
        <v>41078</v>
      </c>
      <c r="B4561" t="s">
        <v>13</v>
      </c>
      <c r="D4561" s="2">
        <v>41809</v>
      </c>
      <c r="E4561">
        <v>8</v>
      </c>
      <c r="G4561" s="2">
        <v>41809</v>
      </c>
      <c r="H4561">
        <v>8.5359999999999996</v>
      </c>
      <c r="J4561" s="2">
        <v>41816</v>
      </c>
      <c r="K4561" s="3">
        <f t="shared" si="142"/>
        <v>8</v>
      </c>
      <c r="L4561" s="3">
        <f t="shared" si="143"/>
        <v>8.3879999999999999</v>
      </c>
    </row>
    <row r="4562" spans="1:12" x14ac:dyDescent="0.3">
      <c r="A4562" s="2">
        <v>41079</v>
      </c>
      <c r="B4562" t="s">
        <v>13</v>
      </c>
      <c r="D4562" s="2">
        <v>41810</v>
      </c>
      <c r="E4562">
        <v>8</v>
      </c>
      <c r="G4562" s="2">
        <v>41810</v>
      </c>
      <c r="H4562">
        <v>8.5359999999999996</v>
      </c>
      <c r="J4562" s="2">
        <v>41817</v>
      </c>
      <c r="K4562" s="3">
        <f t="shared" si="142"/>
        <v>8</v>
      </c>
      <c r="L4562" s="3">
        <f t="shared" si="143"/>
        <v>8.3970000000000002</v>
      </c>
    </row>
    <row r="4563" spans="1:12" x14ac:dyDescent="0.3">
      <c r="A4563" s="2">
        <v>41080</v>
      </c>
      <c r="B4563" t="s">
        <v>13</v>
      </c>
      <c r="D4563" s="2">
        <v>41811</v>
      </c>
      <c r="E4563">
        <v>8</v>
      </c>
      <c r="G4563" s="2">
        <v>41811</v>
      </c>
      <c r="H4563">
        <v>8.5359999999999996</v>
      </c>
      <c r="J4563" s="2">
        <v>41818</v>
      </c>
      <c r="K4563" s="3">
        <f t="shared" si="142"/>
        <v>8</v>
      </c>
      <c r="L4563" s="3">
        <f t="shared" si="143"/>
        <v>8.3970000000000002</v>
      </c>
    </row>
    <row r="4564" spans="1:12" x14ac:dyDescent="0.3">
      <c r="A4564" s="2">
        <v>41081</v>
      </c>
      <c r="B4564" t="s">
        <v>13</v>
      </c>
      <c r="D4564" s="2">
        <v>41812</v>
      </c>
      <c r="E4564">
        <v>8</v>
      </c>
      <c r="G4564" s="2">
        <v>41812</v>
      </c>
      <c r="H4564">
        <v>8.5359999999999996</v>
      </c>
      <c r="J4564" s="2">
        <v>41819</v>
      </c>
      <c r="K4564" s="3">
        <f t="shared" si="142"/>
        <v>8</v>
      </c>
      <c r="L4564" s="3">
        <f t="shared" si="143"/>
        <v>8.3970000000000002</v>
      </c>
    </row>
    <row r="4565" spans="1:12" x14ac:dyDescent="0.3">
      <c r="A4565" s="2">
        <v>41082</v>
      </c>
      <c r="B4565" t="s">
        <v>13</v>
      </c>
      <c r="D4565" s="2">
        <v>41813</v>
      </c>
      <c r="E4565">
        <v>8</v>
      </c>
      <c r="G4565" s="2">
        <v>41813</v>
      </c>
      <c r="H4565">
        <v>8.5359999999999996</v>
      </c>
      <c r="J4565" s="2">
        <v>41820</v>
      </c>
      <c r="K4565" s="3">
        <f t="shared" si="142"/>
        <v>8</v>
      </c>
      <c r="L4565" s="3">
        <f t="shared" si="143"/>
        <v>8.3970000000000002</v>
      </c>
    </row>
    <row r="4566" spans="1:12" x14ac:dyDescent="0.3">
      <c r="A4566" s="2">
        <v>41083</v>
      </c>
      <c r="B4566" t="s">
        <v>13</v>
      </c>
      <c r="D4566" s="2">
        <v>41814</v>
      </c>
      <c r="E4566">
        <v>8</v>
      </c>
      <c r="G4566" s="2">
        <v>41814</v>
      </c>
      <c r="H4566">
        <v>8.4779999999999998</v>
      </c>
      <c r="J4566" s="2">
        <v>41821</v>
      </c>
      <c r="K4566" s="3">
        <f t="shared" si="142"/>
        <v>8</v>
      </c>
      <c r="L4566" s="3">
        <f t="shared" si="143"/>
        <v>8.4039999999999999</v>
      </c>
    </row>
    <row r="4567" spans="1:12" x14ac:dyDescent="0.3">
      <c r="A4567" s="2">
        <v>41084</v>
      </c>
      <c r="B4567" t="s">
        <v>13</v>
      </c>
      <c r="D4567" s="2">
        <v>41815</v>
      </c>
      <c r="E4567">
        <v>8</v>
      </c>
      <c r="G4567" s="2">
        <v>41815</v>
      </c>
      <c r="H4567">
        <v>8.4689999999999994</v>
      </c>
      <c r="J4567" s="2">
        <v>41822</v>
      </c>
      <c r="K4567" s="3">
        <f t="shared" si="142"/>
        <v>8</v>
      </c>
      <c r="L4567" s="3">
        <f t="shared" si="143"/>
        <v>8.407</v>
      </c>
    </row>
    <row r="4568" spans="1:12" x14ac:dyDescent="0.3">
      <c r="A4568" s="2">
        <v>41085</v>
      </c>
      <c r="B4568" t="s">
        <v>13</v>
      </c>
      <c r="D4568" s="2">
        <v>41816</v>
      </c>
      <c r="E4568">
        <v>8</v>
      </c>
      <c r="G4568" s="2">
        <v>41816</v>
      </c>
      <c r="H4568">
        <v>8.3879999999999999</v>
      </c>
      <c r="J4568" s="2">
        <v>41823</v>
      </c>
      <c r="K4568" s="3">
        <f t="shared" si="142"/>
        <v>8</v>
      </c>
      <c r="L4568" s="3">
        <f t="shared" si="143"/>
        <v>8.4659999999999993</v>
      </c>
    </row>
    <row r="4569" spans="1:12" x14ac:dyDescent="0.3">
      <c r="A4569" s="2">
        <v>41086</v>
      </c>
      <c r="B4569" t="s">
        <v>13</v>
      </c>
      <c r="D4569" s="2">
        <v>41817</v>
      </c>
      <c r="E4569">
        <v>8</v>
      </c>
      <c r="G4569" s="2">
        <v>41817</v>
      </c>
      <c r="H4569">
        <v>8.3970000000000002</v>
      </c>
      <c r="J4569" s="2">
        <v>41824</v>
      </c>
      <c r="K4569" s="3">
        <f t="shared" si="142"/>
        <v>8</v>
      </c>
      <c r="L4569" s="3">
        <f t="shared" si="143"/>
        <v>8.4659999999999993</v>
      </c>
    </row>
    <row r="4570" spans="1:12" x14ac:dyDescent="0.3">
      <c r="A4570" s="2">
        <v>41087</v>
      </c>
      <c r="B4570" t="s">
        <v>13</v>
      </c>
      <c r="D4570" s="2">
        <v>41818</v>
      </c>
      <c r="E4570">
        <v>8</v>
      </c>
      <c r="G4570" s="2">
        <v>41818</v>
      </c>
      <c r="H4570">
        <v>8.3970000000000002</v>
      </c>
      <c r="J4570" s="2">
        <v>41825</v>
      </c>
      <c r="K4570" s="3">
        <f t="shared" si="142"/>
        <v>8</v>
      </c>
      <c r="L4570" s="3">
        <f t="shared" si="143"/>
        <v>8.4659999999999993</v>
      </c>
    </row>
    <row r="4571" spans="1:12" x14ac:dyDescent="0.3">
      <c r="A4571" s="2">
        <v>41088</v>
      </c>
      <c r="B4571" t="s">
        <v>13</v>
      </c>
      <c r="D4571" s="2">
        <v>41819</v>
      </c>
      <c r="E4571">
        <v>8</v>
      </c>
      <c r="G4571" s="2">
        <v>41819</v>
      </c>
      <c r="H4571">
        <v>8.3970000000000002</v>
      </c>
      <c r="J4571" s="2">
        <v>41826</v>
      </c>
      <c r="K4571" s="3">
        <f t="shared" si="142"/>
        <v>8</v>
      </c>
      <c r="L4571" s="3">
        <f t="shared" si="143"/>
        <v>8.4659999999999993</v>
      </c>
    </row>
    <row r="4572" spans="1:12" x14ac:dyDescent="0.3">
      <c r="A4572" s="2">
        <v>41089</v>
      </c>
      <c r="B4572" t="s">
        <v>13</v>
      </c>
      <c r="D4572" s="2">
        <v>41820</v>
      </c>
      <c r="E4572">
        <v>8</v>
      </c>
      <c r="G4572" s="2">
        <v>41820</v>
      </c>
      <c r="H4572">
        <v>8.3970000000000002</v>
      </c>
      <c r="J4572" s="2">
        <v>41827</v>
      </c>
      <c r="K4572" s="3">
        <f t="shared" si="142"/>
        <v>8</v>
      </c>
      <c r="L4572" s="3">
        <f t="shared" si="143"/>
        <v>8.4659999999999993</v>
      </c>
    </row>
    <row r="4573" spans="1:12" x14ac:dyDescent="0.3">
      <c r="A4573" s="2">
        <v>41090</v>
      </c>
      <c r="B4573" t="s">
        <v>13</v>
      </c>
      <c r="D4573" s="2">
        <v>41821</v>
      </c>
      <c r="E4573">
        <v>8</v>
      </c>
      <c r="G4573" s="2">
        <v>41821</v>
      </c>
      <c r="H4573">
        <v>8.4039999999999999</v>
      </c>
      <c r="J4573" s="2">
        <v>41828</v>
      </c>
      <c r="K4573" s="3">
        <f t="shared" si="142"/>
        <v>8</v>
      </c>
      <c r="L4573" s="3">
        <f t="shared" si="143"/>
        <v>8.4659999999999993</v>
      </c>
    </row>
    <row r="4574" spans="1:12" x14ac:dyDescent="0.3">
      <c r="A4574" s="2">
        <v>41091</v>
      </c>
      <c r="B4574" t="s">
        <v>13</v>
      </c>
      <c r="D4574" s="2">
        <v>41822</v>
      </c>
      <c r="E4574">
        <v>8</v>
      </c>
      <c r="G4574" s="2">
        <v>41822</v>
      </c>
      <c r="H4574">
        <v>8.407</v>
      </c>
      <c r="J4574" s="2">
        <v>41829</v>
      </c>
      <c r="K4574" s="3">
        <f t="shared" si="142"/>
        <v>8</v>
      </c>
      <c r="L4574" s="3">
        <f t="shared" si="143"/>
        <v>8.4659999999999993</v>
      </c>
    </row>
    <row r="4575" spans="1:12" x14ac:dyDescent="0.3">
      <c r="A4575" s="2">
        <v>41092</v>
      </c>
      <c r="B4575" t="s">
        <v>13</v>
      </c>
      <c r="D4575" s="2">
        <v>41823</v>
      </c>
      <c r="E4575">
        <v>8</v>
      </c>
      <c r="G4575" s="2">
        <v>41823</v>
      </c>
      <c r="H4575">
        <v>8.4659999999999993</v>
      </c>
      <c r="J4575" s="2">
        <v>41830</v>
      </c>
      <c r="K4575" s="3">
        <f t="shared" si="142"/>
        <v>8</v>
      </c>
      <c r="L4575" s="3">
        <f t="shared" si="143"/>
        <v>8.48</v>
      </c>
    </row>
    <row r="4576" spans="1:12" x14ac:dyDescent="0.3">
      <c r="A4576" s="2">
        <v>41093</v>
      </c>
      <c r="B4576" t="s">
        <v>13</v>
      </c>
      <c r="D4576" s="2">
        <v>41824</v>
      </c>
      <c r="E4576">
        <v>8</v>
      </c>
      <c r="G4576" s="2">
        <v>41824</v>
      </c>
      <c r="H4576">
        <v>8.4659999999999993</v>
      </c>
      <c r="J4576" s="2">
        <v>41831</v>
      </c>
      <c r="K4576" s="3">
        <f t="shared" si="142"/>
        <v>8</v>
      </c>
      <c r="L4576" s="3">
        <f t="shared" si="143"/>
        <v>8.48</v>
      </c>
    </row>
    <row r="4577" spans="1:12" x14ac:dyDescent="0.3">
      <c r="A4577" s="2">
        <v>41094</v>
      </c>
      <c r="B4577" t="s">
        <v>13</v>
      </c>
      <c r="D4577" s="2">
        <v>41825</v>
      </c>
      <c r="E4577">
        <v>8</v>
      </c>
      <c r="G4577" s="2">
        <v>41825</v>
      </c>
      <c r="H4577">
        <v>8.4659999999999993</v>
      </c>
      <c r="J4577" s="2">
        <v>41832</v>
      </c>
      <c r="K4577" s="3">
        <f t="shared" si="142"/>
        <v>8</v>
      </c>
      <c r="L4577" s="3">
        <f t="shared" si="143"/>
        <v>8.48</v>
      </c>
    </row>
    <row r="4578" spans="1:12" x14ac:dyDescent="0.3">
      <c r="A4578" s="2">
        <v>41095</v>
      </c>
      <c r="B4578" t="s">
        <v>13</v>
      </c>
      <c r="D4578" s="2">
        <v>41826</v>
      </c>
      <c r="E4578">
        <v>8</v>
      </c>
      <c r="G4578" s="2">
        <v>41826</v>
      </c>
      <c r="H4578">
        <v>8.4659999999999993</v>
      </c>
      <c r="J4578" s="2">
        <v>41833</v>
      </c>
      <c r="K4578" s="3">
        <f t="shared" si="142"/>
        <v>8</v>
      </c>
      <c r="L4578" s="3">
        <f t="shared" si="143"/>
        <v>8.48</v>
      </c>
    </row>
    <row r="4579" spans="1:12" x14ac:dyDescent="0.3">
      <c r="A4579" s="2">
        <v>41096</v>
      </c>
      <c r="B4579" t="s">
        <v>13</v>
      </c>
      <c r="D4579" s="2">
        <v>41827</v>
      </c>
      <c r="E4579">
        <v>8</v>
      </c>
      <c r="G4579" s="2">
        <v>41827</v>
      </c>
      <c r="H4579">
        <v>8.4659999999999993</v>
      </c>
      <c r="J4579" s="2">
        <v>41834</v>
      </c>
      <c r="K4579" s="3">
        <f t="shared" si="142"/>
        <v>8</v>
      </c>
      <c r="L4579" s="3">
        <f t="shared" si="143"/>
        <v>8.48</v>
      </c>
    </row>
    <row r="4580" spans="1:12" x14ac:dyDescent="0.3">
      <c r="A4580" s="2">
        <v>41097</v>
      </c>
      <c r="B4580" t="s">
        <v>13</v>
      </c>
      <c r="D4580" s="2">
        <v>41828</v>
      </c>
      <c r="E4580">
        <v>8</v>
      </c>
      <c r="G4580" s="2">
        <v>41828</v>
      </c>
      <c r="H4580">
        <v>8.4659999999999993</v>
      </c>
      <c r="J4580" s="2">
        <v>41835</v>
      </c>
      <c r="K4580" s="3">
        <f t="shared" si="142"/>
        <v>8</v>
      </c>
      <c r="L4580" s="3">
        <f t="shared" si="143"/>
        <v>8.718</v>
      </c>
    </row>
    <row r="4581" spans="1:12" x14ac:dyDescent="0.3">
      <c r="A4581" s="2">
        <v>41098</v>
      </c>
      <c r="B4581" t="s">
        <v>13</v>
      </c>
      <c r="D4581" s="2">
        <v>41829</v>
      </c>
      <c r="E4581">
        <v>8</v>
      </c>
      <c r="G4581" s="2">
        <v>41829</v>
      </c>
      <c r="H4581">
        <v>8.4659999999999993</v>
      </c>
      <c r="J4581" s="2">
        <v>41836</v>
      </c>
      <c r="K4581" s="3">
        <f t="shared" si="142"/>
        <v>8</v>
      </c>
      <c r="L4581" s="3">
        <f t="shared" si="143"/>
        <v>8.6859999999999999</v>
      </c>
    </row>
    <row r="4582" spans="1:12" x14ac:dyDescent="0.3">
      <c r="A4582" s="2">
        <v>41099</v>
      </c>
      <c r="B4582" t="s">
        <v>13</v>
      </c>
      <c r="D4582" s="2">
        <v>41830</v>
      </c>
      <c r="E4582">
        <v>8</v>
      </c>
      <c r="G4582" s="2">
        <v>41830</v>
      </c>
      <c r="H4582">
        <v>8.48</v>
      </c>
      <c r="J4582" s="2">
        <v>41837</v>
      </c>
      <c r="K4582" s="3">
        <f t="shared" si="142"/>
        <v>8</v>
      </c>
      <c r="L4582" s="3">
        <f t="shared" si="143"/>
        <v>8.6890000000000001</v>
      </c>
    </row>
    <row r="4583" spans="1:12" x14ac:dyDescent="0.3">
      <c r="A4583" s="2">
        <v>41100</v>
      </c>
      <c r="B4583" t="s">
        <v>13</v>
      </c>
      <c r="D4583" s="2">
        <v>41831</v>
      </c>
      <c r="E4583">
        <v>8</v>
      </c>
      <c r="G4583" s="2">
        <v>41831</v>
      </c>
      <c r="H4583">
        <v>8.48</v>
      </c>
      <c r="J4583" s="2">
        <v>41838</v>
      </c>
      <c r="K4583" s="3">
        <f t="shared" si="142"/>
        <v>8</v>
      </c>
      <c r="L4583" s="3">
        <f t="shared" si="143"/>
        <v>8.6980000000000004</v>
      </c>
    </row>
    <row r="4584" spans="1:12" x14ac:dyDescent="0.3">
      <c r="A4584" s="2">
        <v>41101</v>
      </c>
      <c r="B4584" t="s">
        <v>13</v>
      </c>
      <c r="D4584" s="2">
        <v>41832</v>
      </c>
      <c r="E4584">
        <v>8</v>
      </c>
      <c r="G4584" s="2">
        <v>41832</v>
      </c>
      <c r="H4584">
        <v>8.48</v>
      </c>
      <c r="J4584" s="2">
        <v>41839</v>
      </c>
      <c r="K4584" s="3">
        <f t="shared" si="142"/>
        <v>8</v>
      </c>
      <c r="L4584" s="3">
        <f t="shared" si="143"/>
        <v>8.6980000000000004</v>
      </c>
    </row>
    <row r="4585" spans="1:12" x14ac:dyDescent="0.3">
      <c r="A4585" s="2">
        <v>41102</v>
      </c>
      <c r="B4585" t="s">
        <v>13</v>
      </c>
      <c r="D4585" s="2">
        <v>41833</v>
      </c>
      <c r="E4585">
        <v>8</v>
      </c>
      <c r="G4585" s="2">
        <v>41833</v>
      </c>
      <c r="H4585">
        <v>8.48</v>
      </c>
      <c r="J4585" s="2">
        <v>41840</v>
      </c>
      <c r="K4585" s="3">
        <f t="shared" si="142"/>
        <v>8</v>
      </c>
      <c r="L4585" s="3">
        <f t="shared" si="143"/>
        <v>8.6980000000000004</v>
      </c>
    </row>
    <row r="4586" spans="1:12" x14ac:dyDescent="0.3">
      <c r="A4586" s="2">
        <v>41103</v>
      </c>
      <c r="B4586" t="s">
        <v>13</v>
      </c>
      <c r="D4586" s="2">
        <v>41834</v>
      </c>
      <c r="E4586">
        <v>8</v>
      </c>
      <c r="G4586" s="2">
        <v>41834</v>
      </c>
      <c r="H4586">
        <v>8.48</v>
      </c>
      <c r="J4586" s="2">
        <v>41841</v>
      </c>
      <c r="K4586" s="3">
        <f t="shared" si="142"/>
        <v>8</v>
      </c>
      <c r="L4586" s="3">
        <f t="shared" si="143"/>
        <v>8.6980000000000004</v>
      </c>
    </row>
    <row r="4587" spans="1:12" x14ac:dyDescent="0.3">
      <c r="A4587" s="2">
        <v>41104</v>
      </c>
      <c r="B4587" t="s">
        <v>13</v>
      </c>
      <c r="D4587" s="2">
        <v>41835</v>
      </c>
      <c r="E4587">
        <v>8</v>
      </c>
      <c r="G4587" s="2">
        <v>41835</v>
      </c>
      <c r="H4587">
        <v>8.718</v>
      </c>
      <c r="J4587" s="2">
        <v>41842</v>
      </c>
      <c r="K4587" s="3">
        <f t="shared" si="142"/>
        <v>8</v>
      </c>
      <c r="L4587" s="3">
        <f t="shared" si="143"/>
        <v>8.64</v>
      </c>
    </row>
    <row r="4588" spans="1:12" x14ac:dyDescent="0.3">
      <c r="A4588" s="2">
        <v>41105</v>
      </c>
      <c r="B4588" t="s">
        <v>13</v>
      </c>
      <c r="D4588" s="2">
        <v>41836</v>
      </c>
      <c r="E4588">
        <v>8</v>
      </c>
      <c r="G4588" s="2">
        <v>41836</v>
      </c>
      <c r="H4588">
        <v>8.6859999999999999</v>
      </c>
      <c r="J4588" s="2">
        <v>41843</v>
      </c>
      <c r="K4588" s="3">
        <f t="shared" si="142"/>
        <v>8</v>
      </c>
      <c r="L4588" s="3">
        <f t="shared" si="143"/>
        <v>8.6709999999999994</v>
      </c>
    </row>
    <row r="4589" spans="1:12" x14ac:dyDescent="0.3">
      <c r="A4589" s="2">
        <v>41106</v>
      </c>
      <c r="B4589" t="s">
        <v>13</v>
      </c>
      <c r="D4589" s="2">
        <v>41837</v>
      </c>
      <c r="E4589">
        <v>8</v>
      </c>
      <c r="G4589" s="2">
        <v>41837</v>
      </c>
      <c r="H4589">
        <v>8.6890000000000001</v>
      </c>
      <c r="J4589" s="2">
        <v>41844</v>
      </c>
      <c r="K4589" s="3">
        <f t="shared" si="142"/>
        <v>8</v>
      </c>
      <c r="L4589" s="3">
        <f t="shared" si="143"/>
        <v>8.5399999999999991</v>
      </c>
    </row>
    <row r="4590" spans="1:12" x14ac:dyDescent="0.3">
      <c r="A4590" s="2">
        <v>41107</v>
      </c>
      <c r="B4590" t="s">
        <v>13</v>
      </c>
      <c r="D4590" s="2">
        <v>41838</v>
      </c>
      <c r="E4590">
        <v>8</v>
      </c>
      <c r="G4590" s="2">
        <v>41838</v>
      </c>
      <c r="H4590">
        <v>8.6980000000000004</v>
      </c>
      <c r="J4590" s="2">
        <v>41845</v>
      </c>
      <c r="K4590" s="3">
        <f t="shared" si="142"/>
        <v>8</v>
      </c>
      <c r="L4590" s="3">
        <f t="shared" si="143"/>
        <v>8.5120000000000005</v>
      </c>
    </row>
    <row r="4591" spans="1:12" x14ac:dyDescent="0.3">
      <c r="A4591" s="2">
        <v>41108</v>
      </c>
      <c r="B4591" t="s">
        <v>13</v>
      </c>
      <c r="D4591" s="2">
        <v>41839</v>
      </c>
      <c r="E4591">
        <v>8</v>
      </c>
      <c r="G4591" s="2">
        <v>41839</v>
      </c>
      <c r="H4591">
        <v>8.6980000000000004</v>
      </c>
      <c r="J4591" s="2">
        <v>41846</v>
      </c>
      <c r="K4591" s="3">
        <f t="shared" si="142"/>
        <v>8</v>
      </c>
      <c r="L4591" s="3">
        <f t="shared" si="143"/>
        <v>8.5120000000000005</v>
      </c>
    </row>
    <row r="4592" spans="1:12" x14ac:dyDescent="0.3">
      <c r="A4592" s="2">
        <v>41109</v>
      </c>
      <c r="B4592" t="s">
        <v>13</v>
      </c>
      <c r="D4592" s="2">
        <v>41840</v>
      </c>
      <c r="E4592">
        <v>8</v>
      </c>
      <c r="G4592" s="2">
        <v>41840</v>
      </c>
      <c r="H4592">
        <v>8.6980000000000004</v>
      </c>
      <c r="J4592" s="2">
        <v>41847</v>
      </c>
      <c r="K4592" s="3">
        <f t="shared" si="142"/>
        <v>8</v>
      </c>
      <c r="L4592" s="3">
        <f t="shared" si="143"/>
        <v>8.5120000000000005</v>
      </c>
    </row>
    <row r="4593" spans="1:12" x14ac:dyDescent="0.3">
      <c r="A4593" s="2">
        <v>41110</v>
      </c>
      <c r="B4593" t="s">
        <v>13</v>
      </c>
      <c r="D4593" s="2">
        <v>41841</v>
      </c>
      <c r="E4593">
        <v>8</v>
      </c>
      <c r="G4593" s="2">
        <v>41841</v>
      </c>
      <c r="H4593">
        <v>8.6980000000000004</v>
      </c>
      <c r="J4593" s="2">
        <v>41848</v>
      </c>
      <c r="K4593" s="3">
        <f t="shared" si="142"/>
        <v>8</v>
      </c>
      <c r="L4593" s="3">
        <f t="shared" si="143"/>
        <v>8.5120000000000005</v>
      </c>
    </row>
    <row r="4594" spans="1:12" x14ac:dyDescent="0.3">
      <c r="A4594" s="2">
        <v>41111</v>
      </c>
      <c r="B4594" t="s">
        <v>13</v>
      </c>
      <c r="D4594" s="2">
        <v>41842</v>
      </c>
      <c r="E4594">
        <v>8</v>
      </c>
      <c r="G4594" s="2">
        <v>41842</v>
      </c>
      <c r="H4594">
        <v>8.64</v>
      </c>
      <c r="J4594" s="2">
        <v>41849</v>
      </c>
      <c r="K4594" s="3">
        <f t="shared" si="142"/>
        <v>8</v>
      </c>
      <c r="L4594" s="3">
        <f t="shared" si="143"/>
        <v>8.5120000000000005</v>
      </c>
    </row>
    <row r="4595" spans="1:12" x14ac:dyDescent="0.3">
      <c r="A4595" s="2">
        <v>41112</v>
      </c>
      <c r="B4595" t="s">
        <v>13</v>
      </c>
      <c r="D4595" s="2">
        <v>41843</v>
      </c>
      <c r="E4595">
        <v>8</v>
      </c>
      <c r="G4595" s="2">
        <v>41843</v>
      </c>
      <c r="H4595">
        <v>8.6709999999999994</v>
      </c>
      <c r="J4595" s="2">
        <v>41850</v>
      </c>
      <c r="K4595" s="3">
        <f t="shared" si="142"/>
        <v>8</v>
      </c>
      <c r="L4595" s="3">
        <f t="shared" si="143"/>
        <v>8.5120000000000005</v>
      </c>
    </row>
    <row r="4596" spans="1:12" x14ac:dyDescent="0.3">
      <c r="A4596" s="2">
        <v>41113</v>
      </c>
      <c r="B4596" t="s">
        <v>13</v>
      </c>
      <c r="D4596" s="2">
        <v>41844</v>
      </c>
      <c r="E4596">
        <v>8</v>
      </c>
      <c r="G4596" s="2">
        <v>41844</v>
      </c>
      <c r="H4596">
        <v>8.5399999999999991</v>
      </c>
      <c r="J4596" s="2">
        <v>41851</v>
      </c>
      <c r="K4596" s="3">
        <f t="shared" si="142"/>
        <v>8</v>
      </c>
      <c r="L4596" s="3">
        <f t="shared" si="143"/>
        <v>8.5120000000000005</v>
      </c>
    </row>
    <row r="4597" spans="1:12" x14ac:dyDescent="0.3">
      <c r="A4597" s="2">
        <v>41114</v>
      </c>
      <c r="B4597" t="s">
        <v>13</v>
      </c>
      <c r="D4597" s="2">
        <v>41845</v>
      </c>
      <c r="E4597">
        <v>8</v>
      </c>
      <c r="G4597" s="2">
        <v>41845</v>
      </c>
      <c r="H4597">
        <v>8.5120000000000005</v>
      </c>
      <c r="J4597" s="2">
        <v>41852</v>
      </c>
      <c r="K4597" s="3">
        <f t="shared" si="142"/>
        <v>8</v>
      </c>
      <c r="L4597" s="3">
        <f t="shared" si="143"/>
        <v>8.6660000000000004</v>
      </c>
    </row>
    <row r="4598" spans="1:12" x14ac:dyDescent="0.3">
      <c r="A4598" s="2">
        <v>41115</v>
      </c>
      <c r="B4598" t="s">
        <v>13</v>
      </c>
      <c r="D4598" s="2">
        <v>41846</v>
      </c>
      <c r="E4598">
        <v>8</v>
      </c>
      <c r="G4598" s="2">
        <v>41846</v>
      </c>
      <c r="H4598">
        <v>8.5120000000000005</v>
      </c>
      <c r="J4598" s="2">
        <v>41853</v>
      </c>
      <c r="K4598" s="3">
        <f t="shared" si="142"/>
        <v>8</v>
      </c>
      <c r="L4598" s="3">
        <f t="shared" si="143"/>
        <v>8.6660000000000004</v>
      </c>
    </row>
    <row r="4599" spans="1:12" x14ac:dyDescent="0.3">
      <c r="A4599" s="2">
        <v>41116</v>
      </c>
      <c r="B4599" t="s">
        <v>13</v>
      </c>
      <c r="D4599" s="2">
        <v>41847</v>
      </c>
      <c r="E4599">
        <v>8</v>
      </c>
      <c r="G4599" s="2">
        <v>41847</v>
      </c>
      <c r="H4599">
        <v>8.5120000000000005</v>
      </c>
      <c r="J4599" s="2">
        <v>41854</v>
      </c>
      <c r="K4599" s="3">
        <f t="shared" si="142"/>
        <v>8</v>
      </c>
      <c r="L4599" s="3">
        <f t="shared" si="143"/>
        <v>8.6660000000000004</v>
      </c>
    </row>
    <row r="4600" spans="1:12" x14ac:dyDescent="0.3">
      <c r="A4600" s="2">
        <v>41117</v>
      </c>
      <c r="B4600" t="s">
        <v>13</v>
      </c>
      <c r="D4600" s="2">
        <v>41848</v>
      </c>
      <c r="E4600">
        <v>8</v>
      </c>
      <c r="G4600" s="2">
        <v>41848</v>
      </c>
      <c r="H4600">
        <v>8.5120000000000005</v>
      </c>
      <c r="J4600" s="2">
        <v>41855</v>
      </c>
      <c r="K4600" s="3">
        <f t="shared" si="142"/>
        <v>8</v>
      </c>
      <c r="L4600" s="3">
        <f t="shared" si="143"/>
        <v>8.6739999999999995</v>
      </c>
    </row>
    <row r="4601" spans="1:12" x14ac:dyDescent="0.3">
      <c r="A4601" s="2">
        <v>41118</v>
      </c>
      <c r="B4601" t="s">
        <v>13</v>
      </c>
      <c r="D4601" s="2">
        <v>41849</v>
      </c>
      <c r="E4601">
        <v>8</v>
      </c>
      <c r="G4601" s="2">
        <v>41849</v>
      </c>
      <c r="H4601">
        <v>8.5120000000000005</v>
      </c>
      <c r="J4601" s="2">
        <v>41856</v>
      </c>
      <c r="K4601" s="3">
        <f t="shared" si="142"/>
        <v>8</v>
      </c>
      <c r="L4601" s="3">
        <f t="shared" si="143"/>
        <v>8.7579999999999991</v>
      </c>
    </row>
    <row r="4602" spans="1:12" x14ac:dyDescent="0.3">
      <c r="A4602" s="2">
        <v>41119</v>
      </c>
      <c r="B4602" t="s">
        <v>13</v>
      </c>
      <c r="D4602" s="2">
        <v>41850</v>
      </c>
      <c r="E4602">
        <v>8</v>
      </c>
      <c r="G4602" s="2">
        <v>41850</v>
      </c>
      <c r="H4602">
        <v>8.5120000000000005</v>
      </c>
      <c r="J4602" s="2">
        <v>41857</v>
      </c>
      <c r="K4602" s="3">
        <f t="shared" si="142"/>
        <v>8</v>
      </c>
      <c r="L4602" s="3">
        <f t="shared" si="143"/>
        <v>8.8369999999999997</v>
      </c>
    </row>
    <row r="4603" spans="1:12" x14ac:dyDescent="0.3">
      <c r="A4603" s="2">
        <v>41120</v>
      </c>
      <c r="B4603" t="s">
        <v>13</v>
      </c>
      <c r="D4603" s="2">
        <v>41851</v>
      </c>
      <c r="E4603">
        <v>8</v>
      </c>
      <c r="G4603" s="2">
        <v>41851</v>
      </c>
      <c r="H4603">
        <v>8.5120000000000005</v>
      </c>
      <c r="J4603" s="2">
        <v>41858</v>
      </c>
      <c r="K4603" s="3">
        <f t="shared" si="142"/>
        <v>8</v>
      </c>
      <c r="L4603" s="3">
        <f t="shared" si="143"/>
        <v>8.7080000000000002</v>
      </c>
    </row>
    <row r="4604" spans="1:12" x14ac:dyDescent="0.3">
      <c r="A4604" s="2">
        <v>41121</v>
      </c>
      <c r="B4604" t="s">
        <v>13</v>
      </c>
      <c r="D4604" s="2">
        <v>41852</v>
      </c>
      <c r="E4604">
        <v>8</v>
      </c>
      <c r="G4604" s="2">
        <v>41852</v>
      </c>
      <c r="H4604">
        <v>8.6660000000000004</v>
      </c>
      <c r="J4604" s="2">
        <v>41859</v>
      </c>
      <c r="K4604" s="3">
        <f t="shared" si="142"/>
        <v>8</v>
      </c>
      <c r="L4604" s="3">
        <f t="shared" si="143"/>
        <v>8.7230000000000008</v>
      </c>
    </row>
    <row r="4605" spans="1:12" x14ac:dyDescent="0.3">
      <c r="A4605" s="2">
        <v>41122</v>
      </c>
      <c r="B4605" t="s">
        <v>13</v>
      </c>
      <c r="D4605" s="2">
        <v>41853</v>
      </c>
      <c r="E4605">
        <v>8</v>
      </c>
      <c r="G4605" s="2">
        <v>41853</v>
      </c>
      <c r="H4605">
        <v>8.6660000000000004</v>
      </c>
      <c r="J4605" s="2">
        <v>41860</v>
      </c>
      <c r="K4605" s="3">
        <f t="shared" si="142"/>
        <v>8</v>
      </c>
      <c r="L4605" s="3">
        <f t="shared" si="143"/>
        <v>8.7230000000000008</v>
      </c>
    </row>
    <row r="4606" spans="1:12" x14ac:dyDescent="0.3">
      <c r="A4606" s="2">
        <v>41123</v>
      </c>
      <c r="B4606" t="s">
        <v>13</v>
      </c>
      <c r="D4606" s="2">
        <v>41854</v>
      </c>
      <c r="E4606">
        <v>8</v>
      </c>
      <c r="G4606" s="2">
        <v>41854</v>
      </c>
      <c r="H4606">
        <v>8.6660000000000004</v>
      </c>
      <c r="J4606" s="2">
        <v>41861</v>
      </c>
      <c r="K4606" s="3">
        <f t="shared" si="142"/>
        <v>8</v>
      </c>
      <c r="L4606" s="3">
        <f t="shared" si="143"/>
        <v>8.7230000000000008</v>
      </c>
    </row>
    <row r="4607" spans="1:12" x14ac:dyDescent="0.3">
      <c r="A4607" s="2">
        <v>41124</v>
      </c>
      <c r="B4607" t="s">
        <v>13</v>
      </c>
      <c r="D4607" s="2">
        <v>41855</v>
      </c>
      <c r="E4607">
        <v>8</v>
      </c>
      <c r="G4607" s="2">
        <v>41855</v>
      </c>
      <c r="H4607">
        <v>8.6739999999999995</v>
      </c>
      <c r="J4607" s="2">
        <v>41862</v>
      </c>
      <c r="K4607" s="3">
        <f t="shared" si="142"/>
        <v>8</v>
      </c>
      <c r="L4607" s="3">
        <f t="shared" si="143"/>
        <v>8.7040000000000006</v>
      </c>
    </row>
    <row r="4608" spans="1:12" x14ac:dyDescent="0.3">
      <c r="A4608" s="2">
        <v>41125</v>
      </c>
      <c r="B4608" t="s">
        <v>13</v>
      </c>
      <c r="D4608" s="2">
        <v>41856</v>
      </c>
      <c r="E4608">
        <v>8</v>
      </c>
      <c r="G4608" s="2">
        <v>41856</v>
      </c>
      <c r="H4608">
        <v>8.7579999999999991</v>
      </c>
      <c r="J4608" s="2">
        <v>41863</v>
      </c>
      <c r="K4608" s="3">
        <f t="shared" si="142"/>
        <v>8</v>
      </c>
      <c r="L4608" s="3">
        <f t="shared" si="143"/>
        <v>8.7080000000000002</v>
      </c>
    </row>
    <row r="4609" spans="1:12" x14ac:dyDescent="0.3">
      <c r="A4609" s="2">
        <v>41126</v>
      </c>
      <c r="B4609" t="s">
        <v>13</v>
      </c>
      <c r="D4609" s="2">
        <v>41857</v>
      </c>
      <c r="E4609">
        <v>8</v>
      </c>
      <c r="G4609" s="2">
        <v>41857</v>
      </c>
      <c r="H4609">
        <v>8.8369999999999997</v>
      </c>
      <c r="J4609" s="2">
        <v>41864</v>
      </c>
      <c r="K4609" s="3">
        <f t="shared" si="142"/>
        <v>8</v>
      </c>
      <c r="L4609" s="3">
        <f t="shared" si="143"/>
        <v>8.7119999999999997</v>
      </c>
    </row>
    <row r="4610" spans="1:12" x14ac:dyDescent="0.3">
      <c r="A4610" s="2">
        <v>41127</v>
      </c>
      <c r="B4610" t="s">
        <v>13</v>
      </c>
      <c r="D4610" s="2">
        <v>41858</v>
      </c>
      <c r="E4610">
        <v>8</v>
      </c>
      <c r="G4610" s="2">
        <v>41858</v>
      </c>
      <c r="H4610">
        <v>8.7080000000000002</v>
      </c>
      <c r="J4610" s="2">
        <v>41865</v>
      </c>
      <c r="K4610" s="3">
        <f t="shared" si="142"/>
        <v>8</v>
      </c>
      <c r="L4610" s="3">
        <f t="shared" si="143"/>
        <v>8.7170000000000005</v>
      </c>
    </row>
    <row r="4611" spans="1:12" x14ac:dyDescent="0.3">
      <c r="A4611" s="2">
        <v>41128</v>
      </c>
      <c r="B4611" t="s">
        <v>13</v>
      </c>
      <c r="D4611" s="2">
        <v>41859</v>
      </c>
      <c r="E4611">
        <v>8</v>
      </c>
      <c r="G4611" s="2">
        <v>41859</v>
      </c>
      <c r="H4611">
        <v>8.7230000000000008</v>
      </c>
      <c r="J4611" s="2">
        <v>41866</v>
      </c>
      <c r="K4611" s="3">
        <f t="shared" ref="K4611:K4674" si="144">E4618</f>
        <v>8</v>
      </c>
      <c r="L4611" s="3">
        <f t="shared" ref="L4611:L4674" si="145">H4618</f>
        <v>8.75</v>
      </c>
    </row>
    <row r="4612" spans="1:12" x14ac:dyDescent="0.3">
      <c r="A4612" s="2">
        <v>41129</v>
      </c>
      <c r="B4612" t="s">
        <v>13</v>
      </c>
      <c r="D4612" s="2">
        <v>41860</v>
      </c>
      <c r="E4612">
        <v>8</v>
      </c>
      <c r="G4612" s="2">
        <v>41860</v>
      </c>
      <c r="H4612">
        <v>8.7230000000000008</v>
      </c>
      <c r="J4612" s="2">
        <v>41867</v>
      </c>
      <c r="K4612" s="3">
        <f t="shared" si="144"/>
        <v>8</v>
      </c>
      <c r="L4612" s="3">
        <f t="shared" si="145"/>
        <v>8.75</v>
      </c>
    </row>
    <row r="4613" spans="1:12" x14ac:dyDescent="0.3">
      <c r="A4613" s="2">
        <v>41130</v>
      </c>
      <c r="B4613" t="s">
        <v>13</v>
      </c>
      <c r="D4613" s="2">
        <v>41861</v>
      </c>
      <c r="E4613">
        <v>8</v>
      </c>
      <c r="G4613" s="2">
        <v>41861</v>
      </c>
      <c r="H4613">
        <v>8.7230000000000008</v>
      </c>
      <c r="J4613" s="2">
        <v>41868</v>
      </c>
      <c r="K4613" s="3">
        <f t="shared" si="144"/>
        <v>8</v>
      </c>
      <c r="L4613" s="3">
        <f t="shared" si="145"/>
        <v>8.75</v>
      </c>
    </row>
    <row r="4614" spans="1:12" x14ac:dyDescent="0.3">
      <c r="A4614" s="2">
        <v>41131</v>
      </c>
      <c r="B4614" t="s">
        <v>13</v>
      </c>
      <c r="D4614" s="2">
        <v>41862</v>
      </c>
      <c r="E4614">
        <v>8</v>
      </c>
      <c r="G4614" s="2">
        <v>41862</v>
      </c>
      <c r="H4614">
        <v>8.7040000000000006</v>
      </c>
      <c r="J4614" s="2">
        <v>41869</v>
      </c>
      <c r="K4614" s="3">
        <f t="shared" si="144"/>
        <v>8</v>
      </c>
      <c r="L4614" s="3">
        <f t="shared" si="145"/>
        <v>8.75</v>
      </c>
    </row>
    <row r="4615" spans="1:12" x14ac:dyDescent="0.3">
      <c r="A4615" s="2">
        <v>41132</v>
      </c>
      <c r="B4615" t="s">
        <v>13</v>
      </c>
      <c r="D4615" s="2">
        <v>41863</v>
      </c>
      <c r="E4615">
        <v>8</v>
      </c>
      <c r="G4615" s="2">
        <v>41863</v>
      </c>
      <c r="H4615">
        <v>8.7080000000000002</v>
      </c>
      <c r="J4615" s="2">
        <v>41870</v>
      </c>
      <c r="K4615" s="3">
        <f t="shared" si="144"/>
        <v>8</v>
      </c>
      <c r="L4615" s="3">
        <f t="shared" si="145"/>
        <v>8.7390000000000008</v>
      </c>
    </row>
    <row r="4616" spans="1:12" x14ac:dyDescent="0.3">
      <c r="A4616" s="2">
        <v>41133</v>
      </c>
      <c r="B4616" t="s">
        <v>13</v>
      </c>
      <c r="D4616" s="2">
        <v>41864</v>
      </c>
      <c r="E4616">
        <v>8</v>
      </c>
      <c r="G4616" s="2">
        <v>41864</v>
      </c>
      <c r="H4616">
        <v>8.7119999999999997</v>
      </c>
      <c r="J4616" s="2">
        <v>41871</v>
      </c>
      <c r="K4616" s="3">
        <f t="shared" si="144"/>
        <v>8</v>
      </c>
      <c r="L4616" s="3">
        <f t="shared" si="145"/>
        <v>8.6489999999999991</v>
      </c>
    </row>
    <row r="4617" spans="1:12" x14ac:dyDescent="0.3">
      <c r="A4617" s="2">
        <v>41134</v>
      </c>
      <c r="B4617" t="s">
        <v>13</v>
      </c>
      <c r="D4617" s="2">
        <v>41865</v>
      </c>
      <c r="E4617">
        <v>8</v>
      </c>
      <c r="G4617" s="2">
        <v>41865</v>
      </c>
      <c r="H4617">
        <v>8.7170000000000005</v>
      </c>
      <c r="J4617" s="2">
        <v>41872</v>
      </c>
      <c r="K4617" s="3">
        <f t="shared" si="144"/>
        <v>8</v>
      </c>
      <c r="L4617" s="3">
        <f t="shared" si="145"/>
        <v>8.66</v>
      </c>
    </row>
    <row r="4618" spans="1:12" x14ac:dyDescent="0.3">
      <c r="A4618" s="2">
        <v>41135</v>
      </c>
      <c r="B4618" t="s">
        <v>13</v>
      </c>
      <c r="D4618" s="2">
        <v>41866</v>
      </c>
      <c r="E4618">
        <v>8</v>
      </c>
      <c r="G4618" s="2">
        <v>41866</v>
      </c>
      <c r="H4618">
        <v>8.75</v>
      </c>
      <c r="J4618" s="2">
        <v>41873</v>
      </c>
      <c r="K4618" s="3">
        <f t="shared" si="144"/>
        <v>8</v>
      </c>
      <c r="L4618" s="3">
        <f t="shared" si="145"/>
        <v>8.6609999999999996</v>
      </c>
    </row>
    <row r="4619" spans="1:12" x14ac:dyDescent="0.3">
      <c r="A4619" s="2">
        <v>41136</v>
      </c>
      <c r="B4619" t="s">
        <v>13</v>
      </c>
      <c r="D4619" s="2">
        <v>41867</v>
      </c>
      <c r="E4619">
        <v>8</v>
      </c>
      <c r="G4619" s="2">
        <v>41867</v>
      </c>
      <c r="H4619">
        <v>8.75</v>
      </c>
      <c r="J4619" s="2">
        <v>41874</v>
      </c>
      <c r="K4619" s="3">
        <f t="shared" si="144"/>
        <v>8</v>
      </c>
      <c r="L4619" s="3">
        <f t="shared" si="145"/>
        <v>8.6609999999999996</v>
      </c>
    </row>
    <row r="4620" spans="1:12" x14ac:dyDescent="0.3">
      <c r="A4620" s="2">
        <v>41137</v>
      </c>
      <c r="B4620" t="s">
        <v>13</v>
      </c>
      <c r="D4620" s="2">
        <v>41868</v>
      </c>
      <c r="E4620">
        <v>8</v>
      </c>
      <c r="G4620" s="2">
        <v>41868</v>
      </c>
      <c r="H4620">
        <v>8.75</v>
      </c>
      <c r="J4620" s="2">
        <v>41875</v>
      </c>
      <c r="K4620" s="3">
        <f t="shared" si="144"/>
        <v>8</v>
      </c>
      <c r="L4620" s="3">
        <f t="shared" si="145"/>
        <v>8.6609999999999996</v>
      </c>
    </row>
    <row r="4621" spans="1:12" x14ac:dyDescent="0.3">
      <c r="A4621" s="2">
        <v>41138</v>
      </c>
      <c r="B4621" t="s">
        <v>13</v>
      </c>
      <c r="D4621" s="2">
        <v>41869</v>
      </c>
      <c r="E4621">
        <v>8</v>
      </c>
      <c r="G4621" s="2">
        <v>41869</v>
      </c>
      <c r="H4621">
        <v>8.75</v>
      </c>
      <c r="J4621" s="2">
        <v>41876</v>
      </c>
      <c r="K4621" s="3">
        <f t="shared" si="144"/>
        <v>8</v>
      </c>
      <c r="L4621" s="3">
        <f t="shared" si="145"/>
        <v>8.6649999999999991</v>
      </c>
    </row>
    <row r="4622" spans="1:12" x14ac:dyDescent="0.3">
      <c r="A4622" s="2">
        <v>41139</v>
      </c>
      <c r="B4622" t="s">
        <v>13</v>
      </c>
      <c r="D4622" s="2">
        <v>41870</v>
      </c>
      <c r="E4622">
        <v>8</v>
      </c>
      <c r="G4622" s="2">
        <v>41870</v>
      </c>
      <c r="H4622">
        <v>8.7390000000000008</v>
      </c>
      <c r="J4622" s="2">
        <v>41877</v>
      </c>
      <c r="K4622" s="3">
        <f t="shared" si="144"/>
        <v>8</v>
      </c>
      <c r="L4622" s="3">
        <f t="shared" si="145"/>
        <v>8.6609999999999996</v>
      </c>
    </row>
    <row r="4623" spans="1:12" x14ac:dyDescent="0.3">
      <c r="A4623" s="2">
        <v>41140</v>
      </c>
      <c r="B4623" t="s">
        <v>13</v>
      </c>
      <c r="D4623" s="2">
        <v>41871</v>
      </c>
      <c r="E4623">
        <v>8</v>
      </c>
      <c r="G4623" s="2">
        <v>41871</v>
      </c>
      <c r="H4623">
        <v>8.6489999999999991</v>
      </c>
      <c r="J4623" s="2">
        <v>41878</v>
      </c>
      <c r="K4623" s="3">
        <f t="shared" si="144"/>
        <v>8</v>
      </c>
      <c r="L4623" s="3">
        <f t="shared" si="145"/>
        <v>8.6489999999999991</v>
      </c>
    </row>
    <row r="4624" spans="1:12" x14ac:dyDescent="0.3">
      <c r="A4624" s="2">
        <v>41141</v>
      </c>
      <c r="B4624" t="s">
        <v>13</v>
      </c>
      <c r="D4624" s="2">
        <v>41872</v>
      </c>
      <c r="E4624">
        <v>8</v>
      </c>
      <c r="G4624" s="2">
        <v>41872</v>
      </c>
      <c r="H4624">
        <v>8.66</v>
      </c>
      <c r="J4624" s="2">
        <v>41879</v>
      </c>
      <c r="K4624" s="3">
        <f t="shared" si="144"/>
        <v>8</v>
      </c>
      <c r="L4624" s="3">
        <f t="shared" si="145"/>
        <v>8.6769999999999996</v>
      </c>
    </row>
    <row r="4625" spans="1:12" x14ac:dyDescent="0.3">
      <c r="A4625" s="2">
        <v>41142</v>
      </c>
      <c r="B4625" t="s">
        <v>13</v>
      </c>
      <c r="D4625" s="2">
        <v>41873</v>
      </c>
      <c r="E4625">
        <v>8</v>
      </c>
      <c r="G4625" s="2">
        <v>41873</v>
      </c>
      <c r="H4625">
        <v>8.6609999999999996</v>
      </c>
      <c r="J4625" s="2">
        <v>41880</v>
      </c>
      <c r="K4625" s="3">
        <f t="shared" si="144"/>
        <v>8</v>
      </c>
      <c r="L4625" s="3">
        <f t="shared" si="145"/>
        <v>8.6769999999999996</v>
      </c>
    </row>
    <row r="4626" spans="1:12" x14ac:dyDescent="0.3">
      <c r="A4626" s="2">
        <v>41143</v>
      </c>
      <c r="B4626" t="s">
        <v>13</v>
      </c>
      <c r="D4626" s="2">
        <v>41874</v>
      </c>
      <c r="E4626">
        <v>8</v>
      </c>
      <c r="G4626" s="2">
        <v>41874</v>
      </c>
      <c r="H4626">
        <v>8.6609999999999996</v>
      </c>
      <c r="J4626" s="2">
        <v>41881</v>
      </c>
      <c r="K4626" s="3">
        <f t="shared" si="144"/>
        <v>8</v>
      </c>
      <c r="L4626" s="3">
        <f t="shared" si="145"/>
        <v>8.6769999999999996</v>
      </c>
    </row>
    <row r="4627" spans="1:12" x14ac:dyDescent="0.3">
      <c r="A4627" s="2">
        <v>41144</v>
      </c>
      <c r="B4627" t="s">
        <v>13</v>
      </c>
      <c r="D4627" s="2">
        <v>41875</v>
      </c>
      <c r="E4627">
        <v>8</v>
      </c>
      <c r="G4627" s="2">
        <v>41875</v>
      </c>
      <c r="H4627">
        <v>8.6609999999999996</v>
      </c>
      <c r="J4627" s="2">
        <v>41882</v>
      </c>
      <c r="K4627" s="3">
        <f t="shared" si="144"/>
        <v>8</v>
      </c>
      <c r="L4627" s="3">
        <f t="shared" si="145"/>
        <v>8.6769999999999996</v>
      </c>
    </row>
    <row r="4628" spans="1:12" x14ac:dyDescent="0.3">
      <c r="A4628" s="2">
        <v>41145</v>
      </c>
      <c r="B4628" t="s">
        <v>13</v>
      </c>
      <c r="D4628" s="2">
        <v>41876</v>
      </c>
      <c r="E4628">
        <v>8</v>
      </c>
      <c r="G4628" s="2">
        <v>41876</v>
      </c>
      <c r="H4628">
        <v>8.6649999999999991</v>
      </c>
      <c r="J4628" s="2">
        <v>41883</v>
      </c>
      <c r="K4628" s="3">
        <f t="shared" si="144"/>
        <v>8</v>
      </c>
      <c r="L4628" s="3">
        <f t="shared" si="145"/>
        <v>8.6769999999999996</v>
      </c>
    </row>
    <row r="4629" spans="1:12" x14ac:dyDescent="0.3">
      <c r="A4629" s="2">
        <v>41146</v>
      </c>
      <c r="B4629" t="s">
        <v>13</v>
      </c>
      <c r="D4629" s="2">
        <v>41877</v>
      </c>
      <c r="E4629">
        <v>8</v>
      </c>
      <c r="G4629" s="2">
        <v>41877</v>
      </c>
      <c r="H4629">
        <v>8.6609999999999996</v>
      </c>
      <c r="J4629" s="2">
        <v>41884</v>
      </c>
      <c r="K4629" s="3">
        <f t="shared" si="144"/>
        <v>8</v>
      </c>
      <c r="L4629" s="3">
        <f t="shared" si="145"/>
        <v>8.718</v>
      </c>
    </row>
    <row r="4630" spans="1:12" x14ac:dyDescent="0.3">
      <c r="A4630" s="2">
        <v>41147</v>
      </c>
      <c r="B4630" t="s">
        <v>13</v>
      </c>
      <c r="D4630" s="2">
        <v>41878</v>
      </c>
      <c r="E4630">
        <v>8</v>
      </c>
      <c r="G4630" s="2">
        <v>41878</v>
      </c>
      <c r="H4630">
        <v>8.6489999999999991</v>
      </c>
      <c r="J4630" s="2">
        <v>41885</v>
      </c>
      <c r="K4630" s="3">
        <f t="shared" si="144"/>
        <v>8</v>
      </c>
      <c r="L4630" s="3">
        <f t="shared" si="145"/>
        <v>8.6530000000000005</v>
      </c>
    </row>
    <row r="4631" spans="1:12" x14ac:dyDescent="0.3">
      <c r="A4631" s="2">
        <v>41148</v>
      </c>
      <c r="B4631" t="s">
        <v>13</v>
      </c>
      <c r="D4631" s="2">
        <v>41879</v>
      </c>
      <c r="E4631">
        <v>8</v>
      </c>
      <c r="G4631" s="2">
        <v>41879</v>
      </c>
      <c r="H4631">
        <v>8.6769999999999996</v>
      </c>
      <c r="J4631" s="2">
        <v>41886</v>
      </c>
      <c r="K4631" s="3">
        <f t="shared" si="144"/>
        <v>8</v>
      </c>
      <c r="L4631" s="3">
        <f t="shared" si="145"/>
        <v>8.6430000000000007</v>
      </c>
    </row>
    <row r="4632" spans="1:12" x14ac:dyDescent="0.3">
      <c r="A4632" s="2">
        <v>41149</v>
      </c>
      <c r="B4632" t="s">
        <v>13</v>
      </c>
      <c r="D4632" s="2">
        <v>41880</v>
      </c>
      <c r="E4632">
        <v>8</v>
      </c>
      <c r="G4632" s="2">
        <v>41880</v>
      </c>
      <c r="H4632">
        <v>8.6769999999999996</v>
      </c>
      <c r="J4632" s="2">
        <v>41887</v>
      </c>
      <c r="K4632" s="3">
        <f t="shared" si="144"/>
        <v>8</v>
      </c>
      <c r="L4632" s="3">
        <f t="shared" si="145"/>
        <v>8.6590000000000007</v>
      </c>
    </row>
    <row r="4633" spans="1:12" x14ac:dyDescent="0.3">
      <c r="A4633" s="2">
        <v>41150</v>
      </c>
      <c r="B4633" t="s">
        <v>13</v>
      </c>
      <c r="D4633" s="2">
        <v>41881</v>
      </c>
      <c r="E4633">
        <v>8</v>
      </c>
      <c r="G4633" s="2">
        <v>41881</v>
      </c>
      <c r="H4633">
        <v>8.6769999999999996</v>
      </c>
      <c r="J4633" s="2">
        <v>41888</v>
      </c>
      <c r="K4633" s="3">
        <f t="shared" si="144"/>
        <v>8</v>
      </c>
      <c r="L4633" s="3">
        <f t="shared" si="145"/>
        <v>8.6590000000000007</v>
      </c>
    </row>
    <row r="4634" spans="1:12" x14ac:dyDescent="0.3">
      <c r="A4634" s="2">
        <v>41151</v>
      </c>
      <c r="B4634" t="s">
        <v>13</v>
      </c>
      <c r="D4634" s="2">
        <v>41882</v>
      </c>
      <c r="E4634">
        <v>8</v>
      </c>
      <c r="G4634" s="2">
        <v>41882</v>
      </c>
      <c r="H4634">
        <v>8.6769999999999996</v>
      </c>
      <c r="J4634" s="2">
        <v>41889</v>
      </c>
      <c r="K4634" s="3">
        <f t="shared" si="144"/>
        <v>8</v>
      </c>
      <c r="L4634" s="3">
        <f t="shared" si="145"/>
        <v>8.6590000000000007</v>
      </c>
    </row>
    <row r="4635" spans="1:12" x14ac:dyDescent="0.3">
      <c r="A4635" s="2">
        <v>41152</v>
      </c>
      <c r="B4635" t="s">
        <v>13</v>
      </c>
      <c r="D4635" s="2">
        <v>41883</v>
      </c>
      <c r="E4635">
        <v>8</v>
      </c>
      <c r="G4635" s="2">
        <v>41883</v>
      </c>
      <c r="H4635">
        <v>8.6769999999999996</v>
      </c>
      <c r="J4635" s="2">
        <v>41890</v>
      </c>
      <c r="K4635" s="3">
        <f t="shared" si="144"/>
        <v>8</v>
      </c>
      <c r="L4635" s="3">
        <f t="shared" si="145"/>
        <v>8.6379999999999999</v>
      </c>
    </row>
    <row r="4636" spans="1:12" x14ac:dyDescent="0.3">
      <c r="A4636" s="2">
        <v>41153</v>
      </c>
      <c r="B4636" t="s">
        <v>13</v>
      </c>
      <c r="D4636" s="2">
        <v>41884</v>
      </c>
      <c r="E4636">
        <v>8</v>
      </c>
      <c r="G4636" s="2">
        <v>41884</v>
      </c>
      <c r="H4636">
        <v>8.718</v>
      </c>
      <c r="J4636" s="2">
        <v>41891</v>
      </c>
      <c r="K4636" s="3">
        <f t="shared" si="144"/>
        <v>8</v>
      </c>
      <c r="L4636" s="3">
        <f t="shared" si="145"/>
        <v>8.673</v>
      </c>
    </row>
    <row r="4637" spans="1:12" x14ac:dyDescent="0.3">
      <c r="A4637" s="2">
        <v>41154</v>
      </c>
      <c r="B4637" t="s">
        <v>13</v>
      </c>
      <c r="D4637" s="2">
        <v>41885</v>
      </c>
      <c r="E4637">
        <v>8</v>
      </c>
      <c r="G4637" s="2">
        <v>41885</v>
      </c>
      <c r="H4637">
        <v>8.6530000000000005</v>
      </c>
      <c r="J4637" s="2">
        <v>41892</v>
      </c>
      <c r="K4637" s="3">
        <f t="shared" si="144"/>
        <v>8</v>
      </c>
      <c r="L4637" s="3">
        <f t="shared" si="145"/>
        <v>8.6660000000000004</v>
      </c>
    </row>
    <row r="4638" spans="1:12" x14ac:dyDescent="0.3">
      <c r="A4638" s="2">
        <v>41155</v>
      </c>
      <c r="B4638" t="s">
        <v>13</v>
      </c>
      <c r="D4638" s="2">
        <v>41886</v>
      </c>
      <c r="E4638">
        <v>8</v>
      </c>
      <c r="G4638" s="2">
        <v>41886</v>
      </c>
      <c r="H4638">
        <v>8.6430000000000007</v>
      </c>
      <c r="J4638" s="2">
        <v>41893</v>
      </c>
      <c r="K4638" s="3">
        <f t="shared" si="144"/>
        <v>8</v>
      </c>
      <c r="L4638" s="3">
        <f t="shared" si="145"/>
        <v>8.6509999999999998</v>
      </c>
    </row>
    <row r="4639" spans="1:12" x14ac:dyDescent="0.3">
      <c r="A4639" s="2">
        <v>41156</v>
      </c>
      <c r="B4639" t="s">
        <v>13</v>
      </c>
      <c r="D4639" s="2">
        <v>41887</v>
      </c>
      <c r="E4639">
        <v>8</v>
      </c>
      <c r="G4639" s="2">
        <v>41887</v>
      </c>
      <c r="H4639">
        <v>8.6590000000000007</v>
      </c>
      <c r="J4639" s="2">
        <v>41894</v>
      </c>
      <c r="K4639" s="3">
        <f t="shared" si="144"/>
        <v>8</v>
      </c>
      <c r="L4639" s="3">
        <f t="shared" si="145"/>
        <v>8.6790000000000003</v>
      </c>
    </row>
    <row r="4640" spans="1:12" x14ac:dyDescent="0.3">
      <c r="A4640" s="2">
        <v>41157</v>
      </c>
      <c r="B4640" t="s">
        <v>13</v>
      </c>
      <c r="D4640" s="2">
        <v>41888</v>
      </c>
      <c r="E4640">
        <v>8</v>
      </c>
      <c r="G4640" s="2">
        <v>41888</v>
      </c>
      <c r="H4640">
        <v>8.6590000000000007</v>
      </c>
      <c r="J4640" s="2">
        <v>41895</v>
      </c>
      <c r="K4640" s="3">
        <f t="shared" si="144"/>
        <v>8</v>
      </c>
      <c r="L4640" s="3">
        <f t="shared" si="145"/>
        <v>8.6790000000000003</v>
      </c>
    </row>
    <row r="4641" spans="1:12" x14ac:dyDescent="0.3">
      <c r="A4641" s="2">
        <v>41158</v>
      </c>
      <c r="B4641" t="s">
        <v>13</v>
      </c>
      <c r="D4641" s="2">
        <v>41889</v>
      </c>
      <c r="E4641">
        <v>8</v>
      </c>
      <c r="G4641" s="2">
        <v>41889</v>
      </c>
      <c r="H4641">
        <v>8.6590000000000007</v>
      </c>
      <c r="J4641" s="2">
        <v>41896</v>
      </c>
      <c r="K4641" s="3">
        <f t="shared" si="144"/>
        <v>8</v>
      </c>
      <c r="L4641" s="3">
        <f t="shared" si="145"/>
        <v>8.6790000000000003</v>
      </c>
    </row>
    <row r="4642" spans="1:12" x14ac:dyDescent="0.3">
      <c r="A4642" s="2">
        <v>41159</v>
      </c>
      <c r="B4642" t="s">
        <v>13</v>
      </c>
      <c r="D4642" s="2">
        <v>41890</v>
      </c>
      <c r="E4642">
        <v>8</v>
      </c>
      <c r="G4642" s="2">
        <v>41890</v>
      </c>
      <c r="H4642">
        <v>8.6379999999999999</v>
      </c>
      <c r="J4642" s="2">
        <v>41897</v>
      </c>
      <c r="K4642" s="3">
        <f t="shared" si="144"/>
        <v>8</v>
      </c>
      <c r="L4642" s="3">
        <f t="shared" si="145"/>
        <v>8.6430000000000007</v>
      </c>
    </row>
    <row r="4643" spans="1:12" x14ac:dyDescent="0.3">
      <c r="A4643" s="2">
        <v>41160</v>
      </c>
      <c r="B4643" t="s">
        <v>13</v>
      </c>
      <c r="D4643" s="2">
        <v>41891</v>
      </c>
      <c r="E4643">
        <v>8</v>
      </c>
      <c r="G4643" s="2">
        <v>41891</v>
      </c>
      <c r="H4643">
        <v>8.673</v>
      </c>
      <c r="J4643" s="2">
        <v>41898</v>
      </c>
      <c r="K4643" s="3">
        <f t="shared" si="144"/>
        <v>8</v>
      </c>
      <c r="L4643" s="3">
        <f t="shared" si="145"/>
        <v>8.7460000000000004</v>
      </c>
    </row>
    <row r="4644" spans="1:12" x14ac:dyDescent="0.3">
      <c r="A4644" s="2">
        <v>41161</v>
      </c>
      <c r="B4644" t="s">
        <v>13</v>
      </c>
      <c r="D4644" s="2">
        <v>41892</v>
      </c>
      <c r="E4644">
        <v>8</v>
      </c>
      <c r="G4644" s="2">
        <v>41892</v>
      </c>
      <c r="H4644">
        <v>8.6660000000000004</v>
      </c>
      <c r="J4644" s="2">
        <v>41899</v>
      </c>
      <c r="K4644" s="3">
        <f t="shared" si="144"/>
        <v>8</v>
      </c>
      <c r="L4644" s="3">
        <f t="shared" si="145"/>
        <v>8.6549999999999994</v>
      </c>
    </row>
    <row r="4645" spans="1:12" x14ac:dyDescent="0.3">
      <c r="A4645" s="2">
        <v>41162</v>
      </c>
      <c r="B4645" t="s">
        <v>13</v>
      </c>
      <c r="D4645" s="2">
        <v>41893</v>
      </c>
      <c r="E4645">
        <v>8</v>
      </c>
      <c r="G4645" s="2">
        <v>41893</v>
      </c>
      <c r="H4645">
        <v>8.6509999999999998</v>
      </c>
      <c r="J4645" s="2">
        <v>41900</v>
      </c>
      <c r="K4645" s="3">
        <f t="shared" si="144"/>
        <v>8</v>
      </c>
      <c r="L4645" s="3">
        <f t="shared" si="145"/>
        <v>8.5830000000000002</v>
      </c>
    </row>
    <row r="4646" spans="1:12" x14ac:dyDescent="0.3">
      <c r="A4646" s="2">
        <v>41163</v>
      </c>
      <c r="B4646" t="s">
        <v>13</v>
      </c>
      <c r="D4646" s="2">
        <v>41894</v>
      </c>
      <c r="E4646">
        <v>8</v>
      </c>
      <c r="G4646" s="2">
        <v>41894</v>
      </c>
      <c r="H4646">
        <v>8.6790000000000003</v>
      </c>
      <c r="J4646" s="2">
        <v>41901</v>
      </c>
      <c r="K4646" s="3">
        <f t="shared" si="144"/>
        <v>8</v>
      </c>
      <c r="L4646" s="3">
        <f t="shared" si="145"/>
        <v>8.6359999999999992</v>
      </c>
    </row>
    <row r="4647" spans="1:12" x14ac:dyDescent="0.3">
      <c r="A4647" s="2">
        <v>41164</v>
      </c>
      <c r="B4647" t="s">
        <v>13</v>
      </c>
      <c r="D4647" s="2">
        <v>41895</v>
      </c>
      <c r="E4647">
        <v>8</v>
      </c>
      <c r="G4647" s="2">
        <v>41895</v>
      </c>
      <c r="H4647">
        <v>8.6790000000000003</v>
      </c>
      <c r="J4647" s="2">
        <v>41902</v>
      </c>
      <c r="K4647" s="3">
        <f t="shared" si="144"/>
        <v>8</v>
      </c>
      <c r="L4647" s="3">
        <f t="shared" si="145"/>
        <v>8.6359999999999992</v>
      </c>
    </row>
    <row r="4648" spans="1:12" x14ac:dyDescent="0.3">
      <c r="A4648" s="2">
        <v>41165</v>
      </c>
      <c r="B4648" t="s">
        <v>13</v>
      </c>
      <c r="D4648" s="2">
        <v>41896</v>
      </c>
      <c r="E4648">
        <v>8</v>
      </c>
      <c r="G4648" s="2">
        <v>41896</v>
      </c>
      <c r="H4648">
        <v>8.6790000000000003</v>
      </c>
      <c r="J4648" s="2">
        <v>41903</v>
      </c>
      <c r="K4648" s="3">
        <f t="shared" si="144"/>
        <v>8</v>
      </c>
      <c r="L4648" s="3">
        <f t="shared" si="145"/>
        <v>8.6359999999999992</v>
      </c>
    </row>
    <row r="4649" spans="1:12" x14ac:dyDescent="0.3">
      <c r="A4649" s="2">
        <v>41166</v>
      </c>
      <c r="B4649" t="s">
        <v>13</v>
      </c>
      <c r="D4649" s="2">
        <v>41897</v>
      </c>
      <c r="E4649">
        <v>8</v>
      </c>
      <c r="G4649" s="2">
        <v>41897</v>
      </c>
      <c r="H4649">
        <v>8.6430000000000007</v>
      </c>
      <c r="J4649" s="2">
        <v>41904</v>
      </c>
      <c r="K4649" s="3">
        <f t="shared" si="144"/>
        <v>8</v>
      </c>
      <c r="L4649" s="3">
        <f t="shared" si="145"/>
        <v>8.5250000000000004</v>
      </c>
    </row>
    <row r="4650" spans="1:12" x14ac:dyDescent="0.3">
      <c r="A4650" s="2">
        <v>41167</v>
      </c>
      <c r="B4650" t="s">
        <v>13</v>
      </c>
      <c r="D4650" s="2">
        <v>41898</v>
      </c>
      <c r="E4650">
        <v>8</v>
      </c>
      <c r="G4650" s="2">
        <v>41898</v>
      </c>
      <c r="H4650">
        <v>8.7460000000000004</v>
      </c>
      <c r="J4650" s="2">
        <v>41905</v>
      </c>
      <c r="K4650" s="3">
        <f t="shared" si="144"/>
        <v>8</v>
      </c>
      <c r="L4650" s="3">
        <f t="shared" si="145"/>
        <v>8.5969999999999995</v>
      </c>
    </row>
    <row r="4651" spans="1:12" x14ac:dyDescent="0.3">
      <c r="A4651" s="2">
        <v>41168</v>
      </c>
      <c r="B4651" t="s">
        <v>13</v>
      </c>
      <c r="D4651" s="2">
        <v>41899</v>
      </c>
      <c r="E4651">
        <v>8</v>
      </c>
      <c r="G4651" s="2">
        <v>41899</v>
      </c>
      <c r="H4651">
        <v>8.6549999999999994</v>
      </c>
      <c r="J4651" s="2">
        <v>41906</v>
      </c>
      <c r="K4651" s="3">
        <f t="shared" si="144"/>
        <v>8</v>
      </c>
      <c r="L4651" s="3">
        <f t="shared" si="145"/>
        <v>8.6069999999999993</v>
      </c>
    </row>
    <row r="4652" spans="1:12" x14ac:dyDescent="0.3">
      <c r="A4652" s="2">
        <v>41169</v>
      </c>
      <c r="B4652" t="s">
        <v>13</v>
      </c>
      <c r="D4652" s="2">
        <v>41900</v>
      </c>
      <c r="E4652">
        <v>8</v>
      </c>
      <c r="G4652" s="2">
        <v>41900</v>
      </c>
      <c r="H4652">
        <v>8.5830000000000002</v>
      </c>
      <c r="J4652" s="2">
        <v>41907</v>
      </c>
      <c r="K4652" s="3">
        <f t="shared" si="144"/>
        <v>8</v>
      </c>
      <c r="L4652" s="3">
        <f t="shared" si="145"/>
        <v>8.6370000000000005</v>
      </c>
    </row>
    <row r="4653" spans="1:12" x14ac:dyDescent="0.3">
      <c r="A4653" s="2">
        <v>41170</v>
      </c>
      <c r="B4653" t="s">
        <v>13</v>
      </c>
      <c r="D4653" s="2">
        <v>41901</v>
      </c>
      <c r="E4653">
        <v>8</v>
      </c>
      <c r="G4653" s="2">
        <v>41901</v>
      </c>
      <c r="H4653">
        <v>8.6359999999999992</v>
      </c>
      <c r="J4653" s="2">
        <v>41908</v>
      </c>
      <c r="K4653" s="3">
        <f t="shared" si="144"/>
        <v>8</v>
      </c>
      <c r="L4653" s="3">
        <f t="shared" si="145"/>
        <v>8.6159999999999997</v>
      </c>
    </row>
    <row r="4654" spans="1:12" x14ac:dyDescent="0.3">
      <c r="A4654" s="2">
        <v>41171</v>
      </c>
      <c r="B4654" t="s">
        <v>13</v>
      </c>
      <c r="D4654" s="2">
        <v>41902</v>
      </c>
      <c r="E4654">
        <v>8</v>
      </c>
      <c r="G4654" s="2">
        <v>41902</v>
      </c>
      <c r="H4654">
        <v>8.6359999999999992</v>
      </c>
      <c r="J4654" s="2">
        <v>41909</v>
      </c>
      <c r="K4654" s="3">
        <f t="shared" si="144"/>
        <v>8</v>
      </c>
      <c r="L4654" s="3">
        <f t="shared" si="145"/>
        <v>8.6159999999999997</v>
      </c>
    </row>
    <row r="4655" spans="1:12" x14ac:dyDescent="0.3">
      <c r="A4655" s="2">
        <v>41172</v>
      </c>
      <c r="B4655" t="s">
        <v>13</v>
      </c>
      <c r="D4655" s="2">
        <v>41903</v>
      </c>
      <c r="E4655">
        <v>8</v>
      </c>
      <c r="G4655" s="2">
        <v>41903</v>
      </c>
      <c r="H4655">
        <v>8.6359999999999992</v>
      </c>
      <c r="J4655" s="2">
        <v>41910</v>
      </c>
      <c r="K4655" s="3">
        <f t="shared" si="144"/>
        <v>8</v>
      </c>
      <c r="L4655" s="3">
        <f t="shared" si="145"/>
        <v>8.6159999999999997</v>
      </c>
    </row>
    <row r="4656" spans="1:12" x14ac:dyDescent="0.3">
      <c r="A4656" s="2">
        <v>41173</v>
      </c>
      <c r="B4656" t="s">
        <v>13</v>
      </c>
      <c r="D4656" s="2">
        <v>41904</v>
      </c>
      <c r="E4656">
        <v>8</v>
      </c>
      <c r="G4656" s="2">
        <v>41904</v>
      </c>
      <c r="H4656">
        <v>8.5250000000000004</v>
      </c>
      <c r="J4656" s="2">
        <v>41911</v>
      </c>
      <c r="K4656" s="3">
        <f t="shared" si="144"/>
        <v>8</v>
      </c>
      <c r="L4656" s="3">
        <f t="shared" si="145"/>
        <v>8.6289999999999996</v>
      </c>
    </row>
    <row r="4657" spans="1:12" x14ac:dyDescent="0.3">
      <c r="A4657" s="2">
        <v>41174</v>
      </c>
      <c r="B4657" t="s">
        <v>13</v>
      </c>
      <c r="D4657" s="2">
        <v>41905</v>
      </c>
      <c r="E4657">
        <v>8</v>
      </c>
      <c r="G4657" s="2">
        <v>41905</v>
      </c>
      <c r="H4657">
        <v>8.5969999999999995</v>
      </c>
      <c r="J4657" s="2">
        <v>41912</v>
      </c>
      <c r="K4657" s="3">
        <f t="shared" si="144"/>
        <v>8</v>
      </c>
      <c r="L4657" s="3">
        <f t="shared" si="145"/>
        <v>8.6660000000000004</v>
      </c>
    </row>
    <row r="4658" spans="1:12" x14ac:dyDescent="0.3">
      <c r="A4658" s="2">
        <v>41175</v>
      </c>
      <c r="B4658" t="s">
        <v>13</v>
      </c>
      <c r="D4658" s="2">
        <v>41906</v>
      </c>
      <c r="E4658">
        <v>8</v>
      </c>
      <c r="G4658" s="2">
        <v>41906</v>
      </c>
      <c r="H4658">
        <v>8.6069999999999993</v>
      </c>
      <c r="J4658" s="2">
        <v>41913</v>
      </c>
      <c r="K4658" s="3">
        <f t="shared" si="144"/>
        <v>8</v>
      </c>
      <c r="L4658" s="3">
        <f t="shared" si="145"/>
        <v>8.625</v>
      </c>
    </row>
    <row r="4659" spans="1:12" x14ac:dyDescent="0.3">
      <c r="A4659" s="2">
        <v>41176</v>
      </c>
      <c r="B4659" t="s">
        <v>13</v>
      </c>
      <c r="D4659" s="2">
        <v>41907</v>
      </c>
      <c r="E4659">
        <v>8</v>
      </c>
      <c r="G4659" s="2">
        <v>41907</v>
      </c>
      <c r="H4659">
        <v>8.6370000000000005</v>
      </c>
      <c r="J4659" s="2">
        <v>41914</v>
      </c>
      <c r="K4659" s="3">
        <f t="shared" si="144"/>
        <v>8</v>
      </c>
      <c r="L4659" s="3">
        <f t="shared" si="145"/>
        <v>8.6240000000000006</v>
      </c>
    </row>
    <row r="4660" spans="1:12" x14ac:dyDescent="0.3">
      <c r="A4660" s="2">
        <v>41177</v>
      </c>
      <c r="B4660" t="s">
        <v>13</v>
      </c>
      <c r="D4660" s="2">
        <v>41908</v>
      </c>
      <c r="E4660">
        <v>8</v>
      </c>
      <c r="G4660" s="2">
        <v>41908</v>
      </c>
      <c r="H4660">
        <v>8.6159999999999997</v>
      </c>
      <c r="J4660" s="2">
        <v>41915</v>
      </c>
      <c r="K4660" s="3">
        <f t="shared" si="144"/>
        <v>8</v>
      </c>
      <c r="L4660" s="3">
        <f t="shared" si="145"/>
        <v>8.6240000000000006</v>
      </c>
    </row>
    <row r="4661" spans="1:12" x14ac:dyDescent="0.3">
      <c r="A4661" s="2">
        <v>41178</v>
      </c>
      <c r="B4661" t="s">
        <v>13</v>
      </c>
      <c r="D4661" s="2">
        <v>41909</v>
      </c>
      <c r="E4661">
        <v>8</v>
      </c>
      <c r="G4661" s="2">
        <v>41909</v>
      </c>
      <c r="H4661">
        <v>8.6159999999999997</v>
      </c>
      <c r="J4661" s="2">
        <v>41916</v>
      </c>
      <c r="K4661" s="3">
        <f t="shared" si="144"/>
        <v>8</v>
      </c>
      <c r="L4661" s="3">
        <f t="shared" si="145"/>
        <v>8.6240000000000006</v>
      </c>
    </row>
    <row r="4662" spans="1:12" x14ac:dyDescent="0.3">
      <c r="A4662" s="2">
        <v>41179</v>
      </c>
      <c r="B4662" t="s">
        <v>13</v>
      </c>
      <c r="D4662" s="2">
        <v>41910</v>
      </c>
      <c r="E4662">
        <v>8</v>
      </c>
      <c r="G4662" s="2">
        <v>41910</v>
      </c>
      <c r="H4662">
        <v>8.6159999999999997</v>
      </c>
      <c r="J4662" s="2">
        <v>41917</v>
      </c>
      <c r="K4662" s="3">
        <f t="shared" si="144"/>
        <v>8</v>
      </c>
      <c r="L4662" s="3">
        <f t="shared" si="145"/>
        <v>8.6240000000000006</v>
      </c>
    </row>
    <row r="4663" spans="1:12" x14ac:dyDescent="0.3">
      <c r="A4663" s="2">
        <v>41180</v>
      </c>
      <c r="B4663" t="s">
        <v>13</v>
      </c>
      <c r="D4663" s="2">
        <v>41911</v>
      </c>
      <c r="E4663">
        <v>8</v>
      </c>
      <c r="G4663" s="2">
        <v>41911</v>
      </c>
      <c r="H4663">
        <v>8.6289999999999996</v>
      </c>
      <c r="J4663" s="2">
        <v>41918</v>
      </c>
      <c r="K4663" s="3">
        <f t="shared" si="144"/>
        <v>8</v>
      </c>
      <c r="L4663" s="3">
        <f t="shared" si="145"/>
        <v>8.6240000000000006</v>
      </c>
    </row>
    <row r="4664" spans="1:12" x14ac:dyDescent="0.3">
      <c r="A4664" s="2">
        <v>41181</v>
      </c>
      <c r="B4664" t="s">
        <v>13</v>
      </c>
      <c r="D4664" s="2">
        <v>41912</v>
      </c>
      <c r="E4664">
        <v>8</v>
      </c>
      <c r="G4664" s="2">
        <v>41912</v>
      </c>
      <c r="H4664">
        <v>8.6660000000000004</v>
      </c>
      <c r="J4664" s="2">
        <v>41919</v>
      </c>
      <c r="K4664" s="3">
        <f t="shared" si="144"/>
        <v>8</v>
      </c>
      <c r="L4664" s="3">
        <f t="shared" si="145"/>
        <v>8.6159999999999997</v>
      </c>
    </row>
    <row r="4665" spans="1:12" x14ac:dyDescent="0.3">
      <c r="A4665" s="2">
        <v>41182</v>
      </c>
      <c r="B4665" t="s">
        <v>13</v>
      </c>
      <c r="D4665" s="2">
        <v>41913</v>
      </c>
      <c r="E4665">
        <v>8</v>
      </c>
      <c r="G4665" s="2">
        <v>41913</v>
      </c>
      <c r="H4665">
        <v>8.625</v>
      </c>
      <c r="J4665" s="2">
        <v>41920</v>
      </c>
      <c r="K4665" s="3">
        <f t="shared" si="144"/>
        <v>8</v>
      </c>
      <c r="L4665" s="3">
        <f t="shared" si="145"/>
        <v>8.5540000000000003</v>
      </c>
    </row>
    <row r="4666" spans="1:12" x14ac:dyDescent="0.3">
      <c r="A4666" s="2">
        <v>41183</v>
      </c>
      <c r="B4666" t="s">
        <v>13</v>
      </c>
      <c r="D4666" s="2">
        <v>41914</v>
      </c>
      <c r="E4666">
        <v>8</v>
      </c>
      <c r="G4666" s="2">
        <v>41914</v>
      </c>
      <c r="H4666">
        <v>8.6240000000000006</v>
      </c>
      <c r="J4666" s="2">
        <v>41921</v>
      </c>
      <c r="K4666" s="3">
        <f t="shared" si="144"/>
        <v>8</v>
      </c>
      <c r="L4666" s="3">
        <f t="shared" si="145"/>
        <v>8.59</v>
      </c>
    </row>
    <row r="4667" spans="1:12" x14ac:dyDescent="0.3">
      <c r="A4667" s="2">
        <v>41184</v>
      </c>
      <c r="B4667" t="s">
        <v>13</v>
      </c>
      <c r="D4667" s="2">
        <v>41915</v>
      </c>
      <c r="E4667">
        <v>8</v>
      </c>
      <c r="G4667" s="2">
        <v>41915</v>
      </c>
      <c r="H4667">
        <v>8.6240000000000006</v>
      </c>
      <c r="J4667" s="2">
        <v>41922</v>
      </c>
      <c r="K4667" s="3">
        <f t="shared" si="144"/>
        <v>8</v>
      </c>
      <c r="L4667" s="3">
        <f t="shared" si="145"/>
        <v>8.5980000000000008</v>
      </c>
    </row>
    <row r="4668" spans="1:12" x14ac:dyDescent="0.3">
      <c r="A4668" s="2">
        <v>41185</v>
      </c>
      <c r="B4668" t="s">
        <v>13</v>
      </c>
      <c r="D4668" s="2">
        <v>41916</v>
      </c>
      <c r="E4668">
        <v>8</v>
      </c>
      <c r="G4668" s="2">
        <v>41916</v>
      </c>
      <c r="H4668">
        <v>8.6240000000000006</v>
      </c>
      <c r="J4668" s="2">
        <v>41923</v>
      </c>
      <c r="K4668" s="3">
        <f t="shared" si="144"/>
        <v>8</v>
      </c>
      <c r="L4668" s="3">
        <f t="shared" si="145"/>
        <v>8.5980000000000008</v>
      </c>
    </row>
    <row r="4669" spans="1:12" x14ac:dyDescent="0.3">
      <c r="A4669" s="2">
        <v>41186</v>
      </c>
      <c r="B4669" t="s">
        <v>13</v>
      </c>
      <c r="D4669" s="2">
        <v>41917</v>
      </c>
      <c r="E4669">
        <v>8</v>
      </c>
      <c r="G4669" s="2">
        <v>41917</v>
      </c>
      <c r="H4669">
        <v>8.6240000000000006</v>
      </c>
      <c r="J4669" s="2">
        <v>41924</v>
      </c>
      <c r="K4669" s="3">
        <f t="shared" si="144"/>
        <v>8</v>
      </c>
      <c r="L4669" s="3">
        <f t="shared" si="145"/>
        <v>8.5980000000000008</v>
      </c>
    </row>
    <row r="4670" spans="1:12" x14ac:dyDescent="0.3">
      <c r="A4670" s="2">
        <v>41187</v>
      </c>
      <c r="B4670" t="s">
        <v>13</v>
      </c>
      <c r="D4670" s="2">
        <v>41918</v>
      </c>
      <c r="E4670">
        <v>8</v>
      </c>
      <c r="G4670" s="2">
        <v>41918</v>
      </c>
      <c r="H4670">
        <v>8.6240000000000006</v>
      </c>
      <c r="J4670" s="2">
        <v>41925</v>
      </c>
      <c r="K4670" s="3">
        <f t="shared" si="144"/>
        <v>8</v>
      </c>
      <c r="L4670" s="3">
        <f t="shared" si="145"/>
        <v>8.5920000000000005</v>
      </c>
    </row>
    <row r="4671" spans="1:12" x14ac:dyDescent="0.3">
      <c r="A4671" s="2">
        <v>41188</v>
      </c>
      <c r="B4671" t="s">
        <v>13</v>
      </c>
      <c r="D4671" s="2">
        <v>41919</v>
      </c>
      <c r="E4671">
        <v>8</v>
      </c>
      <c r="G4671" s="2">
        <v>41919</v>
      </c>
      <c r="H4671">
        <v>8.6159999999999997</v>
      </c>
      <c r="J4671" s="2">
        <v>41926</v>
      </c>
      <c r="K4671" s="3">
        <f t="shared" si="144"/>
        <v>8</v>
      </c>
      <c r="L4671" s="3">
        <f t="shared" si="145"/>
        <v>8.5790000000000006</v>
      </c>
    </row>
    <row r="4672" spans="1:12" x14ac:dyDescent="0.3">
      <c r="A4672" s="2">
        <v>41189</v>
      </c>
      <c r="B4672" t="s">
        <v>13</v>
      </c>
      <c r="D4672" s="2">
        <v>41920</v>
      </c>
      <c r="E4672">
        <v>8</v>
      </c>
      <c r="G4672" s="2">
        <v>41920</v>
      </c>
      <c r="H4672">
        <v>8.5540000000000003</v>
      </c>
      <c r="J4672" s="2">
        <v>41927</v>
      </c>
      <c r="K4672" s="3">
        <f t="shared" si="144"/>
        <v>8</v>
      </c>
      <c r="L4672" s="3">
        <f t="shared" si="145"/>
        <v>8.5790000000000006</v>
      </c>
    </row>
    <row r="4673" spans="1:12" x14ac:dyDescent="0.3">
      <c r="A4673" s="2">
        <v>41190</v>
      </c>
      <c r="B4673" t="s">
        <v>13</v>
      </c>
      <c r="D4673" s="2">
        <v>41921</v>
      </c>
      <c r="E4673">
        <v>8</v>
      </c>
      <c r="G4673" s="2">
        <v>41921</v>
      </c>
      <c r="H4673">
        <v>8.59</v>
      </c>
      <c r="J4673" s="2">
        <v>41928</v>
      </c>
      <c r="K4673" s="3">
        <f t="shared" si="144"/>
        <v>8</v>
      </c>
      <c r="L4673" s="3">
        <f t="shared" si="145"/>
        <v>8.5679999999999996</v>
      </c>
    </row>
    <row r="4674" spans="1:12" x14ac:dyDescent="0.3">
      <c r="A4674" s="2">
        <v>41191</v>
      </c>
      <c r="B4674" t="s">
        <v>13</v>
      </c>
      <c r="D4674" s="2">
        <v>41922</v>
      </c>
      <c r="E4674">
        <v>8</v>
      </c>
      <c r="G4674" s="2">
        <v>41922</v>
      </c>
      <c r="H4674">
        <v>8.5980000000000008</v>
      </c>
      <c r="J4674" s="2">
        <v>41929</v>
      </c>
      <c r="K4674" s="3">
        <f t="shared" si="144"/>
        <v>8</v>
      </c>
      <c r="L4674" s="3">
        <f t="shared" si="145"/>
        <v>8.5370000000000008</v>
      </c>
    </row>
    <row r="4675" spans="1:12" x14ac:dyDescent="0.3">
      <c r="A4675" s="2">
        <v>41192</v>
      </c>
      <c r="B4675" t="s">
        <v>13</v>
      </c>
      <c r="D4675" s="2">
        <v>41923</v>
      </c>
      <c r="E4675">
        <v>8</v>
      </c>
      <c r="G4675" s="2">
        <v>41923</v>
      </c>
      <c r="H4675">
        <v>8.5980000000000008</v>
      </c>
      <c r="J4675" s="2">
        <v>41930</v>
      </c>
      <c r="K4675" s="3">
        <f t="shared" ref="K4675:K4738" si="146">E4682</f>
        <v>8</v>
      </c>
      <c r="L4675" s="3">
        <f t="shared" ref="L4675:L4738" si="147">H4682</f>
        <v>8.5370000000000008</v>
      </c>
    </row>
    <row r="4676" spans="1:12" x14ac:dyDescent="0.3">
      <c r="A4676" s="2">
        <v>41193</v>
      </c>
      <c r="B4676" t="s">
        <v>13</v>
      </c>
      <c r="D4676" s="2">
        <v>41924</v>
      </c>
      <c r="E4676">
        <v>8</v>
      </c>
      <c r="G4676" s="2">
        <v>41924</v>
      </c>
      <c r="H4676">
        <v>8.5980000000000008</v>
      </c>
      <c r="J4676" s="2">
        <v>41931</v>
      </c>
      <c r="K4676" s="3">
        <f t="shared" si="146"/>
        <v>8</v>
      </c>
      <c r="L4676" s="3">
        <f t="shared" si="147"/>
        <v>8.5370000000000008</v>
      </c>
    </row>
    <row r="4677" spans="1:12" x14ac:dyDescent="0.3">
      <c r="A4677" s="2">
        <v>41194</v>
      </c>
      <c r="B4677" t="s">
        <v>13</v>
      </c>
      <c r="D4677" s="2">
        <v>41925</v>
      </c>
      <c r="E4677">
        <v>8</v>
      </c>
      <c r="G4677" s="2">
        <v>41925</v>
      </c>
      <c r="H4677">
        <v>8.5920000000000005</v>
      </c>
      <c r="J4677" s="2">
        <v>41932</v>
      </c>
      <c r="K4677" s="3">
        <f t="shared" si="146"/>
        <v>8</v>
      </c>
      <c r="L4677" s="3">
        <f t="shared" si="147"/>
        <v>8.5210000000000008</v>
      </c>
    </row>
    <row r="4678" spans="1:12" x14ac:dyDescent="0.3">
      <c r="A4678" s="2">
        <v>41195</v>
      </c>
      <c r="B4678" t="s">
        <v>13</v>
      </c>
      <c r="D4678" s="2">
        <v>41926</v>
      </c>
      <c r="E4678">
        <v>8</v>
      </c>
      <c r="G4678" s="2">
        <v>41926</v>
      </c>
      <c r="H4678">
        <v>8.5790000000000006</v>
      </c>
      <c r="J4678" s="2">
        <v>41933</v>
      </c>
      <c r="K4678" s="3">
        <f t="shared" si="146"/>
        <v>8</v>
      </c>
      <c r="L4678" s="3">
        <f t="shared" si="147"/>
        <v>8.5190000000000001</v>
      </c>
    </row>
    <row r="4679" spans="1:12" x14ac:dyDescent="0.3">
      <c r="A4679" s="2">
        <v>41196</v>
      </c>
      <c r="B4679" t="s">
        <v>13</v>
      </c>
      <c r="D4679" s="2">
        <v>41927</v>
      </c>
      <c r="E4679">
        <v>8</v>
      </c>
      <c r="G4679" s="2">
        <v>41927</v>
      </c>
      <c r="H4679">
        <v>8.5790000000000006</v>
      </c>
      <c r="J4679" s="2">
        <v>41934</v>
      </c>
      <c r="K4679" s="3">
        <f t="shared" si="146"/>
        <v>8</v>
      </c>
      <c r="L4679" s="3">
        <f t="shared" si="147"/>
        <v>8.4949999999999992</v>
      </c>
    </row>
    <row r="4680" spans="1:12" x14ac:dyDescent="0.3">
      <c r="A4680" s="2">
        <v>41197</v>
      </c>
      <c r="B4680" t="s">
        <v>13</v>
      </c>
      <c r="D4680" s="2">
        <v>41928</v>
      </c>
      <c r="E4680">
        <v>8</v>
      </c>
      <c r="G4680" s="2">
        <v>41928</v>
      </c>
      <c r="H4680">
        <v>8.5679999999999996</v>
      </c>
      <c r="J4680" s="2">
        <v>41935</v>
      </c>
      <c r="K4680" s="3">
        <f t="shared" si="146"/>
        <v>8</v>
      </c>
      <c r="L4680" s="3">
        <f t="shared" si="147"/>
        <v>8.4969999999999999</v>
      </c>
    </row>
    <row r="4681" spans="1:12" x14ac:dyDescent="0.3">
      <c r="A4681" s="2">
        <v>41198</v>
      </c>
      <c r="B4681" t="s">
        <v>13</v>
      </c>
      <c r="D4681" s="2">
        <v>41929</v>
      </c>
      <c r="E4681">
        <v>8</v>
      </c>
      <c r="G4681" s="2">
        <v>41929</v>
      </c>
      <c r="H4681">
        <v>8.5370000000000008</v>
      </c>
      <c r="J4681" s="2">
        <v>41936</v>
      </c>
      <c r="K4681" s="3">
        <f t="shared" si="146"/>
        <v>8</v>
      </c>
      <c r="L4681" s="3">
        <f t="shared" si="147"/>
        <v>8.4969999999999999</v>
      </c>
    </row>
    <row r="4682" spans="1:12" x14ac:dyDescent="0.3">
      <c r="A4682" s="2">
        <v>41199</v>
      </c>
      <c r="B4682" t="s">
        <v>13</v>
      </c>
      <c r="D4682" s="2">
        <v>41930</v>
      </c>
      <c r="E4682">
        <v>8</v>
      </c>
      <c r="G4682" s="2">
        <v>41930</v>
      </c>
      <c r="H4682">
        <v>8.5370000000000008</v>
      </c>
      <c r="J4682" s="2">
        <v>41937</v>
      </c>
      <c r="K4682" s="3">
        <f t="shared" si="146"/>
        <v>8</v>
      </c>
      <c r="L4682" s="3">
        <f t="shared" si="147"/>
        <v>8.4969999999999999</v>
      </c>
    </row>
    <row r="4683" spans="1:12" x14ac:dyDescent="0.3">
      <c r="A4683" s="2">
        <v>41200</v>
      </c>
      <c r="B4683" t="s">
        <v>13</v>
      </c>
      <c r="D4683" s="2">
        <v>41931</v>
      </c>
      <c r="E4683">
        <v>8</v>
      </c>
      <c r="G4683" s="2">
        <v>41931</v>
      </c>
      <c r="H4683">
        <v>8.5370000000000008</v>
      </c>
      <c r="J4683" s="2">
        <v>41938</v>
      </c>
      <c r="K4683" s="3">
        <f t="shared" si="146"/>
        <v>8</v>
      </c>
      <c r="L4683" s="3">
        <f t="shared" si="147"/>
        <v>8.4969999999999999</v>
      </c>
    </row>
    <row r="4684" spans="1:12" x14ac:dyDescent="0.3">
      <c r="A4684" s="2">
        <v>41201</v>
      </c>
      <c r="B4684" t="s">
        <v>13</v>
      </c>
      <c r="D4684" s="2">
        <v>41932</v>
      </c>
      <c r="E4684">
        <v>8</v>
      </c>
      <c r="G4684" s="2">
        <v>41932</v>
      </c>
      <c r="H4684">
        <v>8.5210000000000008</v>
      </c>
      <c r="J4684" s="2">
        <v>41939</v>
      </c>
      <c r="K4684" s="3">
        <f t="shared" si="146"/>
        <v>8</v>
      </c>
      <c r="L4684" s="3">
        <f t="shared" si="147"/>
        <v>8.484</v>
      </c>
    </row>
    <row r="4685" spans="1:12" x14ac:dyDescent="0.3">
      <c r="A4685" s="2">
        <v>41202</v>
      </c>
      <c r="B4685" t="s">
        <v>13</v>
      </c>
      <c r="D4685" s="2">
        <v>41933</v>
      </c>
      <c r="E4685">
        <v>8</v>
      </c>
      <c r="G4685" s="2">
        <v>41933</v>
      </c>
      <c r="H4685">
        <v>8.5190000000000001</v>
      </c>
      <c r="J4685" s="2">
        <v>41940</v>
      </c>
      <c r="K4685" s="3">
        <f t="shared" si="146"/>
        <v>8</v>
      </c>
      <c r="L4685" s="3">
        <f t="shared" si="147"/>
        <v>8.4139999999999997</v>
      </c>
    </row>
    <row r="4686" spans="1:12" x14ac:dyDescent="0.3">
      <c r="A4686" s="2">
        <v>41203</v>
      </c>
      <c r="B4686" t="s">
        <v>13</v>
      </c>
      <c r="D4686" s="2">
        <v>41934</v>
      </c>
      <c r="E4686">
        <v>8</v>
      </c>
      <c r="G4686" s="2">
        <v>41934</v>
      </c>
      <c r="H4686">
        <v>8.4949999999999992</v>
      </c>
      <c r="J4686" s="2">
        <v>41941</v>
      </c>
      <c r="K4686" s="3">
        <f t="shared" si="146"/>
        <v>8</v>
      </c>
      <c r="L4686" s="3">
        <f t="shared" si="147"/>
        <v>8.4039999999999999</v>
      </c>
    </row>
    <row r="4687" spans="1:12" x14ac:dyDescent="0.3">
      <c r="A4687" s="2">
        <v>41204</v>
      </c>
      <c r="B4687" t="s">
        <v>13</v>
      </c>
      <c r="D4687" s="2">
        <v>41935</v>
      </c>
      <c r="E4687">
        <v>8</v>
      </c>
      <c r="G4687" s="2">
        <v>41935</v>
      </c>
      <c r="H4687">
        <v>8.4969999999999999</v>
      </c>
      <c r="J4687" s="2">
        <v>41942</v>
      </c>
      <c r="K4687" s="3">
        <f t="shared" si="146"/>
        <v>8</v>
      </c>
      <c r="L4687" s="3">
        <f t="shared" si="147"/>
        <v>8.3699999999999992</v>
      </c>
    </row>
    <row r="4688" spans="1:12" x14ac:dyDescent="0.3">
      <c r="A4688" s="2">
        <v>41205</v>
      </c>
      <c r="B4688" t="s">
        <v>13</v>
      </c>
      <c r="D4688" s="2">
        <v>41936</v>
      </c>
      <c r="E4688">
        <v>8</v>
      </c>
      <c r="G4688" s="2">
        <v>41936</v>
      </c>
      <c r="H4688">
        <v>8.4969999999999999</v>
      </c>
      <c r="J4688" s="2">
        <v>41943</v>
      </c>
      <c r="K4688" s="3">
        <f t="shared" si="146"/>
        <v>8</v>
      </c>
      <c r="L4688" s="3">
        <f t="shared" si="147"/>
        <v>8.3460000000000001</v>
      </c>
    </row>
    <row r="4689" spans="1:12" x14ac:dyDescent="0.3">
      <c r="A4689" s="2">
        <v>41206</v>
      </c>
      <c r="B4689" t="s">
        <v>13</v>
      </c>
      <c r="D4689" s="2">
        <v>41937</v>
      </c>
      <c r="E4689">
        <v>8</v>
      </c>
      <c r="G4689" s="2">
        <v>41937</v>
      </c>
      <c r="H4689">
        <v>8.4969999999999999</v>
      </c>
      <c r="J4689" s="2">
        <v>41944</v>
      </c>
      <c r="K4689" s="3">
        <f t="shared" si="146"/>
        <v>8</v>
      </c>
      <c r="L4689" s="3">
        <f t="shared" si="147"/>
        <v>8.3460000000000001</v>
      </c>
    </row>
    <row r="4690" spans="1:12" x14ac:dyDescent="0.3">
      <c r="A4690" s="2">
        <v>41207</v>
      </c>
      <c r="B4690" t="s">
        <v>13</v>
      </c>
      <c r="D4690" s="2">
        <v>41938</v>
      </c>
      <c r="E4690">
        <v>8</v>
      </c>
      <c r="G4690" s="2">
        <v>41938</v>
      </c>
      <c r="H4690">
        <v>8.4969999999999999</v>
      </c>
      <c r="J4690" s="2">
        <v>41945</v>
      </c>
      <c r="K4690" s="3">
        <f t="shared" si="146"/>
        <v>8</v>
      </c>
      <c r="L4690" s="3">
        <f t="shared" si="147"/>
        <v>8.3460000000000001</v>
      </c>
    </row>
    <row r="4691" spans="1:12" x14ac:dyDescent="0.3">
      <c r="A4691" s="2">
        <v>41208</v>
      </c>
      <c r="B4691" t="s">
        <v>13</v>
      </c>
      <c r="D4691" s="2">
        <v>41939</v>
      </c>
      <c r="E4691">
        <v>8</v>
      </c>
      <c r="G4691" s="2">
        <v>41939</v>
      </c>
      <c r="H4691">
        <v>8.484</v>
      </c>
      <c r="J4691" s="2">
        <v>41946</v>
      </c>
      <c r="K4691" s="3">
        <f t="shared" si="146"/>
        <v>8</v>
      </c>
      <c r="L4691" s="3">
        <f t="shared" si="147"/>
        <v>8.3079999999999998</v>
      </c>
    </row>
    <row r="4692" spans="1:12" x14ac:dyDescent="0.3">
      <c r="A4692" s="2">
        <v>41209</v>
      </c>
      <c r="B4692" t="s">
        <v>13</v>
      </c>
      <c r="D4692" s="2">
        <v>41940</v>
      </c>
      <c r="E4692">
        <v>8</v>
      </c>
      <c r="G4692" s="2">
        <v>41940</v>
      </c>
      <c r="H4692">
        <v>8.4139999999999997</v>
      </c>
      <c r="J4692" s="2">
        <v>41947</v>
      </c>
      <c r="K4692" s="3">
        <f t="shared" si="146"/>
        <v>8</v>
      </c>
      <c r="L4692" s="3">
        <f t="shared" si="147"/>
        <v>8.3079999999999998</v>
      </c>
    </row>
    <row r="4693" spans="1:12" x14ac:dyDescent="0.3">
      <c r="A4693" s="2">
        <v>41210</v>
      </c>
      <c r="B4693" t="s">
        <v>13</v>
      </c>
      <c r="D4693" s="2">
        <v>41941</v>
      </c>
      <c r="E4693">
        <v>8</v>
      </c>
      <c r="G4693" s="2">
        <v>41941</v>
      </c>
      <c r="H4693">
        <v>8.4039999999999999</v>
      </c>
      <c r="J4693" s="2">
        <v>41948</v>
      </c>
      <c r="K4693" s="3">
        <f t="shared" si="146"/>
        <v>8</v>
      </c>
      <c r="L4693" s="3">
        <f t="shared" si="147"/>
        <v>8.2710000000000008</v>
      </c>
    </row>
    <row r="4694" spans="1:12" x14ac:dyDescent="0.3">
      <c r="A4694" s="2">
        <v>41211</v>
      </c>
      <c r="B4694" t="s">
        <v>13</v>
      </c>
      <c r="D4694" s="2">
        <v>41942</v>
      </c>
      <c r="E4694">
        <v>8</v>
      </c>
      <c r="G4694" s="2">
        <v>41942</v>
      </c>
      <c r="H4694">
        <v>8.3699999999999992</v>
      </c>
      <c r="J4694" s="2">
        <v>41949</v>
      </c>
      <c r="K4694" s="3">
        <f t="shared" si="146"/>
        <v>8</v>
      </c>
      <c r="L4694" s="3">
        <f t="shared" si="147"/>
        <v>8.2720000000000002</v>
      </c>
    </row>
    <row r="4695" spans="1:12" x14ac:dyDescent="0.3">
      <c r="A4695" s="2">
        <v>41212</v>
      </c>
      <c r="B4695" t="s">
        <v>13</v>
      </c>
      <c r="D4695" s="2">
        <v>41943</v>
      </c>
      <c r="E4695">
        <v>8</v>
      </c>
      <c r="G4695" s="2">
        <v>41943</v>
      </c>
      <c r="H4695">
        <v>8.3460000000000001</v>
      </c>
      <c r="J4695" s="2">
        <v>41950</v>
      </c>
      <c r="K4695" s="3">
        <f t="shared" si="146"/>
        <v>8</v>
      </c>
      <c r="L4695" s="3">
        <f t="shared" si="147"/>
        <v>8.2840000000000007</v>
      </c>
    </row>
    <row r="4696" spans="1:12" x14ac:dyDescent="0.3">
      <c r="A4696" s="2">
        <v>41213</v>
      </c>
      <c r="B4696" t="s">
        <v>13</v>
      </c>
      <c r="D4696" s="2">
        <v>41944</v>
      </c>
      <c r="E4696">
        <v>8</v>
      </c>
      <c r="G4696" s="2">
        <v>41944</v>
      </c>
      <c r="H4696">
        <v>8.3460000000000001</v>
      </c>
      <c r="J4696" s="2">
        <v>41951</v>
      </c>
      <c r="K4696" s="3">
        <f t="shared" si="146"/>
        <v>8</v>
      </c>
      <c r="L4696" s="3">
        <f t="shared" si="147"/>
        <v>8.2840000000000007</v>
      </c>
    </row>
    <row r="4697" spans="1:12" x14ac:dyDescent="0.3">
      <c r="A4697" s="2">
        <v>41214</v>
      </c>
      <c r="B4697" t="s">
        <v>13</v>
      </c>
      <c r="D4697" s="2">
        <v>41945</v>
      </c>
      <c r="E4697">
        <v>8</v>
      </c>
      <c r="G4697" s="2">
        <v>41945</v>
      </c>
      <c r="H4697">
        <v>8.3460000000000001</v>
      </c>
      <c r="J4697" s="2">
        <v>41952</v>
      </c>
      <c r="K4697" s="3">
        <f t="shared" si="146"/>
        <v>8</v>
      </c>
      <c r="L4697" s="3">
        <f t="shared" si="147"/>
        <v>8.2840000000000007</v>
      </c>
    </row>
    <row r="4698" spans="1:12" x14ac:dyDescent="0.3">
      <c r="A4698" s="2">
        <v>41215</v>
      </c>
      <c r="B4698" t="s">
        <v>13</v>
      </c>
      <c r="D4698" s="2">
        <v>41946</v>
      </c>
      <c r="E4698">
        <v>8</v>
      </c>
      <c r="G4698" s="2">
        <v>41946</v>
      </c>
      <c r="H4698">
        <v>8.3079999999999998</v>
      </c>
      <c r="J4698" s="2">
        <v>41953</v>
      </c>
      <c r="K4698" s="3">
        <f t="shared" si="146"/>
        <v>8</v>
      </c>
      <c r="L4698" s="3">
        <f t="shared" si="147"/>
        <v>8.2859999999999996</v>
      </c>
    </row>
    <row r="4699" spans="1:12" x14ac:dyDescent="0.3">
      <c r="A4699" s="2">
        <v>41216</v>
      </c>
      <c r="B4699" t="s">
        <v>13</v>
      </c>
      <c r="D4699" s="2">
        <v>41947</v>
      </c>
      <c r="E4699">
        <v>8</v>
      </c>
      <c r="G4699" s="2">
        <v>41947</v>
      </c>
      <c r="H4699">
        <v>8.3079999999999998</v>
      </c>
      <c r="J4699" s="2">
        <v>41954</v>
      </c>
      <c r="K4699" s="3">
        <f t="shared" si="146"/>
        <v>8</v>
      </c>
      <c r="L4699" s="3">
        <f t="shared" si="147"/>
        <v>8.3149999999999995</v>
      </c>
    </row>
    <row r="4700" spans="1:12" x14ac:dyDescent="0.3">
      <c r="A4700" s="2">
        <v>41217</v>
      </c>
      <c r="B4700" t="s">
        <v>13</v>
      </c>
      <c r="D4700" s="2">
        <v>41948</v>
      </c>
      <c r="E4700">
        <v>8</v>
      </c>
      <c r="G4700" s="2">
        <v>41948</v>
      </c>
      <c r="H4700">
        <v>8.2710000000000008</v>
      </c>
      <c r="J4700" s="2">
        <v>41955</v>
      </c>
      <c r="K4700" s="3">
        <f t="shared" si="146"/>
        <v>8</v>
      </c>
      <c r="L4700" s="3">
        <f t="shared" si="147"/>
        <v>8.3170000000000002</v>
      </c>
    </row>
    <row r="4701" spans="1:12" x14ac:dyDescent="0.3">
      <c r="A4701" s="2">
        <v>41218</v>
      </c>
      <c r="B4701" t="s">
        <v>13</v>
      </c>
      <c r="D4701" s="2">
        <v>41949</v>
      </c>
      <c r="E4701">
        <v>8</v>
      </c>
      <c r="G4701" s="2">
        <v>41949</v>
      </c>
      <c r="H4701">
        <v>8.2720000000000002</v>
      </c>
      <c r="J4701" s="2">
        <v>41956</v>
      </c>
      <c r="K4701" s="3">
        <f t="shared" si="146"/>
        <v>8</v>
      </c>
      <c r="L4701" s="3">
        <f t="shared" si="147"/>
        <v>8.3670000000000009</v>
      </c>
    </row>
    <row r="4702" spans="1:12" x14ac:dyDescent="0.3">
      <c r="A4702" s="2">
        <v>41219</v>
      </c>
      <c r="B4702" t="s">
        <v>13</v>
      </c>
      <c r="D4702" s="2">
        <v>41950</v>
      </c>
      <c r="E4702">
        <v>8</v>
      </c>
      <c r="G4702" s="2">
        <v>41950</v>
      </c>
      <c r="H4702">
        <v>8.2840000000000007</v>
      </c>
      <c r="J4702" s="2">
        <v>41957</v>
      </c>
      <c r="K4702" s="3">
        <f t="shared" si="146"/>
        <v>8</v>
      </c>
      <c r="L4702" s="3">
        <f t="shared" si="147"/>
        <v>8.343</v>
      </c>
    </row>
    <row r="4703" spans="1:12" x14ac:dyDescent="0.3">
      <c r="A4703" s="2">
        <v>41220</v>
      </c>
      <c r="B4703" t="s">
        <v>13</v>
      </c>
      <c r="D4703" s="2">
        <v>41951</v>
      </c>
      <c r="E4703">
        <v>8</v>
      </c>
      <c r="G4703" s="2">
        <v>41951</v>
      </c>
      <c r="H4703">
        <v>8.2840000000000007</v>
      </c>
      <c r="J4703" s="2">
        <v>41958</v>
      </c>
      <c r="K4703" s="3">
        <f t="shared" si="146"/>
        <v>8</v>
      </c>
      <c r="L4703" s="3">
        <f t="shared" si="147"/>
        <v>8.343</v>
      </c>
    </row>
    <row r="4704" spans="1:12" x14ac:dyDescent="0.3">
      <c r="A4704" s="2">
        <v>41221</v>
      </c>
      <c r="B4704" t="s">
        <v>13</v>
      </c>
      <c r="D4704" s="2">
        <v>41952</v>
      </c>
      <c r="E4704">
        <v>8</v>
      </c>
      <c r="G4704" s="2">
        <v>41952</v>
      </c>
      <c r="H4704">
        <v>8.2840000000000007</v>
      </c>
      <c r="J4704" s="2">
        <v>41959</v>
      </c>
      <c r="K4704" s="3">
        <f t="shared" si="146"/>
        <v>8</v>
      </c>
      <c r="L4704" s="3">
        <f t="shared" si="147"/>
        <v>8.343</v>
      </c>
    </row>
    <row r="4705" spans="1:12" x14ac:dyDescent="0.3">
      <c r="A4705" s="2">
        <v>41222</v>
      </c>
      <c r="B4705" t="s">
        <v>13</v>
      </c>
      <c r="D4705" s="2">
        <v>41953</v>
      </c>
      <c r="E4705">
        <v>8</v>
      </c>
      <c r="G4705" s="2">
        <v>41953</v>
      </c>
      <c r="H4705">
        <v>8.2859999999999996</v>
      </c>
      <c r="J4705" s="2">
        <v>41960</v>
      </c>
      <c r="K4705" s="3">
        <f t="shared" si="146"/>
        <v>8</v>
      </c>
      <c r="L4705" s="3">
        <f t="shared" si="147"/>
        <v>8.35</v>
      </c>
    </row>
    <row r="4706" spans="1:12" x14ac:dyDescent="0.3">
      <c r="A4706" s="2">
        <v>41223</v>
      </c>
      <c r="B4706" t="s">
        <v>13</v>
      </c>
      <c r="D4706" s="2">
        <v>41954</v>
      </c>
      <c r="E4706">
        <v>8</v>
      </c>
      <c r="G4706" s="2">
        <v>41954</v>
      </c>
      <c r="H4706">
        <v>8.3149999999999995</v>
      </c>
      <c r="J4706" s="2">
        <v>41961</v>
      </c>
      <c r="K4706" s="3">
        <f t="shared" si="146"/>
        <v>8</v>
      </c>
      <c r="L4706" s="3">
        <f t="shared" si="147"/>
        <v>8.3490000000000002</v>
      </c>
    </row>
    <row r="4707" spans="1:12" x14ac:dyDescent="0.3">
      <c r="A4707" s="2">
        <v>41224</v>
      </c>
      <c r="B4707" t="s">
        <v>13</v>
      </c>
      <c r="D4707" s="2">
        <v>41955</v>
      </c>
      <c r="E4707">
        <v>8</v>
      </c>
      <c r="G4707" s="2">
        <v>41955</v>
      </c>
      <c r="H4707">
        <v>8.3170000000000002</v>
      </c>
      <c r="J4707" s="2">
        <v>41962</v>
      </c>
      <c r="K4707" s="3">
        <f t="shared" si="146"/>
        <v>8</v>
      </c>
      <c r="L4707" s="3">
        <f t="shared" si="147"/>
        <v>8.3729999999999993</v>
      </c>
    </row>
    <row r="4708" spans="1:12" x14ac:dyDescent="0.3">
      <c r="A4708" s="2">
        <v>41225</v>
      </c>
      <c r="B4708" t="s">
        <v>13</v>
      </c>
      <c r="D4708" s="2">
        <v>41956</v>
      </c>
      <c r="E4708">
        <v>8</v>
      </c>
      <c r="G4708" s="2">
        <v>41956</v>
      </c>
      <c r="H4708">
        <v>8.3670000000000009</v>
      </c>
      <c r="J4708" s="2">
        <v>41963</v>
      </c>
      <c r="K4708" s="3">
        <f t="shared" si="146"/>
        <v>8</v>
      </c>
      <c r="L4708" s="3">
        <f t="shared" si="147"/>
        <v>8.3330000000000002</v>
      </c>
    </row>
    <row r="4709" spans="1:12" x14ac:dyDescent="0.3">
      <c r="A4709" s="2">
        <v>41226</v>
      </c>
      <c r="B4709" t="s">
        <v>13</v>
      </c>
      <c r="D4709" s="2">
        <v>41957</v>
      </c>
      <c r="E4709">
        <v>8</v>
      </c>
      <c r="G4709" s="2">
        <v>41957</v>
      </c>
      <c r="H4709">
        <v>8.343</v>
      </c>
      <c r="J4709" s="2">
        <v>41964</v>
      </c>
      <c r="K4709" s="3">
        <f t="shared" si="146"/>
        <v>8</v>
      </c>
      <c r="L4709" s="3">
        <f t="shared" si="147"/>
        <v>8.3190000000000008</v>
      </c>
    </row>
    <row r="4710" spans="1:12" x14ac:dyDescent="0.3">
      <c r="A4710" s="2">
        <v>41227</v>
      </c>
      <c r="B4710" t="s">
        <v>13</v>
      </c>
      <c r="D4710" s="2">
        <v>41958</v>
      </c>
      <c r="E4710">
        <v>8</v>
      </c>
      <c r="G4710" s="2">
        <v>41958</v>
      </c>
      <c r="H4710">
        <v>8.343</v>
      </c>
      <c r="J4710" s="2">
        <v>41965</v>
      </c>
      <c r="K4710" s="3">
        <f t="shared" si="146"/>
        <v>8</v>
      </c>
      <c r="L4710" s="3">
        <f t="shared" si="147"/>
        <v>8.3190000000000008</v>
      </c>
    </row>
    <row r="4711" spans="1:12" x14ac:dyDescent="0.3">
      <c r="A4711" s="2">
        <v>41228</v>
      </c>
      <c r="B4711" t="s">
        <v>13</v>
      </c>
      <c r="D4711" s="2">
        <v>41959</v>
      </c>
      <c r="E4711">
        <v>8</v>
      </c>
      <c r="G4711" s="2">
        <v>41959</v>
      </c>
      <c r="H4711">
        <v>8.343</v>
      </c>
      <c r="J4711" s="2">
        <v>41966</v>
      </c>
      <c r="K4711" s="3">
        <f t="shared" si="146"/>
        <v>8</v>
      </c>
      <c r="L4711" s="3">
        <f t="shared" si="147"/>
        <v>8.3190000000000008</v>
      </c>
    </row>
    <row r="4712" spans="1:12" x14ac:dyDescent="0.3">
      <c r="A4712" s="2">
        <v>41229</v>
      </c>
      <c r="B4712" t="s">
        <v>13</v>
      </c>
      <c r="D4712" s="2">
        <v>41960</v>
      </c>
      <c r="E4712">
        <v>8</v>
      </c>
      <c r="G4712" s="2">
        <v>41960</v>
      </c>
      <c r="H4712">
        <v>8.35</v>
      </c>
      <c r="J4712" s="2">
        <v>41967</v>
      </c>
      <c r="K4712" s="3">
        <f t="shared" si="146"/>
        <v>8</v>
      </c>
      <c r="L4712" s="3">
        <f t="shared" si="147"/>
        <v>8.3109999999999999</v>
      </c>
    </row>
    <row r="4713" spans="1:12" x14ac:dyDescent="0.3">
      <c r="A4713" s="2">
        <v>41230</v>
      </c>
      <c r="B4713" t="s">
        <v>13</v>
      </c>
      <c r="D4713" s="2">
        <v>41961</v>
      </c>
      <c r="E4713">
        <v>8</v>
      </c>
      <c r="G4713" s="2">
        <v>41961</v>
      </c>
      <c r="H4713">
        <v>8.3490000000000002</v>
      </c>
      <c r="J4713" s="2">
        <v>41968</v>
      </c>
      <c r="K4713" s="3">
        <f t="shared" si="146"/>
        <v>8</v>
      </c>
      <c r="L4713" s="3">
        <f t="shared" si="147"/>
        <v>8.3190000000000008</v>
      </c>
    </row>
    <row r="4714" spans="1:12" x14ac:dyDescent="0.3">
      <c r="A4714" s="2">
        <v>41231</v>
      </c>
      <c r="B4714" t="s">
        <v>13</v>
      </c>
      <c r="D4714" s="2">
        <v>41962</v>
      </c>
      <c r="E4714">
        <v>8</v>
      </c>
      <c r="G4714" s="2">
        <v>41962</v>
      </c>
      <c r="H4714">
        <v>8.3729999999999993</v>
      </c>
      <c r="J4714" s="2">
        <v>41969</v>
      </c>
      <c r="K4714" s="3">
        <f t="shared" si="146"/>
        <v>8</v>
      </c>
      <c r="L4714" s="3">
        <f t="shared" si="147"/>
        <v>8.3230000000000004</v>
      </c>
    </row>
    <row r="4715" spans="1:12" x14ac:dyDescent="0.3">
      <c r="A4715" s="2">
        <v>41232</v>
      </c>
      <c r="B4715" t="s">
        <v>13</v>
      </c>
      <c r="D4715" s="2">
        <v>41963</v>
      </c>
      <c r="E4715">
        <v>8</v>
      </c>
      <c r="G4715" s="2">
        <v>41963</v>
      </c>
      <c r="H4715">
        <v>8.3330000000000002</v>
      </c>
      <c r="J4715" s="2">
        <v>41970</v>
      </c>
      <c r="K4715" s="3">
        <f t="shared" si="146"/>
        <v>8</v>
      </c>
      <c r="L4715" s="3">
        <f t="shared" si="147"/>
        <v>8.3149999999999995</v>
      </c>
    </row>
    <row r="4716" spans="1:12" x14ac:dyDescent="0.3">
      <c r="A4716" s="2">
        <v>41233</v>
      </c>
      <c r="B4716" t="s">
        <v>13</v>
      </c>
      <c r="D4716" s="2">
        <v>41964</v>
      </c>
      <c r="E4716">
        <v>8</v>
      </c>
      <c r="G4716" s="2">
        <v>41964</v>
      </c>
      <c r="H4716">
        <v>8.3190000000000008</v>
      </c>
      <c r="J4716" s="2">
        <v>41971</v>
      </c>
      <c r="K4716" s="3">
        <f t="shared" si="146"/>
        <v>8</v>
      </c>
      <c r="L4716" s="3">
        <f t="shared" si="147"/>
        <v>8.2590000000000003</v>
      </c>
    </row>
    <row r="4717" spans="1:12" x14ac:dyDescent="0.3">
      <c r="A4717" s="2">
        <v>41234</v>
      </c>
      <c r="B4717" t="s">
        <v>13</v>
      </c>
      <c r="D4717" s="2">
        <v>41965</v>
      </c>
      <c r="E4717">
        <v>8</v>
      </c>
      <c r="G4717" s="2">
        <v>41965</v>
      </c>
      <c r="H4717">
        <v>8.3190000000000008</v>
      </c>
      <c r="J4717" s="2">
        <v>41972</v>
      </c>
      <c r="K4717" s="3">
        <f t="shared" si="146"/>
        <v>8</v>
      </c>
      <c r="L4717" s="3">
        <f t="shared" si="147"/>
        <v>8.2590000000000003</v>
      </c>
    </row>
    <row r="4718" spans="1:12" x14ac:dyDescent="0.3">
      <c r="A4718" s="2">
        <v>41235</v>
      </c>
      <c r="B4718" t="s">
        <v>13</v>
      </c>
      <c r="D4718" s="2">
        <v>41966</v>
      </c>
      <c r="E4718">
        <v>8</v>
      </c>
      <c r="G4718" s="2">
        <v>41966</v>
      </c>
      <c r="H4718">
        <v>8.3190000000000008</v>
      </c>
      <c r="J4718" s="2">
        <v>41973</v>
      </c>
      <c r="K4718" s="3">
        <f t="shared" si="146"/>
        <v>8</v>
      </c>
      <c r="L4718" s="3">
        <f t="shared" si="147"/>
        <v>8.2590000000000003</v>
      </c>
    </row>
    <row r="4719" spans="1:12" x14ac:dyDescent="0.3">
      <c r="A4719" s="2">
        <v>41236</v>
      </c>
      <c r="B4719" t="s">
        <v>13</v>
      </c>
      <c r="D4719" s="2">
        <v>41967</v>
      </c>
      <c r="E4719">
        <v>8</v>
      </c>
      <c r="G4719" s="2">
        <v>41967</v>
      </c>
      <c r="H4719">
        <v>8.3109999999999999</v>
      </c>
      <c r="J4719" s="2">
        <v>41974</v>
      </c>
      <c r="K4719" s="3">
        <f t="shared" si="146"/>
        <v>8</v>
      </c>
      <c r="L4719" s="3">
        <f t="shared" si="147"/>
        <v>8.2370000000000001</v>
      </c>
    </row>
    <row r="4720" spans="1:12" x14ac:dyDescent="0.3">
      <c r="A4720" s="2">
        <v>41237</v>
      </c>
      <c r="B4720" t="s">
        <v>13</v>
      </c>
      <c r="D4720" s="2">
        <v>41968</v>
      </c>
      <c r="E4720">
        <v>8</v>
      </c>
      <c r="G4720" s="2">
        <v>41968</v>
      </c>
      <c r="H4720">
        <v>8.3190000000000008</v>
      </c>
      <c r="J4720" s="2">
        <v>41975</v>
      </c>
      <c r="K4720" s="3">
        <f t="shared" si="146"/>
        <v>8</v>
      </c>
      <c r="L4720" s="3">
        <f t="shared" si="147"/>
        <v>8.2059999999999995</v>
      </c>
    </row>
    <row r="4721" spans="1:12" x14ac:dyDescent="0.3">
      <c r="A4721" s="2">
        <v>41238</v>
      </c>
      <c r="B4721" t="s">
        <v>13</v>
      </c>
      <c r="D4721" s="2">
        <v>41969</v>
      </c>
      <c r="E4721">
        <v>8</v>
      </c>
      <c r="G4721" s="2">
        <v>41969</v>
      </c>
      <c r="H4721">
        <v>8.3230000000000004</v>
      </c>
      <c r="J4721" s="2">
        <v>41976</v>
      </c>
      <c r="K4721" s="3">
        <f t="shared" si="146"/>
        <v>8</v>
      </c>
      <c r="L4721" s="3">
        <f t="shared" si="147"/>
        <v>8.2379999999999995</v>
      </c>
    </row>
    <row r="4722" spans="1:12" x14ac:dyDescent="0.3">
      <c r="A4722" s="2">
        <v>41239</v>
      </c>
      <c r="B4722" t="s">
        <v>13</v>
      </c>
      <c r="D4722" s="2">
        <v>41970</v>
      </c>
      <c r="E4722">
        <v>8</v>
      </c>
      <c r="G4722" s="2">
        <v>41970</v>
      </c>
      <c r="H4722">
        <v>8.3149999999999995</v>
      </c>
      <c r="J4722" s="2">
        <v>41977</v>
      </c>
      <c r="K4722" s="3">
        <f t="shared" si="146"/>
        <v>8</v>
      </c>
      <c r="L4722" s="3">
        <f t="shared" si="147"/>
        <v>8.2189999999999994</v>
      </c>
    </row>
    <row r="4723" spans="1:12" x14ac:dyDescent="0.3">
      <c r="A4723" s="2">
        <v>41240</v>
      </c>
      <c r="B4723" t="s">
        <v>13</v>
      </c>
      <c r="D4723" s="2">
        <v>41971</v>
      </c>
      <c r="E4723">
        <v>8</v>
      </c>
      <c r="G4723" s="2">
        <v>41971</v>
      </c>
      <c r="H4723">
        <v>8.2590000000000003</v>
      </c>
      <c r="J4723" s="2">
        <v>41978</v>
      </c>
      <c r="K4723" s="3">
        <f t="shared" si="146"/>
        <v>8</v>
      </c>
      <c r="L4723" s="3">
        <f t="shared" si="147"/>
        <v>8.2110000000000003</v>
      </c>
    </row>
    <row r="4724" spans="1:12" x14ac:dyDescent="0.3">
      <c r="A4724" s="2">
        <v>41241</v>
      </c>
      <c r="B4724" t="s">
        <v>13</v>
      </c>
      <c r="D4724" s="2">
        <v>41972</v>
      </c>
      <c r="E4724">
        <v>8</v>
      </c>
      <c r="G4724" s="2">
        <v>41972</v>
      </c>
      <c r="H4724">
        <v>8.2590000000000003</v>
      </c>
      <c r="J4724" s="2">
        <v>41979</v>
      </c>
      <c r="K4724" s="3">
        <f t="shared" si="146"/>
        <v>8</v>
      </c>
      <c r="L4724" s="3">
        <f t="shared" si="147"/>
        <v>8.2110000000000003</v>
      </c>
    </row>
    <row r="4725" spans="1:12" x14ac:dyDescent="0.3">
      <c r="A4725" s="2">
        <v>41242</v>
      </c>
      <c r="B4725" t="s">
        <v>13</v>
      </c>
      <c r="D4725" s="2">
        <v>41973</v>
      </c>
      <c r="E4725">
        <v>8</v>
      </c>
      <c r="G4725" s="2">
        <v>41973</v>
      </c>
      <c r="H4725">
        <v>8.2590000000000003</v>
      </c>
      <c r="J4725" s="2">
        <v>41980</v>
      </c>
      <c r="K4725" s="3">
        <f t="shared" si="146"/>
        <v>8</v>
      </c>
      <c r="L4725" s="3">
        <f t="shared" si="147"/>
        <v>8.2110000000000003</v>
      </c>
    </row>
    <row r="4726" spans="1:12" x14ac:dyDescent="0.3">
      <c r="A4726" s="2">
        <v>41243</v>
      </c>
      <c r="B4726" t="s">
        <v>13</v>
      </c>
      <c r="D4726" s="2">
        <v>41974</v>
      </c>
      <c r="E4726">
        <v>8</v>
      </c>
      <c r="G4726" s="2">
        <v>41974</v>
      </c>
      <c r="H4726">
        <v>8.2370000000000001</v>
      </c>
      <c r="J4726" s="2">
        <v>41981</v>
      </c>
      <c r="K4726" s="3">
        <f t="shared" si="146"/>
        <v>8</v>
      </c>
      <c r="L4726" s="3">
        <f t="shared" si="147"/>
        <v>8.1920000000000002</v>
      </c>
    </row>
    <row r="4727" spans="1:12" x14ac:dyDescent="0.3">
      <c r="A4727" s="2">
        <v>41244</v>
      </c>
      <c r="B4727" t="s">
        <v>13</v>
      </c>
      <c r="D4727" s="2">
        <v>41975</v>
      </c>
      <c r="E4727">
        <v>8</v>
      </c>
      <c r="G4727" s="2">
        <v>41975</v>
      </c>
      <c r="H4727">
        <v>8.2059999999999995</v>
      </c>
      <c r="J4727" s="2">
        <v>41982</v>
      </c>
      <c r="K4727" s="3">
        <f t="shared" si="146"/>
        <v>8</v>
      </c>
      <c r="L4727" s="3">
        <f t="shared" si="147"/>
        <v>8.1869999999999994</v>
      </c>
    </row>
    <row r="4728" spans="1:12" x14ac:dyDescent="0.3">
      <c r="A4728" s="2">
        <v>41245</v>
      </c>
      <c r="B4728" t="s">
        <v>13</v>
      </c>
      <c r="D4728" s="2">
        <v>41976</v>
      </c>
      <c r="E4728">
        <v>8</v>
      </c>
      <c r="G4728" s="2">
        <v>41976</v>
      </c>
      <c r="H4728">
        <v>8.2379999999999995</v>
      </c>
      <c r="J4728" s="2">
        <v>41983</v>
      </c>
      <c r="K4728" s="3">
        <f t="shared" si="146"/>
        <v>8</v>
      </c>
      <c r="L4728" s="3">
        <f t="shared" si="147"/>
        <v>8.1989999999999998</v>
      </c>
    </row>
    <row r="4729" spans="1:12" x14ac:dyDescent="0.3">
      <c r="A4729" s="2">
        <v>41246</v>
      </c>
      <c r="B4729" t="s">
        <v>13</v>
      </c>
      <c r="D4729" s="2">
        <v>41977</v>
      </c>
      <c r="E4729">
        <v>8</v>
      </c>
      <c r="G4729" s="2">
        <v>41977</v>
      </c>
      <c r="H4729">
        <v>8.2189999999999994</v>
      </c>
      <c r="J4729" s="2">
        <v>41984</v>
      </c>
      <c r="K4729" s="3">
        <f t="shared" si="146"/>
        <v>8</v>
      </c>
      <c r="L4729" s="3">
        <f t="shared" si="147"/>
        <v>8.1590000000000007</v>
      </c>
    </row>
    <row r="4730" spans="1:12" x14ac:dyDescent="0.3">
      <c r="A4730" s="2">
        <v>41247</v>
      </c>
      <c r="B4730" t="s">
        <v>13</v>
      </c>
      <c r="D4730" s="2">
        <v>41978</v>
      </c>
      <c r="E4730">
        <v>8</v>
      </c>
      <c r="G4730" s="2">
        <v>41978</v>
      </c>
      <c r="H4730">
        <v>8.2110000000000003</v>
      </c>
      <c r="J4730" s="2">
        <v>41985</v>
      </c>
      <c r="K4730" s="3">
        <f t="shared" si="146"/>
        <v>8</v>
      </c>
      <c r="L4730" s="3">
        <f t="shared" si="147"/>
        <v>8.1839999999999993</v>
      </c>
    </row>
    <row r="4731" spans="1:12" x14ac:dyDescent="0.3">
      <c r="A4731" s="2">
        <v>41248</v>
      </c>
      <c r="B4731" t="s">
        <v>13</v>
      </c>
      <c r="D4731" s="2">
        <v>41979</v>
      </c>
      <c r="E4731">
        <v>8</v>
      </c>
      <c r="G4731" s="2">
        <v>41979</v>
      </c>
      <c r="H4731">
        <v>8.2110000000000003</v>
      </c>
      <c r="J4731" s="2">
        <v>41986</v>
      </c>
      <c r="K4731" s="3">
        <f t="shared" si="146"/>
        <v>8</v>
      </c>
      <c r="L4731" s="3">
        <f t="shared" si="147"/>
        <v>8.1839999999999993</v>
      </c>
    </row>
    <row r="4732" spans="1:12" x14ac:dyDescent="0.3">
      <c r="A4732" s="2">
        <v>41249</v>
      </c>
      <c r="B4732" t="s">
        <v>13</v>
      </c>
      <c r="D4732" s="2">
        <v>41980</v>
      </c>
      <c r="E4732">
        <v>8</v>
      </c>
      <c r="G4732" s="2">
        <v>41980</v>
      </c>
      <c r="H4732">
        <v>8.2110000000000003</v>
      </c>
      <c r="J4732" s="2">
        <v>41987</v>
      </c>
      <c r="K4732" s="3">
        <f t="shared" si="146"/>
        <v>8</v>
      </c>
      <c r="L4732" s="3">
        <f t="shared" si="147"/>
        <v>8.1839999999999993</v>
      </c>
    </row>
    <row r="4733" spans="1:12" x14ac:dyDescent="0.3">
      <c r="A4733" s="2">
        <v>41250</v>
      </c>
      <c r="B4733" t="s">
        <v>13</v>
      </c>
      <c r="D4733" s="2">
        <v>41981</v>
      </c>
      <c r="E4733">
        <v>8</v>
      </c>
      <c r="G4733" s="2">
        <v>41981</v>
      </c>
      <c r="H4733">
        <v>8.1920000000000002</v>
      </c>
      <c r="J4733" s="2">
        <v>41988</v>
      </c>
      <c r="K4733" s="3">
        <f t="shared" si="146"/>
        <v>8</v>
      </c>
      <c r="L4733" s="3">
        <f t="shared" si="147"/>
        <v>8.1750000000000007</v>
      </c>
    </row>
    <row r="4734" spans="1:12" x14ac:dyDescent="0.3">
      <c r="A4734" s="2">
        <v>41251</v>
      </c>
      <c r="B4734" t="s">
        <v>13</v>
      </c>
      <c r="D4734" s="2">
        <v>41982</v>
      </c>
      <c r="E4734">
        <v>8</v>
      </c>
      <c r="G4734" s="2">
        <v>41982</v>
      </c>
      <c r="H4734">
        <v>8.1869999999999994</v>
      </c>
      <c r="J4734" s="2">
        <v>41989</v>
      </c>
      <c r="K4734" s="3">
        <f t="shared" si="146"/>
        <v>8</v>
      </c>
      <c r="L4734" s="3">
        <f t="shared" si="147"/>
        <v>8.2420000000000009</v>
      </c>
    </row>
    <row r="4735" spans="1:12" x14ac:dyDescent="0.3">
      <c r="A4735" s="2">
        <v>41252</v>
      </c>
      <c r="B4735" t="s">
        <v>13</v>
      </c>
      <c r="D4735" s="2">
        <v>41983</v>
      </c>
      <c r="E4735">
        <v>8</v>
      </c>
      <c r="G4735" s="2">
        <v>41983</v>
      </c>
      <c r="H4735">
        <v>8.1989999999999998</v>
      </c>
      <c r="J4735" s="2">
        <v>41990</v>
      </c>
      <c r="K4735" s="3">
        <f t="shared" si="146"/>
        <v>8</v>
      </c>
      <c r="L4735" s="3">
        <f t="shared" si="147"/>
        <v>8.2070000000000007</v>
      </c>
    </row>
    <row r="4736" spans="1:12" x14ac:dyDescent="0.3">
      <c r="A4736" s="2">
        <v>41253</v>
      </c>
      <c r="B4736" t="s">
        <v>13</v>
      </c>
      <c r="D4736" s="2">
        <v>41984</v>
      </c>
      <c r="E4736">
        <v>8</v>
      </c>
      <c r="G4736" s="2">
        <v>41984</v>
      </c>
      <c r="H4736">
        <v>8.1590000000000007</v>
      </c>
      <c r="J4736" s="2">
        <v>41991</v>
      </c>
      <c r="K4736" s="3">
        <f t="shared" si="146"/>
        <v>8</v>
      </c>
      <c r="L4736" s="3">
        <f t="shared" si="147"/>
        <v>8.3330000000000002</v>
      </c>
    </row>
    <row r="4737" spans="1:12" x14ac:dyDescent="0.3">
      <c r="A4737" s="2">
        <v>41254</v>
      </c>
      <c r="B4737" t="s">
        <v>13</v>
      </c>
      <c r="D4737" s="2">
        <v>41985</v>
      </c>
      <c r="E4737">
        <v>8</v>
      </c>
      <c r="G4737" s="2">
        <v>41985</v>
      </c>
      <c r="H4737">
        <v>8.1839999999999993</v>
      </c>
      <c r="J4737" s="2">
        <v>41992</v>
      </c>
      <c r="K4737" s="3">
        <f t="shared" si="146"/>
        <v>8</v>
      </c>
      <c r="L4737" s="3">
        <f t="shared" si="147"/>
        <v>8.1539999999999999</v>
      </c>
    </row>
    <row r="4738" spans="1:12" x14ac:dyDescent="0.3">
      <c r="A4738" s="2">
        <v>41255</v>
      </c>
      <c r="B4738" t="s">
        <v>13</v>
      </c>
      <c r="D4738" s="2">
        <v>41986</v>
      </c>
      <c r="E4738">
        <v>8</v>
      </c>
      <c r="G4738" s="2">
        <v>41986</v>
      </c>
      <c r="H4738">
        <v>8.1839999999999993</v>
      </c>
      <c r="J4738" s="2">
        <v>41993</v>
      </c>
      <c r="K4738" s="3">
        <f t="shared" si="146"/>
        <v>8</v>
      </c>
      <c r="L4738" s="3">
        <f t="shared" si="147"/>
        <v>8.1539999999999999</v>
      </c>
    </row>
    <row r="4739" spans="1:12" x14ac:dyDescent="0.3">
      <c r="A4739" s="2">
        <v>41256</v>
      </c>
      <c r="B4739" t="s">
        <v>13</v>
      </c>
      <c r="D4739" s="2">
        <v>41987</v>
      </c>
      <c r="E4739">
        <v>8</v>
      </c>
      <c r="G4739" s="2">
        <v>41987</v>
      </c>
      <c r="H4739">
        <v>8.1839999999999993</v>
      </c>
      <c r="J4739" s="2">
        <v>41994</v>
      </c>
      <c r="K4739" s="3">
        <f t="shared" ref="K4739:K4802" si="148">E4746</f>
        <v>8</v>
      </c>
      <c r="L4739" s="3">
        <f t="shared" ref="L4739:L4802" si="149">H4746</f>
        <v>8.1539999999999999</v>
      </c>
    </row>
    <row r="4740" spans="1:12" x14ac:dyDescent="0.3">
      <c r="A4740" s="2">
        <v>41257</v>
      </c>
      <c r="B4740" t="s">
        <v>13</v>
      </c>
      <c r="D4740" s="2">
        <v>41988</v>
      </c>
      <c r="E4740">
        <v>8</v>
      </c>
      <c r="G4740" s="2">
        <v>41988</v>
      </c>
      <c r="H4740">
        <v>8.1750000000000007</v>
      </c>
      <c r="J4740" s="2">
        <v>41995</v>
      </c>
      <c r="K4740" s="3">
        <f t="shared" si="148"/>
        <v>8</v>
      </c>
      <c r="L4740" s="3">
        <f t="shared" si="149"/>
        <v>8.1370000000000005</v>
      </c>
    </row>
    <row r="4741" spans="1:12" x14ac:dyDescent="0.3">
      <c r="A4741" s="2">
        <v>41258</v>
      </c>
      <c r="B4741" t="s">
        <v>13</v>
      </c>
      <c r="D4741" s="2">
        <v>41989</v>
      </c>
      <c r="E4741">
        <v>8</v>
      </c>
      <c r="G4741" s="2">
        <v>41989</v>
      </c>
      <c r="H4741">
        <v>8.2420000000000009</v>
      </c>
      <c r="J4741" s="2">
        <v>41996</v>
      </c>
      <c r="K4741" s="3">
        <f t="shared" si="148"/>
        <v>8</v>
      </c>
      <c r="L4741" s="3">
        <f t="shared" si="149"/>
        <v>8.2289999999999992</v>
      </c>
    </row>
    <row r="4742" spans="1:12" x14ac:dyDescent="0.3">
      <c r="A4742" s="2">
        <v>41259</v>
      </c>
      <c r="B4742" t="s">
        <v>13</v>
      </c>
      <c r="D4742" s="2">
        <v>41990</v>
      </c>
      <c r="E4742">
        <v>8</v>
      </c>
      <c r="G4742" s="2">
        <v>41990</v>
      </c>
      <c r="H4742">
        <v>8.2070000000000007</v>
      </c>
      <c r="J4742" s="2">
        <v>41997</v>
      </c>
      <c r="K4742" s="3">
        <f t="shared" si="148"/>
        <v>8</v>
      </c>
      <c r="L4742" s="3">
        <f t="shared" si="149"/>
        <v>8.2370000000000001</v>
      </c>
    </row>
    <row r="4743" spans="1:12" x14ac:dyDescent="0.3">
      <c r="A4743" s="2">
        <v>41260</v>
      </c>
      <c r="B4743" t="s">
        <v>13</v>
      </c>
      <c r="D4743" s="2">
        <v>41991</v>
      </c>
      <c r="E4743">
        <v>8</v>
      </c>
      <c r="G4743" s="2">
        <v>41991</v>
      </c>
      <c r="H4743">
        <v>8.3330000000000002</v>
      </c>
      <c r="J4743" s="2">
        <v>41998</v>
      </c>
      <c r="K4743" s="3">
        <f t="shared" si="148"/>
        <v>8</v>
      </c>
      <c r="L4743" s="3">
        <f t="shared" si="149"/>
        <v>8.2390000000000008</v>
      </c>
    </row>
    <row r="4744" spans="1:12" x14ac:dyDescent="0.3">
      <c r="A4744" s="2">
        <v>41261</v>
      </c>
      <c r="B4744" t="s">
        <v>13</v>
      </c>
      <c r="D4744" s="2">
        <v>41992</v>
      </c>
      <c r="E4744">
        <v>8</v>
      </c>
      <c r="G4744" s="2">
        <v>41992</v>
      </c>
      <c r="H4744">
        <v>8.1539999999999999</v>
      </c>
      <c r="J4744" s="2">
        <v>41999</v>
      </c>
      <c r="K4744" s="3">
        <f t="shared" si="148"/>
        <v>8</v>
      </c>
      <c r="L4744" s="3">
        <f t="shared" si="149"/>
        <v>8.3309999999999995</v>
      </c>
    </row>
    <row r="4745" spans="1:12" x14ac:dyDescent="0.3">
      <c r="A4745" s="2">
        <v>41262</v>
      </c>
      <c r="B4745" t="s">
        <v>13</v>
      </c>
      <c r="D4745" s="2">
        <v>41993</v>
      </c>
      <c r="E4745">
        <v>8</v>
      </c>
      <c r="G4745" s="2">
        <v>41993</v>
      </c>
      <c r="H4745">
        <v>8.1539999999999999</v>
      </c>
      <c r="J4745" s="2">
        <v>42000</v>
      </c>
      <c r="K4745" s="3">
        <f t="shared" si="148"/>
        <v>8</v>
      </c>
      <c r="L4745" s="3">
        <f t="shared" si="149"/>
        <v>8.3309999999999995</v>
      </c>
    </row>
    <row r="4746" spans="1:12" x14ac:dyDescent="0.3">
      <c r="A4746" s="2">
        <v>41263</v>
      </c>
      <c r="B4746" t="s">
        <v>13</v>
      </c>
      <c r="D4746" s="2">
        <v>41994</v>
      </c>
      <c r="E4746">
        <v>8</v>
      </c>
      <c r="G4746" s="2">
        <v>41994</v>
      </c>
      <c r="H4746">
        <v>8.1539999999999999</v>
      </c>
      <c r="J4746" s="2">
        <v>42001</v>
      </c>
      <c r="K4746" s="3">
        <f t="shared" si="148"/>
        <v>8</v>
      </c>
      <c r="L4746" s="3">
        <f t="shared" si="149"/>
        <v>8.3309999999999995</v>
      </c>
    </row>
    <row r="4747" spans="1:12" x14ac:dyDescent="0.3">
      <c r="A4747" s="2">
        <v>41264</v>
      </c>
      <c r="B4747" t="s">
        <v>13</v>
      </c>
      <c r="D4747" s="2">
        <v>41995</v>
      </c>
      <c r="E4747">
        <v>8</v>
      </c>
      <c r="G4747" s="2">
        <v>41995</v>
      </c>
      <c r="H4747">
        <v>8.1370000000000005</v>
      </c>
      <c r="J4747" s="2">
        <v>42002</v>
      </c>
      <c r="K4747" s="3">
        <f t="shared" si="148"/>
        <v>8</v>
      </c>
      <c r="L4747" s="3">
        <f t="shared" si="149"/>
        <v>8.1620000000000008</v>
      </c>
    </row>
    <row r="4748" spans="1:12" x14ac:dyDescent="0.3">
      <c r="A4748" s="2">
        <v>41265</v>
      </c>
      <c r="B4748" t="s">
        <v>13</v>
      </c>
      <c r="D4748" s="2">
        <v>41996</v>
      </c>
      <c r="E4748">
        <v>8</v>
      </c>
      <c r="G4748" s="2">
        <v>41996</v>
      </c>
      <c r="H4748">
        <v>8.2289999999999992</v>
      </c>
      <c r="J4748" s="2">
        <v>42003</v>
      </c>
      <c r="K4748" s="3">
        <f t="shared" si="148"/>
        <v>8</v>
      </c>
      <c r="L4748" s="3">
        <f t="shared" si="149"/>
        <v>8.4499999999999993</v>
      </c>
    </row>
    <row r="4749" spans="1:12" x14ac:dyDescent="0.3">
      <c r="A4749" s="2">
        <v>41266</v>
      </c>
      <c r="B4749" t="s">
        <v>13</v>
      </c>
      <c r="D4749" s="2">
        <v>41997</v>
      </c>
      <c r="E4749">
        <v>8</v>
      </c>
      <c r="G4749" s="2">
        <v>41997</v>
      </c>
      <c r="H4749">
        <v>8.2370000000000001</v>
      </c>
      <c r="J4749" s="2">
        <v>42004</v>
      </c>
      <c r="K4749" s="3">
        <f t="shared" si="148"/>
        <v>8</v>
      </c>
      <c r="L4749" s="3">
        <f t="shared" si="149"/>
        <v>8.3309999999999995</v>
      </c>
    </row>
    <row r="4750" spans="1:12" x14ac:dyDescent="0.3">
      <c r="A4750" s="2">
        <v>41267</v>
      </c>
      <c r="B4750" t="s">
        <v>13</v>
      </c>
      <c r="D4750" s="2">
        <v>41998</v>
      </c>
      <c r="E4750">
        <v>8</v>
      </c>
      <c r="G4750" s="2">
        <v>41998</v>
      </c>
      <c r="H4750">
        <v>8.2390000000000008</v>
      </c>
      <c r="J4750" s="2">
        <v>42005</v>
      </c>
      <c r="K4750" s="3">
        <f t="shared" si="148"/>
        <v>8</v>
      </c>
      <c r="L4750" s="3">
        <f t="shared" si="149"/>
        <v>8.298</v>
      </c>
    </row>
    <row r="4751" spans="1:12" x14ac:dyDescent="0.3">
      <c r="A4751" s="2">
        <v>41268</v>
      </c>
      <c r="B4751" t="s">
        <v>13</v>
      </c>
      <c r="D4751" s="2">
        <v>41999</v>
      </c>
      <c r="E4751">
        <v>8</v>
      </c>
      <c r="G4751" s="2">
        <v>41999</v>
      </c>
      <c r="H4751">
        <v>8.3309999999999995</v>
      </c>
      <c r="J4751" s="2">
        <v>42006</v>
      </c>
      <c r="K4751" s="3">
        <f t="shared" si="148"/>
        <v>8</v>
      </c>
      <c r="L4751" s="3">
        <f t="shared" si="149"/>
        <v>8.3049999999999997</v>
      </c>
    </row>
    <row r="4752" spans="1:12" x14ac:dyDescent="0.3">
      <c r="A4752" s="2">
        <v>41269</v>
      </c>
      <c r="B4752" t="s">
        <v>13</v>
      </c>
      <c r="D4752" s="2">
        <v>42000</v>
      </c>
      <c r="E4752">
        <v>8</v>
      </c>
      <c r="G4752" s="2">
        <v>42000</v>
      </c>
      <c r="H4752">
        <v>8.3309999999999995</v>
      </c>
      <c r="J4752" s="2">
        <v>42007</v>
      </c>
      <c r="K4752" s="3">
        <f t="shared" si="148"/>
        <v>8</v>
      </c>
      <c r="L4752" s="3">
        <f t="shared" si="149"/>
        <v>8.3049999999999997</v>
      </c>
    </row>
    <row r="4753" spans="1:12" x14ac:dyDescent="0.3">
      <c r="A4753" s="2">
        <v>41270</v>
      </c>
      <c r="B4753" t="s">
        <v>13</v>
      </c>
      <c r="D4753" s="2">
        <v>42001</v>
      </c>
      <c r="E4753">
        <v>8</v>
      </c>
      <c r="G4753" s="2">
        <v>42001</v>
      </c>
      <c r="H4753">
        <v>8.3309999999999995</v>
      </c>
      <c r="J4753" s="2">
        <v>42008</v>
      </c>
      <c r="K4753" s="3">
        <f t="shared" si="148"/>
        <v>8</v>
      </c>
      <c r="L4753" s="3">
        <f t="shared" si="149"/>
        <v>8.3049999999999997</v>
      </c>
    </row>
    <row r="4754" spans="1:12" x14ac:dyDescent="0.3">
      <c r="A4754" s="2">
        <v>41271</v>
      </c>
      <c r="B4754" t="s">
        <v>13</v>
      </c>
      <c r="D4754" s="2">
        <v>42002</v>
      </c>
      <c r="E4754">
        <v>8</v>
      </c>
      <c r="G4754" s="2">
        <v>42002</v>
      </c>
      <c r="H4754">
        <v>8.1620000000000008</v>
      </c>
      <c r="J4754" s="2">
        <v>42009</v>
      </c>
      <c r="K4754" s="3">
        <f t="shared" si="148"/>
        <v>8</v>
      </c>
      <c r="L4754" s="3">
        <f t="shared" si="149"/>
        <v>8.327</v>
      </c>
    </row>
    <row r="4755" spans="1:12" x14ac:dyDescent="0.3">
      <c r="A4755" s="2">
        <v>41272</v>
      </c>
      <c r="B4755" t="s">
        <v>13</v>
      </c>
      <c r="D4755" s="2">
        <v>42003</v>
      </c>
      <c r="E4755">
        <v>8</v>
      </c>
      <c r="G4755" s="2">
        <v>42003</v>
      </c>
      <c r="H4755">
        <v>8.4499999999999993</v>
      </c>
      <c r="J4755" s="2">
        <v>42010</v>
      </c>
      <c r="K4755" s="3">
        <f t="shared" si="148"/>
        <v>8</v>
      </c>
      <c r="L4755" s="3">
        <f t="shared" si="149"/>
        <v>8.3559999999999999</v>
      </c>
    </row>
    <row r="4756" spans="1:12" x14ac:dyDescent="0.3">
      <c r="A4756" s="2">
        <v>41273</v>
      </c>
      <c r="B4756" t="s">
        <v>13</v>
      </c>
      <c r="D4756" s="2">
        <v>42004</v>
      </c>
      <c r="E4756">
        <v>8</v>
      </c>
      <c r="G4756" s="2">
        <v>42004</v>
      </c>
      <c r="H4756">
        <v>8.3309999999999995</v>
      </c>
      <c r="J4756" s="2">
        <v>42011</v>
      </c>
      <c r="K4756" s="3">
        <f t="shared" si="148"/>
        <v>8</v>
      </c>
      <c r="L4756" s="3">
        <f t="shared" si="149"/>
        <v>8.359</v>
      </c>
    </row>
    <row r="4757" spans="1:12" x14ac:dyDescent="0.3">
      <c r="A4757" s="2">
        <v>41274</v>
      </c>
      <c r="B4757" t="s">
        <v>13</v>
      </c>
      <c r="D4757" s="2">
        <v>42005</v>
      </c>
      <c r="E4757">
        <v>8</v>
      </c>
      <c r="G4757" s="2">
        <v>42005</v>
      </c>
      <c r="H4757">
        <v>8.298</v>
      </c>
      <c r="J4757" s="2">
        <v>42012</v>
      </c>
      <c r="K4757" s="3">
        <f t="shared" si="148"/>
        <v>8</v>
      </c>
      <c r="L4757" s="3">
        <f t="shared" si="149"/>
        <v>8.3239999999999998</v>
      </c>
    </row>
    <row r="4758" spans="1:12" x14ac:dyDescent="0.3">
      <c r="A4758" s="2">
        <v>41275</v>
      </c>
      <c r="B4758" t="s">
        <v>13</v>
      </c>
      <c r="D4758" s="2">
        <v>42006</v>
      </c>
      <c r="E4758">
        <v>8</v>
      </c>
      <c r="G4758" s="2">
        <v>42006</v>
      </c>
      <c r="H4758">
        <v>8.3049999999999997</v>
      </c>
      <c r="J4758" s="2">
        <v>42013</v>
      </c>
      <c r="K4758" s="3">
        <f t="shared" si="148"/>
        <v>8</v>
      </c>
      <c r="L4758" s="3">
        <f t="shared" si="149"/>
        <v>8.36</v>
      </c>
    </row>
    <row r="4759" spans="1:12" x14ac:dyDescent="0.3">
      <c r="A4759" s="2">
        <v>41276</v>
      </c>
      <c r="B4759" t="s">
        <v>13</v>
      </c>
      <c r="D4759" s="2">
        <v>42007</v>
      </c>
      <c r="E4759">
        <v>8</v>
      </c>
      <c r="G4759" s="2">
        <v>42007</v>
      </c>
      <c r="H4759">
        <v>8.3049999999999997</v>
      </c>
      <c r="J4759" s="2">
        <v>42014</v>
      </c>
      <c r="K4759" s="3">
        <f t="shared" si="148"/>
        <v>8</v>
      </c>
      <c r="L4759" s="3">
        <f t="shared" si="149"/>
        <v>8.36</v>
      </c>
    </row>
    <row r="4760" spans="1:12" x14ac:dyDescent="0.3">
      <c r="A4760" s="2">
        <v>41277</v>
      </c>
      <c r="B4760" t="s">
        <v>13</v>
      </c>
      <c r="D4760" s="2">
        <v>42008</v>
      </c>
      <c r="E4760">
        <v>8</v>
      </c>
      <c r="G4760" s="2">
        <v>42008</v>
      </c>
      <c r="H4760">
        <v>8.3049999999999997</v>
      </c>
      <c r="J4760" s="2">
        <v>42015</v>
      </c>
      <c r="K4760" s="3">
        <f t="shared" si="148"/>
        <v>8</v>
      </c>
      <c r="L4760" s="3">
        <f t="shared" si="149"/>
        <v>8.36</v>
      </c>
    </row>
    <row r="4761" spans="1:12" x14ac:dyDescent="0.3">
      <c r="A4761" s="2">
        <v>41278</v>
      </c>
      <c r="B4761" t="s">
        <v>13</v>
      </c>
      <c r="D4761" s="2">
        <v>42009</v>
      </c>
      <c r="E4761">
        <v>8</v>
      </c>
      <c r="G4761" s="2">
        <v>42009</v>
      </c>
      <c r="H4761">
        <v>8.327</v>
      </c>
      <c r="J4761" s="2">
        <v>42016</v>
      </c>
      <c r="K4761" s="3">
        <f t="shared" si="148"/>
        <v>8</v>
      </c>
      <c r="L4761" s="3">
        <f t="shared" si="149"/>
        <v>8.3239999999999998</v>
      </c>
    </row>
    <row r="4762" spans="1:12" x14ac:dyDescent="0.3">
      <c r="A4762" s="2">
        <v>41279</v>
      </c>
      <c r="B4762" t="s">
        <v>13</v>
      </c>
      <c r="D4762" s="2">
        <v>42010</v>
      </c>
      <c r="E4762">
        <v>8</v>
      </c>
      <c r="G4762" s="2">
        <v>42010</v>
      </c>
      <c r="H4762">
        <v>8.3559999999999999</v>
      </c>
      <c r="J4762" s="2">
        <v>42017</v>
      </c>
      <c r="K4762" s="3">
        <f t="shared" si="148"/>
        <v>8</v>
      </c>
      <c r="L4762" s="3">
        <f t="shared" si="149"/>
        <v>8.3109999999999999</v>
      </c>
    </row>
    <row r="4763" spans="1:12" x14ac:dyDescent="0.3">
      <c r="A4763" s="2">
        <v>41280</v>
      </c>
      <c r="B4763" t="s">
        <v>13</v>
      </c>
      <c r="D4763" s="2">
        <v>42011</v>
      </c>
      <c r="E4763">
        <v>8</v>
      </c>
      <c r="G4763" s="2">
        <v>42011</v>
      </c>
      <c r="H4763">
        <v>8.359</v>
      </c>
      <c r="J4763" s="2">
        <v>42018</v>
      </c>
      <c r="K4763" s="3">
        <f t="shared" si="148"/>
        <v>8</v>
      </c>
      <c r="L4763" s="3">
        <f t="shared" si="149"/>
        <v>8.2070000000000007</v>
      </c>
    </row>
    <row r="4764" spans="1:12" x14ac:dyDescent="0.3">
      <c r="A4764" s="2">
        <v>41281</v>
      </c>
      <c r="B4764" t="s">
        <v>13</v>
      </c>
      <c r="D4764" s="2">
        <v>42012</v>
      </c>
      <c r="E4764">
        <v>8</v>
      </c>
      <c r="G4764" s="2">
        <v>42012</v>
      </c>
      <c r="H4764">
        <v>8.3239999999999998</v>
      </c>
      <c r="J4764" s="2">
        <v>42019</v>
      </c>
      <c r="K4764" s="3">
        <f t="shared" si="148"/>
        <v>7.75</v>
      </c>
      <c r="L4764" s="3">
        <f t="shared" si="149"/>
        <v>7.9459999999999997</v>
      </c>
    </row>
    <row r="4765" spans="1:12" x14ac:dyDescent="0.3">
      <c r="A4765" s="2">
        <v>41282</v>
      </c>
      <c r="B4765" t="s">
        <v>13</v>
      </c>
      <c r="D4765" s="2">
        <v>42013</v>
      </c>
      <c r="E4765">
        <v>8</v>
      </c>
      <c r="G4765" s="2">
        <v>42013</v>
      </c>
      <c r="H4765">
        <v>8.36</v>
      </c>
      <c r="J4765" s="2">
        <v>42020</v>
      </c>
      <c r="K4765" s="3">
        <f t="shared" si="148"/>
        <v>7.75</v>
      </c>
      <c r="L4765" s="3">
        <f t="shared" si="149"/>
        <v>7.9409999999999998</v>
      </c>
    </row>
    <row r="4766" spans="1:12" x14ac:dyDescent="0.3">
      <c r="A4766" s="2">
        <v>41283</v>
      </c>
      <c r="B4766" t="s">
        <v>13</v>
      </c>
      <c r="D4766" s="2">
        <v>42014</v>
      </c>
      <c r="E4766">
        <v>8</v>
      </c>
      <c r="G4766" s="2">
        <v>42014</v>
      </c>
      <c r="H4766">
        <v>8.36</v>
      </c>
      <c r="J4766" s="2">
        <v>42021</v>
      </c>
      <c r="K4766" s="3">
        <f t="shared" si="148"/>
        <v>7.75</v>
      </c>
      <c r="L4766" s="3">
        <f t="shared" si="149"/>
        <v>7.9409999999999998</v>
      </c>
    </row>
    <row r="4767" spans="1:12" x14ac:dyDescent="0.3">
      <c r="A4767" s="2">
        <v>41284</v>
      </c>
      <c r="B4767" t="s">
        <v>13</v>
      </c>
      <c r="D4767" s="2">
        <v>42015</v>
      </c>
      <c r="E4767">
        <v>8</v>
      </c>
      <c r="G4767" s="2">
        <v>42015</v>
      </c>
      <c r="H4767">
        <v>8.36</v>
      </c>
      <c r="J4767" s="2">
        <v>42022</v>
      </c>
      <c r="K4767" s="3">
        <f t="shared" si="148"/>
        <v>7.75</v>
      </c>
      <c r="L4767" s="3">
        <f t="shared" si="149"/>
        <v>7.9409999999999998</v>
      </c>
    </row>
    <row r="4768" spans="1:12" x14ac:dyDescent="0.3">
      <c r="A4768" s="2">
        <v>41285</v>
      </c>
      <c r="B4768" t="s">
        <v>13</v>
      </c>
      <c r="D4768" s="2">
        <v>42016</v>
      </c>
      <c r="E4768">
        <v>8</v>
      </c>
      <c r="G4768" s="2">
        <v>42016</v>
      </c>
      <c r="H4768">
        <v>8.3239999999999998</v>
      </c>
      <c r="J4768" s="2">
        <v>42023</v>
      </c>
      <c r="K4768" s="3">
        <f t="shared" si="148"/>
        <v>7.75</v>
      </c>
      <c r="L4768" s="3">
        <f t="shared" si="149"/>
        <v>7.9039999999999999</v>
      </c>
    </row>
    <row r="4769" spans="1:12" x14ac:dyDescent="0.3">
      <c r="A4769" s="2">
        <v>41286</v>
      </c>
      <c r="B4769" t="s">
        <v>13</v>
      </c>
      <c r="D4769" s="2">
        <v>42017</v>
      </c>
      <c r="E4769">
        <v>8</v>
      </c>
      <c r="G4769" s="2">
        <v>42017</v>
      </c>
      <c r="H4769">
        <v>8.3109999999999999</v>
      </c>
      <c r="J4769" s="2">
        <v>42024</v>
      </c>
      <c r="K4769" s="3">
        <f t="shared" si="148"/>
        <v>7.75</v>
      </c>
      <c r="L4769" s="3">
        <f t="shared" si="149"/>
        <v>7.9089999999999998</v>
      </c>
    </row>
    <row r="4770" spans="1:12" x14ac:dyDescent="0.3">
      <c r="A4770" s="2">
        <v>41287</v>
      </c>
      <c r="B4770" t="s">
        <v>13</v>
      </c>
      <c r="D4770" s="2">
        <v>42018</v>
      </c>
      <c r="E4770">
        <v>8</v>
      </c>
      <c r="G4770" s="2">
        <v>42018</v>
      </c>
      <c r="H4770">
        <v>8.2070000000000007</v>
      </c>
      <c r="J4770" s="2">
        <v>42025</v>
      </c>
      <c r="K4770" s="3">
        <f t="shared" si="148"/>
        <v>7.75</v>
      </c>
      <c r="L4770" s="3">
        <f t="shared" si="149"/>
        <v>7.923</v>
      </c>
    </row>
    <row r="4771" spans="1:12" x14ac:dyDescent="0.3">
      <c r="A4771" s="2">
        <v>41288</v>
      </c>
      <c r="B4771" t="s">
        <v>13</v>
      </c>
      <c r="D4771" s="2">
        <v>42019</v>
      </c>
      <c r="E4771">
        <v>7.75</v>
      </c>
      <c r="G4771" s="2">
        <v>42019</v>
      </c>
      <c r="H4771">
        <v>7.9459999999999997</v>
      </c>
      <c r="J4771" s="2">
        <v>42026</v>
      </c>
      <c r="K4771" s="3">
        <f t="shared" si="148"/>
        <v>7.75</v>
      </c>
      <c r="L4771" s="3">
        <f t="shared" si="149"/>
        <v>7.9809999999999999</v>
      </c>
    </row>
    <row r="4772" spans="1:12" x14ac:dyDescent="0.3">
      <c r="A4772" s="2">
        <v>41289</v>
      </c>
      <c r="B4772" t="s">
        <v>13</v>
      </c>
      <c r="D4772" s="2">
        <v>42020</v>
      </c>
      <c r="E4772">
        <v>7.75</v>
      </c>
      <c r="G4772" s="2">
        <v>42020</v>
      </c>
      <c r="H4772">
        <v>7.9409999999999998</v>
      </c>
      <c r="J4772" s="2">
        <v>42027</v>
      </c>
      <c r="K4772" s="3">
        <f t="shared" si="148"/>
        <v>7.75</v>
      </c>
      <c r="L4772" s="3">
        <f t="shared" si="149"/>
        <v>7.968</v>
      </c>
    </row>
    <row r="4773" spans="1:12" x14ac:dyDescent="0.3">
      <c r="A4773" s="2">
        <v>41290</v>
      </c>
      <c r="B4773" t="s">
        <v>13</v>
      </c>
      <c r="D4773" s="2">
        <v>42021</v>
      </c>
      <c r="E4773">
        <v>7.75</v>
      </c>
      <c r="G4773" s="2">
        <v>42021</v>
      </c>
      <c r="H4773">
        <v>7.9409999999999998</v>
      </c>
      <c r="J4773" s="2">
        <v>42028</v>
      </c>
      <c r="K4773" s="3">
        <f t="shared" si="148"/>
        <v>7.75</v>
      </c>
      <c r="L4773" s="3">
        <f t="shared" si="149"/>
        <v>7.968</v>
      </c>
    </row>
    <row r="4774" spans="1:12" x14ac:dyDescent="0.3">
      <c r="A4774" s="2">
        <v>41291</v>
      </c>
      <c r="B4774" t="s">
        <v>13</v>
      </c>
      <c r="D4774" s="2">
        <v>42022</v>
      </c>
      <c r="E4774">
        <v>7.75</v>
      </c>
      <c r="G4774" s="2">
        <v>42022</v>
      </c>
      <c r="H4774">
        <v>7.9409999999999998</v>
      </c>
      <c r="J4774" s="2">
        <v>42029</v>
      </c>
      <c r="K4774" s="3">
        <f t="shared" si="148"/>
        <v>7.75</v>
      </c>
      <c r="L4774" s="3">
        <f t="shared" si="149"/>
        <v>7.968</v>
      </c>
    </row>
    <row r="4775" spans="1:12" x14ac:dyDescent="0.3">
      <c r="A4775" s="2">
        <v>41292</v>
      </c>
      <c r="B4775" t="s">
        <v>13</v>
      </c>
      <c r="D4775" s="2">
        <v>42023</v>
      </c>
      <c r="E4775">
        <v>7.75</v>
      </c>
      <c r="G4775" s="2">
        <v>42023</v>
      </c>
      <c r="H4775">
        <v>7.9039999999999999</v>
      </c>
      <c r="J4775" s="2">
        <v>42030</v>
      </c>
      <c r="K4775" s="3">
        <f t="shared" si="148"/>
        <v>7.75</v>
      </c>
      <c r="L4775" s="3">
        <f t="shared" si="149"/>
        <v>7.968</v>
      </c>
    </row>
    <row r="4776" spans="1:12" x14ac:dyDescent="0.3">
      <c r="A4776" s="2">
        <v>41293</v>
      </c>
      <c r="B4776" t="s">
        <v>13</v>
      </c>
      <c r="D4776" s="2">
        <v>42024</v>
      </c>
      <c r="E4776">
        <v>7.75</v>
      </c>
      <c r="G4776" s="2">
        <v>42024</v>
      </c>
      <c r="H4776">
        <v>7.9089999999999998</v>
      </c>
      <c r="J4776" s="2">
        <v>42031</v>
      </c>
      <c r="K4776" s="3">
        <f t="shared" si="148"/>
        <v>7.75</v>
      </c>
      <c r="L4776" s="3">
        <f t="shared" si="149"/>
        <v>8.0060000000000002</v>
      </c>
    </row>
    <row r="4777" spans="1:12" x14ac:dyDescent="0.3">
      <c r="A4777" s="2">
        <v>41294</v>
      </c>
      <c r="B4777" t="s">
        <v>13</v>
      </c>
      <c r="D4777" s="2">
        <v>42025</v>
      </c>
      <c r="E4777">
        <v>7.75</v>
      </c>
      <c r="G4777" s="2">
        <v>42025</v>
      </c>
      <c r="H4777">
        <v>7.923</v>
      </c>
      <c r="J4777" s="2">
        <v>42032</v>
      </c>
      <c r="K4777" s="3">
        <f t="shared" si="148"/>
        <v>7.75</v>
      </c>
      <c r="L4777" s="3">
        <f t="shared" si="149"/>
        <v>8.0299999999999994</v>
      </c>
    </row>
    <row r="4778" spans="1:12" x14ac:dyDescent="0.3">
      <c r="A4778" s="2">
        <v>41295</v>
      </c>
      <c r="B4778" t="s">
        <v>13</v>
      </c>
      <c r="D4778" s="2">
        <v>42026</v>
      </c>
      <c r="E4778">
        <v>7.75</v>
      </c>
      <c r="G4778" s="2">
        <v>42026</v>
      </c>
      <c r="H4778">
        <v>7.9809999999999999</v>
      </c>
      <c r="J4778" s="2">
        <v>42033</v>
      </c>
      <c r="K4778" s="3">
        <f t="shared" si="148"/>
        <v>7.75</v>
      </c>
      <c r="L4778" s="3">
        <f t="shared" si="149"/>
        <v>8.0719999999999992</v>
      </c>
    </row>
    <row r="4779" spans="1:12" x14ac:dyDescent="0.3">
      <c r="A4779" s="2">
        <v>41296</v>
      </c>
      <c r="B4779" t="s">
        <v>13</v>
      </c>
      <c r="D4779" s="2">
        <v>42027</v>
      </c>
      <c r="E4779">
        <v>7.75</v>
      </c>
      <c r="G4779" s="2">
        <v>42027</v>
      </c>
      <c r="H4779">
        <v>7.968</v>
      </c>
      <c r="J4779" s="2">
        <v>42034</v>
      </c>
      <c r="K4779" s="3">
        <f t="shared" si="148"/>
        <v>7.75</v>
      </c>
      <c r="L4779" s="3">
        <f t="shared" si="149"/>
        <v>8.08</v>
      </c>
    </row>
    <row r="4780" spans="1:12" x14ac:dyDescent="0.3">
      <c r="A4780" s="2">
        <v>41297</v>
      </c>
      <c r="B4780" t="s">
        <v>13</v>
      </c>
      <c r="D4780" s="2">
        <v>42028</v>
      </c>
      <c r="E4780">
        <v>7.75</v>
      </c>
      <c r="G4780" s="2">
        <v>42028</v>
      </c>
      <c r="H4780">
        <v>7.968</v>
      </c>
      <c r="J4780" s="2">
        <v>42035</v>
      </c>
      <c r="K4780" s="3">
        <f t="shared" si="148"/>
        <v>7.75</v>
      </c>
      <c r="L4780" s="3">
        <f t="shared" si="149"/>
        <v>8.08</v>
      </c>
    </row>
    <row r="4781" spans="1:12" x14ac:dyDescent="0.3">
      <c r="A4781" s="2">
        <v>41298</v>
      </c>
      <c r="B4781" t="s">
        <v>13</v>
      </c>
      <c r="D4781" s="2">
        <v>42029</v>
      </c>
      <c r="E4781">
        <v>7.75</v>
      </c>
      <c r="G4781" s="2">
        <v>42029</v>
      </c>
      <c r="H4781">
        <v>7.968</v>
      </c>
      <c r="J4781" s="2">
        <v>42036</v>
      </c>
      <c r="K4781" s="3">
        <f t="shared" si="148"/>
        <v>7.75</v>
      </c>
      <c r="L4781" s="3">
        <f t="shared" si="149"/>
        <v>8.08</v>
      </c>
    </row>
    <row r="4782" spans="1:12" x14ac:dyDescent="0.3">
      <c r="A4782" s="2">
        <v>41299</v>
      </c>
      <c r="B4782" t="s">
        <v>13</v>
      </c>
      <c r="D4782" s="2">
        <v>42030</v>
      </c>
      <c r="E4782">
        <v>7.75</v>
      </c>
      <c r="G4782" s="2">
        <v>42030</v>
      </c>
      <c r="H4782">
        <v>7.968</v>
      </c>
      <c r="J4782" s="2">
        <v>42037</v>
      </c>
      <c r="K4782" s="3">
        <f t="shared" si="148"/>
        <v>7.75</v>
      </c>
      <c r="L4782" s="3">
        <f t="shared" si="149"/>
        <v>8.0429999999999993</v>
      </c>
    </row>
    <row r="4783" spans="1:12" x14ac:dyDescent="0.3">
      <c r="A4783" s="2">
        <v>41300</v>
      </c>
      <c r="B4783" t="s">
        <v>13</v>
      </c>
      <c r="D4783" s="2">
        <v>42031</v>
      </c>
      <c r="E4783">
        <v>7.75</v>
      </c>
      <c r="G4783" s="2">
        <v>42031</v>
      </c>
      <c r="H4783">
        <v>8.0060000000000002</v>
      </c>
      <c r="J4783" s="2">
        <v>42038</v>
      </c>
      <c r="K4783" s="3">
        <f t="shared" si="148"/>
        <v>7.75</v>
      </c>
      <c r="L4783" s="3">
        <f t="shared" si="149"/>
        <v>8.0830000000000002</v>
      </c>
    </row>
    <row r="4784" spans="1:12" x14ac:dyDescent="0.3">
      <c r="A4784" s="2">
        <v>41301</v>
      </c>
      <c r="B4784" t="s">
        <v>13</v>
      </c>
      <c r="D4784" s="2">
        <v>42032</v>
      </c>
      <c r="E4784">
        <v>7.75</v>
      </c>
      <c r="G4784" s="2">
        <v>42032</v>
      </c>
      <c r="H4784">
        <v>8.0299999999999994</v>
      </c>
      <c r="J4784" s="2">
        <v>42039</v>
      </c>
      <c r="K4784" s="3">
        <f t="shared" si="148"/>
        <v>7.75</v>
      </c>
      <c r="L4784" s="3">
        <f t="shared" si="149"/>
        <v>8.1579999999999995</v>
      </c>
    </row>
    <row r="4785" spans="1:12" x14ac:dyDescent="0.3">
      <c r="A4785" s="2">
        <v>41302</v>
      </c>
      <c r="B4785" t="s">
        <v>13</v>
      </c>
      <c r="D4785" s="2">
        <v>42033</v>
      </c>
      <c r="E4785">
        <v>7.75</v>
      </c>
      <c r="G4785" s="2">
        <v>42033</v>
      </c>
      <c r="H4785">
        <v>8.0719999999999992</v>
      </c>
      <c r="J4785" s="2">
        <v>42040</v>
      </c>
      <c r="K4785" s="3">
        <f t="shared" si="148"/>
        <v>7.75</v>
      </c>
      <c r="L4785" s="3">
        <f t="shared" si="149"/>
        <v>8.1479999999999997</v>
      </c>
    </row>
    <row r="4786" spans="1:12" x14ac:dyDescent="0.3">
      <c r="A4786" s="2">
        <v>41303</v>
      </c>
      <c r="B4786" t="s">
        <v>13</v>
      </c>
      <c r="D4786" s="2">
        <v>42034</v>
      </c>
      <c r="E4786">
        <v>7.75</v>
      </c>
      <c r="G4786" s="2">
        <v>42034</v>
      </c>
      <c r="H4786">
        <v>8.08</v>
      </c>
      <c r="J4786" s="2">
        <v>42041</v>
      </c>
      <c r="K4786" s="3">
        <f t="shared" si="148"/>
        <v>7.75</v>
      </c>
      <c r="L4786" s="3">
        <f t="shared" si="149"/>
        <v>8.1750000000000007</v>
      </c>
    </row>
    <row r="4787" spans="1:12" x14ac:dyDescent="0.3">
      <c r="A4787" s="2">
        <v>41304</v>
      </c>
      <c r="B4787" t="s">
        <v>13</v>
      </c>
      <c r="D4787" s="2">
        <v>42035</v>
      </c>
      <c r="E4787">
        <v>7.75</v>
      </c>
      <c r="G4787" s="2">
        <v>42035</v>
      </c>
      <c r="H4787">
        <v>8.08</v>
      </c>
      <c r="J4787" s="2">
        <v>42042</v>
      </c>
      <c r="K4787" s="3">
        <f t="shared" si="148"/>
        <v>7.75</v>
      </c>
      <c r="L4787" s="3">
        <f t="shared" si="149"/>
        <v>8.1750000000000007</v>
      </c>
    </row>
    <row r="4788" spans="1:12" x14ac:dyDescent="0.3">
      <c r="A4788" s="2">
        <v>41305</v>
      </c>
      <c r="B4788" t="s">
        <v>13</v>
      </c>
      <c r="D4788" s="2">
        <v>42036</v>
      </c>
      <c r="E4788">
        <v>7.75</v>
      </c>
      <c r="G4788" s="2">
        <v>42036</v>
      </c>
      <c r="H4788">
        <v>8.08</v>
      </c>
      <c r="J4788" s="2">
        <v>42043</v>
      </c>
      <c r="K4788" s="3">
        <f t="shared" si="148"/>
        <v>7.75</v>
      </c>
      <c r="L4788" s="3">
        <f t="shared" si="149"/>
        <v>8.1750000000000007</v>
      </c>
    </row>
    <row r="4789" spans="1:12" x14ac:dyDescent="0.3">
      <c r="A4789" s="2">
        <v>41306</v>
      </c>
      <c r="B4789" t="s">
        <v>13</v>
      </c>
      <c r="D4789" s="2">
        <v>42037</v>
      </c>
      <c r="E4789">
        <v>7.75</v>
      </c>
      <c r="G4789" s="2">
        <v>42037</v>
      </c>
      <c r="H4789">
        <v>8.0429999999999993</v>
      </c>
      <c r="J4789" s="2">
        <v>42044</v>
      </c>
      <c r="K4789" s="3">
        <f t="shared" si="148"/>
        <v>7.75</v>
      </c>
      <c r="L4789" s="3">
        <f t="shared" si="149"/>
        <v>8.1620000000000008</v>
      </c>
    </row>
    <row r="4790" spans="1:12" x14ac:dyDescent="0.3">
      <c r="A4790" s="2">
        <v>41307</v>
      </c>
      <c r="B4790" t="s">
        <v>13</v>
      </c>
      <c r="D4790" s="2">
        <v>42038</v>
      </c>
      <c r="E4790">
        <v>7.75</v>
      </c>
      <c r="G4790" s="2">
        <v>42038</v>
      </c>
      <c r="H4790">
        <v>8.0830000000000002</v>
      </c>
      <c r="J4790" s="2">
        <v>42045</v>
      </c>
      <c r="K4790" s="3">
        <f t="shared" si="148"/>
        <v>7.75</v>
      </c>
      <c r="L4790" s="3">
        <f t="shared" si="149"/>
        <v>8.1709999999999994</v>
      </c>
    </row>
    <row r="4791" spans="1:12" x14ac:dyDescent="0.3">
      <c r="A4791" s="2">
        <v>41308</v>
      </c>
      <c r="B4791" t="s">
        <v>13</v>
      </c>
      <c r="D4791" s="2">
        <v>42039</v>
      </c>
      <c r="E4791">
        <v>7.75</v>
      </c>
      <c r="G4791" s="2">
        <v>42039</v>
      </c>
      <c r="H4791">
        <v>8.1579999999999995</v>
      </c>
      <c r="J4791" s="2">
        <v>42046</v>
      </c>
      <c r="K4791" s="3">
        <f t="shared" si="148"/>
        <v>7.75</v>
      </c>
      <c r="L4791" s="3">
        <f t="shared" si="149"/>
        <v>8.1869999999999994</v>
      </c>
    </row>
    <row r="4792" spans="1:12" x14ac:dyDescent="0.3">
      <c r="A4792" s="2">
        <v>41309</v>
      </c>
      <c r="B4792" t="s">
        <v>13</v>
      </c>
      <c r="D4792" s="2">
        <v>42040</v>
      </c>
      <c r="E4792">
        <v>7.75</v>
      </c>
      <c r="G4792" s="2">
        <v>42040</v>
      </c>
      <c r="H4792">
        <v>8.1479999999999997</v>
      </c>
      <c r="J4792" s="2">
        <v>42047</v>
      </c>
      <c r="K4792" s="3">
        <f t="shared" si="148"/>
        <v>7.75</v>
      </c>
      <c r="L4792" s="3">
        <f t="shared" si="149"/>
        <v>8.1769999999999996</v>
      </c>
    </row>
    <row r="4793" spans="1:12" x14ac:dyDescent="0.3">
      <c r="A4793" s="2">
        <v>41310</v>
      </c>
      <c r="B4793" t="s">
        <v>13</v>
      </c>
      <c r="D4793" s="2">
        <v>42041</v>
      </c>
      <c r="E4793">
        <v>7.75</v>
      </c>
      <c r="G4793" s="2">
        <v>42041</v>
      </c>
      <c r="H4793">
        <v>8.1750000000000007</v>
      </c>
      <c r="J4793" s="2">
        <v>42048</v>
      </c>
      <c r="K4793" s="3">
        <f t="shared" si="148"/>
        <v>7.75</v>
      </c>
      <c r="L4793" s="3">
        <f t="shared" si="149"/>
        <v>8.2129999999999992</v>
      </c>
    </row>
    <row r="4794" spans="1:12" x14ac:dyDescent="0.3">
      <c r="A4794" s="2">
        <v>41311</v>
      </c>
      <c r="B4794" t="s">
        <v>13</v>
      </c>
      <c r="D4794" s="2">
        <v>42042</v>
      </c>
      <c r="E4794">
        <v>7.75</v>
      </c>
      <c r="G4794" s="2">
        <v>42042</v>
      </c>
      <c r="H4794">
        <v>8.1750000000000007</v>
      </c>
      <c r="J4794" s="2">
        <v>42049</v>
      </c>
      <c r="K4794" s="3">
        <f t="shared" si="148"/>
        <v>7.75</v>
      </c>
      <c r="L4794" s="3">
        <f t="shared" si="149"/>
        <v>8.2129999999999992</v>
      </c>
    </row>
    <row r="4795" spans="1:12" x14ac:dyDescent="0.3">
      <c r="A4795" s="2">
        <v>41312</v>
      </c>
      <c r="B4795" t="s">
        <v>13</v>
      </c>
      <c r="D4795" s="2">
        <v>42043</v>
      </c>
      <c r="E4795">
        <v>7.75</v>
      </c>
      <c r="G4795" s="2">
        <v>42043</v>
      </c>
      <c r="H4795">
        <v>8.1750000000000007</v>
      </c>
      <c r="J4795" s="2">
        <v>42050</v>
      </c>
      <c r="K4795" s="3">
        <f t="shared" si="148"/>
        <v>7.75</v>
      </c>
      <c r="L4795" s="3">
        <f t="shared" si="149"/>
        <v>8.2129999999999992</v>
      </c>
    </row>
    <row r="4796" spans="1:12" x14ac:dyDescent="0.3">
      <c r="A4796" s="2">
        <v>41313</v>
      </c>
      <c r="B4796" t="s">
        <v>13</v>
      </c>
      <c r="D4796" s="2">
        <v>42044</v>
      </c>
      <c r="E4796">
        <v>7.75</v>
      </c>
      <c r="G4796" s="2">
        <v>42044</v>
      </c>
      <c r="H4796">
        <v>8.1620000000000008</v>
      </c>
      <c r="J4796" s="2">
        <v>42051</v>
      </c>
      <c r="K4796" s="3">
        <f t="shared" si="148"/>
        <v>7.75</v>
      </c>
      <c r="L4796" s="3">
        <f t="shared" si="149"/>
        <v>8.2040000000000006</v>
      </c>
    </row>
    <row r="4797" spans="1:12" x14ac:dyDescent="0.3">
      <c r="A4797" s="2">
        <v>41314</v>
      </c>
      <c r="B4797" t="s">
        <v>13</v>
      </c>
      <c r="D4797" s="2">
        <v>42045</v>
      </c>
      <c r="E4797">
        <v>7.75</v>
      </c>
      <c r="G4797" s="2">
        <v>42045</v>
      </c>
      <c r="H4797">
        <v>8.1709999999999994</v>
      </c>
      <c r="J4797" s="2">
        <v>42052</v>
      </c>
      <c r="K4797" s="3">
        <f t="shared" si="148"/>
        <v>7.75</v>
      </c>
      <c r="L4797" s="3">
        <f t="shared" si="149"/>
        <v>8.2040000000000006</v>
      </c>
    </row>
    <row r="4798" spans="1:12" x14ac:dyDescent="0.3">
      <c r="A4798" s="2">
        <v>41315</v>
      </c>
      <c r="B4798" t="s">
        <v>13</v>
      </c>
      <c r="D4798" s="2">
        <v>42046</v>
      </c>
      <c r="E4798">
        <v>7.75</v>
      </c>
      <c r="G4798" s="2">
        <v>42046</v>
      </c>
      <c r="H4798">
        <v>8.1869999999999994</v>
      </c>
      <c r="J4798" s="2">
        <v>42053</v>
      </c>
      <c r="K4798" s="3">
        <f t="shared" si="148"/>
        <v>7.75</v>
      </c>
      <c r="L4798" s="3">
        <f t="shared" si="149"/>
        <v>8.2319999999999993</v>
      </c>
    </row>
    <row r="4799" spans="1:12" x14ac:dyDescent="0.3">
      <c r="A4799" s="2">
        <v>41316</v>
      </c>
      <c r="B4799" t="s">
        <v>13</v>
      </c>
      <c r="D4799" s="2">
        <v>42047</v>
      </c>
      <c r="E4799">
        <v>7.75</v>
      </c>
      <c r="G4799" s="2">
        <v>42047</v>
      </c>
      <c r="H4799">
        <v>8.1769999999999996</v>
      </c>
      <c r="J4799" s="2">
        <v>42054</v>
      </c>
      <c r="K4799" s="3">
        <f t="shared" si="148"/>
        <v>7.75</v>
      </c>
      <c r="L4799" s="3">
        <f t="shared" si="149"/>
        <v>8.2319999999999993</v>
      </c>
    </row>
    <row r="4800" spans="1:12" x14ac:dyDescent="0.3">
      <c r="A4800" s="2">
        <v>41317</v>
      </c>
      <c r="B4800" t="s">
        <v>13</v>
      </c>
      <c r="D4800" s="2">
        <v>42048</v>
      </c>
      <c r="E4800">
        <v>7.75</v>
      </c>
      <c r="G4800" s="2">
        <v>42048</v>
      </c>
      <c r="H4800">
        <v>8.2129999999999992</v>
      </c>
      <c r="J4800" s="2">
        <v>42055</v>
      </c>
      <c r="K4800" s="3">
        <f t="shared" si="148"/>
        <v>7.75</v>
      </c>
      <c r="L4800" s="3">
        <f t="shared" si="149"/>
        <v>8.2129999999999992</v>
      </c>
    </row>
    <row r="4801" spans="1:12" x14ac:dyDescent="0.3">
      <c r="A4801" s="2">
        <v>41318</v>
      </c>
      <c r="B4801" t="s">
        <v>13</v>
      </c>
      <c r="D4801" s="2">
        <v>42049</v>
      </c>
      <c r="E4801">
        <v>7.75</v>
      </c>
      <c r="G4801" s="2">
        <v>42049</v>
      </c>
      <c r="H4801">
        <v>8.2129999999999992</v>
      </c>
      <c r="J4801" s="2">
        <v>42056</v>
      </c>
      <c r="K4801" s="3">
        <f t="shared" si="148"/>
        <v>7.75</v>
      </c>
      <c r="L4801" s="3">
        <f t="shared" si="149"/>
        <v>8.2129999999999992</v>
      </c>
    </row>
    <row r="4802" spans="1:12" x14ac:dyDescent="0.3">
      <c r="A4802" s="2">
        <v>41319</v>
      </c>
      <c r="B4802" t="s">
        <v>13</v>
      </c>
      <c r="D4802" s="2">
        <v>42050</v>
      </c>
      <c r="E4802">
        <v>7.75</v>
      </c>
      <c r="G4802" s="2">
        <v>42050</v>
      </c>
      <c r="H4802">
        <v>8.2129999999999992</v>
      </c>
      <c r="J4802" s="2">
        <v>42057</v>
      </c>
      <c r="K4802" s="3">
        <f t="shared" si="148"/>
        <v>7.75</v>
      </c>
      <c r="L4802" s="3">
        <f t="shared" si="149"/>
        <v>8.2129999999999992</v>
      </c>
    </row>
    <row r="4803" spans="1:12" x14ac:dyDescent="0.3">
      <c r="A4803" s="2">
        <v>41320</v>
      </c>
      <c r="B4803" t="s">
        <v>13</v>
      </c>
      <c r="D4803" s="2">
        <v>42051</v>
      </c>
      <c r="E4803">
        <v>7.75</v>
      </c>
      <c r="G4803" s="2">
        <v>42051</v>
      </c>
      <c r="H4803">
        <v>8.2040000000000006</v>
      </c>
      <c r="J4803" s="2">
        <v>42058</v>
      </c>
      <c r="K4803" s="3">
        <f t="shared" ref="K4803:K4866" si="150">E4810</f>
        <v>7.75</v>
      </c>
      <c r="L4803" s="3">
        <f t="shared" ref="L4803:L4866" si="151">H4810</f>
        <v>8.2270000000000003</v>
      </c>
    </row>
    <row r="4804" spans="1:12" x14ac:dyDescent="0.3">
      <c r="A4804" s="2">
        <v>41321</v>
      </c>
      <c r="B4804" t="s">
        <v>13</v>
      </c>
      <c r="D4804" s="2">
        <v>42052</v>
      </c>
      <c r="E4804">
        <v>7.75</v>
      </c>
      <c r="G4804" s="2">
        <v>42052</v>
      </c>
      <c r="H4804">
        <v>8.2040000000000006</v>
      </c>
      <c r="J4804" s="2">
        <v>42059</v>
      </c>
      <c r="K4804" s="3">
        <f t="shared" si="150"/>
        <v>7.75</v>
      </c>
      <c r="L4804" s="3">
        <f t="shared" si="151"/>
        <v>8.2750000000000004</v>
      </c>
    </row>
    <row r="4805" spans="1:12" x14ac:dyDescent="0.3">
      <c r="A4805" s="2">
        <v>41322</v>
      </c>
      <c r="B4805" t="s">
        <v>13</v>
      </c>
      <c r="D4805" s="2">
        <v>42053</v>
      </c>
      <c r="E4805">
        <v>7.75</v>
      </c>
      <c r="G4805" s="2">
        <v>42053</v>
      </c>
      <c r="H4805">
        <v>8.2319999999999993</v>
      </c>
      <c r="J4805" s="2">
        <v>42060</v>
      </c>
      <c r="K4805" s="3">
        <f t="shared" si="150"/>
        <v>7.75</v>
      </c>
      <c r="L4805" s="3">
        <f t="shared" si="151"/>
        <v>8.327</v>
      </c>
    </row>
    <row r="4806" spans="1:12" x14ac:dyDescent="0.3">
      <c r="A4806" s="2">
        <v>41323</v>
      </c>
      <c r="B4806" t="s">
        <v>13</v>
      </c>
      <c r="D4806" s="2">
        <v>42054</v>
      </c>
      <c r="E4806">
        <v>7.75</v>
      </c>
      <c r="G4806" s="2">
        <v>42054</v>
      </c>
      <c r="H4806">
        <v>8.2319999999999993</v>
      </c>
      <c r="J4806" s="2">
        <v>42061</v>
      </c>
      <c r="K4806" s="3">
        <f t="shared" si="150"/>
        <v>7.75</v>
      </c>
      <c r="L4806" s="3">
        <f t="shared" si="151"/>
        <v>8.3729999999999993</v>
      </c>
    </row>
    <row r="4807" spans="1:12" x14ac:dyDescent="0.3">
      <c r="A4807" s="2">
        <v>41324</v>
      </c>
      <c r="B4807" t="s">
        <v>13</v>
      </c>
      <c r="D4807" s="2">
        <v>42055</v>
      </c>
      <c r="E4807">
        <v>7.75</v>
      </c>
      <c r="G4807" s="2">
        <v>42055</v>
      </c>
      <c r="H4807">
        <v>8.2129999999999992</v>
      </c>
      <c r="J4807" s="2">
        <v>42062</v>
      </c>
      <c r="K4807" s="3">
        <f t="shared" si="150"/>
        <v>7.75</v>
      </c>
      <c r="L4807" s="3">
        <f t="shared" si="151"/>
        <v>8.3979999999999997</v>
      </c>
    </row>
    <row r="4808" spans="1:12" x14ac:dyDescent="0.3">
      <c r="A4808" s="2">
        <v>41325</v>
      </c>
      <c r="B4808" t="s">
        <v>13</v>
      </c>
      <c r="D4808" s="2">
        <v>42056</v>
      </c>
      <c r="E4808">
        <v>7.75</v>
      </c>
      <c r="G4808" s="2">
        <v>42056</v>
      </c>
      <c r="H4808">
        <v>8.2129999999999992</v>
      </c>
      <c r="J4808" s="2">
        <v>42063</v>
      </c>
      <c r="K4808" s="3">
        <f t="shared" si="150"/>
        <v>7.75</v>
      </c>
      <c r="L4808" s="3">
        <f t="shared" si="151"/>
        <v>8.3979999999999997</v>
      </c>
    </row>
    <row r="4809" spans="1:12" x14ac:dyDescent="0.3">
      <c r="A4809" s="2">
        <v>41326</v>
      </c>
      <c r="B4809" t="s">
        <v>13</v>
      </c>
      <c r="D4809" s="2">
        <v>42057</v>
      </c>
      <c r="E4809">
        <v>7.75</v>
      </c>
      <c r="G4809" s="2">
        <v>42057</v>
      </c>
      <c r="H4809">
        <v>8.2129999999999992</v>
      </c>
      <c r="J4809" s="2">
        <v>42064</v>
      </c>
      <c r="K4809" s="3">
        <f t="shared" si="150"/>
        <v>7.75</v>
      </c>
      <c r="L4809" s="3">
        <f t="shared" si="151"/>
        <v>8.3979999999999997</v>
      </c>
    </row>
    <row r="4810" spans="1:12" x14ac:dyDescent="0.3">
      <c r="A4810" s="2">
        <v>41327</v>
      </c>
      <c r="B4810" t="s">
        <v>13</v>
      </c>
      <c r="D4810" s="2">
        <v>42058</v>
      </c>
      <c r="E4810">
        <v>7.75</v>
      </c>
      <c r="G4810" s="2">
        <v>42058</v>
      </c>
      <c r="H4810">
        <v>8.2270000000000003</v>
      </c>
      <c r="J4810" s="2">
        <v>42065</v>
      </c>
      <c r="K4810" s="3">
        <f t="shared" si="150"/>
        <v>7.75</v>
      </c>
      <c r="L4810" s="3">
        <f t="shared" si="151"/>
        <v>8.3889999999999993</v>
      </c>
    </row>
    <row r="4811" spans="1:12" x14ac:dyDescent="0.3">
      <c r="A4811" s="2">
        <v>41328</v>
      </c>
      <c r="B4811" t="s">
        <v>13</v>
      </c>
      <c r="D4811" s="2">
        <v>42059</v>
      </c>
      <c r="E4811">
        <v>7.75</v>
      </c>
      <c r="G4811" s="2">
        <v>42059</v>
      </c>
      <c r="H4811">
        <v>8.2750000000000004</v>
      </c>
      <c r="J4811" s="2">
        <v>42066</v>
      </c>
      <c r="K4811" s="3">
        <f t="shared" si="150"/>
        <v>7.75</v>
      </c>
      <c r="L4811" s="3">
        <f t="shared" si="151"/>
        <v>8.0310000000000006</v>
      </c>
    </row>
    <row r="4812" spans="1:12" x14ac:dyDescent="0.3">
      <c r="A4812" s="2">
        <v>41329</v>
      </c>
      <c r="B4812" t="s">
        <v>13</v>
      </c>
      <c r="D4812" s="2">
        <v>42060</v>
      </c>
      <c r="E4812">
        <v>7.75</v>
      </c>
      <c r="G4812" s="2">
        <v>42060</v>
      </c>
      <c r="H4812">
        <v>8.327</v>
      </c>
      <c r="J4812" s="2">
        <v>42067</v>
      </c>
      <c r="K4812" s="3">
        <f t="shared" si="150"/>
        <v>7.5</v>
      </c>
      <c r="L4812" s="3">
        <f t="shared" si="151"/>
        <v>7.8330000000000002</v>
      </c>
    </row>
    <row r="4813" spans="1:12" x14ac:dyDescent="0.3">
      <c r="A4813" s="2">
        <v>41330</v>
      </c>
      <c r="B4813" t="s">
        <v>13</v>
      </c>
      <c r="D4813" s="2">
        <v>42061</v>
      </c>
      <c r="E4813">
        <v>7.75</v>
      </c>
      <c r="G4813" s="2">
        <v>42061</v>
      </c>
      <c r="H4813">
        <v>8.3729999999999993</v>
      </c>
      <c r="J4813" s="2">
        <v>42068</v>
      </c>
      <c r="K4813" s="3">
        <f t="shared" si="150"/>
        <v>7.5</v>
      </c>
      <c r="L4813" s="3">
        <f t="shared" si="151"/>
        <v>7.9130000000000003</v>
      </c>
    </row>
    <row r="4814" spans="1:12" x14ac:dyDescent="0.3">
      <c r="A4814" s="2">
        <v>41331</v>
      </c>
      <c r="B4814" t="s">
        <v>13</v>
      </c>
      <c r="D4814" s="2">
        <v>42062</v>
      </c>
      <c r="E4814">
        <v>7.75</v>
      </c>
      <c r="G4814" s="2">
        <v>42062</v>
      </c>
      <c r="H4814">
        <v>8.3979999999999997</v>
      </c>
      <c r="J4814" s="2">
        <v>42069</v>
      </c>
      <c r="K4814" s="3">
        <f t="shared" si="150"/>
        <v>7.5</v>
      </c>
      <c r="L4814" s="3">
        <f t="shared" si="151"/>
        <v>7.9109999999999996</v>
      </c>
    </row>
    <row r="4815" spans="1:12" x14ac:dyDescent="0.3">
      <c r="A4815" s="2">
        <v>41332</v>
      </c>
      <c r="B4815" t="s">
        <v>13</v>
      </c>
      <c r="D4815" s="2">
        <v>42063</v>
      </c>
      <c r="E4815">
        <v>7.75</v>
      </c>
      <c r="G4815" s="2">
        <v>42063</v>
      </c>
      <c r="H4815">
        <v>8.3979999999999997</v>
      </c>
      <c r="J4815" s="2">
        <v>42070</v>
      </c>
      <c r="K4815" s="3">
        <f t="shared" si="150"/>
        <v>7.5</v>
      </c>
      <c r="L4815" s="3">
        <f t="shared" si="151"/>
        <v>7.9109999999999996</v>
      </c>
    </row>
    <row r="4816" spans="1:12" x14ac:dyDescent="0.3">
      <c r="A4816" s="2">
        <v>41333</v>
      </c>
      <c r="B4816" t="s">
        <v>13</v>
      </c>
      <c r="D4816" s="2">
        <v>42064</v>
      </c>
      <c r="E4816">
        <v>7.75</v>
      </c>
      <c r="G4816" s="2">
        <v>42064</v>
      </c>
      <c r="H4816">
        <v>8.3979999999999997</v>
      </c>
      <c r="J4816" s="2">
        <v>42071</v>
      </c>
      <c r="K4816" s="3">
        <f t="shared" si="150"/>
        <v>7.5</v>
      </c>
      <c r="L4816" s="3">
        <f t="shared" si="151"/>
        <v>7.9109999999999996</v>
      </c>
    </row>
    <row r="4817" spans="1:12" x14ac:dyDescent="0.3">
      <c r="A4817" s="2">
        <v>41334</v>
      </c>
      <c r="B4817" t="s">
        <v>13</v>
      </c>
      <c r="D4817" s="2">
        <v>42065</v>
      </c>
      <c r="E4817">
        <v>7.75</v>
      </c>
      <c r="G4817" s="2">
        <v>42065</v>
      </c>
      <c r="H4817">
        <v>8.3889999999999993</v>
      </c>
      <c r="J4817" s="2">
        <v>42072</v>
      </c>
      <c r="K4817" s="3">
        <f t="shared" si="150"/>
        <v>7.5</v>
      </c>
      <c r="L4817" s="3">
        <f t="shared" si="151"/>
        <v>7.915</v>
      </c>
    </row>
    <row r="4818" spans="1:12" x14ac:dyDescent="0.3">
      <c r="A4818" s="2">
        <v>41335</v>
      </c>
      <c r="B4818" t="s">
        <v>13</v>
      </c>
      <c r="D4818" s="2">
        <v>42066</v>
      </c>
      <c r="E4818">
        <v>7.75</v>
      </c>
      <c r="G4818" s="2">
        <v>42066</v>
      </c>
      <c r="H4818">
        <v>8.0310000000000006</v>
      </c>
      <c r="J4818" s="2">
        <v>42073</v>
      </c>
      <c r="K4818" s="3">
        <f t="shared" si="150"/>
        <v>7.5</v>
      </c>
      <c r="L4818" s="3">
        <f t="shared" si="151"/>
        <v>7.9450000000000003</v>
      </c>
    </row>
    <row r="4819" spans="1:12" x14ac:dyDescent="0.3">
      <c r="A4819" s="2">
        <v>41336</v>
      </c>
      <c r="B4819" t="s">
        <v>13</v>
      </c>
      <c r="D4819" s="2">
        <v>42067</v>
      </c>
      <c r="E4819">
        <v>7.5</v>
      </c>
      <c r="G4819" s="2">
        <v>42067</v>
      </c>
      <c r="H4819">
        <v>7.8330000000000002</v>
      </c>
      <c r="J4819" s="2">
        <v>42074</v>
      </c>
      <c r="K4819" s="3">
        <f t="shared" si="150"/>
        <v>7.5</v>
      </c>
      <c r="L4819" s="3">
        <f t="shared" si="151"/>
        <v>7.9379999999999997</v>
      </c>
    </row>
    <row r="4820" spans="1:12" x14ac:dyDescent="0.3">
      <c r="A4820" s="2">
        <v>41337</v>
      </c>
      <c r="B4820" t="s">
        <v>13</v>
      </c>
      <c r="D4820" s="2">
        <v>42068</v>
      </c>
      <c r="E4820">
        <v>7.5</v>
      </c>
      <c r="G4820" s="2">
        <v>42068</v>
      </c>
      <c r="H4820">
        <v>7.9130000000000003</v>
      </c>
      <c r="J4820" s="2">
        <v>42075</v>
      </c>
      <c r="K4820" s="3">
        <f t="shared" si="150"/>
        <v>7.5</v>
      </c>
      <c r="L4820" s="3">
        <f t="shared" si="151"/>
        <v>7.9450000000000003</v>
      </c>
    </row>
    <row r="4821" spans="1:12" x14ac:dyDescent="0.3">
      <c r="A4821" s="2">
        <v>41338</v>
      </c>
      <c r="B4821" t="s">
        <v>13</v>
      </c>
      <c r="D4821" s="2">
        <v>42069</v>
      </c>
      <c r="E4821">
        <v>7.5</v>
      </c>
      <c r="G4821" s="2">
        <v>42069</v>
      </c>
      <c r="H4821">
        <v>7.9109999999999996</v>
      </c>
      <c r="J4821" s="2">
        <v>42076</v>
      </c>
      <c r="K4821" s="3">
        <f t="shared" si="150"/>
        <v>7.5</v>
      </c>
      <c r="L4821" s="3">
        <f t="shared" si="151"/>
        <v>7.9880000000000004</v>
      </c>
    </row>
    <row r="4822" spans="1:12" x14ac:dyDescent="0.3">
      <c r="A4822" s="2">
        <v>41339</v>
      </c>
      <c r="B4822" t="s">
        <v>13</v>
      </c>
      <c r="D4822" s="2">
        <v>42070</v>
      </c>
      <c r="E4822">
        <v>7.5</v>
      </c>
      <c r="G4822" s="2">
        <v>42070</v>
      </c>
      <c r="H4822">
        <v>7.9109999999999996</v>
      </c>
      <c r="J4822" s="2">
        <v>42077</v>
      </c>
      <c r="K4822" s="3">
        <f t="shared" si="150"/>
        <v>7.5</v>
      </c>
      <c r="L4822" s="3">
        <f t="shared" si="151"/>
        <v>7.9880000000000004</v>
      </c>
    </row>
    <row r="4823" spans="1:12" x14ac:dyDescent="0.3">
      <c r="A4823" s="2">
        <v>41340</v>
      </c>
      <c r="B4823" t="s">
        <v>13</v>
      </c>
      <c r="D4823" s="2">
        <v>42071</v>
      </c>
      <c r="E4823">
        <v>7.5</v>
      </c>
      <c r="G4823" s="2">
        <v>42071</v>
      </c>
      <c r="H4823">
        <v>7.9109999999999996</v>
      </c>
      <c r="J4823" s="2">
        <v>42078</v>
      </c>
      <c r="K4823" s="3">
        <f t="shared" si="150"/>
        <v>7.5</v>
      </c>
      <c r="L4823" s="3">
        <f t="shared" si="151"/>
        <v>7.9880000000000004</v>
      </c>
    </row>
    <row r="4824" spans="1:12" x14ac:dyDescent="0.3">
      <c r="A4824" s="2">
        <v>41341</v>
      </c>
      <c r="B4824" t="s">
        <v>13</v>
      </c>
      <c r="D4824" s="2">
        <v>42072</v>
      </c>
      <c r="E4824">
        <v>7.5</v>
      </c>
      <c r="G4824" s="2">
        <v>42072</v>
      </c>
      <c r="H4824">
        <v>7.915</v>
      </c>
      <c r="J4824" s="2">
        <v>42079</v>
      </c>
      <c r="K4824" s="3">
        <f t="shared" si="150"/>
        <v>7.5</v>
      </c>
      <c r="L4824" s="3">
        <f t="shared" si="151"/>
        <v>7.9880000000000004</v>
      </c>
    </row>
    <row r="4825" spans="1:12" x14ac:dyDescent="0.3">
      <c r="A4825" s="2">
        <v>41342</v>
      </c>
      <c r="B4825" t="s">
        <v>13</v>
      </c>
      <c r="D4825" s="2">
        <v>42073</v>
      </c>
      <c r="E4825">
        <v>7.5</v>
      </c>
      <c r="G4825" s="2">
        <v>42073</v>
      </c>
      <c r="H4825">
        <v>7.9450000000000003</v>
      </c>
      <c r="J4825" s="2">
        <v>42080</v>
      </c>
      <c r="K4825" s="3">
        <f t="shared" si="150"/>
        <v>7.5</v>
      </c>
      <c r="L4825" s="3">
        <f t="shared" si="151"/>
        <v>7.9710000000000001</v>
      </c>
    </row>
    <row r="4826" spans="1:12" x14ac:dyDescent="0.3">
      <c r="A4826" s="2">
        <v>41343</v>
      </c>
      <c r="B4826" t="s">
        <v>13</v>
      </c>
      <c r="D4826" s="2">
        <v>42074</v>
      </c>
      <c r="E4826">
        <v>7.5</v>
      </c>
      <c r="G4826" s="2">
        <v>42074</v>
      </c>
      <c r="H4826">
        <v>7.9379999999999997</v>
      </c>
      <c r="J4826" s="2">
        <v>42081</v>
      </c>
      <c r="K4826" s="3">
        <f t="shared" si="150"/>
        <v>7.5</v>
      </c>
      <c r="L4826" s="3">
        <f t="shared" si="151"/>
        <v>7.9740000000000002</v>
      </c>
    </row>
    <row r="4827" spans="1:12" x14ac:dyDescent="0.3">
      <c r="A4827" s="2">
        <v>41344</v>
      </c>
      <c r="B4827" t="s">
        <v>13</v>
      </c>
      <c r="D4827" s="2">
        <v>42075</v>
      </c>
      <c r="E4827">
        <v>7.5</v>
      </c>
      <c r="G4827" s="2">
        <v>42075</v>
      </c>
      <c r="H4827">
        <v>7.9450000000000003</v>
      </c>
      <c r="J4827" s="2">
        <v>42082</v>
      </c>
      <c r="K4827" s="3">
        <f t="shared" si="150"/>
        <v>7.5</v>
      </c>
      <c r="L4827" s="3">
        <f t="shared" si="151"/>
        <v>7.931</v>
      </c>
    </row>
    <row r="4828" spans="1:12" x14ac:dyDescent="0.3">
      <c r="A4828" s="2">
        <v>41345</v>
      </c>
      <c r="B4828" t="s">
        <v>13</v>
      </c>
      <c r="D4828" s="2">
        <v>42076</v>
      </c>
      <c r="E4828">
        <v>7.5</v>
      </c>
      <c r="G4828" s="2">
        <v>42076</v>
      </c>
      <c r="H4828">
        <v>7.9880000000000004</v>
      </c>
      <c r="J4828" s="2">
        <v>42083</v>
      </c>
      <c r="K4828" s="3">
        <f t="shared" si="150"/>
        <v>7.5</v>
      </c>
      <c r="L4828" s="3">
        <f t="shared" si="151"/>
        <v>7.8940000000000001</v>
      </c>
    </row>
    <row r="4829" spans="1:12" x14ac:dyDescent="0.3">
      <c r="A4829" s="2">
        <v>41346</v>
      </c>
      <c r="B4829" t="s">
        <v>13</v>
      </c>
      <c r="D4829" s="2">
        <v>42077</v>
      </c>
      <c r="E4829">
        <v>7.5</v>
      </c>
      <c r="G4829" s="2">
        <v>42077</v>
      </c>
      <c r="H4829">
        <v>7.9880000000000004</v>
      </c>
      <c r="J4829" s="2">
        <v>42084</v>
      </c>
      <c r="K4829" s="3">
        <f t="shared" si="150"/>
        <v>7.5</v>
      </c>
      <c r="L4829" s="3">
        <f t="shared" si="151"/>
        <v>7.8940000000000001</v>
      </c>
    </row>
    <row r="4830" spans="1:12" x14ac:dyDescent="0.3">
      <c r="A4830" s="2">
        <v>41347</v>
      </c>
      <c r="B4830" t="s">
        <v>13</v>
      </c>
      <c r="D4830" s="2">
        <v>42078</v>
      </c>
      <c r="E4830">
        <v>7.5</v>
      </c>
      <c r="G4830" s="2">
        <v>42078</v>
      </c>
      <c r="H4830">
        <v>7.9880000000000004</v>
      </c>
      <c r="J4830" s="2">
        <v>42085</v>
      </c>
      <c r="K4830" s="3">
        <f t="shared" si="150"/>
        <v>7.5</v>
      </c>
      <c r="L4830" s="3">
        <f t="shared" si="151"/>
        <v>7.8940000000000001</v>
      </c>
    </row>
    <row r="4831" spans="1:12" x14ac:dyDescent="0.3">
      <c r="A4831" s="2">
        <v>41348</v>
      </c>
      <c r="B4831" t="s">
        <v>13</v>
      </c>
      <c r="D4831" s="2">
        <v>42079</v>
      </c>
      <c r="E4831">
        <v>7.5</v>
      </c>
      <c r="G4831" s="2">
        <v>42079</v>
      </c>
      <c r="H4831">
        <v>7.9880000000000004</v>
      </c>
      <c r="J4831" s="2">
        <v>42086</v>
      </c>
      <c r="K4831" s="3">
        <f t="shared" si="150"/>
        <v>7.5</v>
      </c>
      <c r="L4831" s="3">
        <f t="shared" si="151"/>
        <v>7.9340000000000002</v>
      </c>
    </row>
    <row r="4832" spans="1:12" x14ac:dyDescent="0.3">
      <c r="A4832" s="2">
        <v>41349</v>
      </c>
      <c r="B4832" t="s">
        <v>13</v>
      </c>
      <c r="D4832" s="2">
        <v>42080</v>
      </c>
      <c r="E4832">
        <v>7.5</v>
      </c>
      <c r="G4832" s="2">
        <v>42080</v>
      </c>
      <c r="H4832">
        <v>7.9710000000000001</v>
      </c>
      <c r="J4832" s="2">
        <v>42087</v>
      </c>
      <c r="K4832" s="3">
        <f t="shared" si="150"/>
        <v>7.5</v>
      </c>
      <c r="L4832" s="3">
        <f t="shared" si="151"/>
        <v>7.9349999999999996</v>
      </c>
    </row>
    <row r="4833" spans="1:12" x14ac:dyDescent="0.3">
      <c r="A4833" s="2">
        <v>41350</v>
      </c>
      <c r="B4833" t="s">
        <v>13</v>
      </c>
      <c r="D4833" s="2">
        <v>42081</v>
      </c>
      <c r="E4833">
        <v>7.5</v>
      </c>
      <c r="G4833" s="2">
        <v>42081</v>
      </c>
      <c r="H4833">
        <v>7.9740000000000002</v>
      </c>
      <c r="J4833" s="2">
        <v>42088</v>
      </c>
      <c r="K4833" s="3">
        <f t="shared" si="150"/>
        <v>7.5</v>
      </c>
      <c r="L4833" s="3">
        <f t="shared" si="151"/>
        <v>7.9249999999999998</v>
      </c>
    </row>
    <row r="4834" spans="1:12" x14ac:dyDescent="0.3">
      <c r="A4834" s="2">
        <v>41351</v>
      </c>
      <c r="B4834" t="s">
        <v>13</v>
      </c>
      <c r="D4834" s="2">
        <v>42082</v>
      </c>
      <c r="E4834">
        <v>7.5</v>
      </c>
      <c r="G4834" s="2">
        <v>42082</v>
      </c>
      <c r="H4834">
        <v>7.931</v>
      </c>
      <c r="J4834" s="2">
        <v>42089</v>
      </c>
      <c r="K4834" s="3">
        <f t="shared" si="150"/>
        <v>7.5</v>
      </c>
      <c r="L4834" s="3">
        <f t="shared" si="151"/>
        <v>7.9210000000000003</v>
      </c>
    </row>
    <row r="4835" spans="1:12" x14ac:dyDescent="0.3">
      <c r="A4835" s="2">
        <v>41352</v>
      </c>
      <c r="B4835" t="s">
        <v>13</v>
      </c>
      <c r="D4835" s="2">
        <v>42083</v>
      </c>
      <c r="E4835">
        <v>7.5</v>
      </c>
      <c r="G4835" s="2">
        <v>42083</v>
      </c>
      <c r="H4835">
        <v>7.8940000000000001</v>
      </c>
      <c r="J4835" s="2">
        <v>42090</v>
      </c>
      <c r="K4835" s="3">
        <f t="shared" si="150"/>
        <v>7.5</v>
      </c>
      <c r="L4835" s="3">
        <f t="shared" si="151"/>
        <v>7.8920000000000003</v>
      </c>
    </row>
    <row r="4836" spans="1:12" x14ac:dyDescent="0.3">
      <c r="A4836" s="2">
        <v>41353</v>
      </c>
      <c r="B4836" t="s">
        <v>13</v>
      </c>
      <c r="D4836" s="2">
        <v>42084</v>
      </c>
      <c r="E4836">
        <v>7.5</v>
      </c>
      <c r="G4836" s="2">
        <v>42084</v>
      </c>
      <c r="H4836">
        <v>7.8940000000000001</v>
      </c>
      <c r="J4836" s="2">
        <v>42091</v>
      </c>
      <c r="K4836" s="3">
        <f t="shared" si="150"/>
        <v>7.5</v>
      </c>
      <c r="L4836" s="3">
        <f t="shared" si="151"/>
        <v>7.8920000000000003</v>
      </c>
    </row>
    <row r="4837" spans="1:12" x14ac:dyDescent="0.3">
      <c r="A4837" s="2">
        <v>41354</v>
      </c>
      <c r="B4837" t="s">
        <v>13</v>
      </c>
      <c r="D4837" s="2">
        <v>42085</v>
      </c>
      <c r="E4837">
        <v>7.5</v>
      </c>
      <c r="G4837" s="2">
        <v>42085</v>
      </c>
      <c r="H4837">
        <v>7.8940000000000001</v>
      </c>
      <c r="J4837" s="2">
        <v>42092</v>
      </c>
      <c r="K4837" s="3">
        <f t="shared" si="150"/>
        <v>7.5</v>
      </c>
      <c r="L4837" s="3">
        <f t="shared" si="151"/>
        <v>7.8920000000000003</v>
      </c>
    </row>
    <row r="4838" spans="1:12" x14ac:dyDescent="0.3">
      <c r="A4838" s="2">
        <v>41355</v>
      </c>
      <c r="B4838" t="s">
        <v>13</v>
      </c>
      <c r="D4838" s="2">
        <v>42086</v>
      </c>
      <c r="E4838">
        <v>7.5</v>
      </c>
      <c r="G4838" s="2">
        <v>42086</v>
      </c>
      <c r="H4838">
        <v>7.9340000000000002</v>
      </c>
      <c r="J4838" s="2">
        <v>42093</v>
      </c>
      <c r="K4838" s="3">
        <f t="shared" si="150"/>
        <v>7.5</v>
      </c>
      <c r="L4838" s="3">
        <f t="shared" si="151"/>
        <v>7.9059999999999997</v>
      </c>
    </row>
    <row r="4839" spans="1:12" x14ac:dyDescent="0.3">
      <c r="A4839" s="2">
        <v>41356</v>
      </c>
      <c r="B4839" t="s">
        <v>13</v>
      </c>
      <c r="D4839" s="2">
        <v>42087</v>
      </c>
      <c r="E4839">
        <v>7.5</v>
      </c>
      <c r="G4839" s="2">
        <v>42087</v>
      </c>
      <c r="H4839">
        <v>7.9349999999999996</v>
      </c>
      <c r="J4839" s="2">
        <v>42094</v>
      </c>
      <c r="K4839" s="3">
        <f t="shared" si="150"/>
        <v>7.5</v>
      </c>
      <c r="L4839" s="3">
        <f t="shared" si="151"/>
        <v>7.8780000000000001</v>
      </c>
    </row>
    <row r="4840" spans="1:12" x14ac:dyDescent="0.3">
      <c r="A4840" s="2">
        <v>41357</v>
      </c>
      <c r="B4840" t="s">
        <v>13</v>
      </c>
      <c r="D4840" s="2">
        <v>42088</v>
      </c>
      <c r="E4840">
        <v>7.5</v>
      </c>
      <c r="G4840" s="2">
        <v>42088</v>
      </c>
      <c r="H4840">
        <v>7.9249999999999998</v>
      </c>
      <c r="J4840" s="2">
        <v>42095</v>
      </c>
      <c r="K4840" s="3">
        <f t="shared" si="150"/>
        <v>7.5</v>
      </c>
      <c r="L4840" s="3">
        <f t="shared" si="151"/>
        <v>7.8970000000000002</v>
      </c>
    </row>
    <row r="4841" spans="1:12" x14ac:dyDescent="0.3">
      <c r="A4841" s="2">
        <v>41358</v>
      </c>
      <c r="B4841" t="s">
        <v>13</v>
      </c>
      <c r="D4841" s="2">
        <v>42089</v>
      </c>
      <c r="E4841">
        <v>7.5</v>
      </c>
      <c r="G4841" s="2">
        <v>42089</v>
      </c>
      <c r="H4841">
        <v>7.9210000000000003</v>
      </c>
      <c r="J4841" s="2">
        <v>42096</v>
      </c>
      <c r="K4841" s="3">
        <f t="shared" si="150"/>
        <v>7.5</v>
      </c>
      <c r="L4841" s="3">
        <f t="shared" si="151"/>
        <v>7.8970000000000002</v>
      </c>
    </row>
    <row r="4842" spans="1:12" x14ac:dyDescent="0.3">
      <c r="A4842" s="2">
        <v>41359</v>
      </c>
      <c r="B4842" t="s">
        <v>13</v>
      </c>
      <c r="D4842" s="2">
        <v>42090</v>
      </c>
      <c r="E4842">
        <v>7.5</v>
      </c>
      <c r="G4842" s="2">
        <v>42090</v>
      </c>
      <c r="H4842">
        <v>7.8920000000000003</v>
      </c>
      <c r="J4842" s="2">
        <v>42097</v>
      </c>
      <c r="K4842" s="3">
        <f t="shared" si="150"/>
        <v>7.5</v>
      </c>
      <c r="L4842" s="3">
        <f t="shared" si="151"/>
        <v>7.8970000000000002</v>
      </c>
    </row>
    <row r="4843" spans="1:12" x14ac:dyDescent="0.3">
      <c r="A4843" s="2">
        <v>41360</v>
      </c>
      <c r="B4843" t="s">
        <v>13</v>
      </c>
      <c r="D4843" s="2">
        <v>42091</v>
      </c>
      <c r="E4843">
        <v>7.5</v>
      </c>
      <c r="G4843" s="2">
        <v>42091</v>
      </c>
      <c r="H4843">
        <v>7.8920000000000003</v>
      </c>
      <c r="J4843" s="2">
        <v>42098</v>
      </c>
      <c r="K4843" s="3">
        <f t="shared" si="150"/>
        <v>7.5</v>
      </c>
      <c r="L4843" s="3">
        <f t="shared" si="151"/>
        <v>7.8970000000000002</v>
      </c>
    </row>
    <row r="4844" spans="1:12" x14ac:dyDescent="0.3">
      <c r="A4844" s="2">
        <v>41361</v>
      </c>
      <c r="B4844" t="s">
        <v>13</v>
      </c>
      <c r="D4844" s="2">
        <v>42092</v>
      </c>
      <c r="E4844">
        <v>7.5</v>
      </c>
      <c r="G4844" s="2">
        <v>42092</v>
      </c>
      <c r="H4844">
        <v>7.8920000000000003</v>
      </c>
      <c r="J4844" s="2">
        <v>42099</v>
      </c>
      <c r="K4844" s="3">
        <f t="shared" si="150"/>
        <v>7.5</v>
      </c>
      <c r="L4844" s="3">
        <f t="shared" si="151"/>
        <v>7.8970000000000002</v>
      </c>
    </row>
    <row r="4845" spans="1:12" x14ac:dyDescent="0.3">
      <c r="A4845" s="2">
        <v>41362</v>
      </c>
      <c r="B4845" t="s">
        <v>13</v>
      </c>
      <c r="D4845" s="2">
        <v>42093</v>
      </c>
      <c r="E4845">
        <v>7.5</v>
      </c>
      <c r="G4845" s="2">
        <v>42093</v>
      </c>
      <c r="H4845">
        <v>7.9059999999999997</v>
      </c>
      <c r="J4845" s="2">
        <v>42100</v>
      </c>
      <c r="K4845" s="3">
        <f t="shared" si="150"/>
        <v>7.5</v>
      </c>
      <c r="L4845" s="3">
        <f t="shared" si="151"/>
        <v>7.8120000000000003</v>
      </c>
    </row>
    <row r="4846" spans="1:12" x14ac:dyDescent="0.3">
      <c r="A4846" s="2">
        <v>41363</v>
      </c>
      <c r="B4846" t="s">
        <v>13</v>
      </c>
      <c r="D4846" s="2">
        <v>42094</v>
      </c>
      <c r="E4846">
        <v>7.5</v>
      </c>
      <c r="G4846" s="2">
        <v>42094</v>
      </c>
      <c r="H4846">
        <v>7.8780000000000001</v>
      </c>
      <c r="J4846" s="2">
        <v>42101</v>
      </c>
      <c r="K4846" s="3">
        <f t="shared" si="150"/>
        <v>7.5</v>
      </c>
      <c r="L4846" s="3">
        <f t="shared" si="151"/>
        <v>7.891</v>
      </c>
    </row>
    <row r="4847" spans="1:12" x14ac:dyDescent="0.3">
      <c r="A4847" s="2">
        <v>41364</v>
      </c>
      <c r="B4847" t="s">
        <v>13</v>
      </c>
      <c r="D4847" s="2">
        <v>42095</v>
      </c>
      <c r="E4847">
        <v>7.5</v>
      </c>
      <c r="G4847" s="2">
        <v>42095</v>
      </c>
      <c r="H4847">
        <v>7.8970000000000002</v>
      </c>
      <c r="J4847" s="2">
        <v>42102</v>
      </c>
      <c r="K4847" s="3">
        <f t="shared" si="150"/>
        <v>7.5</v>
      </c>
      <c r="L4847" s="3">
        <f t="shared" si="151"/>
        <v>7.8780000000000001</v>
      </c>
    </row>
    <row r="4848" spans="1:12" x14ac:dyDescent="0.3">
      <c r="A4848" s="2">
        <v>41365</v>
      </c>
      <c r="B4848" t="s">
        <v>13</v>
      </c>
      <c r="D4848" s="2">
        <v>42096</v>
      </c>
      <c r="E4848">
        <v>7.5</v>
      </c>
      <c r="G4848" s="2">
        <v>42096</v>
      </c>
      <c r="H4848">
        <v>7.8970000000000002</v>
      </c>
      <c r="J4848" s="2">
        <v>42103</v>
      </c>
      <c r="K4848" s="3">
        <f t="shared" si="150"/>
        <v>7.5</v>
      </c>
      <c r="L4848" s="3">
        <f t="shared" si="151"/>
        <v>7.8959999999999999</v>
      </c>
    </row>
    <row r="4849" spans="1:12" x14ac:dyDescent="0.3">
      <c r="A4849" s="2">
        <v>41366</v>
      </c>
      <c r="B4849" t="s">
        <v>13</v>
      </c>
      <c r="D4849" s="2">
        <v>42097</v>
      </c>
      <c r="E4849">
        <v>7.5</v>
      </c>
      <c r="G4849" s="2">
        <v>42097</v>
      </c>
      <c r="H4849">
        <v>7.8970000000000002</v>
      </c>
      <c r="J4849" s="2">
        <v>42104</v>
      </c>
      <c r="K4849" s="3">
        <f t="shared" si="150"/>
        <v>7.5</v>
      </c>
      <c r="L4849" s="3">
        <f t="shared" si="151"/>
        <v>7.9020000000000001</v>
      </c>
    </row>
    <row r="4850" spans="1:12" x14ac:dyDescent="0.3">
      <c r="A4850" s="2">
        <v>41367</v>
      </c>
      <c r="B4850" t="s">
        <v>13</v>
      </c>
      <c r="D4850" s="2">
        <v>42098</v>
      </c>
      <c r="E4850">
        <v>7.5</v>
      </c>
      <c r="G4850" s="2">
        <v>42098</v>
      </c>
      <c r="H4850">
        <v>7.8970000000000002</v>
      </c>
      <c r="J4850" s="2">
        <v>42105</v>
      </c>
      <c r="K4850" s="3">
        <f t="shared" si="150"/>
        <v>7.5</v>
      </c>
      <c r="L4850" s="3">
        <f t="shared" si="151"/>
        <v>7.9020000000000001</v>
      </c>
    </row>
    <row r="4851" spans="1:12" x14ac:dyDescent="0.3">
      <c r="A4851" s="2">
        <v>41368</v>
      </c>
      <c r="B4851" t="s">
        <v>13</v>
      </c>
      <c r="D4851" s="2">
        <v>42099</v>
      </c>
      <c r="E4851">
        <v>7.5</v>
      </c>
      <c r="G4851" s="2">
        <v>42099</v>
      </c>
      <c r="H4851">
        <v>7.8970000000000002</v>
      </c>
      <c r="J4851" s="2">
        <v>42106</v>
      </c>
      <c r="K4851" s="3">
        <f t="shared" si="150"/>
        <v>7.5</v>
      </c>
      <c r="L4851" s="3">
        <f t="shared" si="151"/>
        <v>7.9020000000000001</v>
      </c>
    </row>
    <row r="4852" spans="1:12" x14ac:dyDescent="0.3">
      <c r="A4852" s="2">
        <v>41369</v>
      </c>
      <c r="B4852" t="s">
        <v>13</v>
      </c>
      <c r="D4852" s="2">
        <v>42100</v>
      </c>
      <c r="E4852">
        <v>7.5</v>
      </c>
      <c r="G4852" s="2">
        <v>42100</v>
      </c>
      <c r="H4852">
        <v>7.8120000000000003</v>
      </c>
      <c r="J4852" s="2">
        <v>42107</v>
      </c>
      <c r="K4852" s="3">
        <f t="shared" si="150"/>
        <v>7.5</v>
      </c>
      <c r="L4852" s="3">
        <f t="shared" si="151"/>
        <v>7.9189999999999996</v>
      </c>
    </row>
    <row r="4853" spans="1:12" x14ac:dyDescent="0.3">
      <c r="A4853" s="2">
        <v>41370</v>
      </c>
      <c r="B4853" t="s">
        <v>13</v>
      </c>
      <c r="D4853" s="2">
        <v>42101</v>
      </c>
      <c r="E4853">
        <v>7.5</v>
      </c>
      <c r="G4853" s="2">
        <v>42101</v>
      </c>
      <c r="H4853">
        <v>7.891</v>
      </c>
      <c r="J4853" s="2">
        <v>42108</v>
      </c>
      <c r="K4853" s="3">
        <f t="shared" si="150"/>
        <v>7.5</v>
      </c>
      <c r="L4853" s="3">
        <f t="shared" si="151"/>
        <v>7.9189999999999996</v>
      </c>
    </row>
    <row r="4854" spans="1:12" x14ac:dyDescent="0.3">
      <c r="A4854" s="2">
        <v>41371</v>
      </c>
      <c r="B4854" t="s">
        <v>13</v>
      </c>
      <c r="D4854" s="2">
        <v>42102</v>
      </c>
      <c r="E4854">
        <v>7.5</v>
      </c>
      <c r="G4854" s="2">
        <v>42102</v>
      </c>
      <c r="H4854">
        <v>7.8780000000000001</v>
      </c>
      <c r="J4854" s="2">
        <v>42109</v>
      </c>
      <c r="K4854" s="3">
        <f t="shared" si="150"/>
        <v>7.5</v>
      </c>
      <c r="L4854" s="3">
        <f t="shared" si="151"/>
        <v>7.8719999999999999</v>
      </c>
    </row>
    <row r="4855" spans="1:12" x14ac:dyDescent="0.3">
      <c r="A4855" s="2">
        <v>41372</v>
      </c>
      <c r="B4855" t="s">
        <v>13</v>
      </c>
      <c r="D4855" s="2">
        <v>42103</v>
      </c>
      <c r="E4855">
        <v>7.5</v>
      </c>
      <c r="G4855" s="2">
        <v>42103</v>
      </c>
      <c r="H4855">
        <v>7.8959999999999999</v>
      </c>
      <c r="J4855" s="2">
        <v>42110</v>
      </c>
      <c r="K4855" s="3">
        <f t="shared" si="150"/>
        <v>7.5</v>
      </c>
      <c r="L4855" s="3">
        <f t="shared" si="151"/>
        <v>7.8849999999999998</v>
      </c>
    </row>
    <row r="4856" spans="1:12" x14ac:dyDescent="0.3">
      <c r="A4856" s="2">
        <v>41373</v>
      </c>
      <c r="B4856" t="s">
        <v>13</v>
      </c>
      <c r="D4856" s="2">
        <v>42104</v>
      </c>
      <c r="E4856">
        <v>7.5</v>
      </c>
      <c r="G4856" s="2">
        <v>42104</v>
      </c>
      <c r="H4856">
        <v>7.9020000000000001</v>
      </c>
      <c r="J4856" s="2">
        <v>42111</v>
      </c>
      <c r="K4856" s="3">
        <f t="shared" si="150"/>
        <v>7.5</v>
      </c>
      <c r="L4856" s="3">
        <f t="shared" si="151"/>
        <v>7.8959999999999999</v>
      </c>
    </row>
    <row r="4857" spans="1:12" x14ac:dyDescent="0.3">
      <c r="A4857" s="2">
        <v>41374</v>
      </c>
      <c r="B4857" t="s">
        <v>13</v>
      </c>
      <c r="D4857" s="2">
        <v>42105</v>
      </c>
      <c r="E4857">
        <v>7.5</v>
      </c>
      <c r="G4857" s="2">
        <v>42105</v>
      </c>
      <c r="H4857">
        <v>7.9020000000000001</v>
      </c>
      <c r="J4857" s="2">
        <v>42112</v>
      </c>
      <c r="K4857" s="3">
        <f t="shared" si="150"/>
        <v>7.5</v>
      </c>
      <c r="L4857" s="3">
        <f t="shared" si="151"/>
        <v>7.8959999999999999</v>
      </c>
    </row>
    <row r="4858" spans="1:12" x14ac:dyDescent="0.3">
      <c r="A4858" s="2">
        <v>41375</v>
      </c>
      <c r="B4858" t="s">
        <v>13</v>
      </c>
      <c r="D4858" s="2">
        <v>42106</v>
      </c>
      <c r="E4858">
        <v>7.5</v>
      </c>
      <c r="G4858" s="2">
        <v>42106</v>
      </c>
      <c r="H4858">
        <v>7.9020000000000001</v>
      </c>
      <c r="J4858" s="2">
        <v>42113</v>
      </c>
      <c r="K4858" s="3">
        <f t="shared" si="150"/>
        <v>7.5</v>
      </c>
      <c r="L4858" s="3">
        <f t="shared" si="151"/>
        <v>7.8959999999999999</v>
      </c>
    </row>
    <row r="4859" spans="1:12" x14ac:dyDescent="0.3">
      <c r="A4859" s="2">
        <v>41376</v>
      </c>
      <c r="B4859" t="s">
        <v>13</v>
      </c>
      <c r="D4859" s="2">
        <v>42107</v>
      </c>
      <c r="E4859">
        <v>7.5</v>
      </c>
      <c r="G4859" s="2">
        <v>42107</v>
      </c>
      <c r="H4859">
        <v>7.9189999999999996</v>
      </c>
      <c r="J4859" s="2">
        <v>42114</v>
      </c>
      <c r="K4859" s="3">
        <f t="shared" si="150"/>
        <v>7.5</v>
      </c>
      <c r="L4859" s="3">
        <f t="shared" si="151"/>
        <v>7.883</v>
      </c>
    </row>
    <row r="4860" spans="1:12" x14ac:dyDescent="0.3">
      <c r="A4860" s="2">
        <v>41377</v>
      </c>
      <c r="B4860" t="s">
        <v>13</v>
      </c>
      <c r="D4860" s="2">
        <v>42108</v>
      </c>
      <c r="E4860">
        <v>7.5</v>
      </c>
      <c r="G4860" s="2">
        <v>42108</v>
      </c>
      <c r="H4860">
        <v>7.9189999999999996</v>
      </c>
      <c r="J4860" s="2">
        <v>42115</v>
      </c>
      <c r="K4860" s="3">
        <f t="shared" si="150"/>
        <v>7.5</v>
      </c>
      <c r="L4860" s="3">
        <f t="shared" si="151"/>
        <v>7.8810000000000002</v>
      </c>
    </row>
    <row r="4861" spans="1:12" x14ac:dyDescent="0.3">
      <c r="A4861" s="2">
        <v>41378</v>
      </c>
      <c r="B4861" t="s">
        <v>13</v>
      </c>
      <c r="D4861" s="2">
        <v>42109</v>
      </c>
      <c r="E4861">
        <v>7.5</v>
      </c>
      <c r="G4861" s="2">
        <v>42109</v>
      </c>
      <c r="H4861">
        <v>7.8719999999999999</v>
      </c>
      <c r="J4861" s="2">
        <v>42116</v>
      </c>
      <c r="K4861" s="3">
        <f t="shared" si="150"/>
        <v>7.5</v>
      </c>
      <c r="L4861" s="3">
        <f t="shared" si="151"/>
        <v>7.8609999999999998</v>
      </c>
    </row>
    <row r="4862" spans="1:12" x14ac:dyDescent="0.3">
      <c r="A4862" s="2">
        <v>41379</v>
      </c>
      <c r="B4862" t="s">
        <v>13</v>
      </c>
      <c r="D4862" s="2">
        <v>42110</v>
      </c>
      <c r="E4862">
        <v>7.5</v>
      </c>
      <c r="G4862" s="2">
        <v>42110</v>
      </c>
      <c r="H4862">
        <v>7.8849999999999998</v>
      </c>
      <c r="J4862" s="2">
        <v>42117</v>
      </c>
      <c r="K4862" s="3">
        <f t="shared" si="150"/>
        <v>7.5</v>
      </c>
      <c r="L4862" s="3">
        <f t="shared" si="151"/>
        <v>7.8470000000000004</v>
      </c>
    </row>
    <row r="4863" spans="1:12" x14ac:dyDescent="0.3">
      <c r="A4863" s="2">
        <v>41380</v>
      </c>
      <c r="B4863" t="s">
        <v>13</v>
      </c>
      <c r="D4863" s="2">
        <v>42111</v>
      </c>
      <c r="E4863">
        <v>7.5</v>
      </c>
      <c r="G4863" s="2">
        <v>42111</v>
      </c>
      <c r="H4863">
        <v>7.8959999999999999</v>
      </c>
      <c r="J4863" s="2">
        <v>42118</v>
      </c>
      <c r="K4863" s="3">
        <f t="shared" si="150"/>
        <v>7.5</v>
      </c>
      <c r="L4863" s="3">
        <f t="shared" si="151"/>
        <v>7.8760000000000003</v>
      </c>
    </row>
    <row r="4864" spans="1:12" x14ac:dyDescent="0.3">
      <c r="A4864" s="2">
        <v>41381</v>
      </c>
      <c r="B4864" t="s">
        <v>13</v>
      </c>
      <c r="D4864" s="2">
        <v>42112</v>
      </c>
      <c r="E4864">
        <v>7.5</v>
      </c>
      <c r="G4864" s="2">
        <v>42112</v>
      </c>
      <c r="H4864">
        <v>7.8959999999999999</v>
      </c>
      <c r="J4864" s="2">
        <v>42119</v>
      </c>
      <c r="K4864" s="3">
        <f t="shared" si="150"/>
        <v>7.5</v>
      </c>
      <c r="L4864" s="3">
        <f t="shared" si="151"/>
        <v>7.8760000000000003</v>
      </c>
    </row>
    <row r="4865" spans="1:12" x14ac:dyDescent="0.3">
      <c r="A4865" s="2">
        <v>41382</v>
      </c>
      <c r="B4865" t="s">
        <v>13</v>
      </c>
      <c r="D4865" s="2">
        <v>42113</v>
      </c>
      <c r="E4865">
        <v>7.5</v>
      </c>
      <c r="G4865" s="2">
        <v>42113</v>
      </c>
      <c r="H4865">
        <v>7.8959999999999999</v>
      </c>
      <c r="J4865" s="2">
        <v>42120</v>
      </c>
      <c r="K4865" s="3">
        <f t="shared" si="150"/>
        <v>7.5</v>
      </c>
      <c r="L4865" s="3">
        <f t="shared" si="151"/>
        <v>7.8760000000000003</v>
      </c>
    </row>
    <row r="4866" spans="1:12" x14ac:dyDescent="0.3">
      <c r="A4866" s="2">
        <v>41383</v>
      </c>
      <c r="B4866" t="s">
        <v>13</v>
      </c>
      <c r="D4866" s="2">
        <v>42114</v>
      </c>
      <c r="E4866">
        <v>7.5</v>
      </c>
      <c r="G4866" s="2">
        <v>42114</v>
      </c>
      <c r="H4866">
        <v>7.883</v>
      </c>
      <c r="J4866" s="2">
        <v>42121</v>
      </c>
      <c r="K4866" s="3">
        <f t="shared" si="150"/>
        <v>7.5</v>
      </c>
      <c r="L4866" s="3">
        <f t="shared" si="151"/>
        <v>7.8630000000000004</v>
      </c>
    </row>
    <row r="4867" spans="1:12" x14ac:dyDescent="0.3">
      <c r="A4867" s="2">
        <v>41384</v>
      </c>
      <c r="B4867" t="s">
        <v>13</v>
      </c>
      <c r="D4867" s="2">
        <v>42115</v>
      </c>
      <c r="E4867">
        <v>7.5</v>
      </c>
      <c r="G4867" s="2">
        <v>42115</v>
      </c>
      <c r="H4867">
        <v>7.8810000000000002</v>
      </c>
      <c r="J4867" s="2">
        <v>42122</v>
      </c>
      <c r="K4867" s="3">
        <f t="shared" ref="K4867:K4930" si="152">E4874</f>
        <v>7.5</v>
      </c>
      <c r="L4867" s="3">
        <f t="shared" ref="L4867:L4930" si="153">H4874</f>
        <v>7.8719999999999999</v>
      </c>
    </row>
    <row r="4868" spans="1:12" x14ac:dyDescent="0.3">
      <c r="A4868" s="2">
        <v>41385</v>
      </c>
      <c r="B4868" t="s">
        <v>13</v>
      </c>
      <c r="D4868" s="2">
        <v>42116</v>
      </c>
      <c r="E4868">
        <v>7.5</v>
      </c>
      <c r="G4868" s="2">
        <v>42116</v>
      </c>
      <c r="H4868">
        <v>7.8609999999999998</v>
      </c>
      <c r="J4868" s="2">
        <v>42123</v>
      </c>
      <c r="K4868" s="3">
        <f t="shared" si="152"/>
        <v>7.5</v>
      </c>
      <c r="L4868" s="3">
        <f t="shared" si="153"/>
        <v>7.8680000000000003</v>
      </c>
    </row>
    <row r="4869" spans="1:12" x14ac:dyDescent="0.3">
      <c r="A4869" s="2">
        <v>41386</v>
      </c>
      <c r="B4869" t="s">
        <v>13</v>
      </c>
      <c r="D4869" s="2">
        <v>42117</v>
      </c>
      <c r="E4869">
        <v>7.5</v>
      </c>
      <c r="G4869" s="2">
        <v>42117</v>
      </c>
      <c r="H4869">
        <v>7.8470000000000004</v>
      </c>
      <c r="J4869" s="2">
        <v>42124</v>
      </c>
      <c r="K4869" s="3">
        <f t="shared" si="152"/>
        <v>7.5</v>
      </c>
      <c r="L4869" s="3">
        <f t="shared" si="153"/>
        <v>7.9219999999999997</v>
      </c>
    </row>
    <row r="4870" spans="1:12" x14ac:dyDescent="0.3">
      <c r="A4870" s="2">
        <v>41387</v>
      </c>
      <c r="B4870" t="s">
        <v>13</v>
      </c>
      <c r="D4870" s="2">
        <v>42118</v>
      </c>
      <c r="E4870">
        <v>7.5</v>
      </c>
      <c r="G4870" s="2">
        <v>42118</v>
      </c>
      <c r="H4870">
        <v>7.8760000000000003</v>
      </c>
      <c r="J4870" s="2">
        <v>42125</v>
      </c>
      <c r="K4870" s="3">
        <f t="shared" si="152"/>
        <v>7.5</v>
      </c>
      <c r="L4870" s="3">
        <f t="shared" si="153"/>
        <v>7.9219999999999997</v>
      </c>
    </row>
    <row r="4871" spans="1:12" x14ac:dyDescent="0.3">
      <c r="A4871" s="2">
        <v>41388</v>
      </c>
      <c r="B4871" t="s">
        <v>13</v>
      </c>
      <c r="D4871" s="2">
        <v>42119</v>
      </c>
      <c r="E4871">
        <v>7.5</v>
      </c>
      <c r="G4871" s="2">
        <v>42119</v>
      </c>
      <c r="H4871">
        <v>7.8760000000000003</v>
      </c>
      <c r="J4871" s="2">
        <v>42126</v>
      </c>
      <c r="K4871" s="3">
        <f t="shared" si="152"/>
        <v>7.5</v>
      </c>
      <c r="L4871" s="3">
        <f t="shared" si="153"/>
        <v>7.9219999999999997</v>
      </c>
    </row>
    <row r="4872" spans="1:12" x14ac:dyDescent="0.3">
      <c r="A4872" s="2">
        <v>41389</v>
      </c>
      <c r="B4872" t="s">
        <v>13</v>
      </c>
      <c r="D4872" s="2">
        <v>42120</v>
      </c>
      <c r="E4872">
        <v>7.5</v>
      </c>
      <c r="G4872" s="2">
        <v>42120</v>
      </c>
      <c r="H4872">
        <v>7.8760000000000003</v>
      </c>
      <c r="J4872" s="2">
        <v>42127</v>
      </c>
      <c r="K4872" s="3">
        <f t="shared" si="152"/>
        <v>7.5</v>
      </c>
      <c r="L4872" s="3">
        <f t="shared" si="153"/>
        <v>7.9219999999999997</v>
      </c>
    </row>
    <row r="4873" spans="1:12" x14ac:dyDescent="0.3">
      <c r="A4873" s="2">
        <v>41390</v>
      </c>
      <c r="B4873" t="s">
        <v>13</v>
      </c>
      <c r="D4873" s="2">
        <v>42121</v>
      </c>
      <c r="E4873">
        <v>7.5</v>
      </c>
      <c r="G4873" s="2">
        <v>42121</v>
      </c>
      <c r="H4873">
        <v>7.8630000000000004</v>
      </c>
      <c r="J4873" s="2">
        <v>42128</v>
      </c>
      <c r="K4873" s="3">
        <f t="shared" si="152"/>
        <v>7.5</v>
      </c>
      <c r="L4873" s="3">
        <f t="shared" si="153"/>
        <v>7.9219999999999997</v>
      </c>
    </row>
    <row r="4874" spans="1:12" x14ac:dyDescent="0.3">
      <c r="A4874" s="2">
        <v>41391</v>
      </c>
      <c r="B4874" t="s">
        <v>13</v>
      </c>
      <c r="D4874" s="2">
        <v>42122</v>
      </c>
      <c r="E4874">
        <v>7.5</v>
      </c>
      <c r="G4874" s="2">
        <v>42122</v>
      </c>
      <c r="H4874">
        <v>7.8719999999999999</v>
      </c>
      <c r="J4874" s="2">
        <v>42129</v>
      </c>
      <c r="K4874" s="3">
        <f t="shared" si="152"/>
        <v>7.5</v>
      </c>
      <c r="L4874" s="3">
        <f t="shared" si="153"/>
        <v>7.9189999999999996</v>
      </c>
    </row>
    <row r="4875" spans="1:12" x14ac:dyDescent="0.3">
      <c r="A4875" s="2">
        <v>41392</v>
      </c>
      <c r="B4875" t="s">
        <v>13</v>
      </c>
      <c r="D4875" s="2">
        <v>42123</v>
      </c>
      <c r="E4875">
        <v>7.5</v>
      </c>
      <c r="G4875" s="2">
        <v>42123</v>
      </c>
      <c r="H4875">
        <v>7.8680000000000003</v>
      </c>
      <c r="J4875" s="2">
        <v>42130</v>
      </c>
      <c r="K4875" s="3">
        <f t="shared" si="152"/>
        <v>7.5</v>
      </c>
      <c r="L4875" s="3">
        <f t="shared" si="153"/>
        <v>7.9569999999999999</v>
      </c>
    </row>
    <row r="4876" spans="1:12" x14ac:dyDescent="0.3">
      <c r="A4876" s="2">
        <v>41393</v>
      </c>
      <c r="B4876" t="s">
        <v>13</v>
      </c>
      <c r="D4876" s="2">
        <v>42124</v>
      </c>
      <c r="E4876">
        <v>7.5</v>
      </c>
      <c r="G4876" s="2">
        <v>42124</v>
      </c>
      <c r="H4876">
        <v>7.9219999999999997</v>
      </c>
      <c r="J4876" s="2">
        <v>42131</v>
      </c>
      <c r="K4876" s="3">
        <f t="shared" si="152"/>
        <v>7.5</v>
      </c>
      <c r="L4876" s="3">
        <f t="shared" si="153"/>
        <v>7.9720000000000004</v>
      </c>
    </row>
    <row r="4877" spans="1:12" x14ac:dyDescent="0.3">
      <c r="A4877" s="2">
        <v>41394</v>
      </c>
      <c r="B4877" t="s">
        <v>13</v>
      </c>
      <c r="D4877" s="2">
        <v>42125</v>
      </c>
      <c r="E4877">
        <v>7.5</v>
      </c>
      <c r="G4877" s="2">
        <v>42125</v>
      </c>
      <c r="H4877">
        <v>7.9219999999999997</v>
      </c>
      <c r="J4877" s="2">
        <v>42132</v>
      </c>
      <c r="K4877" s="3">
        <f t="shared" si="152"/>
        <v>7.5</v>
      </c>
      <c r="L4877" s="3">
        <f t="shared" si="153"/>
        <v>7.9649999999999999</v>
      </c>
    </row>
    <row r="4878" spans="1:12" x14ac:dyDescent="0.3">
      <c r="A4878" s="2">
        <v>41395</v>
      </c>
      <c r="B4878" t="s">
        <v>13</v>
      </c>
      <c r="D4878" s="2">
        <v>42126</v>
      </c>
      <c r="E4878">
        <v>7.5</v>
      </c>
      <c r="G4878" s="2">
        <v>42126</v>
      </c>
      <c r="H4878">
        <v>7.9219999999999997</v>
      </c>
      <c r="J4878" s="2">
        <v>42133</v>
      </c>
      <c r="K4878" s="3">
        <f t="shared" si="152"/>
        <v>7.5</v>
      </c>
      <c r="L4878" s="3">
        <f t="shared" si="153"/>
        <v>7.9649999999999999</v>
      </c>
    </row>
    <row r="4879" spans="1:12" x14ac:dyDescent="0.3">
      <c r="A4879" s="2">
        <v>41396</v>
      </c>
      <c r="B4879" t="s">
        <v>13</v>
      </c>
      <c r="D4879" s="2">
        <v>42127</v>
      </c>
      <c r="E4879">
        <v>7.5</v>
      </c>
      <c r="G4879" s="2">
        <v>42127</v>
      </c>
      <c r="H4879">
        <v>7.9219999999999997</v>
      </c>
      <c r="J4879" s="2">
        <v>42134</v>
      </c>
      <c r="K4879" s="3">
        <f t="shared" si="152"/>
        <v>7.5</v>
      </c>
      <c r="L4879" s="3">
        <f t="shared" si="153"/>
        <v>7.9649999999999999</v>
      </c>
    </row>
    <row r="4880" spans="1:12" x14ac:dyDescent="0.3">
      <c r="A4880" s="2">
        <v>41397</v>
      </c>
      <c r="B4880" t="s">
        <v>13</v>
      </c>
      <c r="D4880" s="2">
        <v>42128</v>
      </c>
      <c r="E4880">
        <v>7.5</v>
      </c>
      <c r="G4880" s="2">
        <v>42128</v>
      </c>
      <c r="H4880">
        <v>7.9219999999999997</v>
      </c>
      <c r="J4880" s="2">
        <v>42135</v>
      </c>
      <c r="K4880" s="3">
        <f t="shared" si="152"/>
        <v>7.5</v>
      </c>
      <c r="L4880" s="3">
        <f t="shared" si="153"/>
        <v>7.923</v>
      </c>
    </row>
    <row r="4881" spans="1:12" x14ac:dyDescent="0.3">
      <c r="A4881" s="2">
        <v>41398</v>
      </c>
      <c r="B4881" t="s">
        <v>13</v>
      </c>
      <c r="D4881" s="2">
        <v>42129</v>
      </c>
      <c r="E4881">
        <v>7.5</v>
      </c>
      <c r="G4881" s="2">
        <v>42129</v>
      </c>
      <c r="H4881">
        <v>7.9189999999999996</v>
      </c>
      <c r="J4881" s="2">
        <v>42136</v>
      </c>
      <c r="K4881" s="3">
        <f t="shared" si="152"/>
        <v>7.5</v>
      </c>
      <c r="L4881" s="3">
        <f t="shared" si="153"/>
        <v>7.9139999999999997</v>
      </c>
    </row>
    <row r="4882" spans="1:12" x14ac:dyDescent="0.3">
      <c r="A4882" s="2">
        <v>41399</v>
      </c>
      <c r="B4882" t="s">
        <v>13</v>
      </c>
      <c r="D4882" s="2">
        <v>42130</v>
      </c>
      <c r="E4882">
        <v>7.5</v>
      </c>
      <c r="G4882" s="2">
        <v>42130</v>
      </c>
      <c r="H4882">
        <v>7.9569999999999999</v>
      </c>
      <c r="J4882" s="2">
        <v>42137</v>
      </c>
      <c r="K4882" s="3">
        <f t="shared" si="152"/>
        <v>7.5</v>
      </c>
      <c r="L4882" s="3">
        <f t="shared" si="153"/>
        <v>7.9740000000000002</v>
      </c>
    </row>
    <row r="4883" spans="1:12" x14ac:dyDescent="0.3">
      <c r="A4883" s="2">
        <v>41400</v>
      </c>
      <c r="B4883" t="s">
        <v>13</v>
      </c>
      <c r="D4883" s="2">
        <v>42131</v>
      </c>
      <c r="E4883">
        <v>7.5</v>
      </c>
      <c r="G4883" s="2">
        <v>42131</v>
      </c>
      <c r="H4883">
        <v>7.9720000000000004</v>
      </c>
      <c r="J4883" s="2">
        <v>42138</v>
      </c>
      <c r="K4883" s="3">
        <f t="shared" si="152"/>
        <v>7.5</v>
      </c>
      <c r="L4883" s="3">
        <f t="shared" si="153"/>
        <v>7.9450000000000003</v>
      </c>
    </row>
    <row r="4884" spans="1:12" x14ac:dyDescent="0.3">
      <c r="A4884" s="2">
        <v>41401</v>
      </c>
      <c r="B4884" t="s">
        <v>13</v>
      </c>
      <c r="D4884" s="2">
        <v>42132</v>
      </c>
      <c r="E4884">
        <v>7.5</v>
      </c>
      <c r="G4884" s="2">
        <v>42132</v>
      </c>
      <c r="H4884">
        <v>7.9649999999999999</v>
      </c>
      <c r="J4884" s="2">
        <v>42139</v>
      </c>
      <c r="K4884" s="3">
        <f t="shared" si="152"/>
        <v>7.5</v>
      </c>
      <c r="L4884" s="3">
        <f t="shared" si="153"/>
        <v>7.968</v>
      </c>
    </row>
    <row r="4885" spans="1:12" x14ac:dyDescent="0.3">
      <c r="A4885" s="2">
        <v>41402</v>
      </c>
      <c r="B4885" t="s">
        <v>13</v>
      </c>
      <c r="D4885" s="2">
        <v>42133</v>
      </c>
      <c r="E4885">
        <v>7.5</v>
      </c>
      <c r="G4885" s="2">
        <v>42133</v>
      </c>
      <c r="H4885">
        <v>7.9649999999999999</v>
      </c>
      <c r="J4885" s="2">
        <v>42140</v>
      </c>
      <c r="K4885" s="3">
        <f t="shared" si="152"/>
        <v>7.5</v>
      </c>
      <c r="L4885" s="3">
        <f t="shared" si="153"/>
        <v>7.968</v>
      </c>
    </row>
    <row r="4886" spans="1:12" x14ac:dyDescent="0.3">
      <c r="A4886" s="2">
        <v>41403</v>
      </c>
      <c r="B4886" t="s">
        <v>13</v>
      </c>
      <c r="D4886" s="2">
        <v>42134</v>
      </c>
      <c r="E4886">
        <v>7.5</v>
      </c>
      <c r="G4886" s="2">
        <v>42134</v>
      </c>
      <c r="H4886">
        <v>7.9649999999999999</v>
      </c>
      <c r="J4886" s="2">
        <v>42141</v>
      </c>
      <c r="K4886" s="3">
        <f t="shared" si="152"/>
        <v>7.5</v>
      </c>
      <c r="L4886" s="3">
        <f t="shared" si="153"/>
        <v>7.968</v>
      </c>
    </row>
    <row r="4887" spans="1:12" x14ac:dyDescent="0.3">
      <c r="A4887" s="2">
        <v>41404</v>
      </c>
      <c r="B4887" t="s">
        <v>13</v>
      </c>
      <c r="D4887" s="2">
        <v>42135</v>
      </c>
      <c r="E4887">
        <v>7.5</v>
      </c>
      <c r="G4887" s="2">
        <v>42135</v>
      </c>
      <c r="H4887">
        <v>7.923</v>
      </c>
      <c r="J4887" s="2">
        <v>42142</v>
      </c>
      <c r="K4887" s="3">
        <f t="shared" si="152"/>
        <v>7.5</v>
      </c>
      <c r="L4887" s="3">
        <f t="shared" si="153"/>
        <v>7.91</v>
      </c>
    </row>
    <row r="4888" spans="1:12" x14ac:dyDescent="0.3">
      <c r="A4888" s="2">
        <v>41405</v>
      </c>
      <c r="B4888" t="s">
        <v>13</v>
      </c>
      <c r="D4888" s="2">
        <v>42136</v>
      </c>
      <c r="E4888">
        <v>7.5</v>
      </c>
      <c r="G4888" s="2">
        <v>42136</v>
      </c>
      <c r="H4888">
        <v>7.9139999999999997</v>
      </c>
      <c r="J4888" s="2">
        <v>42143</v>
      </c>
      <c r="K4888" s="3">
        <f t="shared" si="152"/>
        <v>7.5</v>
      </c>
      <c r="L4888" s="3">
        <f t="shared" si="153"/>
        <v>7.867</v>
      </c>
    </row>
    <row r="4889" spans="1:12" x14ac:dyDescent="0.3">
      <c r="A4889" s="2">
        <v>41406</v>
      </c>
      <c r="B4889" t="s">
        <v>13</v>
      </c>
      <c r="D4889" s="2">
        <v>42137</v>
      </c>
      <c r="E4889">
        <v>7.5</v>
      </c>
      <c r="G4889" s="2">
        <v>42137</v>
      </c>
      <c r="H4889">
        <v>7.9740000000000002</v>
      </c>
      <c r="J4889" s="2">
        <v>42144</v>
      </c>
      <c r="K4889" s="3">
        <f t="shared" si="152"/>
        <v>7.5</v>
      </c>
      <c r="L4889" s="3">
        <f t="shared" si="153"/>
        <v>7.8029999999999999</v>
      </c>
    </row>
    <row r="4890" spans="1:12" x14ac:dyDescent="0.3">
      <c r="A4890" s="2">
        <v>41407</v>
      </c>
      <c r="B4890" t="s">
        <v>13</v>
      </c>
      <c r="D4890" s="2">
        <v>42138</v>
      </c>
      <c r="E4890">
        <v>7.5</v>
      </c>
      <c r="G4890" s="2">
        <v>42138</v>
      </c>
      <c r="H4890">
        <v>7.9450000000000003</v>
      </c>
      <c r="J4890" s="2">
        <v>42145</v>
      </c>
      <c r="K4890" s="3">
        <f t="shared" si="152"/>
        <v>7.5</v>
      </c>
      <c r="L4890" s="3">
        <f t="shared" si="153"/>
        <v>7.8010000000000002</v>
      </c>
    </row>
    <row r="4891" spans="1:12" x14ac:dyDescent="0.3">
      <c r="A4891" s="2">
        <v>41408</v>
      </c>
      <c r="B4891" t="s">
        <v>13</v>
      </c>
      <c r="D4891" s="2">
        <v>42139</v>
      </c>
      <c r="E4891">
        <v>7.5</v>
      </c>
      <c r="G4891" s="2">
        <v>42139</v>
      </c>
      <c r="H4891">
        <v>7.968</v>
      </c>
      <c r="J4891" s="2">
        <v>42146</v>
      </c>
      <c r="K4891" s="3">
        <f t="shared" si="152"/>
        <v>7.5</v>
      </c>
      <c r="L4891" s="3">
        <f t="shared" si="153"/>
        <v>7.85</v>
      </c>
    </row>
    <row r="4892" spans="1:12" x14ac:dyDescent="0.3">
      <c r="A4892" s="2">
        <v>41409</v>
      </c>
      <c r="B4892" t="s">
        <v>13</v>
      </c>
      <c r="D4892" s="2">
        <v>42140</v>
      </c>
      <c r="E4892">
        <v>7.5</v>
      </c>
      <c r="G4892" s="2">
        <v>42140</v>
      </c>
      <c r="H4892">
        <v>7.968</v>
      </c>
      <c r="J4892" s="2">
        <v>42147</v>
      </c>
      <c r="K4892" s="3">
        <f t="shared" si="152"/>
        <v>7.5</v>
      </c>
      <c r="L4892" s="3">
        <f t="shared" si="153"/>
        <v>7.85</v>
      </c>
    </row>
    <row r="4893" spans="1:12" x14ac:dyDescent="0.3">
      <c r="A4893" s="2">
        <v>41410</v>
      </c>
      <c r="B4893" t="s">
        <v>13</v>
      </c>
      <c r="D4893" s="2">
        <v>42141</v>
      </c>
      <c r="E4893">
        <v>7.5</v>
      </c>
      <c r="G4893" s="2">
        <v>42141</v>
      </c>
      <c r="H4893">
        <v>7.968</v>
      </c>
      <c r="J4893" s="2">
        <v>42148</v>
      </c>
      <c r="K4893" s="3">
        <f t="shared" si="152"/>
        <v>7.5</v>
      </c>
      <c r="L4893" s="3">
        <f t="shared" si="153"/>
        <v>7.85</v>
      </c>
    </row>
    <row r="4894" spans="1:12" x14ac:dyDescent="0.3">
      <c r="A4894" s="2">
        <v>41411</v>
      </c>
      <c r="B4894" t="s">
        <v>13</v>
      </c>
      <c r="D4894" s="2">
        <v>42142</v>
      </c>
      <c r="E4894">
        <v>7.5</v>
      </c>
      <c r="G4894" s="2">
        <v>42142</v>
      </c>
      <c r="H4894">
        <v>7.91</v>
      </c>
      <c r="J4894" s="2">
        <v>42149</v>
      </c>
      <c r="K4894" s="3">
        <f t="shared" si="152"/>
        <v>7.5</v>
      </c>
      <c r="L4894" s="3">
        <f t="shared" si="153"/>
        <v>7.7930000000000001</v>
      </c>
    </row>
    <row r="4895" spans="1:12" x14ac:dyDescent="0.3">
      <c r="A4895" s="2">
        <v>41412</v>
      </c>
      <c r="B4895" t="s">
        <v>13</v>
      </c>
      <c r="D4895" s="2">
        <v>42143</v>
      </c>
      <c r="E4895">
        <v>7.5</v>
      </c>
      <c r="G4895" s="2">
        <v>42143</v>
      </c>
      <c r="H4895">
        <v>7.867</v>
      </c>
      <c r="J4895" s="2">
        <v>42150</v>
      </c>
      <c r="K4895" s="3">
        <f t="shared" si="152"/>
        <v>7.5</v>
      </c>
      <c r="L4895" s="3">
        <f t="shared" si="153"/>
        <v>7.782</v>
      </c>
    </row>
    <row r="4896" spans="1:12" x14ac:dyDescent="0.3">
      <c r="A4896" s="2">
        <v>41413</v>
      </c>
      <c r="B4896" t="s">
        <v>13</v>
      </c>
      <c r="D4896" s="2">
        <v>42144</v>
      </c>
      <c r="E4896">
        <v>7.5</v>
      </c>
      <c r="G4896" s="2">
        <v>42144</v>
      </c>
      <c r="H4896">
        <v>7.8029999999999999</v>
      </c>
      <c r="J4896" s="2">
        <v>42151</v>
      </c>
      <c r="K4896" s="3">
        <f t="shared" si="152"/>
        <v>7.5</v>
      </c>
      <c r="L4896" s="3">
        <f t="shared" si="153"/>
        <v>7.7539999999999996</v>
      </c>
    </row>
    <row r="4897" spans="1:12" x14ac:dyDescent="0.3">
      <c r="A4897" s="2">
        <v>41414</v>
      </c>
      <c r="B4897" t="s">
        <v>13</v>
      </c>
      <c r="D4897" s="2">
        <v>42145</v>
      </c>
      <c r="E4897">
        <v>7.5</v>
      </c>
      <c r="G4897" s="2">
        <v>42145</v>
      </c>
      <c r="H4897">
        <v>7.8010000000000002</v>
      </c>
      <c r="J4897" s="2">
        <v>42152</v>
      </c>
      <c r="K4897" s="3">
        <f t="shared" si="152"/>
        <v>7.5</v>
      </c>
      <c r="L4897" s="3">
        <f t="shared" si="153"/>
        <v>7.7249999999999996</v>
      </c>
    </row>
    <row r="4898" spans="1:12" x14ac:dyDescent="0.3">
      <c r="A4898" s="2">
        <v>41415</v>
      </c>
      <c r="B4898" t="s">
        <v>13</v>
      </c>
      <c r="D4898" s="2">
        <v>42146</v>
      </c>
      <c r="E4898">
        <v>7.5</v>
      </c>
      <c r="G4898" s="2">
        <v>42146</v>
      </c>
      <c r="H4898">
        <v>7.85</v>
      </c>
      <c r="J4898" s="2">
        <v>42153</v>
      </c>
      <c r="K4898" s="3">
        <f t="shared" si="152"/>
        <v>7.5</v>
      </c>
      <c r="L4898" s="3">
        <f t="shared" si="153"/>
        <v>7.7779999999999996</v>
      </c>
    </row>
    <row r="4899" spans="1:12" x14ac:dyDescent="0.3">
      <c r="A4899" s="2">
        <v>41416</v>
      </c>
      <c r="B4899" t="s">
        <v>13</v>
      </c>
      <c r="D4899" s="2">
        <v>42147</v>
      </c>
      <c r="E4899">
        <v>7.5</v>
      </c>
      <c r="G4899" s="2">
        <v>42147</v>
      </c>
      <c r="H4899">
        <v>7.85</v>
      </c>
      <c r="J4899" s="2">
        <v>42154</v>
      </c>
      <c r="K4899" s="3">
        <f t="shared" si="152"/>
        <v>7.5</v>
      </c>
      <c r="L4899" s="3">
        <f t="shared" si="153"/>
        <v>7.7779999999999996</v>
      </c>
    </row>
    <row r="4900" spans="1:12" x14ac:dyDescent="0.3">
      <c r="A4900" s="2">
        <v>41417</v>
      </c>
      <c r="B4900" t="s">
        <v>13</v>
      </c>
      <c r="D4900" s="2">
        <v>42148</v>
      </c>
      <c r="E4900">
        <v>7.5</v>
      </c>
      <c r="G4900" s="2">
        <v>42148</v>
      </c>
      <c r="H4900">
        <v>7.85</v>
      </c>
      <c r="J4900" s="2">
        <v>42155</v>
      </c>
      <c r="K4900" s="3">
        <f t="shared" si="152"/>
        <v>7.5</v>
      </c>
      <c r="L4900" s="3">
        <f t="shared" si="153"/>
        <v>7.7779999999999996</v>
      </c>
    </row>
    <row r="4901" spans="1:12" x14ac:dyDescent="0.3">
      <c r="A4901" s="2">
        <v>41418</v>
      </c>
      <c r="B4901" t="s">
        <v>13</v>
      </c>
      <c r="D4901" s="2">
        <v>42149</v>
      </c>
      <c r="E4901">
        <v>7.5</v>
      </c>
      <c r="G4901" s="2">
        <v>42149</v>
      </c>
      <c r="H4901">
        <v>7.7930000000000001</v>
      </c>
      <c r="J4901" s="2">
        <v>42156</v>
      </c>
      <c r="K4901" s="3">
        <f t="shared" si="152"/>
        <v>7.5</v>
      </c>
      <c r="L4901" s="3">
        <f t="shared" si="153"/>
        <v>7.7240000000000002</v>
      </c>
    </row>
    <row r="4902" spans="1:12" x14ac:dyDescent="0.3">
      <c r="A4902" s="2">
        <v>41419</v>
      </c>
      <c r="B4902" t="s">
        <v>13</v>
      </c>
      <c r="D4902" s="2">
        <v>42150</v>
      </c>
      <c r="E4902">
        <v>7.5</v>
      </c>
      <c r="G4902" s="2">
        <v>42150</v>
      </c>
      <c r="H4902">
        <v>7.782</v>
      </c>
      <c r="J4902" s="2">
        <v>42157</v>
      </c>
      <c r="K4902" s="3">
        <f t="shared" si="152"/>
        <v>7.25</v>
      </c>
      <c r="L4902" s="3">
        <f t="shared" si="153"/>
        <v>7.8630000000000004</v>
      </c>
    </row>
    <row r="4903" spans="1:12" x14ac:dyDescent="0.3">
      <c r="A4903" s="2">
        <v>41420</v>
      </c>
      <c r="B4903" t="s">
        <v>13</v>
      </c>
      <c r="D4903" s="2">
        <v>42151</v>
      </c>
      <c r="E4903">
        <v>7.5</v>
      </c>
      <c r="G4903" s="2">
        <v>42151</v>
      </c>
      <c r="H4903">
        <v>7.7539999999999996</v>
      </c>
      <c r="J4903" s="2">
        <v>42158</v>
      </c>
      <c r="K4903" s="3">
        <f t="shared" si="152"/>
        <v>7.25</v>
      </c>
      <c r="L4903" s="3">
        <f t="shared" si="153"/>
        <v>7.7160000000000002</v>
      </c>
    </row>
    <row r="4904" spans="1:12" x14ac:dyDescent="0.3">
      <c r="A4904" s="2">
        <v>41421</v>
      </c>
      <c r="B4904" t="s">
        <v>13</v>
      </c>
      <c r="D4904" s="2">
        <v>42152</v>
      </c>
      <c r="E4904">
        <v>7.5</v>
      </c>
      <c r="G4904" s="2">
        <v>42152</v>
      </c>
      <c r="H4904">
        <v>7.7249999999999996</v>
      </c>
      <c r="J4904" s="2">
        <v>42159</v>
      </c>
      <c r="K4904" s="3">
        <f t="shared" si="152"/>
        <v>7.25</v>
      </c>
      <c r="L4904" s="3">
        <f t="shared" si="153"/>
        <v>7.7569999999999997</v>
      </c>
    </row>
    <row r="4905" spans="1:12" x14ac:dyDescent="0.3">
      <c r="A4905" s="2">
        <v>41422</v>
      </c>
      <c r="B4905" t="s">
        <v>13</v>
      </c>
      <c r="D4905" s="2">
        <v>42153</v>
      </c>
      <c r="E4905">
        <v>7.5</v>
      </c>
      <c r="G4905" s="2">
        <v>42153</v>
      </c>
      <c r="H4905">
        <v>7.7779999999999996</v>
      </c>
      <c r="J4905" s="2">
        <v>42160</v>
      </c>
      <c r="K4905" s="3">
        <f t="shared" si="152"/>
        <v>7.25</v>
      </c>
      <c r="L4905" s="3">
        <f t="shared" si="153"/>
        <v>7.6870000000000003</v>
      </c>
    </row>
    <row r="4906" spans="1:12" x14ac:dyDescent="0.3">
      <c r="A4906" s="2">
        <v>41423</v>
      </c>
      <c r="B4906" t="s">
        <v>13</v>
      </c>
      <c r="D4906" s="2">
        <v>42154</v>
      </c>
      <c r="E4906">
        <v>7.5</v>
      </c>
      <c r="G4906" s="2">
        <v>42154</v>
      </c>
      <c r="H4906">
        <v>7.7779999999999996</v>
      </c>
      <c r="J4906" s="2">
        <v>42161</v>
      </c>
      <c r="K4906" s="3">
        <f t="shared" si="152"/>
        <v>7.25</v>
      </c>
      <c r="L4906" s="3">
        <f t="shared" si="153"/>
        <v>7.6870000000000003</v>
      </c>
    </row>
    <row r="4907" spans="1:12" x14ac:dyDescent="0.3">
      <c r="A4907" s="2">
        <v>41424</v>
      </c>
      <c r="B4907" t="s">
        <v>13</v>
      </c>
      <c r="D4907" s="2">
        <v>42155</v>
      </c>
      <c r="E4907">
        <v>7.5</v>
      </c>
      <c r="G4907" s="2">
        <v>42155</v>
      </c>
      <c r="H4907">
        <v>7.7779999999999996</v>
      </c>
      <c r="J4907" s="2">
        <v>42162</v>
      </c>
      <c r="K4907" s="3">
        <f t="shared" si="152"/>
        <v>7.25</v>
      </c>
      <c r="L4907" s="3">
        <f t="shared" si="153"/>
        <v>7.6870000000000003</v>
      </c>
    </row>
    <row r="4908" spans="1:12" x14ac:dyDescent="0.3">
      <c r="A4908" s="2">
        <v>41425</v>
      </c>
      <c r="B4908" t="s">
        <v>13</v>
      </c>
      <c r="D4908" s="2">
        <v>42156</v>
      </c>
      <c r="E4908">
        <v>7.5</v>
      </c>
      <c r="G4908" s="2">
        <v>42156</v>
      </c>
      <c r="H4908">
        <v>7.7240000000000002</v>
      </c>
      <c r="J4908" s="2">
        <v>42163</v>
      </c>
      <c r="K4908" s="3">
        <f t="shared" si="152"/>
        <v>7.25</v>
      </c>
      <c r="L4908" s="3">
        <f t="shared" si="153"/>
        <v>7.8579999999999997</v>
      </c>
    </row>
    <row r="4909" spans="1:12" x14ac:dyDescent="0.3">
      <c r="A4909" s="2">
        <v>41426</v>
      </c>
      <c r="B4909" t="s">
        <v>13</v>
      </c>
      <c r="D4909" s="2">
        <v>42157</v>
      </c>
      <c r="E4909">
        <v>7.25</v>
      </c>
      <c r="G4909" s="2">
        <v>42157</v>
      </c>
      <c r="H4909">
        <v>7.8630000000000004</v>
      </c>
      <c r="J4909" s="2">
        <v>42164</v>
      </c>
      <c r="K4909" s="3">
        <f t="shared" si="152"/>
        <v>7.25</v>
      </c>
      <c r="L4909" s="3">
        <f t="shared" si="153"/>
        <v>7.681</v>
      </c>
    </row>
    <row r="4910" spans="1:12" x14ac:dyDescent="0.3">
      <c r="A4910" s="2">
        <v>41427</v>
      </c>
      <c r="B4910" t="s">
        <v>13</v>
      </c>
      <c r="D4910" s="2">
        <v>42158</v>
      </c>
      <c r="E4910">
        <v>7.25</v>
      </c>
      <c r="G4910" s="2">
        <v>42158</v>
      </c>
      <c r="H4910">
        <v>7.7160000000000002</v>
      </c>
      <c r="J4910" s="2">
        <v>42165</v>
      </c>
      <c r="K4910" s="3">
        <f t="shared" si="152"/>
        <v>7.25</v>
      </c>
      <c r="L4910" s="3">
        <f t="shared" si="153"/>
        <v>7.6660000000000004</v>
      </c>
    </row>
    <row r="4911" spans="1:12" x14ac:dyDescent="0.3">
      <c r="A4911" s="2">
        <v>41428</v>
      </c>
      <c r="B4911" t="s">
        <v>13</v>
      </c>
      <c r="D4911" s="2">
        <v>42159</v>
      </c>
      <c r="E4911">
        <v>7.25</v>
      </c>
      <c r="G4911" s="2">
        <v>42159</v>
      </c>
      <c r="H4911">
        <v>7.7569999999999997</v>
      </c>
      <c r="J4911" s="2">
        <v>42166</v>
      </c>
      <c r="K4911" s="3">
        <f t="shared" si="152"/>
        <v>7.25</v>
      </c>
      <c r="L4911" s="3">
        <f t="shared" si="153"/>
        <v>7.7270000000000003</v>
      </c>
    </row>
    <row r="4912" spans="1:12" x14ac:dyDescent="0.3">
      <c r="A4912" s="2">
        <v>41429</v>
      </c>
      <c r="B4912" t="s">
        <v>13</v>
      </c>
      <c r="D4912" s="2">
        <v>42160</v>
      </c>
      <c r="E4912">
        <v>7.25</v>
      </c>
      <c r="G4912" s="2">
        <v>42160</v>
      </c>
      <c r="H4912">
        <v>7.6870000000000003</v>
      </c>
      <c r="J4912" s="2">
        <v>42167</v>
      </c>
      <c r="K4912" s="3">
        <f t="shared" si="152"/>
        <v>7.25</v>
      </c>
      <c r="L4912" s="3">
        <f t="shared" si="153"/>
        <v>7.7240000000000002</v>
      </c>
    </row>
    <row r="4913" spans="1:12" x14ac:dyDescent="0.3">
      <c r="A4913" s="2">
        <v>41430</v>
      </c>
      <c r="B4913" t="s">
        <v>13</v>
      </c>
      <c r="D4913" s="2">
        <v>42161</v>
      </c>
      <c r="E4913">
        <v>7.25</v>
      </c>
      <c r="G4913" s="2">
        <v>42161</v>
      </c>
      <c r="H4913">
        <v>7.6870000000000003</v>
      </c>
      <c r="J4913" s="2">
        <v>42168</v>
      </c>
      <c r="K4913" s="3">
        <f t="shared" si="152"/>
        <v>7.25</v>
      </c>
      <c r="L4913" s="3">
        <f t="shared" si="153"/>
        <v>7.7240000000000002</v>
      </c>
    </row>
    <row r="4914" spans="1:12" x14ac:dyDescent="0.3">
      <c r="A4914" s="2">
        <v>41431</v>
      </c>
      <c r="B4914" t="s">
        <v>13</v>
      </c>
      <c r="D4914" s="2">
        <v>42162</v>
      </c>
      <c r="E4914">
        <v>7.25</v>
      </c>
      <c r="G4914" s="2">
        <v>42162</v>
      </c>
      <c r="H4914">
        <v>7.6870000000000003</v>
      </c>
      <c r="J4914" s="2">
        <v>42169</v>
      </c>
      <c r="K4914" s="3">
        <f t="shared" si="152"/>
        <v>7.25</v>
      </c>
      <c r="L4914" s="3">
        <f t="shared" si="153"/>
        <v>7.7240000000000002</v>
      </c>
    </row>
    <row r="4915" spans="1:12" x14ac:dyDescent="0.3">
      <c r="A4915" s="2">
        <v>41432</v>
      </c>
      <c r="B4915" t="s">
        <v>13</v>
      </c>
      <c r="D4915" s="2">
        <v>42163</v>
      </c>
      <c r="E4915">
        <v>7.25</v>
      </c>
      <c r="G4915" s="2">
        <v>42163</v>
      </c>
      <c r="H4915">
        <v>7.8579999999999997</v>
      </c>
      <c r="J4915" s="2">
        <v>42170</v>
      </c>
      <c r="K4915" s="3">
        <f t="shared" si="152"/>
        <v>7.25</v>
      </c>
      <c r="L4915" s="3">
        <f t="shared" si="153"/>
        <v>7.72</v>
      </c>
    </row>
    <row r="4916" spans="1:12" x14ac:dyDescent="0.3">
      <c r="A4916" s="2">
        <v>41433</v>
      </c>
      <c r="B4916" t="s">
        <v>13</v>
      </c>
      <c r="D4916" s="2">
        <v>42164</v>
      </c>
      <c r="E4916">
        <v>7.25</v>
      </c>
      <c r="G4916" s="2">
        <v>42164</v>
      </c>
      <c r="H4916">
        <v>7.681</v>
      </c>
      <c r="J4916" s="2">
        <v>42171</v>
      </c>
      <c r="K4916" s="3">
        <f t="shared" si="152"/>
        <v>7.25</v>
      </c>
      <c r="L4916" s="3">
        <f t="shared" si="153"/>
        <v>7.72</v>
      </c>
    </row>
    <row r="4917" spans="1:12" x14ac:dyDescent="0.3">
      <c r="A4917" s="2">
        <v>41434</v>
      </c>
      <c r="B4917" t="s">
        <v>13</v>
      </c>
      <c r="D4917" s="2">
        <v>42165</v>
      </c>
      <c r="E4917">
        <v>7.25</v>
      </c>
      <c r="G4917" s="2">
        <v>42165</v>
      </c>
      <c r="H4917">
        <v>7.6660000000000004</v>
      </c>
      <c r="J4917" s="2">
        <v>42172</v>
      </c>
      <c r="K4917" s="3">
        <f t="shared" si="152"/>
        <v>7.25</v>
      </c>
      <c r="L4917" s="3">
        <f t="shared" si="153"/>
        <v>7.702</v>
      </c>
    </row>
    <row r="4918" spans="1:12" x14ac:dyDescent="0.3">
      <c r="A4918" s="2">
        <v>41435</v>
      </c>
      <c r="B4918" t="s">
        <v>13</v>
      </c>
      <c r="D4918" s="2">
        <v>42166</v>
      </c>
      <c r="E4918">
        <v>7.25</v>
      </c>
      <c r="G4918" s="2">
        <v>42166</v>
      </c>
      <c r="H4918">
        <v>7.7270000000000003</v>
      </c>
      <c r="J4918" s="2">
        <v>42173</v>
      </c>
      <c r="K4918" s="3">
        <f t="shared" si="152"/>
        <v>7.25</v>
      </c>
      <c r="L4918" s="3">
        <f t="shared" si="153"/>
        <v>7.6769999999999996</v>
      </c>
    </row>
    <row r="4919" spans="1:12" x14ac:dyDescent="0.3">
      <c r="A4919" s="2">
        <v>41436</v>
      </c>
      <c r="B4919" t="s">
        <v>13</v>
      </c>
      <c r="D4919" s="2">
        <v>42167</v>
      </c>
      <c r="E4919">
        <v>7.25</v>
      </c>
      <c r="G4919" s="2">
        <v>42167</v>
      </c>
      <c r="H4919">
        <v>7.7240000000000002</v>
      </c>
      <c r="J4919" s="2">
        <v>42174</v>
      </c>
      <c r="K4919" s="3">
        <f t="shared" si="152"/>
        <v>7.25</v>
      </c>
      <c r="L4919" s="3">
        <f t="shared" si="153"/>
        <v>7.6820000000000004</v>
      </c>
    </row>
    <row r="4920" spans="1:12" x14ac:dyDescent="0.3">
      <c r="A4920" s="2">
        <v>41437</v>
      </c>
      <c r="B4920" t="s">
        <v>13</v>
      </c>
      <c r="D4920" s="2">
        <v>42168</v>
      </c>
      <c r="E4920">
        <v>7.25</v>
      </c>
      <c r="G4920" s="2">
        <v>42168</v>
      </c>
      <c r="H4920">
        <v>7.7240000000000002</v>
      </c>
      <c r="J4920" s="2">
        <v>42175</v>
      </c>
      <c r="K4920" s="3">
        <f t="shared" si="152"/>
        <v>7.25</v>
      </c>
      <c r="L4920" s="3">
        <f t="shared" si="153"/>
        <v>7.6820000000000004</v>
      </c>
    </row>
    <row r="4921" spans="1:12" x14ac:dyDescent="0.3">
      <c r="A4921" s="2">
        <v>41438</v>
      </c>
      <c r="B4921" t="s">
        <v>13</v>
      </c>
      <c r="D4921" s="2">
        <v>42169</v>
      </c>
      <c r="E4921">
        <v>7.25</v>
      </c>
      <c r="G4921" s="2">
        <v>42169</v>
      </c>
      <c r="H4921">
        <v>7.7240000000000002</v>
      </c>
      <c r="J4921" s="2">
        <v>42176</v>
      </c>
      <c r="K4921" s="3">
        <f t="shared" si="152"/>
        <v>7.25</v>
      </c>
      <c r="L4921" s="3">
        <f t="shared" si="153"/>
        <v>7.6820000000000004</v>
      </c>
    </row>
    <row r="4922" spans="1:12" x14ac:dyDescent="0.3">
      <c r="A4922" s="2">
        <v>41439</v>
      </c>
      <c r="B4922" t="s">
        <v>13</v>
      </c>
      <c r="D4922" s="2">
        <v>42170</v>
      </c>
      <c r="E4922">
        <v>7.25</v>
      </c>
      <c r="G4922" s="2">
        <v>42170</v>
      </c>
      <c r="H4922">
        <v>7.72</v>
      </c>
      <c r="J4922" s="2">
        <v>42177</v>
      </c>
      <c r="K4922" s="3">
        <f t="shared" si="152"/>
        <v>7.25</v>
      </c>
      <c r="L4922" s="3">
        <f t="shared" si="153"/>
        <v>7.6529999999999996</v>
      </c>
    </row>
    <row r="4923" spans="1:12" x14ac:dyDescent="0.3">
      <c r="A4923" s="2">
        <v>41440</v>
      </c>
      <c r="B4923" t="s">
        <v>13</v>
      </c>
      <c r="D4923" s="2">
        <v>42171</v>
      </c>
      <c r="E4923">
        <v>7.25</v>
      </c>
      <c r="G4923" s="2">
        <v>42171</v>
      </c>
      <c r="H4923">
        <v>7.72</v>
      </c>
      <c r="J4923" s="2">
        <v>42178</v>
      </c>
      <c r="K4923" s="3">
        <f t="shared" si="152"/>
        <v>7.25</v>
      </c>
      <c r="L4923" s="3">
        <f t="shared" si="153"/>
        <v>7.5670000000000002</v>
      </c>
    </row>
    <row r="4924" spans="1:12" x14ac:dyDescent="0.3">
      <c r="A4924" s="2">
        <v>41441</v>
      </c>
      <c r="B4924" t="s">
        <v>13</v>
      </c>
      <c r="D4924" s="2">
        <v>42172</v>
      </c>
      <c r="E4924">
        <v>7.25</v>
      </c>
      <c r="G4924" s="2">
        <v>42172</v>
      </c>
      <c r="H4924">
        <v>7.702</v>
      </c>
      <c r="J4924" s="2">
        <v>42179</v>
      </c>
      <c r="K4924" s="3">
        <f t="shared" si="152"/>
        <v>7.25</v>
      </c>
      <c r="L4924" s="3">
        <f t="shared" si="153"/>
        <v>7.6539999999999999</v>
      </c>
    </row>
    <row r="4925" spans="1:12" x14ac:dyDescent="0.3">
      <c r="A4925" s="2">
        <v>41442</v>
      </c>
      <c r="B4925" t="s">
        <v>13</v>
      </c>
      <c r="D4925" s="2">
        <v>42173</v>
      </c>
      <c r="E4925">
        <v>7.25</v>
      </c>
      <c r="G4925" s="2">
        <v>42173</v>
      </c>
      <c r="H4925">
        <v>7.6769999999999996</v>
      </c>
      <c r="J4925" s="2">
        <v>42180</v>
      </c>
      <c r="K4925" s="3">
        <f t="shared" si="152"/>
        <v>7.25</v>
      </c>
      <c r="L4925" s="3">
        <f t="shared" si="153"/>
        <v>7.6970000000000001</v>
      </c>
    </row>
    <row r="4926" spans="1:12" x14ac:dyDescent="0.3">
      <c r="A4926" s="2">
        <v>41443</v>
      </c>
      <c r="B4926" t="s">
        <v>13</v>
      </c>
      <c r="D4926" s="2">
        <v>42174</v>
      </c>
      <c r="E4926">
        <v>7.25</v>
      </c>
      <c r="G4926" s="2">
        <v>42174</v>
      </c>
      <c r="H4926">
        <v>7.6820000000000004</v>
      </c>
      <c r="J4926" s="2">
        <v>42181</v>
      </c>
      <c r="K4926" s="3">
        <f t="shared" si="152"/>
        <v>7.25</v>
      </c>
      <c r="L4926" s="3">
        <f t="shared" si="153"/>
        <v>7.7030000000000003</v>
      </c>
    </row>
    <row r="4927" spans="1:12" x14ac:dyDescent="0.3">
      <c r="A4927" s="2">
        <v>41444</v>
      </c>
      <c r="B4927" t="s">
        <v>13</v>
      </c>
      <c r="D4927" s="2">
        <v>42175</v>
      </c>
      <c r="E4927">
        <v>7.25</v>
      </c>
      <c r="G4927" s="2">
        <v>42175</v>
      </c>
      <c r="H4927">
        <v>7.6820000000000004</v>
      </c>
      <c r="J4927" s="2">
        <v>42182</v>
      </c>
      <c r="K4927" s="3">
        <f t="shared" si="152"/>
        <v>7.25</v>
      </c>
      <c r="L4927" s="3">
        <f t="shared" si="153"/>
        <v>7.7030000000000003</v>
      </c>
    </row>
    <row r="4928" spans="1:12" x14ac:dyDescent="0.3">
      <c r="A4928" s="2">
        <v>41445</v>
      </c>
      <c r="B4928" t="s">
        <v>13</v>
      </c>
      <c r="D4928" s="2">
        <v>42176</v>
      </c>
      <c r="E4928">
        <v>7.25</v>
      </c>
      <c r="G4928" s="2">
        <v>42176</v>
      </c>
      <c r="H4928">
        <v>7.6820000000000004</v>
      </c>
      <c r="J4928" s="2">
        <v>42183</v>
      </c>
      <c r="K4928" s="3">
        <f t="shared" si="152"/>
        <v>7.25</v>
      </c>
      <c r="L4928" s="3">
        <f t="shared" si="153"/>
        <v>7.7030000000000003</v>
      </c>
    </row>
    <row r="4929" spans="1:12" x14ac:dyDescent="0.3">
      <c r="A4929" s="2">
        <v>41446</v>
      </c>
      <c r="B4929" t="s">
        <v>13</v>
      </c>
      <c r="D4929" s="2">
        <v>42177</v>
      </c>
      <c r="E4929">
        <v>7.25</v>
      </c>
      <c r="G4929" s="2">
        <v>42177</v>
      </c>
      <c r="H4929">
        <v>7.6529999999999996</v>
      </c>
      <c r="J4929" s="2">
        <v>42184</v>
      </c>
      <c r="K4929" s="3">
        <f t="shared" si="152"/>
        <v>7.25</v>
      </c>
      <c r="L4929" s="3">
        <f t="shared" si="153"/>
        <v>7.8280000000000003</v>
      </c>
    </row>
    <row r="4930" spans="1:12" x14ac:dyDescent="0.3">
      <c r="A4930" s="2">
        <v>41447</v>
      </c>
      <c r="B4930" t="s">
        <v>13</v>
      </c>
      <c r="D4930" s="2">
        <v>42178</v>
      </c>
      <c r="E4930">
        <v>7.25</v>
      </c>
      <c r="G4930" s="2">
        <v>42178</v>
      </c>
      <c r="H4930">
        <v>7.5670000000000002</v>
      </c>
      <c r="J4930" s="2">
        <v>42185</v>
      </c>
      <c r="K4930" s="3">
        <f t="shared" si="152"/>
        <v>7.25</v>
      </c>
      <c r="L4930" s="3">
        <f t="shared" si="153"/>
        <v>7.7149999999999999</v>
      </c>
    </row>
    <row r="4931" spans="1:12" x14ac:dyDescent="0.3">
      <c r="A4931" s="2">
        <v>41448</v>
      </c>
      <c r="B4931" t="s">
        <v>13</v>
      </c>
      <c r="D4931" s="2">
        <v>42179</v>
      </c>
      <c r="E4931">
        <v>7.25</v>
      </c>
      <c r="G4931" s="2">
        <v>42179</v>
      </c>
      <c r="H4931">
        <v>7.6539999999999999</v>
      </c>
      <c r="J4931" s="2">
        <v>42186</v>
      </c>
      <c r="K4931" s="3">
        <f t="shared" ref="K4931:K4994" si="154">E4938</f>
        <v>7.25</v>
      </c>
      <c r="L4931" s="3">
        <f t="shared" ref="L4931:L4994" si="155">H4938</f>
        <v>7.7</v>
      </c>
    </row>
    <row r="4932" spans="1:12" x14ac:dyDescent="0.3">
      <c r="A4932" s="2">
        <v>41449</v>
      </c>
      <c r="B4932" t="s">
        <v>13</v>
      </c>
      <c r="D4932" s="2">
        <v>42180</v>
      </c>
      <c r="E4932">
        <v>7.25</v>
      </c>
      <c r="G4932" s="2">
        <v>42180</v>
      </c>
      <c r="H4932">
        <v>7.6970000000000001</v>
      </c>
      <c r="J4932" s="2">
        <v>42187</v>
      </c>
      <c r="K4932" s="3">
        <f t="shared" si="154"/>
        <v>7.25</v>
      </c>
      <c r="L4932" s="3">
        <f t="shared" si="155"/>
        <v>7.6319999999999997</v>
      </c>
    </row>
    <row r="4933" spans="1:12" x14ac:dyDescent="0.3">
      <c r="A4933" s="2">
        <v>41450</v>
      </c>
      <c r="B4933" t="s">
        <v>13</v>
      </c>
      <c r="D4933" s="2">
        <v>42181</v>
      </c>
      <c r="E4933">
        <v>7.25</v>
      </c>
      <c r="G4933" s="2">
        <v>42181</v>
      </c>
      <c r="H4933">
        <v>7.7030000000000003</v>
      </c>
      <c r="J4933" s="2">
        <v>42188</v>
      </c>
      <c r="K4933" s="3">
        <f t="shared" si="154"/>
        <v>7.25</v>
      </c>
      <c r="L4933" s="3">
        <f t="shared" si="155"/>
        <v>7.6719999999999997</v>
      </c>
    </row>
    <row r="4934" spans="1:12" x14ac:dyDescent="0.3">
      <c r="A4934" s="2">
        <v>41451</v>
      </c>
      <c r="B4934" t="s">
        <v>13</v>
      </c>
      <c r="D4934" s="2">
        <v>42182</v>
      </c>
      <c r="E4934">
        <v>7.25</v>
      </c>
      <c r="G4934" s="2">
        <v>42182</v>
      </c>
      <c r="H4934">
        <v>7.7030000000000003</v>
      </c>
      <c r="J4934" s="2">
        <v>42189</v>
      </c>
      <c r="K4934" s="3">
        <f t="shared" si="154"/>
        <v>7.25</v>
      </c>
      <c r="L4934" s="3">
        <f t="shared" si="155"/>
        <v>7.6719999999999997</v>
      </c>
    </row>
    <row r="4935" spans="1:12" x14ac:dyDescent="0.3">
      <c r="A4935" s="2">
        <v>41452</v>
      </c>
      <c r="B4935" t="s">
        <v>13</v>
      </c>
      <c r="D4935" s="2">
        <v>42183</v>
      </c>
      <c r="E4935">
        <v>7.25</v>
      </c>
      <c r="G4935" s="2">
        <v>42183</v>
      </c>
      <c r="H4935">
        <v>7.7030000000000003</v>
      </c>
      <c r="J4935" s="2">
        <v>42190</v>
      </c>
      <c r="K4935" s="3">
        <f t="shared" si="154"/>
        <v>7.25</v>
      </c>
      <c r="L4935" s="3">
        <f t="shared" si="155"/>
        <v>7.6719999999999997</v>
      </c>
    </row>
    <row r="4936" spans="1:12" x14ac:dyDescent="0.3">
      <c r="A4936" s="2">
        <v>41453</v>
      </c>
      <c r="B4936" t="s">
        <v>13</v>
      </c>
      <c r="D4936" s="2">
        <v>42184</v>
      </c>
      <c r="E4936">
        <v>7.25</v>
      </c>
      <c r="G4936" s="2">
        <v>42184</v>
      </c>
      <c r="H4936">
        <v>7.8280000000000003</v>
      </c>
      <c r="J4936" s="2">
        <v>42191</v>
      </c>
      <c r="K4936" s="3">
        <f t="shared" si="154"/>
        <v>7.25</v>
      </c>
      <c r="L4936" s="3">
        <f t="shared" si="155"/>
        <v>7.7119999999999997</v>
      </c>
    </row>
    <row r="4937" spans="1:12" x14ac:dyDescent="0.3">
      <c r="A4937" s="2">
        <v>41454</v>
      </c>
      <c r="B4937" t="s">
        <v>13</v>
      </c>
      <c r="D4937" s="2">
        <v>42185</v>
      </c>
      <c r="E4937">
        <v>7.25</v>
      </c>
      <c r="G4937" s="2">
        <v>42185</v>
      </c>
      <c r="H4937">
        <v>7.7149999999999999</v>
      </c>
      <c r="J4937" s="2">
        <v>42192</v>
      </c>
      <c r="K4937" s="3">
        <f t="shared" si="154"/>
        <v>7.25</v>
      </c>
      <c r="L4937" s="3">
        <f t="shared" si="155"/>
        <v>7.6310000000000002</v>
      </c>
    </row>
    <row r="4938" spans="1:12" x14ac:dyDescent="0.3">
      <c r="A4938" s="2">
        <v>41455</v>
      </c>
      <c r="B4938" t="s">
        <v>13</v>
      </c>
      <c r="D4938" s="2">
        <v>42186</v>
      </c>
      <c r="E4938">
        <v>7.25</v>
      </c>
      <c r="G4938" s="2">
        <v>42186</v>
      </c>
      <c r="H4938">
        <v>7.7</v>
      </c>
      <c r="J4938" s="2">
        <v>42193</v>
      </c>
      <c r="K4938" s="3">
        <f t="shared" si="154"/>
        <v>7.25</v>
      </c>
      <c r="L4938" s="3">
        <f t="shared" si="155"/>
        <v>7.5869999999999997</v>
      </c>
    </row>
    <row r="4939" spans="1:12" x14ac:dyDescent="0.3">
      <c r="A4939" s="2">
        <v>41456</v>
      </c>
      <c r="B4939" t="s">
        <v>13</v>
      </c>
      <c r="D4939" s="2">
        <v>42187</v>
      </c>
      <c r="E4939">
        <v>7.25</v>
      </c>
      <c r="G4939" s="2">
        <v>42187</v>
      </c>
      <c r="H4939">
        <v>7.6319999999999997</v>
      </c>
      <c r="J4939" s="2">
        <v>42194</v>
      </c>
      <c r="K4939" s="3">
        <f t="shared" si="154"/>
        <v>7.25</v>
      </c>
      <c r="L4939" s="3">
        <f t="shared" si="155"/>
        <v>7.5650000000000004</v>
      </c>
    </row>
    <row r="4940" spans="1:12" x14ac:dyDescent="0.3">
      <c r="A4940" s="2">
        <v>41457</v>
      </c>
      <c r="B4940" t="s">
        <v>13</v>
      </c>
      <c r="D4940" s="2">
        <v>42188</v>
      </c>
      <c r="E4940">
        <v>7.25</v>
      </c>
      <c r="G4940" s="2">
        <v>42188</v>
      </c>
      <c r="H4940">
        <v>7.6719999999999997</v>
      </c>
      <c r="J4940" s="2">
        <v>42195</v>
      </c>
      <c r="K4940" s="3">
        <f t="shared" si="154"/>
        <v>7.25</v>
      </c>
      <c r="L4940" s="3">
        <f t="shared" si="155"/>
        <v>7.6260000000000003</v>
      </c>
    </row>
    <row r="4941" spans="1:12" x14ac:dyDescent="0.3">
      <c r="A4941" s="2">
        <v>41458</v>
      </c>
      <c r="B4941" t="s">
        <v>13</v>
      </c>
      <c r="D4941" s="2">
        <v>42189</v>
      </c>
      <c r="E4941">
        <v>7.25</v>
      </c>
      <c r="G4941" s="2">
        <v>42189</v>
      </c>
      <c r="H4941">
        <v>7.6719999999999997</v>
      </c>
      <c r="J4941" s="2">
        <v>42196</v>
      </c>
      <c r="K4941" s="3">
        <f t="shared" si="154"/>
        <v>7.25</v>
      </c>
      <c r="L4941" s="3">
        <f t="shared" si="155"/>
        <v>7.6260000000000003</v>
      </c>
    </row>
    <row r="4942" spans="1:12" x14ac:dyDescent="0.3">
      <c r="A4942" s="2">
        <v>41459</v>
      </c>
      <c r="B4942" t="s">
        <v>13</v>
      </c>
      <c r="D4942" s="2">
        <v>42190</v>
      </c>
      <c r="E4942">
        <v>7.25</v>
      </c>
      <c r="G4942" s="2">
        <v>42190</v>
      </c>
      <c r="H4942">
        <v>7.6719999999999997</v>
      </c>
      <c r="J4942" s="2">
        <v>42197</v>
      </c>
      <c r="K4942" s="3">
        <f t="shared" si="154"/>
        <v>7.25</v>
      </c>
      <c r="L4942" s="3">
        <f t="shared" si="155"/>
        <v>7.6260000000000003</v>
      </c>
    </row>
    <row r="4943" spans="1:12" x14ac:dyDescent="0.3">
      <c r="A4943" s="2">
        <v>41460</v>
      </c>
      <c r="B4943" t="s">
        <v>13</v>
      </c>
      <c r="D4943" s="2">
        <v>42191</v>
      </c>
      <c r="E4943">
        <v>7.25</v>
      </c>
      <c r="G4943" s="2">
        <v>42191</v>
      </c>
      <c r="H4943">
        <v>7.7119999999999997</v>
      </c>
      <c r="J4943" s="2">
        <v>42198</v>
      </c>
      <c r="K4943" s="3">
        <f t="shared" si="154"/>
        <v>7.25</v>
      </c>
      <c r="L4943" s="3">
        <f t="shared" si="155"/>
        <v>7.5839999999999996</v>
      </c>
    </row>
    <row r="4944" spans="1:12" x14ac:dyDescent="0.3">
      <c r="A4944" s="2">
        <v>41461</v>
      </c>
      <c r="B4944" t="s">
        <v>13</v>
      </c>
      <c r="D4944" s="2">
        <v>42192</v>
      </c>
      <c r="E4944">
        <v>7.25</v>
      </c>
      <c r="G4944" s="2">
        <v>42192</v>
      </c>
      <c r="H4944">
        <v>7.6310000000000002</v>
      </c>
      <c r="J4944" s="2">
        <v>42199</v>
      </c>
      <c r="K4944" s="3">
        <f t="shared" si="154"/>
        <v>7.25</v>
      </c>
      <c r="L4944" s="3">
        <f t="shared" si="155"/>
        <v>7.59</v>
      </c>
    </row>
    <row r="4945" spans="1:12" x14ac:dyDescent="0.3">
      <c r="A4945" s="2">
        <v>41462</v>
      </c>
      <c r="B4945" t="s">
        <v>13</v>
      </c>
      <c r="D4945" s="2">
        <v>42193</v>
      </c>
      <c r="E4945">
        <v>7.25</v>
      </c>
      <c r="G4945" s="2">
        <v>42193</v>
      </c>
      <c r="H4945">
        <v>7.5869999999999997</v>
      </c>
      <c r="J4945" s="2">
        <v>42200</v>
      </c>
      <c r="K4945" s="3">
        <f t="shared" si="154"/>
        <v>7.25</v>
      </c>
      <c r="L4945" s="3">
        <f t="shared" si="155"/>
        <v>7.5960000000000001</v>
      </c>
    </row>
    <row r="4946" spans="1:12" x14ac:dyDescent="0.3">
      <c r="A4946" s="2">
        <v>41463</v>
      </c>
      <c r="B4946" t="s">
        <v>13</v>
      </c>
      <c r="D4946" s="2">
        <v>42194</v>
      </c>
      <c r="E4946">
        <v>7.25</v>
      </c>
      <c r="G4946" s="2">
        <v>42194</v>
      </c>
      <c r="H4946">
        <v>7.5650000000000004</v>
      </c>
      <c r="J4946" s="2">
        <v>42201</v>
      </c>
      <c r="K4946" s="3">
        <f t="shared" si="154"/>
        <v>7.25</v>
      </c>
      <c r="L4946" s="3">
        <f t="shared" si="155"/>
        <v>7.5890000000000004</v>
      </c>
    </row>
    <row r="4947" spans="1:12" x14ac:dyDescent="0.3">
      <c r="A4947" s="2">
        <v>41464</v>
      </c>
      <c r="B4947" t="s">
        <v>13</v>
      </c>
      <c r="D4947" s="2">
        <v>42195</v>
      </c>
      <c r="E4947">
        <v>7.25</v>
      </c>
      <c r="G4947" s="2">
        <v>42195</v>
      </c>
      <c r="H4947">
        <v>7.6260000000000003</v>
      </c>
      <c r="J4947" s="2">
        <v>42202</v>
      </c>
      <c r="K4947" s="3">
        <f t="shared" si="154"/>
        <v>7.25</v>
      </c>
      <c r="L4947" s="3">
        <f t="shared" si="155"/>
        <v>7.6029999999999998</v>
      </c>
    </row>
    <row r="4948" spans="1:12" x14ac:dyDescent="0.3">
      <c r="A4948" s="2">
        <v>41465</v>
      </c>
      <c r="B4948" t="s">
        <v>13</v>
      </c>
      <c r="D4948" s="2">
        <v>42196</v>
      </c>
      <c r="E4948">
        <v>7.25</v>
      </c>
      <c r="G4948" s="2">
        <v>42196</v>
      </c>
      <c r="H4948">
        <v>7.6260000000000003</v>
      </c>
      <c r="J4948" s="2">
        <v>42203</v>
      </c>
      <c r="K4948" s="3">
        <f t="shared" si="154"/>
        <v>7.25</v>
      </c>
      <c r="L4948" s="3">
        <f t="shared" si="155"/>
        <v>7.6029999999999998</v>
      </c>
    </row>
    <row r="4949" spans="1:12" x14ac:dyDescent="0.3">
      <c r="A4949" s="2">
        <v>41466</v>
      </c>
      <c r="B4949" t="s">
        <v>13</v>
      </c>
      <c r="D4949" s="2">
        <v>42197</v>
      </c>
      <c r="E4949">
        <v>7.25</v>
      </c>
      <c r="G4949" s="2">
        <v>42197</v>
      </c>
      <c r="H4949">
        <v>7.6260000000000003</v>
      </c>
      <c r="J4949" s="2">
        <v>42204</v>
      </c>
      <c r="K4949" s="3">
        <f t="shared" si="154"/>
        <v>7.25</v>
      </c>
      <c r="L4949" s="3">
        <f t="shared" si="155"/>
        <v>7.6029999999999998</v>
      </c>
    </row>
    <row r="4950" spans="1:12" x14ac:dyDescent="0.3">
      <c r="A4950" s="2">
        <v>41467</v>
      </c>
      <c r="B4950" t="s">
        <v>13</v>
      </c>
      <c r="D4950" s="2">
        <v>42198</v>
      </c>
      <c r="E4950">
        <v>7.25</v>
      </c>
      <c r="G4950" s="2">
        <v>42198</v>
      </c>
      <c r="H4950">
        <v>7.5839999999999996</v>
      </c>
      <c r="J4950" s="2">
        <v>42205</v>
      </c>
      <c r="K4950" s="3">
        <f t="shared" si="154"/>
        <v>7.25</v>
      </c>
      <c r="L4950" s="3">
        <f t="shared" si="155"/>
        <v>7.5860000000000003</v>
      </c>
    </row>
    <row r="4951" spans="1:12" x14ac:dyDescent="0.3">
      <c r="A4951" s="2">
        <v>41468</v>
      </c>
      <c r="B4951" t="s">
        <v>13</v>
      </c>
      <c r="D4951" s="2">
        <v>42199</v>
      </c>
      <c r="E4951">
        <v>7.25</v>
      </c>
      <c r="G4951" s="2">
        <v>42199</v>
      </c>
      <c r="H4951">
        <v>7.59</v>
      </c>
      <c r="J4951" s="2">
        <v>42206</v>
      </c>
      <c r="K4951" s="3">
        <f t="shared" si="154"/>
        <v>7.25</v>
      </c>
      <c r="L4951" s="3">
        <f t="shared" si="155"/>
        <v>7.5759999999999996</v>
      </c>
    </row>
    <row r="4952" spans="1:12" x14ac:dyDescent="0.3">
      <c r="A4952" s="2">
        <v>41469</v>
      </c>
      <c r="B4952" t="s">
        <v>13</v>
      </c>
      <c r="D4952" s="2">
        <v>42200</v>
      </c>
      <c r="E4952">
        <v>7.25</v>
      </c>
      <c r="G4952" s="2">
        <v>42200</v>
      </c>
      <c r="H4952">
        <v>7.5960000000000001</v>
      </c>
      <c r="J4952" s="2">
        <v>42207</v>
      </c>
      <c r="K4952" s="3">
        <f t="shared" si="154"/>
        <v>7.25</v>
      </c>
      <c r="L4952" s="3">
        <f t="shared" si="155"/>
        <v>7.5890000000000004</v>
      </c>
    </row>
    <row r="4953" spans="1:12" x14ac:dyDescent="0.3">
      <c r="A4953" s="2">
        <v>41470</v>
      </c>
      <c r="B4953" t="s">
        <v>13</v>
      </c>
      <c r="D4953" s="2">
        <v>42201</v>
      </c>
      <c r="E4953">
        <v>7.25</v>
      </c>
      <c r="G4953" s="2">
        <v>42201</v>
      </c>
      <c r="H4953">
        <v>7.5890000000000004</v>
      </c>
      <c r="J4953" s="2">
        <v>42208</v>
      </c>
      <c r="K4953" s="3">
        <f t="shared" si="154"/>
        <v>7.25</v>
      </c>
      <c r="L4953" s="3">
        <f t="shared" si="155"/>
        <v>7.5860000000000003</v>
      </c>
    </row>
    <row r="4954" spans="1:12" x14ac:dyDescent="0.3">
      <c r="A4954" s="2">
        <v>41471</v>
      </c>
      <c r="B4954" t="s">
        <v>13</v>
      </c>
      <c r="D4954" s="2">
        <v>42202</v>
      </c>
      <c r="E4954">
        <v>7.25</v>
      </c>
      <c r="G4954" s="2">
        <v>42202</v>
      </c>
      <c r="H4954">
        <v>7.6029999999999998</v>
      </c>
      <c r="J4954" s="2">
        <v>42209</v>
      </c>
      <c r="K4954" s="3">
        <f t="shared" si="154"/>
        <v>7.25</v>
      </c>
      <c r="L4954" s="3">
        <f t="shared" si="155"/>
        <v>7.6130000000000004</v>
      </c>
    </row>
    <row r="4955" spans="1:12" x14ac:dyDescent="0.3">
      <c r="A4955" s="2">
        <v>41472</v>
      </c>
      <c r="B4955" t="s">
        <v>13</v>
      </c>
      <c r="D4955" s="2">
        <v>42203</v>
      </c>
      <c r="E4955">
        <v>7.25</v>
      </c>
      <c r="G4955" s="2">
        <v>42203</v>
      </c>
      <c r="H4955">
        <v>7.6029999999999998</v>
      </c>
      <c r="J4955" s="2">
        <v>42210</v>
      </c>
      <c r="K4955" s="3">
        <f t="shared" si="154"/>
        <v>7.25</v>
      </c>
      <c r="L4955" s="3">
        <f t="shared" si="155"/>
        <v>7.6130000000000004</v>
      </c>
    </row>
    <row r="4956" spans="1:12" x14ac:dyDescent="0.3">
      <c r="A4956" s="2">
        <v>41473</v>
      </c>
      <c r="B4956" t="s">
        <v>13</v>
      </c>
      <c r="D4956" s="2">
        <v>42204</v>
      </c>
      <c r="E4956">
        <v>7.25</v>
      </c>
      <c r="G4956" s="2">
        <v>42204</v>
      </c>
      <c r="H4956">
        <v>7.6029999999999998</v>
      </c>
      <c r="J4956" s="2">
        <v>42211</v>
      </c>
      <c r="K4956" s="3">
        <f t="shared" si="154"/>
        <v>7.25</v>
      </c>
      <c r="L4956" s="3">
        <f t="shared" si="155"/>
        <v>7.6130000000000004</v>
      </c>
    </row>
    <row r="4957" spans="1:12" x14ac:dyDescent="0.3">
      <c r="A4957" s="2">
        <v>41474</v>
      </c>
      <c r="B4957" t="s">
        <v>13</v>
      </c>
      <c r="D4957" s="2">
        <v>42205</v>
      </c>
      <c r="E4957">
        <v>7.25</v>
      </c>
      <c r="G4957" s="2">
        <v>42205</v>
      </c>
      <c r="H4957">
        <v>7.5860000000000003</v>
      </c>
      <c r="J4957" s="2">
        <v>42212</v>
      </c>
      <c r="K4957" s="3">
        <f t="shared" si="154"/>
        <v>7.25</v>
      </c>
      <c r="L4957" s="3">
        <f t="shared" si="155"/>
        <v>7.5970000000000004</v>
      </c>
    </row>
    <row r="4958" spans="1:12" x14ac:dyDescent="0.3">
      <c r="A4958" s="2">
        <v>41475</v>
      </c>
      <c r="B4958" t="s">
        <v>13</v>
      </c>
      <c r="D4958" s="2">
        <v>42206</v>
      </c>
      <c r="E4958">
        <v>7.25</v>
      </c>
      <c r="G4958" s="2">
        <v>42206</v>
      </c>
      <c r="H4958">
        <v>7.5759999999999996</v>
      </c>
      <c r="J4958" s="2">
        <v>42213</v>
      </c>
      <c r="K4958" s="3">
        <f t="shared" si="154"/>
        <v>7.25</v>
      </c>
      <c r="L4958" s="3">
        <f t="shared" si="155"/>
        <v>7.5990000000000002</v>
      </c>
    </row>
    <row r="4959" spans="1:12" x14ac:dyDescent="0.3">
      <c r="A4959" s="2">
        <v>41476</v>
      </c>
      <c r="B4959" t="s">
        <v>13</v>
      </c>
      <c r="D4959" s="2">
        <v>42207</v>
      </c>
      <c r="E4959">
        <v>7.25</v>
      </c>
      <c r="G4959" s="2">
        <v>42207</v>
      </c>
      <c r="H4959">
        <v>7.5890000000000004</v>
      </c>
      <c r="J4959" s="2">
        <v>42214</v>
      </c>
      <c r="K4959" s="3">
        <f t="shared" si="154"/>
        <v>7.25</v>
      </c>
      <c r="L4959" s="3">
        <f t="shared" si="155"/>
        <v>7.5990000000000002</v>
      </c>
    </row>
    <row r="4960" spans="1:12" x14ac:dyDescent="0.3">
      <c r="A4960" s="2">
        <v>41477</v>
      </c>
      <c r="B4960" t="s">
        <v>13</v>
      </c>
      <c r="D4960" s="2">
        <v>42208</v>
      </c>
      <c r="E4960">
        <v>7.25</v>
      </c>
      <c r="G4960" s="2">
        <v>42208</v>
      </c>
      <c r="H4960">
        <v>7.5860000000000003</v>
      </c>
      <c r="J4960" s="2">
        <v>42215</v>
      </c>
      <c r="K4960" s="3">
        <f t="shared" si="154"/>
        <v>7.25</v>
      </c>
      <c r="L4960" s="3">
        <f t="shared" si="155"/>
        <v>7.5990000000000002</v>
      </c>
    </row>
    <row r="4961" spans="1:12" x14ac:dyDescent="0.3">
      <c r="A4961" s="2">
        <v>41478</v>
      </c>
      <c r="B4961" t="s">
        <v>13</v>
      </c>
      <c r="D4961" s="2">
        <v>42209</v>
      </c>
      <c r="E4961">
        <v>7.25</v>
      </c>
      <c r="G4961" s="2">
        <v>42209</v>
      </c>
      <c r="H4961">
        <v>7.6130000000000004</v>
      </c>
      <c r="J4961" s="2">
        <v>42216</v>
      </c>
      <c r="K4961" s="3">
        <f t="shared" si="154"/>
        <v>7.25</v>
      </c>
      <c r="L4961" s="3">
        <f t="shared" si="155"/>
        <v>7.601</v>
      </c>
    </row>
    <row r="4962" spans="1:12" x14ac:dyDescent="0.3">
      <c r="A4962" s="2">
        <v>41479</v>
      </c>
      <c r="B4962" t="s">
        <v>13</v>
      </c>
      <c r="D4962" s="2">
        <v>42210</v>
      </c>
      <c r="E4962">
        <v>7.25</v>
      </c>
      <c r="G4962" s="2">
        <v>42210</v>
      </c>
      <c r="H4962">
        <v>7.6130000000000004</v>
      </c>
      <c r="J4962" s="2">
        <v>42217</v>
      </c>
      <c r="K4962" s="3">
        <f t="shared" si="154"/>
        <v>7.25</v>
      </c>
      <c r="L4962" s="3">
        <f t="shared" si="155"/>
        <v>7.601</v>
      </c>
    </row>
    <row r="4963" spans="1:12" x14ac:dyDescent="0.3">
      <c r="A4963" s="2">
        <v>41480</v>
      </c>
      <c r="B4963" t="s">
        <v>13</v>
      </c>
      <c r="D4963" s="2">
        <v>42211</v>
      </c>
      <c r="E4963">
        <v>7.25</v>
      </c>
      <c r="G4963" s="2">
        <v>42211</v>
      </c>
      <c r="H4963">
        <v>7.6130000000000004</v>
      </c>
      <c r="J4963" s="2">
        <v>42218</v>
      </c>
      <c r="K4963" s="3">
        <f t="shared" si="154"/>
        <v>7.25</v>
      </c>
      <c r="L4963" s="3">
        <f t="shared" si="155"/>
        <v>7.601</v>
      </c>
    </row>
    <row r="4964" spans="1:12" x14ac:dyDescent="0.3">
      <c r="A4964" s="2">
        <v>41481</v>
      </c>
      <c r="B4964" t="s">
        <v>13</v>
      </c>
      <c r="D4964" s="2">
        <v>42212</v>
      </c>
      <c r="E4964">
        <v>7.25</v>
      </c>
      <c r="G4964" s="2">
        <v>42212</v>
      </c>
      <c r="H4964">
        <v>7.5970000000000004</v>
      </c>
      <c r="J4964" s="2">
        <v>42219</v>
      </c>
      <c r="K4964" s="3">
        <f t="shared" si="154"/>
        <v>7.25</v>
      </c>
      <c r="L4964" s="3">
        <f t="shared" si="155"/>
        <v>7.6</v>
      </c>
    </row>
    <row r="4965" spans="1:12" x14ac:dyDescent="0.3">
      <c r="A4965" s="2">
        <v>41482</v>
      </c>
      <c r="B4965" t="s">
        <v>13</v>
      </c>
      <c r="D4965" s="2">
        <v>42213</v>
      </c>
      <c r="E4965">
        <v>7.25</v>
      </c>
      <c r="G4965" s="2">
        <v>42213</v>
      </c>
      <c r="H4965">
        <v>7.5990000000000002</v>
      </c>
      <c r="J4965" s="2">
        <v>42220</v>
      </c>
      <c r="K4965" s="3">
        <f t="shared" si="154"/>
        <v>7.25</v>
      </c>
      <c r="L4965" s="3">
        <f t="shared" si="155"/>
        <v>7.5960000000000001</v>
      </c>
    </row>
    <row r="4966" spans="1:12" x14ac:dyDescent="0.3">
      <c r="A4966" s="2">
        <v>41483</v>
      </c>
      <c r="B4966" t="s">
        <v>13</v>
      </c>
      <c r="D4966" s="2">
        <v>42214</v>
      </c>
      <c r="E4966">
        <v>7.25</v>
      </c>
      <c r="G4966" s="2">
        <v>42214</v>
      </c>
      <c r="H4966">
        <v>7.5990000000000002</v>
      </c>
      <c r="J4966" s="2">
        <v>42221</v>
      </c>
      <c r="K4966" s="3">
        <f t="shared" si="154"/>
        <v>7.25</v>
      </c>
      <c r="L4966" s="3">
        <f t="shared" si="155"/>
        <v>7.5819999999999999</v>
      </c>
    </row>
    <row r="4967" spans="1:12" x14ac:dyDescent="0.3">
      <c r="A4967" s="2">
        <v>41484</v>
      </c>
      <c r="B4967" t="s">
        <v>13</v>
      </c>
      <c r="D4967" s="2">
        <v>42215</v>
      </c>
      <c r="E4967">
        <v>7.25</v>
      </c>
      <c r="G4967" s="2">
        <v>42215</v>
      </c>
      <c r="H4967">
        <v>7.5990000000000002</v>
      </c>
      <c r="J4967" s="2">
        <v>42222</v>
      </c>
      <c r="K4967" s="3">
        <f t="shared" si="154"/>
        <v>7.25</v>
      </c>
      <c r="L4967" s="3">
        <f t="shared" si="155"/>
        <v>7.5830000000000002</v>
      </c>
    </row>
    <row r="4968" spans="1:12" x14ac:dyDescent="0.3">
      <c r="A4968" s="2">
        <v>41485</v>
      </c>
      <c r="B4968" t="s">
        <v>13</v>
      </c>
      <c r="D4968" s="2">
        <v>42216</v>
      </c>
      <c r="E4968">
        <v>7.25</v>
      </c>
      <c r="G4968" s="2">
        <v>42216</v>
      </c>
      <c r="H4968">
        <v>7.601</v>
      </c>
      <c r="J4968" s="2">
        <v>42223</v>
      </c>
      <c r="K4968" s="3">
        <f t="shared" si="154"/>
        <v>7.25</v>
      </c>
      <c r="L4968" s="3">
        <f t="shared" si="155"/>
        <v>7.5750000000000002</v>
      </c>
    </row>
    <row r="4969" spans="1:12" x14ac:dyDescent="0.3">
      <c r="A4969" s="2">
        <v>41486</v>
      </c>
      <c r="B4969" t="s">
        <v>13</v>
      </c>
      <c r="D4969" s="2">
        <v>42217</v>
      </c>
      <c r="E4969">
        <v>7.25</v>
      </c>
      <c r="G4969" s="2">
        <v>42217</v>
      </c>
      <c r="H4969">
        <v>7.601</v>
      </c>
      <c r="J4969" s="2">
        <v>42224</v>
      </c>
      <c r="K4969" s="3">
        <f t="shared" si="154"/>
        <v>7.25</v>
      </c>
      <c r="L4969" s="3">
        <f t="shared" si="155"/>
        <v>7.5750000000000002</v>
      </c>
    </row>
    <row r="4970" spans="1:12" x14ac:dyDescent="0.3">
      <c r="A4970" s="2">
        <v>41487</v>
      </c>
      <c r="B4970" t="s">
        <v>13</v>
      </c>
      <c r="D4970" s="2">
        <v>42218</v>
      </c>
      <c r="E4970">
        <v>7.25</v>
      </c>
      <c r="G4970" s="2">
        <v>42218</v>
      </c>
      <c r="H4970">
        <v>7.601</v>
      </c>
      <c r="J4970" s="2">
        <v>42225</v>
      </c>
      <c r="K4970" s="3">
        <f t="shared" si="154"/>
        <v>7.25</v>
      </c>
      <c r="L4970" s="3">
        <f t="shared" si="155"/>
        <v>7.5750000000000002</v>
      </c>
    </row>
    <row r="4971" spans="1:12" x14ac:dyDescent="0.3">
      <c r="A4971" s="2">
        <v>41488</v>
      </c>
      <c r="B4971" t="s">
        <v>13</v>
      </c>
      <c r="D4971" s="2">
        <v>42219</v>
      </c>
      <c r="E4971">
        <v>7.25</v>
      </c>
      <c r="G4971" s="2">
        <v>42219</v>
      </c>
      <c r="H4971">
        <v>7.6</v>
      </c>
      <c r="J4971" s="2">
        <v>42226</v>
      </c>
      <c r="K4971" s="3">
        <f t="shared" si="154"/>
        <v>7.25</v>
      </c>
      <c r="L4971" s="3">
        <f t="shared" si="155"/>
        <v>7.56</v>
      </c>
    </row>
    <row r="4972" spans="1:12" x14ac:dyDescent="0.3">
      <c r="A4972" s="2">
        <v>41489</v>
      </c>
      <c r="B4972" t="s">
        <v>13</v>
      </c>
      <c r="D4972" s="2">
        <v>42220</v>
      </c>
      <c r="E4972">
        <v>7.25</v>
      </c>
      <c r="G4972" s="2">
        <v>42220</v>
      </c>
      <c r="H4972">
        <v>7.5960000000000001</v>
      </c>
      <c r="J4972" s="2">
        <v>42227</v>
      </c>
      <c r="K4972" s="3">
        <f t="shared" si="154"/>
        <v>7.25</v>
      </c>
      <c r="L4972" s="3">
        <f t="shared" si="155"/>
        <v>7.5659999999999998</v>
      </c>
    </row>
    <row r="4973" spans="1:12" x14ac:dyDescent="0.3">
      <c r="A4973" s="2">
        <v>41490</v>
      </c>
      <c r="B4973" t="s">
        <v>13</v>
      </c>
      <c r="D4973" s="2">
        <v>42221</v>
      </c>
      <c r="E4973">
        <v>7.25</v>
      </c>
      <c r="G4973" s="2">
        <v>42221</v>
      </c>
      <c r="H4973">
        <v>7.5819999999999999</v>
      </c>
      <c r="J4973" s="2">
        <v>42228</v>
      </c>
      <c r="K4973" s="3">
        <f t="shared" si="154"/>
        <v>7.25</v>
      </c>
      <c r="L4973" s="3">
        <f t="shared" si="155"/>
        <v>7.5430000000000001</v>
      </c>
    </row>
    <row r="4974" spans="1:12" x14ac:dyDescent="0.3">
      <c r="A4974" s="2">
        <v>41491</v>
      </c>
      <c r="B4974" t="s">
        <v>13</v>
      </c>
      <c r="D4974" s="2">
        <v>42222</v>
      </c>
      <c r="E4974">
        <v>7.25</v>
      </c>
      <c r="G4974" s="2">
        <v>42222</v>
      </c>
      <c r="H4974">
        <v>7.5830000000000002</v>
      </c>
      <c r="J4974" s="2">
        <v>42229</v>
      </c>
      <c r="K4974" s="3">
        <f t="shared" si="154"/>
        <v>7.25</v>
      </c>
      <c r="L4974" s="3">
        <f t="shared" si="155"/>
        <v>7.5430000000000001</v>
      </c>
    </row>
    <row r="4975" spans="1:12" x14ac:dyDescent="0.3">
      <c r="A4975" s="2">
        <v>41492</v>
      </c>
      <c r="B4975" t="s">
        <v>13</v>
      </c>
      <c r="D4975" s="2">
        <v>42223</v>
      </c>
      <c r="E4975">
        <v>7.25</v>
      </c>
      <c r="G4975" s="2">
        <v>42223</v>
      </c>
      <c r="H4975">
        <v>7.5750000000000002</v>
      </c>
      <c r="J4975" s="2">
        <v>42230</v>
      </c>
      <c r="K4975" s="3">
        <f t="shared" si="154"/>
        <v>7.25</v>
      </c>
      <c r="L4975" s="3">
        <f t="shared" si="155"/>
        <v>7.5389999999999997</v>
      </c>
    </row>
    <row r="4976" spans="1:12" x14ac:dyDescent="0.3">
      <c r="A4976" s="2">
        <v>41493</v>
      </c>
      <c r="B4976" t="s">
        <v>13</v>
      </c>
      <c r="D4976" s="2">
        <v>42224</v>
      </c>
      <c r="E4976">
        <v>7.25</v>
      </c>
      <c r="G4976" s="2">
        <v>42224</v>
      </c>
      <c r="H4976">
        <v>7.5750000000000002</v>
      </c>
      <c r="J4976" s="2">
        <v>42231</v>
      </c>
      <c r="K4976" s="3">
        <f t="shared" si="154"/>
        <v>7.25</v>
      </c>
      <c r="L4976" s="3">
        <f t="shared" si="155"/>
        <v>7.5389999999999997</v>
      </c>
    </row>
    <row r="4977" spans="1:12" x14ac:dyDescent="0.3">
      <c r="A4977" s="2">
        <v>41494</v>
      </c>
      <c r="B4977" t="s">
        <v>13</v>
      </c>
      <c r="D4977" s="2">
        <v>42225</v>
      </c>
      <c r="E4977">
        <v>7.25</v>
      </c>
      <c r="G4977" s="2">
        <v>42225</v>
      </c>
      <c r="H4977">
        <v>7.5750000000000002</v>
      </c>
      <c r="J4977" s="2">
        <v>42232</v>
      </c>
      <c r="K4977" s="3">
        <f t="shared" si="154"/>
        <v>7.25</v>
      </c>
      <c r="L4977" s="3">
        <f t="shared" si="155"/>
        <v>7.5389999999999997</v>
      </c>
    </row>
    <row r="4978" spans="1:12" x14ac:dyDescent="0.3">
      <c r="A4978" s="2">
        <v>41495</v>
      </c>
      <c r="B4978" t="s">
        <v>13</v>
      </c>
      <c r="D4978" s="2">
        <v>42226</v>
      </c>
      <c r="E4978">
        <v>7.25</v>
      </c>
      <c r="G4978" s="2">
        <v>42226</v>
      </c>
      <c r="H4978">
        <v>7.56</v>
      </c>
      <c r="J4978" s="2">
        <v>42233</v>
      </c>
      <c r="K4978" s="3">
        <f t="shared" si="154"/>
        <v>7.25</v>
      </c>
      <c r="L4978" s="3">
        <f t="shared" si="155"/>
        <v>7.508</v>
      </c>
    </row>
    <row r="4979" spans="1:12" x14ac:dyDescent="0.3">
      <c r="A4979" s="2">
        <v>41496</v>
      </c>
      <c r="B4979" t="s">
        <v>13</v>
      </c>
      <c r="D4979" s="2">
        <v>42227</v>
      </c>
      <c r="E4979">
        <v>7.25</v>
      </c>
      <c r="G4979" s="2">
        <v>42227</v>
      </c>
      <c r="H4979">
        <v>7.5659999999999998</v>
      </c>
      <c r="J4979" s="2">
        <v>42234</v>
      </c>
      <c r="K4979" s="3">
        <f t="shared" si="154"/>
        <v>7.25</v>
      </c>
      <c r="L4979" s="3">
        <f t="shared" si="155"/>
        <v>7.508</v>
      </c>
    </row>
    <row r="4980" spans="1:12" x14ac:dyDescent="0.3">
      <c r="A4980" s="2">
        <v>41497</v>
      </c>
      <c r="B4980" t="s">
        <v>13</v>
      </c>
      <c r="D4980" s="2">
        <v>42228</v>
      </c>
      <c r="E4980">
        <v>7.25</v>
      </c>
      <c r="G4980" s="2">
        <v>42228</v>
      </c>
      <c r="H4980">
        <v>7.5430000000000001</v>
      </c>
      <c r="J4980" s="2">
        <v>42235</v>
      </c>
      <c r="K4980" s="3">
        <f t="shared" si="154"/>
        <v>7.25</v>
      </c>
      <c r="L4980" s="3">
        <f t="shared" si="155"/>
        <v>7.4779999999999998</v>
      </c>
    </row>
    <row r="4981" spans="1:12" x14ac:dyDescent="0.3">
      <c r="A4981" s="2">
        <v>41498</v>
      </c>
      <c r="B4981" t="s">
        <v>13</v>
      </c>
      <c r="D4981" s="2">
        <v>42229</v>
      </c>
      <c r="E4981">
        <v>7.25</v>
      </c>
      <c r="G4981" s="2">
        <v>42229</v>
      </c>
      <c r="H4981">
        <v>7.5430000000000001</v>
      </c>
      <c r="J4981" s="2">
        <v>42236</v>
      </c>
      <c r="K4981" s="3">
        <f t="shared" si="154"/>
        <v>7.25</v>
      </c>
      <c r="L4981" s="3">
        <f t="shared" si="155"/>
        <v>7.4690000000000003</v>
      </c>
    </row>
    <row r="4982" spans="1:12" x14ac:dyDescent="0.3">
      <c r="A4982" s="2">
        <v>41499</v>
      </c>
      <c r="B4982" t="s">
        <v>13</v>
      </c>
      <c r="D4982" s="2">
        <v>42230</v>
      </c>
      <c r="E4982">
        <v>7.25</v>
      </c>
      <c r="G4982" s="2">
        <v>42230</v>
      </c>
      <c r="H4982">
        <v>7.5389999999999997</v>
      </c>
      <c r="J4982" s="2">
        <v>42237</v>
      </c>
      <c r="K4982" s="3">
        <f t="shared" si="154"/>
        <v>7.25</v>
      </c>
      <c r="L4982" s="3">
        <f t="shared" si="155"/>
        <v>7.4630000000000001</v>
      </c>
    </row>
    <row r="4983" spans="1:12" x14ac:dyDescent="0.3">
      <c r="A4983" s="2">
        <v>41500</v>
      </c>
      <c r="B4983" t="s">
        <v>13</v>
      </c>
      <c r="D4983" s="2">
        <v>42231</v>
      </c>
      <c r="E4983">
        <v>7.25</v>
      </c>
      <c r="G4983" s="2">
        <v>42231</v>
      </c>
      <c r="H4983">
        <v>7.5389999999999997</v>
      </c>
      <c r="J4983" s="2">
        <v>42238</v>
      </c>
      <c r="K4983" s="3">
        <f t="shared" si="154"/>
        <v>7.25</v>
      </c>
      <c r="L4983" s="3">
        <f t="shared" si="155"/>
        <v>7.4630000000000001</v>
      </c>
    </row>
    <row r="4984" spans="1:12" x14ac:dyDescent="0.3">
      <c r="A4984" s="2">
        <v>41501</v>
      </c>
      <c r="B4984" t="s">
        <v>13</v>
      </c>
      <c r="D4984" s="2">
        <v>42232</v>
      </c>
      <c r="E4984">
        <v>7.25</v>
      </c>
      <c r="G4984" s="2">
        <v>42232</v>
      </c>
      <c r="H4984">
        <v>7.5389999999999997</v>
      </c>
      <c r="J4984" s="2">
        <v>42239</v>
      </c>
      <c r="K4984" s="3">
        <f t="shared" si="154"/>
        <v>7.25</v>
      </c>
      <c r="L4984" s="3">
        <f t="shared" si="155"/>
        <v>7.4630000000000001</v>
      </c>
    </row>
    <row r="4985" spans="1:12" x14ac:dyDescent="0.3">
      <c r="A4985" s="2">
        <v>41502</v>
      </c>
      <c r="B4985" t="s">
        <v>13</v>
      </c>
      <c r="D4985" s="2">
        <v>42233</v>
      </c>
      <c r="E4985">
        <v>7.25</v>
      </c>
      <c r="G4985" s="2">
        <v>42233</v>
      </c>
      <c r="H4985">
        <v>7.508</v>
      </c>
      <c r="J4985" s="2">
        <v>42240</v>
      </c>
      <c r="K4985" s="3">
        <f t="shared" si="154"/>
        <v>7.25</v>
      </c>
      <c r="L4985" s="3">
        <f t="shared" si="155"/>
        <v>7.46</v>
      </c>
    </row>
    <row r="4986" spans="1:12" x14ac:dyDescent="0.3">
      <c r="A4986" s="2">
        <v>41503</v>
      </c>
      <c r="B4986" t="s">
        <v>13</v>
      </c>
      <c r="D4986" s="2">
        <v>42234</v>
      </c>
      <c r="E4986">
        <v>7.25</v>
      </c>
      <c r="G4986" s="2">
        <v>42234</v>
      </c>
      <c r="H4986">
        <v>7.508</v>
      </c>
      <c r="J4986" s="2">
        <v>42241</v>
      </c>
      <c r="K4986" s="3">
        <f t="shared" si="154"/>
        <v>7.25</v>
      </c>
      <c r="L4986" s="3">
        <f t="shared" si="155"/>
        <v>7.44</v>
      </c>
    </row>
    <row r="4987" spans="1:12" x14ac:dyDescent="0.3">
      <c r="A4987" s="2">
        <v>41504</v>
      </c>
      <c r="B4987" t="s">
        <v>13</v>
      </c>
      <c r="D4987" s="2">
        <v>42235</v>
      </c>
      <c r="E4987">
        <v>7.25</v>
      </c>
      <c r="G4987" s="2">
        <v>42235</v>
      </c>
      <c r="H4987">
        <v>7.4779999999999998</v>
      </c>
      <c r="J4987" s="2">
        <v>42242</v>
      </c>
      <c r="K4987" s="3">
        <f t="shared" si="154"/>
        <v>7.25</v>
      </c>
      <c r="L4987" s="3">
        <f t="shared" si="155"/>
        <v>7.43</v>
      </c>
    </row>
    <row r="4988" spans="1:12" x14ac:dyDescent="0.3">
      <c r="A4988" s="2">
        <v>41505</v>
      </c>
      <c r="B4988" t="s">
        <v>13</v>
      </c>
      <c r="D4988" s="2">
        <v>42236</v>
      </c>
      <c r="E4988">
        <v>7.25</v>
      </c>
      <c r="G4988" s="2">
        <v>42236</v>
      </c>
      <c r="H4988">
        <v>7.4690000000000003</v>
      </c>
      <c r="J4988" s="2">
        <v>42243</v>
      </c>
      <c r="K4988" s="3">
        <f t="shared" si="154"/>
        <v>7.25</v>
      </c>
      <c r="L4988" s="3">
        <f t="shared" si="155"/>
        <v>7.42</v>
      </c>
    </row>
    <row r="4989" spans="1:12" x14ac:dyDescent="0.3">
      <c r="A4989" s="2">
        <v>41506</v>
      </c>
      <c r="B4989" t="s">
        <v>13</v>
      </c>
      <c r="D4989" s="2">
        <v>42237</v>
      </c>
      <c r="E4989">
        <v>7.25</v>
      </c>
      <c r="G4989" s="2">
        <v>42237</v>
      </c>
      <c r="H4989">
        <v>7.4630000000000001</v>
      </c>
      <c r="J4989" s="2">
        <v>42244</v>
      </c>
      <c r="K4989" s="3">
        <f t="shared" si="154"/>
        <v>7.25</v>
      </c>
      <c r="L4989" s="3">
        <f t="shared" si="155"/>
        <v>7.4219999999999997</v>
      </c>
    </row>
    <row r="4990" spans="1:12" x14ac:dyDescent="0.3">
      <c r="A4990" s="2">
        <v>41507</v>
      </c>
      <c r="B4990" t="s">
        <v>13</v>
      </c>
      <c r="D4990" s="2">
        <v>42238</v>
      </c>
      <c r="E4990">
        <v>7.25</v>
      </c>
      <c r="G4990" s="2">
        <v>42238</v>
      </c>
      <c r="H4990">
        <v>7.4630000000000001</v>
      </c>
      <c r="J4990" s="2">
        <v>42245</v>
      </c>
      <c r="K4990" s="3">
        <f t="shared" si="154"/>
        <v>7.25</v>
      </c>
      <c r="L4990" s="3">
        <f t="shared" si="155"/>
        <v>7.4219999999999997</v>
      </c>
    </row>
    <row r="4991" spans="1:12" x14ac:dyDescent="0.3">
      <c r="A4991" s="2">
        <v>41508</v>
      </c>
      <c r="B4991" t="s">
        <v>13</v>
      </c>
      <c r="D4991" s="2">
        <v>42239</v>
      </c>
      <c r="E4991">
        <v>7.25</v>
      </c>
      <c r="G4991" s="2">
        <v>42239</v>
      </c>
      <c r="H4991">
        <v>7.4630000000000001</v>
      </c>
      <c r="J4991" s="2">
        <v>42246</v>
      </c>
      <c r="K4991" s="3">
        <f t="shared" si="154"/>
        <v>7.25</v>
      </c>
      <c r="L4991" s="3">
        <f t="shared" si="155"/>
        <v>7.4219999999999997</v>
      </c>
    </row>
    <row r="4992" spans="1:12" x14ac:dyDescent="0.3">
      <c r="A4992" s="2">
        <v>41509</v>
      </c>
      <c r="B4992" t="s">
        <v>13</v>
      </c>
      <c r="D4992" s="2">
        <v>42240</v>
      </c>
      <c r="E4992">
        <v>7.25</v>
      </c>
      <c r="G4992" s="2">
        <v>42240</v>
      </c>
      <c r="H4992">
        <v>7.46</v>
      </c>
      <c r="J4992" s="2">
        <v>42247</v>
      </c>
      <c r="K4992" s="3">
        <f t="shared" si="154"/>
        <v>7.25</v>
      </c>
      <c r="L4992" s="3">
        <f t="shared" si="155"/>
        <v>7.4450000000000003</v>
      </c>
    </row>
    <row r="4993" spans="1:12" x14ac:dyDescent="0.3">
      <c r="A4993" s="2">
        <v>41510</v>
      </c>
      <c r="B4993" t="s">
        <v>13</v>
      </c>
      <c r="D4993" s="2">
        <v>42241</v>
      </c>
      <c r="E4993">
        <v>7.25</v>
      </c>
      <c r="G4993" s="2">
        <v>42241</v>
      </c>
      <c r="H4993">
        <v>7.44</v>
      </c>
      <c r="J4993" s="2">
        <v>42248</v>
      </c>
      <c r="K4993" s="3">
        <f t="shared" si="154"/>
        <v>7.25</v>
      </c>
      <c r="L4993" s="3">
        <f t="shared" si="155"/>
        <v>7.4219999999999997</v>
      </c>
    </row>
    <row r="4994" spans="1:12" x14ac:dyDescent="0.3">
      <c r="A4994" s="2">
        <v>41511</v>
      </c>
      <c r="B4994" t="s">
        <v>13</v>
      </c>
      <c r="D4994" s="2">
        <v>42242</v>
      </c>
      <c r="E4994">
        <v>7.25</v>
      </c>
      <c r="G4994" s="2">
        <v>42242</v>
      </c>
      <c r="H4994">
        <v>7.43</v>
      </c>
      <c r="J4994" s="2">
        <v>42249</v>
      </c>
      <c r="K4994" s="3">
        <f t="shared" si="154"/>
        <v>7.25</v>
      </c>
      <c r="L4994" s="3">
        <f t="shared" si="155"/>
        <v>7.423</v>
      </c>
    </row>
    <row r="4995" spans="1:12" x14ac:dyDescent="0.3">
      <c r="A4995" s="2">
        <v>41512</v>
      </c>
      <c r="B4995" t="s">
        <v>13</v>
      </c>
      <c r="D4995" s="2">
        <v>42243</v>
      </c>
      <c r="E4995">
        <v>7.25</v>
      </c>
      <c r="G4995" s="2">
        <v>42243</v>
      </c>
      <c r="H4995">
        <v>7.42</v>
      </c>
      <c r="J4995" s="2">
        <v>42250</v>
      </c>
      <c r="K4995" s="3">
        <f t="shared" ref="K4995:K5058" si="156">E5002</f>
        <v>7.25</v>
      </c>
      <c r="L4995" s="3">
        <f t="shared" ref="L4995:L5058" si="157">H5002</f>
        <v>7.423</v>
      </c>
    </row>
    <row r="4996" spans="1:12" x14ac:dyDescent="0.3">
      <c r="A4996" s="2">
        <v>41513</v>
      </c>
      <c r="B4996" t="s">
        <v>13</v>
      </c>
      <c r="D4996" s="2">
        <v>42244</v>
      </c>
      <c r="E4996">
        <v>7.25</v>
      </c>
      <c r="G4996" s="2">
        <v>42244</v>
      </c>
      <c r="H4996">
        <v>7.4219999999999997</v>
      </c>
      <c r="J4996" s="2">
        <v>42251</v>
      </c>
      <c r="K4996" s="3">
        <f t="shared" si="156"/>
        <v>7.25</v>
      </c>
      <c r="L4996" s="3">
        <f t="shared" si="157"/>
        <v>7.4370000000000003</v>
      </c>
    </row>
    <row r="4997" spans="1:12" x14ac:dyDescent="0.3">
      <c r="A4997" s="2">
        <v>41514</v>
      </c>
      <c r="B4997" t="s">
        <v>13</v>
      </c>
      <c r="D4997" s="2">
        <v>42245</v>
      </c>
      <c r="E4997">
        <v>7.25</v>
      </c>
      <c r="G4997" s="2">
        <v>42245</v>
      </c>
      <c r="H4997">
        <v>7.4219999999999997</v>
      </c>
      <c r="J4997" s="2">
        <v>42252</v>
      </c>
      <c r="K4997" s="3">
        <f t="shared" si="156"/>
        <v>7.25</v>
      </c>
      <c r="L4997" s="3">
        <f t="shared" si="157"/>
        <v>7.4370000000000003</v>
      </c>
    </row>
    <row r="4998" spans="1:12" x14ac:dyDescent="0.3">
      <c r="A4998" s="2">
        <v>41515</v>
      </c>
      <c r="B4998" t="s">
        <v>13</v>
      </c>
      <c r="D4998" s="2">
        <v>42246</v>
      </c>
      <c r="E4998">
        <v>7.25</v>
      </c>
      <c r="G4998" s="2">
        <v>42246</v>
      </c>
      <c r="H4998">
        <v>7.4219999999999997</v>
      </c>
      <c r="J4998" s="2">
        <v>42253</v>
      </c>
      <c r="K4998" s="3">
        <f t="shared" si="156"/>
        <v>7.25</v>
      </c>
      <c r="L4998" s="3">
        <f t="shared" si="157"/>
        <v>7.4370000000000003</v>
      </c>
    </row>
    <row r="4999" spans="1:12" x14ac:dyDescent="0.3">
      <c r="A4999" s="2">
        <v>41516</v>
      </c>
      <c r="B4999" t="s">
        <v>13</v>
      </c>
      <c r="D4999" s="2">
        <v>42247</v>
      </c>
      <c r="E4999">
        <v>7.25</v>
      </c>
      <c r="G4999" s="2">
        <v>42247</v>
      </c>
      <c r="H4999">
        <v>7.4450000000000003</v>
      </c>
      <c r="J4999" s="2">
        <v>42254</v>
      </c>
      <c r="K4999" s="3">
        <f t="shared" si="156"/>
        <v>7.25</v>
      </c>
      <c r="L4999" s="3">
        <f t="shared" si="157"/>
        <v>7.4530000000000003</v>
      </c>
    </row>
    <row r="5000" spans="1:12" x14ac:dyDescent="0.3">
      <c r="A5000" s="2">
        <v>41517</v>
      </c>
      <c r="B5000" t="s">
        <v>13</v>
      </c>
      <c r="D5000" s="2">
        <v>42248</v>
      </c>
      <c r="E5000">
        <v>7.25</v>
      </c>
      <c r="G5000" s="2">
        <v>42248</v>
      </c>
      <c r="H5000">
        <v>7.4219999999999997</v>
      </c>
      <c r="J5000" s="2">
        <v>42255</v>
      </c>
      <c r="K5000" s="3">
        <f t="shared" si="156"/>
        <v>7.25</v>
      </c>
      <c r="L5000" s="3">
        <f t="shared" si="157"/>
        <v>7.4390000000000001</v>
      </c>
    </row>
    <row r="5001" spans="1:12" x14ac:dyDescent="0.3">
      <c r="A5001" s="2">
        <v>41518</v>
      </c>
      <c r="B5001" t="s">
        <v>13</v>
      </c>
      <c r="D5001" s="2">
        <v>42249</v>
      </c>
      <c r="E5001">
        <v>7.25</v>
      </c>
      <c r="G5001" s="2">
        <v>42249</v>
      </c>
      <c r="H5001">
        <v>7.423</v>
      </c>
      <c r="J5001" s="2">
        <v>42256</v>
      </c>
      <c r="K5001" s="3">
        <f t="shared" si="156"/>
        <v>7.25</v>
      </c>
      <c r="L5001" s="3">
        <f t="shared" si="157"/>
        <v>7.4390000000000001</v>
      </c>
    </row>
    <row r="5002" spans="1:12" x14ac:dyDescent="0.3">
      <c r="A5002" s="2">
        <v>41519</v>
      </c>
      <c r="B5002" t="s">
        <v>13</v>
      </c>
      <c r="D5002" s="2">
        <v>42250</v>
      </c>
      <c r="E5002">
        <v>7.25</v>
      </c>
      <c r="G5002" s="2">
        <v>42250</v>
      </c>
      <c r="H5002">
        <v>7.423</v>
      </c>
      <c r="J5002" s="2">
        <v>42257</v>
      </c>
      <c r="K5002" s="3">
        <f t="shared" si="156"/>
        <v>7.25</v>
      </c>
      <c r="L5002" s="3">
        <f t="shared" si="157"/>
        <v>7.4509999999999996</v>
      </c>
    </row>
    <row r="5003" spans="1:12" x14ac:dyDescent="0.3">
      <c r="A5003" s="2">
        <v>41520</v>
      </c>
      <c r="B5003" t="s">
        <v>13</v>
      </c>
      <c r="D5003" s="2">
        <v>42251</v>
      </c>
      <c r="E5003">
        <v>7.25</v>
      </c>
      <c r="G5003" s="2">
        <v>42251</v>
      </c>
      <c r="H5003">
        <v>7.4370000000000003</v>
      </c>
      <c r="J5003" s="2">
        <v>42258</v>
      </c>
      <c r="K5003" s="3">
        <f t="shared" si="156"/>
        <v>7.25</v>
      </c>
      <c r="L5003" s="3">
        <f t="shared" si="157"/>
        <v>7.4580000000000002</v>
      </c>
    </row>
    <row r="5004" spans="1:12" x14ac:dyDescent="0.3">
      <c r="A5004" s="2">
        <v>41521</v>
      </c>
      <c r="B5004" t="s">
        <v>13</v>
      </c>
      <c r="D5004" s="2">
        <v>42252</v>
      </c>
      <c r="E5004">
        <v>7.25</v>
      </c>
      <c r="G5004" s="2">
        <v>42252</v>
      </c>
      <c r="H5004">
        <v>7.4370000000000003</v>
      </c>
      <c r="J5004" s="2">
        <v>42259</v>
      </c>
      <c r="K5004" s="3">
        <f t="shared" si="156"/>
        <v>7.25</v>
      </c>
      <c r="L5004" s="3">
        <f t="shared" si="157"/>
        <v>7.4580000000000002</v>
      </c>
    </row>
    <row r="5005" spans="1:12" x14ac:dyDescent="0.3">
      <c r="A5005" s="2">
        <v>41522</v>
      </c>
      <c r="B5005" t="s">
        <v>13</v>
      </c>
      <c r="D5005" s="2">
        <v>42253</v>
      </c>
      <c r="E5005">
        <v>7.25</v>
      </c>
      <c r="G5005" s="2">
        <v>42253</v>
      </c>
      <c r="H5005">
        <v>7.4370000000000003</v>
      </c>
      <c r="J5005" s="2">
        <v>42260</v>
      </c>
      <c r="K5005" s="3">
        <f t="shared" si="156"/>
        <v>7.25</v>
      </c>
      <c r="L5005" s="3">
        <f t="shared" si="157"/>
        <v>7.4580000000000002</v>
      </c>
    </row>
    <row r="5006" spans="1:12" x14ac:dyDescent="0.3">
      <c r="A5006" s="2">
        <v>41523</v>
      </c>
      <c r="B5006" t="s">
        <v>13</v>
      </c>
      <c r="D5006" s="2">
        <v>42254</v>
      </c>
      <c r="E5006">
        <v>7.25</v>
      </c>
      <c r="G5006" s="2">
        <v>42254</v>
      </c>
      <c r="H5006">
        <v>7.4530000000000003</v>
      </c>
      <c r="J5006" s="2">
        <v>42261</v>
      </c>
      <c r="K5006" s="3">
        <f t="shared" si="156"/>
        <v>7.25</v>
      </c>
      <c r="L5006" s="3">
        <f t="shared" si="157"/>
        <v>7.444</v>
      </c>
    </row>
    <row r="5007" spans="1:12" x14ac:dyDescent="0.3">
      <c r="A5007" s="2">
        <v>41524</v>
      </c>
      <c r="B5007" t="s">
        <v>13</v>
      </c>
      <c r="D5007" s="2">
        <v>42255</v>
      </c>
      <c r="E5007">
        <v>7.25</v>
      </c>
      <c r="G5007" s="2">
        <v>42255</v>
      </c>
      <c r="H5007">
        <v>7.4390000000000001</v>
      </c>
      <c r="J5007" s="2">
        <v>42262</v>
      </c>
      <c r="K5007" s="3">
        <f t="shared" si="156"/>
        <v>7.25</v>
      </c>
      <c r="L5007" s="3">
        <f t="shared" si="157"/>
        <v>7.4509999999999996</v>
      </c>
    </row>
    <row r="5008" spans="1:12" x14ac:dyDescent="0.3">
      <c r="A5008" s="2">
        <v>41525</v>
      </c>
      <c r="B5008" t="s">
        <v>13</v>
      </c>
      <c r="D5008" s="2">
        <v>42256</v>
      </c>
      <c r="E5008">
        <v>7.25</v>
      </c>
      <c r="G5008" s="2">
        <v>42256</v>
      </c>
      <c r="H5008">
        <v>7.4390000000000001</v>
      </c>
      <c r="J5008" s="2">
        <v>42263</v>
      </c>
      <c r="K5008" s="3">
        <f t="shared" si="156"/>
        <v>7.25</v>
      </c>
      <c r="L5008" s="3">
        <f t="shared" si="157"/>
        <v>7.4580000000000002</v>
      </c>
    </row>
    <row r="5009" spans="1:12" x14ac:dyDescent="0.3">
      <c r="A5009" s="2">
        <v>41526</v>
      </c>
      <c r="B5009" t="s">
        <v>13</v>
      </c>
      <c r="D5009" s="2">
        <v>42257</v>
      </c>
      <c r="E5009">
        <v>7.25</v>
      </c>
      <c r="G5009" s="2">
        <v>42257</v>
      </c>
      <c r="H5009">
        <v>7.4509999999999996</v>
      </c>
      <c r="J5009" s="2">
        <v>42264</v>
      </c>
      <c r="K5009" s="3">
        <f t="shared" si="156"/>
        <v>7.25</v>
      </c>
      <c r="L5009" s="3">
        <f t="shared" si="157"/>
        <v>7.4569999999999999</v>
      </c>
    </row>
    <row r="5010" spans="1:12" x14ac:dyDescent="0.3">
      <c r="A5010" s="2">
        <v>41527</v>
      </c>
      <c r="B5010" t="s">
        <v>13</v>
      </c>
      <c r="D5010" s="2">
        <v>42258</v>
      </c>
      <c r="E5010">
        <v>7.25</v>
      </c>
      <c r="G5010" s="2">
        <v>42258</v>
      </c>
      <c r="H5010">
        <v>7.4580000000000002</v>
      </c>
      <c r="J5010" s="2">
        <v>42265</v>
      </c>
      <c r="K5010" s="3">
        <f t="shared" si="156"/>
        <v>7.25</v>
      </c>
      <c r="L5010" s="3">
        <f t="shared" si="157"/>
        <v>7.45</v>
      </c>
    </row>
    <row r="5011" spans="1:12" x14ac:dyDescent="0.3">
      <c r="A5011" s="2">
        <v>41528</v>
      </c>
      <c r="B5011" t="s">
        <v>13</v>
      </c>
      <c r="D5011" s="2">
        <v>42259</v>
      </c>
      <c r="E5011">
        <v>7.25</v>
      </c>
      <c r="G5011" s="2">
        <v>42259</v>
      </c>
      <c r="H5011">
        <v>7.4580000000000002</v>
      </c>
      <c r="J5011" s="2">
        <v>42266</v>
      </c>
      <c r="K5011" s="3">
        <f t="shared" si="156"/>
        <v>7.25</v>
      </c>
      <c r="L5011" s="3">
        <f t="shared" si="157"/>
        <v>7.45</v>
      </c>
    </row>
    <row r="5012" spans="1:12" x14ac:dyDescent="0.3">
      <c r="A5012" s="2">
        <v>41529</v>
      </c>
      <c r="B5012" t="s">
        <v>13</v>
      </c>
      <c r="D5012" s="2">
        <v>42260</v>
      </c>
      <c r="E5012">
        <v>7.25</v>
      </c>
      <c r="G5012" s="2">
        <v>42260</v>
      </c>
      <c r="H5012">
        <v>7.4580000000000002</v>
      </c>
      <c r="J5012" s="2">
        <v>42267</v>
      </c>
      <c r="K5012" s="3">
        <f t="shared" si="156"/>
        <v>7.25</v>
      </c>
      <c r="L5012" s="3">
        <f t="shared" si="157"/>
        <v>7.45</v>
      </c>
    </row>
    <row r="5013" spans="1:12" x14ac:dyDescent="0.3">
      <c r="A5013" s="2">
        <v>41530</v>
      </c>
      <c r="B5013" t="s">
        <v>13</v>
      </c>
      <c r="D5013" s="2">
        <v>42261</v>
      </c>
      <c r="E5013">
        <v>7.25</v>
      </c>
      <c r="G5013" s="2">
        <v>42261</v>
      </c>
      <c r="H5013">
        <v>7.444</v>
      </c>
      <c r="J5013" s="2">
        <v>42268</v>
      </c>
      <c r="K5013" s="3">
        <f t="shared" si="156"/>
        <v>7.25</v>
      </c>
      <c r="L5013" s="3">
        <f t="shared" si="157"/>
        <v>7.4640000000000004</v>
      </c>
    </row>
    <row r="5014" spans="1:12" x14ac:dyDescent="0.3">
      <c r="A5014" s="2">
        <v>41531</v>
      </c>
      <c r="B5014" t="s">
        <v>13</v>
      </c>
      <c r="D5014" s="2">
        <v>42262</v>
      </c>
      <c r="E5014">
        <v>7.25</v>
      </c>
      <c r="G5014" s="2">
        <v>42262</v>
      </c>
      <c r="H5014">
        <v>7.4509999999999996</v>
      </c>
      <c r="J5014" s="2">
        <v>42269</v>
      </c>
      <c r="K5014" s="3">
        <f t="shared" si="156"/>
        <v>7.25</v>
      </c>
      <c r="L5014" s="3">
        <f t="shared" si="157"/>
        <v>7.4589999999999996</v>
      </c>
    </row>
    <row r="5015" spans="1:12" x14ac:dyDescent="0.3">
      <c r="A5015" s="2">
        <v>41532</v>
      </c>
      <c r="B5015" t="s">
        <v>13</v>
      </c>
      <c r="D5015" s="2">
        <v>42263</v>
      </c>
      <c r="E5015">
        <v>7.25</v>
      </c>
      <c r="G5015" s="2">
        <v>42263</v>
      </c>
      <c r="H5015">
        <v>7.4580000000000002</v>
      </c>
      <c r="J5015" s="2">
        <v>42270</v>
      </c>
      <c r="K5015" s="3">
        <f t="shared" si="156"/>
        <v>7.25</v>
      </c>
      <c r="L5015" s="3">
        <f t="shared" si="157"/>
        <v>7.431</v>
      </c>
    </row>
    <row r="5016" spans="1:12" x14ac:dyDescent="0.3">
      <c r="A5016" s="2">
        <v>41533</v>
      </c>
      <c r="B5016" t="s">
        <v>13</v>
      </c>
      <c r="D5016" s="2">
        <v>42264</v>
      </c>
      <c r="E5016">
        <v>7.25</v>
      </c>
      <c r="G5016" s="2">
        <v>42264</v>
      </c>
      <c r="H5016">
        <v>7.4569999999999999</v>
      </c>
      <c r="J5016" s="2">
        <v>42271</v>
      </c>
      <c r="K5016" s="3">
        <f t="shared" si="156"/>
        <v>7.25</v>
      </c>
      <c r="L5016" s="3">
        <f t="shared" si="157"/>
        <v>7.46</v>
      </c>
    </row>
    <row r="5017" spans="1:12" x14ac:dyDescent="0.3">
      <c r="A5017" s="2">
        <v>41534</v>
      </c>
      <c r="B5017" t="s">
        <v>13</v>
      </c>
      <c r="D5017" s="2">
        <v>42265</v>
      </c>
      <c r="E5017">
        <v>7.25</v>
      </c>
      <c r="G5017" s="2">
        <v>42265</v>
      </c>
      <c r="H5017">
        <v>7.45</v>
      </c>
      <c r="J5017" s="2">
        <v>42272</v>
      </c>
      <c r="K5017" s="3">
        <f t="shared" si="156"/>
        <v>7.25</v>
      </c>
      <c r="L5017" s="3">
        <f t="shared" si="157"/>
        <v>7.4569999999999999</v>
      </c>
    </row>
    <row r="5018" spans="1:12" x14ac:dyDescent="0.3">
      <c r="A5018" s="2">
        <v>41535</v>
      </c>
      <c r="B5018" t="s">
        <v>13</v>
      </c>
      <c r="D5018" s="2">
        <v>42266</v>
      </c>
      <c r="E5018">
        <v>7.25</v>
      </c>
      <c r="G5018" s="2">
        <v>42266</v>
      </c>
      <c r="H5018">
        <v>7.45</v>
      </c>
      <c r="J5018" s="2">
        <v>42273</v>
      </c>
      <c r="K5018" s="3">
        <f t="shared" si="156"/>
        <v>7.25</v>
      </c>
      <c r="L5018" s="3">
        <f t="shared" si="157"/>
        <v>7.4569999999999999</v>
      </c>
    </row>
    <row r="5019" spans="1:12" x14ac:dyDescent="0.3">
      <c r="A5019" s="2">
        <v>41536</v>
      </c>
      <c r="B5019" t="s">
        <v>13</v>
      </c>
      <c r="D5019" s="2">
        <v>42267</v>
      </c>
      <c r="E5019">
        <v>7.25</v>
      </c>
      <c r="G5019" s="2">
        <v>42267</v>
      </c>
      <c r="H5019">
        <v>7.45</v>
      </c>
      <c r="J5019" s="2">
        <v>42274</v>
      </c>
      <c r="K5019" s="3">
        <f t="shared" si="156"/>
        <v>7.25</v>
      </c>
      <c r="L5019" s="3">
        <f t="shared" si="157"/>
        <v>7.4569999999999999</v>
      </c>
    </row>
    <row r="5020" spans="1:12" x14ac:dyDescent="0.3">
      <c r="A5020" s="2">
        <v>41537</v>
      </c>
      <c r="B5020" t="s">
        <v>13</v>
      </c>
      <c r="D5020" s="2">
        <v>42268</v>
      </c>
      <c r="E5020">
        <v>7.25</v>
      </c>
      <c r="G5020" s="2">
        <v>42268</v>
      </c>
      <c r="H5020">
        <v>7.4640000000000004</v>
      </c>
      <c r="J5020" s="2">
        <v>42275</v>
      </c>
      <c r="K5020" s="3">
        <f t="shared" si="156"/>
        <v>7.25</v>
      </c>
      <c r="L5020" s="3">
        <f t="shared" si="157"/>
        <v>7.43</v>
      </c>
    </row>
    <row r="5021" spans="1:12" x14ac:dyDescent="0.3">
      <c r="A5021" s="2">
        <v>41538</v>
      </c>
      <c r="B5021" t="s">
        <v>13</v>
      </c>
      <c r="D5021" s="2">
        <v>42269</v>
      </c>
      <c r="E5021">
        <v>7.25</v>
      </c>
      <c r="G5021" s="2">
        <v>42269</v>
      </c>
      <c r="H5021">
        <v>7.4589999999999996</v>
      </c>
      <c r="J5021" s="2">
        <v>42276</v>
      </c>
      <c r="K5021" s="3">
        <f t="shared" si="156"/>
        <v>6.75</v>
      </c>
      <c r="L5021" s="3">
        <f t="shared" si="157"/>
        <v>7.3019999999999996</v>
      </c>
    </row>
    <row r="5022" spans="1:12" x14ac:dyDescent="0.3">
      <c r="A5022" s="2">
        <v>41539</v>
      </c>
      <c r="B5022" t="s">
        <v>13</v>
      </c>
      <c r="D5022" s="2">
        <v>42270</v>
      </c>
      <c r="E5022">
        <v>7.25</v>
      </c>
      <c r="G5022" s="2">
        <v>42270</v>
      </c>
      <c r="H5022">
        <v>7.431</v>
      </c>
      <c r="J5022" s="2">
        <v>42277</v>
      </c>
      <c r="K5022" s="3">
        <f t="shared" si="156"/>
        <v>6.75</v>
      </c>
      <c r="L5022" s="3">
        <f t="shared" si="157"/>
        <v>7.2460000000000004</v>
      </c>
    </row>
    <row r="5023" spans="1:12" x14ac:dyDescent="0.3">
      <c r="A5023" s="2">
        <v>41540</v>
      </c>
      <c r="B5023" t="s">
        <v>13</v>
      </c>
      <c r="D5023" s="2">
        <v>42271</v>
      </c>
      <c r="E5023">
        <v>7.25</v>
      </c>
      <c r="G5023" s="2">
        <v>42271</v>
      </c>
      <c r="H5023">
        <v>7.46</v>
      </c>
      <c r="J5023" s="2">
        <v>42278</v>
      </c>
      <c r="K5023" s="3">
        <f t="shared" si="156"/>
        <v>6.75</v>
      </c>
      <c r="L5023" s="3">
        <f t="shared" si="157"/>
        <v>7.2919999999999998</v>
      </c>
    </row>
    <row r="5024" spans="1:12" x14ac:dyDescent="0.3">
      <c r="A5024" s="2">
        <v>41541</v>
      </c>
      <c r="B5024" t="s">
        <v>13</v>
      </c>
      <c r="D5024" s="2">
        <v>42272</v>
      </c>
      <c r="E5024">
        <v>7.25</v>
      </c>
      <c r="G5024" s="2">
        <v>42272</v>
      </c>
      <c r="H5024">
        <v>7.4569999999999999</v>
      </c>
      <c r="J5024" s="2">
        <v>42279</v>
      </c>
      <c r="K5024" s="3">
        <f t="shared" si="156"/>
        <v>6.75</v>
      </c>
      <c r="L5024" s="3">
        <f t="shared" si="157"/>
        <v>7.2939999999999996</v>
      </c>
    </row>
    <row r="5025" spans="1:12" x14ac:dyDescent="0.3">
      <c r="A5025" s="2">
        <v>41542</v>
      </c>
      <c r="B5025" t="s">
        <v>13</v>
      </c>
      <c r="D5025" s="2">
        <v>42273</v>
      </c>
      <c r="E5025">
        <v>7.25</v>
      </c>
      <c r="G5025" s="2">
        <v>42273</v>
      </c>
      <c r="H5025">
        <v>7.4569999999999999</v>
      </c>
      <c r="J5025" s="2">
        <v>42280</v>
      </c>
      <c r="K5025" s="3">
        <f t="shared" si="156"/>
        <v>6.75</v>
      </c>
      <c r="L5025" s="3">
        <f t="shared" si="157"/>
        <v>7.2939999999999996</v>
      </c>
    </row>
    <row r="5026" spans="1:12" x14ac:dyDescent="0.3">
      <c r="A5026" s="2">
        <v>41543</v>
      </c>
      <c r="B5026" t="s">
        <v>13</v>
      </c>
      <c r="D5026" s="2">
        <v>42274</v>
      </c>
      <c r="E5026">
        <v>7.25</v>
      </c>
      <c r="G5026" s="2">
        <v>42274</v>
      </c>
      <c r="H5026">
        <v>7.4569999999999999</v>
      </c>
      <c r="J5026" s="2">
        <v>42281</v>
      </c>
      <c r="K5026" s="3">
        <f t="shared" si="156"/>
        <v>6.75</v>
      </c>
      <c r="L5026" s="3">
        <f t="shared" si="157"/>
        <v>7.2939999999999996</v>
      </c>
    </row>
    <row r="5027" spans="1:12" x14ac:dyDescent="0.3">
      <c r="A5027" s="2">
        <v>41544</v>
      </c>
      <c r="B5027" t="s">
        <v>13</v>
      </c>
      <c r="D5027" s="2">
        <v>42275</v>
      </c>
      <c r="E5027">
        <v>7.25</v>
      </c>
      <c r="G5027" s="2">
        <v>42275</v>
      </c>
      <c r="H5027">
        <v>7.43</v>
      </c>
      <c r="J5027" s="2">
        <v>42282</v>
      </c>
      <c r="K5027" s="3">
        <f t="shared" si="156"/>
        <v>6.75</v>
      </c>
      <c r="L5027" s="3">
        <f t="shared" si="157"/>
        <v>7.2</v>
      </c>
    </row>
    <row r="5028" spans="1:12" x14ac:dyDescent="0.3">
      <c r="A5028" s="2">
        <v>41545</v>
      </c>
      <c r="B5028" t="s">
        <v>13</v>
      </c>
      <c r="D5028" s="2">
        <v>42276</v>
      </c>
      <c r="E5028">
        <v>6.75</v>
      </c>
      <c r="G5028" s="2">
        <v>42276</v>
      </c>
      <c r="H5028">
        <v>7.3019999999999996</v>
      </c>
      <c r="J5028" s="2">
        <v>42283</v>
      </c>
      <c r="K5028" s="3">
        <f t="shared" si="156"/>
        <v>6.75</v>
      </c>
      <c r="L5028" s="3">
        <f t="shared" si="157"/>
        <v>7.1879999999999997</v>
      </c>
    </row>
    <row r="5029" spans="1:12" x14ac:dyDescent="0.3">
      <c r="A5029" s="2">
        <v>41546</v>
      </c>
      <c r="B5029" t="s">
        <v>13</v>
      </c>
      <c r="D5029" s="2">
        <v>42277</v>
      </c>
      <c r="E5029">
        <v>6.75</v>
      </c>
      <c r="G5029" s="2">
        <v>42277</v>
      </c>
      <c r="H5029">
        <v>7.2460000000000004</v>
      </c>
      <c r="J5029" s="2">
        <v>42284</v>
      </c>
      <c r="K5029" s="3">
        <f t="shared" si="156"/>
        <v>6.75</v>
      </c>
      <c r="L5029" s="3">
        <f t="shared" si="157"/>
        <v>7.1840000000000002</v>
      </c>
    </row>
    <row r="5030" spans="1:12" x14ac:dyDescent="0.3">
      <c r="A5030" s="2">
        <v>41547</v>
      </c>
      <c r="B5030" t="s">
        <v>13</v>
      </c>
      <c r="D5030" s="2">
        <v>42278</v>
      </c>
      <c r="E5030">
        <v>6.75</v>
      </c>
      <c r="G5030" s="2">
        <v>42278</v>
      </c>
      <c r="H5030">
        <v>7.2919999999999998</v>
      </c>
      <c r="J5030" s="2">
        <v>42285</v>
      </c>
      <c r="K5030" s="3">
        <f t="shared" si="156"/>
        <v>6.75</v>
      </c>
      <c r="L5030" s="3">
        <f t="shared" si="157"/>
        <v>7.1909999999999998</v>
      </c>
    </row>
    <row r="5031" spans="1:12" x14ac:dyDescent="0.3">
      <c r="A5031" s="2">
        <v>41548</v>
      </c>
      <c r="B5031" t="s">
        <v>13</v>
      </c>
      <c r="D5031" s="2">
        <v>42279</v>
      </c>
      <c r="E5031">
        <v>6.75</v>
      </c>
      <c r="G5031" s="2">
        <v>42279</v>
      </c>
      <c r="H5031">
        <v>7.2939999999999996</v>
      </c>
      <c r="J5031" s="2">
        <v>42286</v>
      </c>
      <c r="K5031" s="3">
        <f t="shared" si="156"/>
        <v>6.75</v>
      </c>
      <c r="L5031" s="3">
        <f t="shared" si="157"/>
        <v>7.1909999999999998</v>
      </c>
    </row>
    <row r="5032" spans="1:12" x14ac:dyDescent="0.3">
      <c r="A5032" s="2">
        <v>41549</v>
      </c>
      <c r="B5032" t="s">
        <v>13</v>
      </c>
      <c r="D5032" s="2">
        <v>42280</v>
      </c>
      <c r="E5032">
        <v>6.75</v>
      </c>
      <c r="G5032" s="2">
        <v>42280</v>
      </c>
      <c r="H5032">
        <v>7.2939999999999996</v>
      </c>
      <c r="J5032" s="2">
        <v>42287</v>
      </c>
      <c r="K5032" s="3">
        <f t="shared" si="156"/>
        <v>6.75</v>
      </c>
      <c r="L5032" s="3">
        <f t="shared" si="157"/>
        <v>7.1909999999999998</v>
      </c>
    </row>
    <row r="5033" spans="1:12" x14ac:dyDescent="0.3">
      <c r="A5033" s="2">
        <v>41550</v>
      </c>
      <c r="B5033" t="s">
        <v>13</v>
      </c>
      <c r="D5033" s="2">
        <v>42281</v>
      </c>
      <c r="E5033">
        <v>6.75</v>
      </c>
      <c r="G5033" s="2">
        <v>42281</v>
      </c>
      <c r="H5033">
        <v>7.2939999999999996</v>
      </c>
      <c r="J5033" s="2">
        <v>42288</v>
      </c>
      <c r="K5033" s="3">
        <f t="shared" si="156"/>
        <v>6.75</v>
      </c>
      <c r="L5033" s="3">
        <f t="shared" si="157"/>
        <v>7.1909999999999998</v>
      </c>
    </row>
    <row r="5034" spans="1:12" x14ac:dyDescent="0.3">
      <c r="A5034" s="2">
        <v>41551</v>
      </c>
      <c r="B5034" t="s">
        <v>13</v>
      </c>
      <c r="D5034" s="2">
        <v>42282</v>
      </c>
      <c r="E5034">
        <v>6.75</v>
      </c>
      <c r="G5034" s="2">
        <v>42282</v>
      </c>
      <c r="H5034">
        <v>7.2</v>
      </c>
      <c r="J5034" s="2">
        <v>42289</v>
      </c>
      <c r="K5034" s="3">
        <f t="shared" si="156"/>
        <v>6.75</v>
      </c>
      <c r="L5034" s="3">
        <f t="shared" si="157"/>
        <v>7.1909999999999998</v>
      </c>
    </row>
    <row r="5035" spans="1:12" x14ac:dyDescent="0.3">
      <c r="A5035" s="2">
        <v>41552</v>
      </c>
      <c r="B5035" t="s">
        <v>13</v>
      </c>
      <c r="D5035" s="2">
        <v>42283</v>
      </c>
      <c r="E5035">
        <v>6.75</v>
      </c>
      <c r="G5035" s="2">
        <v>42283</v>
      </c>
      <c r="H5035">
        <v>7.1879999999999997</v>
      </c>
      <c r="J5035" s="2">
        <v>42290</v>
      </c>
      <c r="K5035" s="3">
        <f t="shared" si="156"/>
        <v>6.75</v>
      </c>
      <c r="L5035" s="3">
        <f t="shared" si="157"/>
        <v>7.1829999999999998</v>
      </c>
    </row>
    <row r="5036" spans="1:12" x14ac:dyDescent="0.3">
      <c r="A5036" s="2">
        <v>41553</v>
      </c>
      <c r="B5036" t="s">
        <v>13</v>
      </c>
      <c r="D5036" s="2">
        <v>42284</v>
      </c>
      <c r="E5036">
        <v>6.75</v>
      </c>
      <c r="G5036" s="2">
        <v>42284</v>
      </c>
      <c r="H5036">
        <v>7.1840000000000002</v>
      </c>
      <c r="J5036" s="2">
        <v>42291</v>
      </c>
      <c r="K5036" s="3">
        <f t="shared" si="156"/>
        <v>6.75</v>
      </c>
      <c r="L5036" s="3">
        <f t="shared" si="157"/>
        <v>7.1669999999999998</v>
      </c>
    </row>
    <row r="5037" spans="1:12" x14ac:dyDescent="0.3">
      <c r="A5037" s="2">
        <v>41554</v>
      </c>
      <c r="B5037" t="s">
        <v>13</v>
      </c>
      <c r="D5037" s="2">
        <v>42285</v>
      </c>
      <c r="E5037">
        <v>6.75</v>
      </c>
      <c r="G5037" s="2">
        <v>42285</v>
      </c>
      <c r="H5037">
        <v>7.1909999999999998</v>
      </c>
      <c r="J5037" s="2">
        <v>42292</v>
      </c>
      <c r="K5037" s="3">
        <f t="shared" si="156"/>
        <v>6.75</v>
      </c>
      <c r="L5037" s="3">
        <f t="shared" si="157"/>
        <v>7.1779999999999999</v>
      </c>
    </row>
    <row r="5038" spans="1:12" x14ac:dyDescent="0.3">
      <c r="A5038" s="2">
        <v>41555</v>
      </c>
      <c r="B5038" t="s">
        <v>13</v>
      </c>
      <c r="D5038" s="2">
        <v>42286</v>
      </c>
      <c r="E5038">
        <v>6.75</v>
      </c>
      <c r="G5038" s="2">
        <v>42286</v>
      </c>
      <c r="H5038">
        <v>7.1909999999999998</v>
      </c>
      <c r="J5038" s="2">
        <v>42293</v>
      </c>
      <c r="K5038" s="3">
        <f t="shared" si="156"/>
        <v>6.75</v>
      </c>
      <c r="L5038" s="3">
        <f t="shared" si="157"/>
        <v>7.1719999999999997</v>
      </c>
    </row>
    <row r="5039" spans="1:12" x14ac:dyDescent="0.3">
      <c r="A5039" s="2">
        <v>41556</v>
      </c>
      <c r="B5039" t="s">
        <v>13</v>
      </c>
      <c r="D5039" s="2">
        <v>42287</v>
      </c>
      <c r="E5039">
        <v>6.75</v>
      </c>
      <c r="G5039" s="2">
        <v>42287</v>
      </c>
      <c r="H5039">
        <v>7.1909999999999998</v>
      </c>
      <c r="J5039" s="2">
        <v>42294</v>
      </c>
      <c r="K5039" s="3">
        <f t="shared" si="156"/>
        <v>6.75</v>
      </c>
      <c r="L5039" s="3">
        <f t="shared" si="157"/>
        <v>7.1719999999999997</v>
      </c>
    </row>
    <row r="5040" spans="1:12" x14ac:dyDescent="0.3">
      <c r="A5040" s="2">
        <v>41557</v>
      </c>
      <c r="B5040" t="s">
        <v>13</v>
      </c>
      <c r="D5040" s="2">
        <v>42288</v>
      </c>
      <c r="E5040">
        <v>6.75</v>
      </c>
      <c r="G5040" s="2">
        <v>42288</v>
      </c>
      <c r="H5040">
        <v>7.1909999999999998</v>
      </c>
      <c r="J5040" s="2">
        <v>42295</v>
      </c>
      <c r="K5040" s="3">
        <f t="shared" si="156"/>
        <v>6.75</v>
      </c>
      <c r="L5040" s="3">
        <f t="shared" si="157"/>
        <v>7.1719999999999997</v>
      </c>
    </row>
    <row r="5041" spans="1:12" x14ac:dyDescent="0.3">
      <c r="A5041" s="2">
        <v>41558</v>
      </c>
      <c r="B5041" t="s">
        <v>13</v>
      </c>
      <c r="D5041" s="2">
        <v>42289</v>
      </c>
      <c r="E5041">
        <v>6.75</v>
      </c>
      <c r="G5041" s="2">
        <v>42289</v>
      </c>
      <c r="H5041">
        <v>7.1909999999999998</v>
      </c>
      <c r="J5041" s="2">
        <v>42296</v>
      </c>
      <c r="K5041" s="3">
        <f t="shared" si="156"/>
        <v>6.75</v>
      </c>
      <c r="L5041" s="3">
        <f t="shared" si="157"/>
        <v>7.1980000000000004</v>
      </c>
    </row>
    <row r="5042" spans="1:12" x14ac:dyDescent="0.3">
      <c r="A5042" s="2">
        <v>41559</v>
      </c>
      <c r="B5042" t="s">
        <v>13</v>
      </c>
      <c r="D5042" s="2">
        <v>42290</v>
      </c>
      <c r="E5042">
        <v>6.75</v>
      </c>
      <c r="G5042" s="2">
        <v>42290</v>
      </c>
      <c r="H5042">
        <v>7.1829999999999998</v>
      </c>
      <c r="J5042" s="2">
        <v>42297</v>
      </c>
      <c r="K5042" s="3">
        <f t="shared" si="156"/>
        <v>6.75</v>
      </c>
      <c r="L5042" s="3">
        <f t="shared" si="157"/>
        <v>7.1760000000000002</v>
      </c>
    </row>
    <row r="5043" spans="1:12" x14ac:dyDescent="0.3">
      <c r="A5043" s="2">
        <v>41560</v>
      </c>
      <c r="B5043" t="s">
        <v>13</v>
      </c>
      <c r="D5043" s="2">
        <v>42291</v>
      </c>
      <c r="E5043">
        <v>6.75</v>
      </c>
      <c r="G5043" s="2">
        <v>42291</v>
      </c>
      <c r="H5043">
        <v>7.1669999999999998</v>
      </c>
      <c r="J5043" s="2">
        <v>42298</v>
      </c>
      <c r="K5043" s="3">
        <f t="shared" si="156"/>
        <v>6.75</v>
      </c>
      <c r="L5043" s="3">
        <f t="shared" si="157"/>
        <v>7.17</v>
      </c>
    </row>
    <row r="5044" spans="1:12" x14ac:dyDescent="0.3">
      <c r="A5044" s="2">
        <v>41561</v>
      </c>
      <c r="B5044" t="s">
        <v>13</v>
      </c>
      <c r="D5044" s="2">
        <v>42292</v>
      </c>
      <c r="E5044">
        <v>6.75</v>
      </c>
      <c r="G5044" s="2">
        <v>42292</v>
      </c>
      <c r="H5044">
        <v>7.1779999999999999</v>
      </c>
      <c r="J5044" s="2">
        <v>42299</v>
      </c>
      <c r="K5044" s="3">
        <f t="shared" si="156"/>
        <v>6.75</v>
      </c>
      <c r="L5044" s="3">
        <f t="shared" si="157"/>
        <v>7.1680000000000001</v>
      </c>
    </row>
    <row r="5045" spans="1:12" x14ac:dyDescent="0.3">
      <c r="A5045" s="2">
        <v>41562</v>
      </c>
      <c r="B5045" t="s">
        <v>13</v>
      </c>
      <c r="D5045" s="2">
        <v>42293</v>
      </c>
      <c r="E5045">
        <v>6.75</v>
      </c>
      <c r="G5045" s="2">
        <v>42293</v>
      </c>
      <c r="H5045">
        <v>7.1719999999999997</v>
      </c>
      <c r="J5045" s="2">
        <v>42300</v>
      </c>
      <c r="K5045" s="3">
        <f t="shared" si="156"/>
        <v>6.75</v>
      </c>
      <c r="L5045" s="3">
        <f t="shared" si="157"/>
        <v>7.1749999999999998</v>
      </c>
    </row>
    <row r="5046" spans="1:12" x14ac:dyDescent="0.3">
      <c r="A5046" s="2">
        <v>41563</v>
      </c>
      <c r="B5046" t="s">
        <v>13</v>
      </c>
      <c r="D5046" s="2">
        <v>42294</v>
      </c>
      <c r="E5046">
        <v>6.75</v>
      </c>
      <c r="G5046" s="2">
        <v>42294</v>
      </c>
      <c r="H5046">
        <v>7.1719999999999997</v>
      </c>
      <c r="J5046" s="2">
        <v>42301</v>
      </c>
      <c r="K5046" s="3">
        <f t="shared" si="156"/>
        <v>6.75</v>
      </c>
      <c r="L5046" s="3">
        <f t="shared" si="157"/>
        <v>7.1749999999999998</v>
      </c>
    </row>
    <row r="5047" spans="1:12" x14ac:dyDescent="0.3">
      <c r="A5047" s="2">
        <v>41564</v>
      </c>
      <c r="B5047" t="s">
        <v>13</v>
      </c>
      <c r="D5047" s="2">
        <v>42295</v>
      </c>
      <c r="E5047">
        <v>6.75</v>
      </c>
      <c r="G5047" s="2">
        <v>42295</v>
      </c>
      <c r="H5047">
        <v>7.1719999999999997</v>
      </c>
      <c r="J5047" s="2">
        <v>42302</v>
      </c>
      <c r="K5047" s="3">
        <f t="shared" si="156"/>
        <v>6.75</v>
      </c>
      <c r="L5047" s="3">
        <f t="shared" si="157"/>
        <v>7.1749999999999998</v>
      </c>
    </row>
    <row r="5048" spans="1:12" x14ac:dyDescent="0.3">
      <c r="A5048" s="2">
        <v>41565</v>
      </c>
      <c r="B5048" t="s">
        <v>13</v>
      </c>
      <c r="D5048" s="2">
        <v>42296</v>
      </c>
      <c r="E5048">
        <v>6.75</v>
      </c>
      <c r="G5048" s="2">
        <v>42296</v>
      </c>
      <c r="H5048">
        <v>7.1980000000000004</v>
      </c>
      <c r="J5048" s="2">
        <v>42303</v>
      </c>
      <c r="K5048" s="3">
        <f t="shared" si="156"/>
        <v>6.75</v>
      </c>
      <c r="L5048" s="3">
        <f t="shared" si="157"/>
        <v>7.194</v>
      </c>
    </row>
    <row r="5049" spans="1:12" x14ac:dyDescent="0.3">
      <c r="A5049" s="2">
        <v>41566</v>
      </c>
      <c r="B5049" t="s">
        <v>13</v>
      </c>
      <c r="D5049" s="2">
        <v>42297</v>
      </c>
      <c r="E5049">
        <v>6.75</v>
      </c>
      <c r="G5049" s="2">
        <v>42297</v>
      </c>
      <c r="H5049">
        <v>7.1760000000000002</v>
      </c>
      <c r="J5049" s="2">
        <v>42304</v>
      </c>
      <c r="K5049" s="3">
        <f t="shared" si="156"/>
        <v>6.75</v>
      </c>
      <c r="L5049" s="3">
        <f t="shared" si="157"/>
        <v>7.1959999999999997</v>
      </c>
    </row>
    <row r="5050" spans="1:12" x14ac:dyDescent="0.3">
      <c r="A5050" s="2">
        <v>41567</v>
      </c>
      <c r="B5050" t="s">
        <v>13</v>
      </c>
      <c r="D5050" s="2">
        <v>42298</v>
      </c>
      <c r="E5050">
        <v>6.75</v>
      </c>
      <c r="G5050" s="2">
        <v>42298</v>
      </c>
      <c r="H5050">
        <v>7.17</v>
      </c>
      <c r="J5050" s="2">
        <v>42305</v>
      </c>
      <c r="K5050" s="3">
        <f t="shared" si="156"/>
        <v>6.75</v>
      </c>
      <c r="L5050" s="3">
        <f t="shared" si="157"/>
        <v>7.2080000000000002</v>
      </c>
    </row>
    <row r="5051" spans="1:12" x14ac:dyDescent="0.3">
      <c r="A5051" s="2">
        <v>41568</v>
      </c>
      <c r="B5051" t="s">
        <v>13</v>
      </c>
      <c r="D5051" s="2">
        <v>42299</v>
      </c>
      <c r="E5051">
        <v>6.75</v>
      </c>
      <c r="G5051" s="2">
        <v>42299</v>
      </c>
      <c r="H5051">
        <v>7.1680000000000001</v>
      </c>
      <c r="J5051" s="2">
        <v>42306</v>
      </c>
      <c r="K5051" s="3">
        <f t="shared" si="156"/>
        <v>6.75</v>
      </c>
      <c r="L5051" s="3">
        <f t="shared" si="157"/>
        <v>7.21</v>
      </c>
    </row>
    <row r="5052" spans="1:12" x14ac:dyDescent="0.3">
      <c r="A5052" s="2">
        <v>41569</v>
      </c>
      <c r="B5052" t="s">
        <v>13</v>
      </c>
      <c r="D5052" s="2">
        <v>42300</v>
      </c>
      <c r="E5052">
        <v>6.75</v>
      </c>
      <c r="G5052" s="2">
        <v>42300</v>
      </c>
      <c r="H5052">
        <v>7.1749999999999998</v>
      </c>
      <c r="J5052" s="2">
        <v>42307</v>
      </c>
      <c r="K5052" s="3">
        <f t="shared" si="156"/>
        <v>6.75</v>
      </c>
      <c r="L5052" s="3">
        <f t="shared" si="157"/>
        <v>7.1950000000000003</v>
      </c>
    </row>
    <row r="5053" spans="1:12" x14ac:dyDescent="0.3">
      <c r="A5053" s="2">
        <v>41570</v>
      </c>
      <c r="B5053" t="s">
        <v>13</v>
      </c>
      <c r="D5053" s="2">
        <v>42301</v>
      </c>
      <c r="E5053">
        <v>6.75</v>
      </c>
      <c r="G5053" s="2">
        <v>42301</v>
      </c>
      <c r="H5053">
        <v>7.1749999999999998</v>
      </c>
      <c r="J5053" s="2">
        <v>42308</v>
      </c>
      <c r="K5053" s="3">
        <f t="shared" si="156"/>
        <v>6.75</v>
      </c>
      <c r="L5053" s="3">
        <f t="shared" si="157"/>
        <v>7.1950000000000003</v>
      </c>
    </row>
    <row r="5054" spans="1:12" x14ac:dyDescent="0.3">
      <c r="A5054" s="2">
        <v>41571</v>
      </c>
      <c r="B5054" t="s">
        <v>13</v>
      </c>
      <c r="D5054" s="2">
        <v>42302</v>
      </c>
      <c r="E5054">
        <v>6.75</v>
      </c>
      <c r="G5054" s="2">
        <v>42302</v>
      </c>
      <c r="H5054">
        <v>7.1749999999999998</v>
      </c>
      <c r="J5054" s="2">
        <v>42309</v>
      </c>
      <c r="K5054" s="3">
        <f t="shared" si="156"/>
        <v>6.75</v>
      </c>
      <c r="L5054" s="3">
        <f t="shared" si="157"/>
        <v>7.1950000000000003</v>
      </c>
    </row>
    <row r="5055" spans="1:12" x14ac:dyDescent="0.3">
      <c r="A5055" s="2">
        <v>41572</v>
      </c>
      <c r="B5055" t="s">
        <v>13</v>
      </c>
      <c r="D5055" s="2">
        <v>42303</v>
      </c>
      <c r="E5055">
        <v>6.75</v>
      </c>
      <c r="G5055" s="2">
        <v>42303</v>
      </c>
      <c r="H5055">
        <v>7.194</v>
      </c>
      <c r="J5055" s="2">
        <v>42310</v>
      </c>
      <c r="K5055" s="3">
        <f t="shared" si="156"/>
        <v>6.75</v>
      </c>
      <c r="L5055" s="3">
        <f t="shared" si="157"/>
        <v>7.2089999999999996</v>
      </c>
    </row>
    <row r="5056" spans="1:12" x14ac:dyDescent="0.3">
      <c r="A5056" s="2">
        <v>41573</v>
      </c>
      <c r="B5056" t="s">
        <v>13</v>
      </c>
      <c r="D5056" s="2">
        <v>42304</v>
      </c>
      <c r="E5056">
        <v>6.75</v>
      </c>
      <c r="G5056" s="2">
        <v>42304</v>
      </c>
      <c r="H5056">
        <v>7.1959999999999997</v>
      </c>
      <c r="J5056" s="2">
        <v>42311</v>
      </c>
      <c r="K5056" s="3">
        <f t="shared" si="156"/>
        <v>6.75</v>
      </c>
      <c r="L5056" s="3">
        <f t="shared" si="157"/>
        <v>7.2060000000000004</v>
      </c>
    </row>
    <row r="5057" spans="1:12" x14ac:dyDescent="0.3">
      <c r="A5057" s="2">
        <v>41574</v>
      </c>
      <c r="B5057" t="s">
        <v>13</v>
      </c>
      <c r="D5057" s="2">
        <v>42305</v>
      </c>
      <c r="E5057">
        <v>6.75</v>
      </c>
      <c r="G5057" s="2">
        <v>42305</v>
      </c>
      <c r="H5057">
        <v>7.2080000000000002</v>
      </c>
      <c r="J5057" s="2">
        <v>42312</v>
      </c>
      <c r="K5057" s="3">
        <f t="shared" si="156"/>
        <v>6.75</v>
      </c>
      <c r="L5057" s="3">
        <f t="shared" si="157"/>
        <v>7.2089999999999996</v>
      </c>
    </row>
    <row r="5058" spans="1:12" x14ac:dyDescent="0.3">
      <c r="A5058" s="2">
        <v>41575</v>
      </c>
      <c r="B5058" t="s">
        <v>13</v>
      </c>
      <c r="D5058" s="2">
        <v>42306</v>
      </c>
      <c r="E5058">
        <v>6.75</v>
      </c>
      <c r="G5058" s="2">
        <v>42306</v>
      </c>
      <c r="H5058">
        <v>7.21</v>
      </c>
      <c r="J5058" s="2">
        <v>42313</v>
      </c>
      <c r="K5058" s="3">
        <f t="shared" si="156"/>
        <v>6.75</v>
      </c>
      <c r="L5058" s="3">
        <f t="shared" si="157"/>
        <v>7.202</v>
      </c>
    </row>
    <row r="5059" spans="1:12" x14ac:dyDescent="0.3">
      <c r="A5059" s="2">
        <v>41576</v>
      </c>
      <c r="B5059" t="s">
        <v>13</v>
      </c>
      <c r="D5059" s="2">
        <v>42307</v>
      </c>
      <c r="E5059">
        <v>6.75</v>
      </c>
      <c r="G5059" s="2">
        <v>42307</v>
      </c>
      <c r="H5059">
        <v>7.1950000000000003</v>
      </c>
      <c r="J5059" s="2">
        <v>42314</v>
      </c>
      <c r="K5059" s="3">
        <f t="shared" ref="K5059:K5122" si="158">E5066</f>
        <v>6.75</v>
      </c>
      <c r="L5059" s="3">
        <f t="shared" ref="L5059:L5122" si="159">H5066</f>
        <v>7.2430000000000003</v>
      </c>
    </row>
    <row r="5060" spans="1:12" x14ac:dyDescent="0.3">
      <c r="A5060" s="2">
        <v>41577</v>
      </c>
      <c r="B5060" t="s">
        <v>13</v>
      </c>
      <c r="D5060" s="2">
        <v>42308</v>
      </c>
      <c r="E5060">
        <v>6.75</v>
      </c>
      <c r="G5060" s="2">
        <v>42308</v>
      </c>
      <c r="H5060">
        <v>7.1950000000000003</v>
      </c>
      <c r="J5060" s="2">
        <v>42315</v>
      </c>
      <c r="K5060" s="3">
        <f t="shared" si="158"/>
        <v>6.75</v>
      </c>
      <c r="L5060" s="3">
        <f t="shared" si="159"/>
        <v>7.2430000000000003</v>
      </c>
    </row>
    <row r="5061" spans="1:12" x14ac:dyDescent="0.3">
      <c r="A5061" s="2">
        <v>41578</v>
      </c>
      <c r="B5061" t="s">
        <v>13</v>
      </c>
      <c r="D5061" s="2">
        <v>42309</v>
      </c>
      <c r="E5061">
        <v>6.75</v>
      </c>
      <c r="G5061" s="2">
        <v>42309</v>
      </c>
      <c r="H5061">
        <v>7.1950000000000003</v>
      </c>
      <c r="J5061" s="2">
        <v>42316</v>
      </c>
      <c r="K5061" s="3">
        <f t="shared" si="158"/>
        <v>6.75</v>
      </c>
      <c r="L5061" s="3">
        <f t="shared" si="159"/>
        <v>7.2430000000000003</v>
      </c>
    </row>
    <row r="5062" spans="1:12" x14ac:dyDescent="0.3">
      <c r="A5062" s="2">
        <v>41579</v>
      </c>
      <c r="B5062" t="s">
        <v>13</v>
      </c>
      <c r="D5062" s="2">
        <v>42310</v>
      </c>
      <c r="E5062">
        <v>6.75</v>
      </c>
      <c r="G5062" s="2">
        <v>42310</v>
      </c>
      <c r="H5062">
        <v>7.2089999999999996</v>
      </c>
      <c r="J5062" s="2">
        <v>42317</v>
      </c>
      <c r="K5062" s="3">
        <f t="shared" si="158"/>
        <v>6.75</v>
      </c>
      <c r="L5062" s="3">
        <f t="shared" si="159"/>
        <v>7.2450000000000001</v>
      </c>
    </row>
    <row r="5063" spans="1:12" x14ac:dyDescent="0.3">
      <c r="A5063" s="2">
        <v>41580</v>
      </c>
      <c r="B5063" t="s">
        <v>13</v>
      </c>
      <c r="D5063" s="2">
        <v>42311</v>
      </c>
      <c r="E5063">
        <v>6.75</v>
      </c>
      <c r="G5063" s="2">
        <v>42311</v>
      </c>
      <c r="H5063">
        <v>7.2060000000000004</v>
      </c>
      <c r="J5063" s="2">
        <v>42318</v>
      </c>
      <c r="K5063" s="3">
        <f t="shared" si="158"/>
        <v>6.75</v>
      </c>
      <c r="L5063" s="3">
        <f t="shared" si="159"/>
        <v>7.2649999999999997</v>
      </c>
    </row>
    <row r="5064" spans="1:12" x14ac:dyDescent="0.3">
      <c r="A5064" s="2">
        <v>41581</v>
      </c>
      <c r="B5064" t="s">
        <v>13</v>
      </c>
      <c r="D5064" s="2">
        <v>42312</v>
      </c>
      <c r="E5064">
        <v>6.75</v>
      </c>
      <c r="G5064" s="2">
        <v>42312</v>
      </c>
      <c r="H5064">
        <v>7.2089999999999996</v>
      </c>
      <c r="J5064" s="2">
        <v>42319</v>
      </c>
      <c r="K5064" s="3">
        <f t="shared" si="158"/>
        <v>6.75</v>
      </c>
      <c r="L5064" s="3">
        <f t="shared" si="159"/>
        <v>7.2649999999999997</v>
      </c>
    </row>
    <row r="5065" spans="1:12" x14ac:dyDescent="0.3">
      <c r="A5065" s="2">
        <v>41582</v>
      </c>
      <c r="B5065" t="s">
        <v>13</v>
      </c>
      <c r="D5065" s="2">
        <v>42313</v>
      </c>
      <c r="E5065">
        <v>6.75</v>
      </c>
      <c r="G5065" s="2">
        <v>42313</v>
      </c>
      <c r="H5065">
        <v>7.202</v>
      </c>
      <c r="J5065" s="2">
        <v>42320</v>
      </c>
      <c r="K5065" s="3">
        <f t="shared" si="158"/>
        <v>6.75</v>
      </c>
      <c r="L5065" s="3">
        <f t="shared" si="159"/>
        <v>7.2649999999999997</v>
      </c>
    </row>
    <row r="5066" spans="1:12" x14ac:dyDescent="0.3">
      <c r="A5066" s="2">
        <v>41583</v>
      </c>
      <c r="B5066" t="s">
        <v>13</v>
      </c>
      <c r="D5066" s="2">
        <v>42314</v>
      </c>
      <c r="E5066">
        <v>6.75</v>
      </c>
      <c r="G5066" s="2">
        <v>42314</v>
      </c>
      <c r="H5066">
        <v>7.2430000000000003</v>
      </c>
      <c r="J5066" s="2">
        <v>42321</v>
      </c>
      <c r="K5066" s="3">
        <f t="shared" si="158"/>
        <v>6.75</v>
      </c>
      <c r="L5066" s="3">
        <f t="shared" si="159"/>
        <v>7.2619999999999996</v>
      </c>
    </row>
    <row r="5067" spans="1:12" x14ac:dyDescent="0.3">
      <c r="A5067" s="2">
        <v>41584</v>
      </c>
      <c r="B5067" t="s">
        <v>13</v>
      </c>
      <c r="D5067" s="2">
        <v>42315</v>
      </c>
      <c r="E5067">
        <v>6.75</v>
      </c>
      <c r="G5067" s="2">
        <v>42315</v>
      </c>
      <c r="H5067">
        <v>7.2430000000000003</v>
      </c>
      <c r="J5067" s="2">
        <v>42322</v>
      </c>
      <c r="K5067" s="3">
        <f t="shared" si="158"/>
        <v>6.75</v>
      </c>
      <c r="L5067" s="3">
        <f t="shared" si="159"/>
        <v>7.2619999999999996</v>
      </c>
    </row>
    <row r="5068" spans="1:12" x14ac:dyDescent="0.3">
      <c r="A5068" s="2">
        <v>41585</v>
      </c>
      <c r="B5068" t="s">
        <v>13</v>
      </c>
      <c r="D5068" s="2">
        <v>42316</v>
      </c>
      <c r="E5068">
        <v>6.75</v>
      </c>
      <c r="G5068" s="2">
        <v>42316</v>
      </c>
      <c r="H5068">
        <v>7.2430000000000003</v>
      </c>
      <c r="J5068" s="2">
        <v>42323</v>
      </c>
      <c r="K5068" s="3">
        <f t="shared" si="158"/>
        <v>6.75</v>
      </c>
      <c r="L5068" s="3">
        <f t="shared" si="159"/>
        <v>7.2619999999999996</v>
      </c>
    </row>
    <row r="5069" spans="1:12" x14ac:dyDescent="0.3">
      <c r="A5069" s="2">
        <v>41586</v>
      </c>
      <c r="B5069" t="s">
        <v>13</v>
      </c>
      <c r="D5069" s="2">
        <v>42317</v>
      </c>
      <c r="E5069">
        <v>6.75</v>
      </c>
      <c r="G5069" s="2">
        <v>42317</v>
      </c>
      <c r="H5069">
        <v>7.2450000000000001</v>
      </c>
      <c r="J5069" s="2">
        <v>42324</v>
      </c>
      <c r="K5069" s="3">
        <f t="shared" si="158"/>
        <v>6.75</v>
      </c>
      <c r="L5069" s="3">
        <f t="shared" si="159"/>
        <v>7.258</v>
      </c>
    </row>
    <row r="5070" spans="1:12" x14ac:dyDescent="0.3">
      <c r="A5070" s="2">
        <v>41587</v>
      </c>
      <c r="B5070" t="s">
        <v>13</v>
      </c>
      <c r="D5070" s="2">
        <v>42318</v>
      </c>
      <c r="E5070">
        <v>6.75</v>
      </c>
      <c r="G5070" s="2">
        <v>42318</v>
      </c>
      <c r="H5070">
        <v>7.2649999999999997</v>
      </c>
      <c r="J5070" s="2">
        <v>42325</v>
      </c>
      <c r="K5070" s="3">
        <f t="shared" si="158"/>
        <v>6.75</v>
      </c>
      <c r="L5070" s="3">
        <f t="shared" si="159"/>
        <v>7.2359999999999998</v>
      </c>
    </row>
    <row r="5071" spans="1:12" x14ac:dyDescent="0.3">
      <c r="A5071" s="2">
        <v>41588</v>
      </c>
      <c r="B5071" t="s">
        <v>13</v>
      </c>
      <c r="D5071" s="2">
        <v>42319</v>
      </c>
      <c r="E5071">
        <v>6.75</v>
      </c>
      <c r="G5071" s="2">
        <v>42319</v>
      </c>
      <c r="H5071">
        <v>7.2649999999999997</v>
      </c>
      <c r="J5071" s="2">
        <v>42326</v>
      </c>
      <c r="K5071" s="3">
        <f t="shared" si="158"/>
        <v>6.75</v>
      </c>
      <c r="L5071" s="3">
        <f t="shared" si="159"/>
        <v>7.2370000000000001</v>
      </c>
    </row>
    <row r="5072" spans="1:12" x14ac:dyDescent="0.3">
      <c r="A5072" s="2">
        <v>41589</v>
      </c>
      <c r="B5072" t="s">
        <v>13</v>
      </c>
      <c r="D5072" s="2">
        <v>42320</v>
      </c>
      <c r="E5072">
        <v>6.75</v>
      </c>
      <c r="G5072" s="2">
        <v>42320</v>
      </c>
      <c r="H5072">
        <v>7.2649999999999997</v>
      </c>
      <c r="J5072" s="2">
        <v>42327</v>
      </c>
      <c r="K5072" s="3">
        <f t="shared" si="158"/>
        <v>6.75</v>
      </c>
      <c r="L5072" s="3">
        <f t="shared" si="159"/>
        <v>7.2229999999999999</v>
      </c>
    </row>
    <row r="5073" spans="1:12" x14ac:dyDescent="0.3">
      <c r="A5073" s="2">
        <v>41590</v>
      </c>
      <c r="B5073" t="s">
        <v>13</v>
      </c>
      <c r="D5073" s="2">
        <v>42321</v>
      </c>
      <c r="E5073">
        <v>6.75</v>
      </c>
      <c r="G5073" s="2">
        <v>42321</v>
      </c>
      <c r="H5073">
        <v>7.2619999999999996</v>
      </c>
      <c r="J5073" s="2">
        <v>42328</v>
      </c>
      <c r="K5073" s="3">
        <f t="shared" si="158"/>
        <v>6.75</v>
      </c>
      <c r="L5073" s="3">
        <f t="shared" si="159"/>
        <v>7.2530000000000001</v>
      </c>
    </row>
    <row r="5074" spans="1:12" x14ac:dyDescent="0.3">
      <c r="A5074" s="2">
        <v>41591</v>
      </c>
      <c r="B5074" t="s">
        <v>13</v>
      </c>
      <c r="D5074" s="2">
        <v>42322</v>
      </c>
      <c r="E5074">
        <v>6.75</v>
      </c>
      <c r="G5074" s="2">
        <v>42322</v>
      </c>
      <c r="H5074">
        <v>7.2619999999999996</v>
      </c>
      <c r="J5074" s="2">
        <v>42329</v>
      </c>
      <c r="K5074" s="3">
        <f t="shared" si="158"/>
        <v>6.75</v>
      </c>
      <c r="L5074" s="3">
        <f t="shared" si="159"/>
        <v>7.2530000000000001</v>
      </c>
    </row>
    <row r="5075" spans="1:12" x14ac:dyDescent="0.3">
      <c r="A5075" s="2">
        <v>41592</v>
      </c>
      <c r="B5075" t="s">
        <v>13</v>
      </c>
      <c r="D5075" s="2">
        <v>42323</v>
      </c>
      <c r="E5075">
        <v>6.75</v>
      </c>
      <c r="G5075" s="2">
        <v>42323</v>
      </c>
      <c r="H5075">
        <v>7.2619999999999996</v>
      </c>
      <c r="J5075" s="2">
        <v>42330</v>
      </c>
      <c r="K5075" s="3">
        <f t="shared" si="158"/>
        <v>6.75</v>
      </c>
      <c r="L5075" s="3">
        <f t="shared" si="159"/>
        <v>7.2530000000000001</v>
      </c>
    </row>
    <row r="5076" spans="1:12" x14ac:dyDescent="0.3">
      <c r="A5076" s="2">
        <v>41593</v>
      </c>
      <c r="B5076" t="s">
        <v>13</v>
      </c>
      <c r="D5076" s="2">
        <v>42324</v>
      </c>
      <c r="E5076">
        <v>6.75</v>
      </c>
      <c r="G5076" s="2">
        <v>42324</v>
      </c>
      <c r="H5076">
        <v>7.258</v>
      </c>
      <c r="J5076" s="2">
        <v>42331</v>
      </c>
      <c r="K5076" s="3">
        <f t="shared" si="158"/>
        <v>6.75</v>
      </c>
      <c r="L5076" s="3">
        <f t="shared" si="159"/>
        <v>7.2560000000000002</v>
      </c>
    </row>
    <row r="5077" spans="1:12" x14ac:dyDescent="0.3">
      <c r="A5077" s="2">
        <v>41594</v>
      </c>
      <c r="B5077" t="s">
        <v>13</v>
      </c>
      <c r="D5077" s="2">
        <v>42325</v>
      </c>
      <c r="E5077">
        <v>6.75</v>
      </c>
      <c r="G5077" s="2">
        <v>42325</v>
      </c>
      <c r="H5077">
        <v>7.2359999999999998</v>
      </c>
      <c r="J5077" s="2">
        <v>42332</v>
      </c>
      <c r="K5077" s="3">
        <f t="shared" si="158"/>
        <v>6.75</v>
      </c>
      <c r="L5077" s="3">
        <f t="shared" si="159"/>
        <v>7.2850000000000001</v>
      </c>
    </row>
    <row r="5078" spans="1:12" x14ac:dyDescent="0.3">
      <c r="A5078" s="2">
        <v>41595</v>
      </c>
      <c r="B5078" t="s">
        <v>13</v>
      </c>
      <c r="D5078" s="2">
        <v>42326</v>
      </c>
      <c r="E5078">
        <v>6.75</v>
      </c>
      <c r="G5078" s="2">
        <v>42326</v>
      </c>
      <c r="H5078">
        <v>7.2370000000000001</v>
      </c>
      <c r="J5078" s="2">
        <v>42333</v>
      </c>
      <c r="K5078" s="3">
        <f t="shared" si="158"/>
        <v>6.75</v>
      </c>
      <c r="L5078" s="3">
        <f t="shared" si="159"/>
        <v>7.2850000000000001</v>
      </c>
    </row>
    <row r="5079" spans="1:12" x14ac:dyDescent="0.3">
      <c r="A5079" s="2">
        <v>41596</v>
      </c>
      <c r="B5079" t="s">
        <v>13</v>
      </c>
      <c r="D5079" s="2">
        <v>42327</v>
      </c>
      <c r="E5079">
        <v>6.75</v>
      </c>
      <c r="G5079" s="2">
        <v>42327</v>
      </c>
      <c r="H5079">
        <v>7.2229999999999999</v>
      </c>
      <c r="J5079" s="2">
        <v>42334</v>
      </c>
      <c r="K5079" s="3">
        <f t="shared" si="158"/>
        <v>6.75</v>
      </c>
      <c r="L5079" s="3">
        <f t="shared" si="159"/>
        <v>7.2590000000000003</v>
      </c>
    </row>
    <row r="5080" spans="1:12" x14ac:dyDescent="0.3">
      <c r="A5080" s="2">
        <v>41597</v>
      </c>
      <c r="B5080" t="s">
        <v>13</v>
      </c>
      <c r="D5080" s="2">
        <v>42328</v>
      </c>
      <c r="E5080">
        <v>6.75</v>
      </c>
      <c r="G5080" s="2">
        <v>42328</v>
      </c>
      <c r="H5080">
        <v>7.2530000000000001</v>
      </c>
      <c r="J5080" s="2">
        <v>42335</v>
      </c>
      <c r="K5080" s="3">
        <f t="shared" si="158"/>
        <v>6.75</v>
      </c>
      <c r="L5080" s="3">
        <f t="shared" si="159"/>
        <v>7.2480000000000002</v>
      </c>
    </row>
    <row r="5081" spans="1:12" x14ac:dyDescent="0.3">
      <c r="A5081" s="2">
        <v>41598</v>
      </c>
      <c r="B5081" t="s">
        <v>13</v>
      </c>
      <c r="D5081" s="2">
        <v>42329</v>
      </c>
      <c r="E5081">
        <v>6.75</v>
      </c>
      <c r="G5081" s="2">
        <v>42329</v>
      </c>
      <c r="H5081">
        <v>7.2530000000000001</v>
      </c>
      <c r="J5081" s="2">
        <v>42336</v>
      </c>
      <c r="K5081" s="3">
        <f t="shared" si="158"/>
        <v>6.75</v>
      </c>
      <c r="L5081" s="3">
        <f t="shared" si="159"/>
        <v>7.2480000000000002</v>
      </c>
    </row>
    <row r="5082" spans="1:12" x14ac:dyDescent="0.3">
      <c r="A5082" s="2">
        <v>41599</v>
      </c>
      <c r="B5082" t="s">
        <v>13</v>
      </c>
      <c r="D5082" s="2">
        <v>42330</v>
      </c>
      <c r="E5082">
        <v>6.75</v>
      </c>
      <c r="G5082" s="2">
        <v>42330</v>
      </c>
      <c r="H5082">
        <v>7.2530000000000001</v>
      </c>
      <c r="J5082" s="2">
        <v>42337</v>
      </c>
      <c r="K5082" s="3">
        <f t="shared" si="158"/>
        <v>6.75</v>
      </c>
      <c r="L5082" s="3">
        <f t="shared" si="159"/>
        <v>7.2480000000000002</v>
      </c>
    </row>
    <row r="5083" spans="1:12" x14ac:dyDescent="0.3">
      <c r="A5083" s="2">
        <v>41600</v>
      </c>
      <c r="B5083" t="s">
        <v>13</v>
      </c>
      <c r="D5083" s="2">
        <v>42331</v>
      </c>
      <c r="E5083">
        <v>6.75</v>
      </c>
      <c r="G5083" s="2">
        <v>42331</v>
      </c>
      <c r="H5083">
        <v>7.2560000000000002</v>
      </c>
      <c r="J5083" s="2">
        <v>42338</v>
      </c>
      <c r="K5083" s="3">
        <f t="shared" si="158"/>
        <v>6.75</v>
      </c>
      <c r="L5083" s="3">
        <f t="shared" si="159"/>
        <v>7.2480000000000002</v>
      </c>
    </row>
    <row r="5084" spans="1:12" x14ac:dyDescent="0.3">
      <c r="A5084" s="2">
        <v>41601</v>
      </c>
      <c r="B5084" t="s">
        <v>13</v>
      </c>
      <c r="D5084" s="2">
        <v>42332</v>
      </c>
      <c r="E5084">
        <v>6.75</v>
      </c>
      <c r="G5084" s="2">
        <v>42332</v>
      </c>
      <c r="H5084">
        <v>7.2850000000000001</v>
      </c>
      <c r="J5084" s="2">
        <v>42339</v>
      </c>
      <c r="K5084" s="3">
        <f t="shared" si="158"/>
        <v>6.75</v>
      </c>
      <c r="L5084" s="3">
        <f t="shared" si="159"/>
        <v>7.2489999999999997</v>
      </c>
    </row>
    <row r="5085" spans="1:12" x14ac:dyDescent="0.3">
      <c r="A5085" s="2">
        <v>41602</v>
      </c>
      <c r="B5085" t="s">
        <v>13</v>
      </c>
      <c r="D5085" s="2">
        <v>42333</v>
      </c>
      <c r="E5085">
        <v>6.75</v>
      </c>
      <c r="G5085" s="2">
        <v>42333</v>
      </c>
      <c r="H5085">
        <v>7.2850000000000001</v>
      </c>
      <c r="J5085" s="2">
        <v>42340</v>
      </c>
      <c r="K5085" s="3">
        <f t="shared" si="158"/>
        <v>6.75</v>
      </c>
      <c r="L5085" s="3">
        <f t="shared" si="159"/>
        <v>7.25</v>
      </c>
    </row>
    <row r="5086" spans="1:12" x14ac:dyDescent="0.3">
      <c r="A5086" s="2">
        <v>41603</v>
      </c>
      <c r="B5086" t="s">
        <v>13</v>
      </c>
      <c r="D5086" s="2">
        <v>42334</v>
      </c>
      <c r="E5086">
        <v>6.75</v>
      </c>
      <c r="G5086" s="2">
        <v>42334</v>
      </c>
      <c r="H5086">
        <v>7.2590000000000003</v>
      </c>
      <c r="J5086" s="2">
        <v>42341</v>
      </c>
      <c r="K5086" s="3">
        <f t="shared" si="158"/>
        <v>6.75</v>
      </c>
      <c r="L5086" s="3">
        <f t="shared" si="159"/>
        <v>7.25</v>
      </c>
    </row>
    <row r="5087" spans="1:12" x14ac:dyDescent="0.3">
      <c r="A5087" s="2">
        <v>41604</v>
      </c>
      <c r="B5087" t="s">
        <v>13</v>
      </c>
      <c r="D5087" s="2">
        <v>42335</v>
      </c>
      <c r="E5087">
        <v>6.75</v>
      </c>
      <c r="G5087" s="2">
        <v>42335</v>
      </c>
      <c r="H5087">
        <v>7.2480000000000002</v>
      </c>
      <c r="J5087" s="2">
        <v>42342</v>
      </c>
      <c r="K5087" s="3">
        <f t="shared" si="158"/>
        <v>6.75</v>
      </c>
      <c r="L5087" s="3">
        <f t="shared" si="159"/>
        <v>7.266</v>
      </c>
    </row>
    <row r="5088" spans="1:12" x14ac:dyDescent="0.3">
      <c r="A5088" s="2">
        <v>41605</v>
      </c>
      <c r="B5088" t="s">
        <v>13</v>
      </c>
      <c r="D5088" s="2">
        <v>42336</v>
      </c>
      <c r="E5088">
        <v>6.75</v>
      </c>
      <c r="G5088" s="2">
        <v>42336</v>
      </c>
      <c r="H5088">
        <v>7.2480000000000002</v>
      </c>
      <c r="J5088" s="2">
        <v>42343</v>
      </c>
      <c r="K5088" s="3">
        <f t="shared" si="158"/>
        <v>6.75</v>
      </c>
      <c r="L5088" s="3">
        <f t="shared" si="159"/>
        <v>7.266</v>
      </c>
    </row>
    <row r="5089" spans="1:12" x14ac:dyDescent="0.3">
      <c r="A5089" s="2">
        <v>41606</v>
      </c>
      <c r="B5089" t="s">
        <v>13</v>
      </c>
      <c r="D5089" s="2">
        <v>42337</v>
      </c>
      <c r="E5089">
        <v>6.75</v>
      </c>
      <c r="G5089" s="2">
        <v>42337</v>
      </c>
      <c r="H5089">
        <v>7.2480000000000002</v>
      </c>
      <c r="J5089" s="2">
        <v>42344</v>
      </c>
      <c r="K5089" s="3">
        <f t="shared" si="158"/>
        <v>6.75</v>
      </c>
      <c r="L5089" s="3">
        <f t="shared" si="159"/>
        <v>7.266</v>
      </c>
    </row>
    <row r="5090" spans="1:12" x14ac:dyDescent="0.3">
      <c r="A5090" s="2">
        <v>41607</v>
      </c>
      <c r="B5090" t="s">
        <v>13</v>
      </c>
      <c r="D5090" s="2">
        <v>42338</v>
      </c>
      <c r="E5090">
        <v>6.75</v>
      </c>
      <c r="G5090" s="2">
        <v>42338</v>
      </c>
      <c r="H5090">
        <v>7.2480000000000002</v>
      </c>
      <c r="J5090" s="2">
        <v>42345</v>
      </c>
      <c r="K5090" s="3">
        <f t="shared" si="158"/>
        <v>6.75</v>
      </c>
      <c r="L5090" s="3">
        <f t="shared" si="159"/>
        <v>7.2709999999999999</v>
      </c>
    </row>
    <row r="5091" spans="1:12" x14ac:dyDescent="0.3">
      <c r="A5091" s="2">
        <v>41608</v>
      </c>
      <c r="B5091" t="s">
        <v>13</v>
      </c>
      <c r="D5091" s="2">
        <v>42339</v>
      </c>
      <c r="E5091">
        <v>6.75</v>
      </c>
      <c r="G5091" s="2">
        <v>42339</v>
      </c>
      <c r="H5091">
        <v>7.2489999999999997</v>
      </c>
      <c r="J5091" s="2">
        <v>42346</v>
      </c>
      <c r="K5091" s="3">
        <f t="shared" si="158"/>
        <v>6.75</v>
      </c>
      <c r="L5091" s="3">
        <f t="shared" si="159"/>
        <v>7.2329999999999997</v>
      </c>
    </row>
    <row r="5092" spans="1:12" x14ac:dyDescent="0.3">
      <c r="A5092" s="2">
        <v>41609</v>
      </c>
      <c r="B5092" t="s">
        <v>13</v>
      </c>
      <c r="D5092" s="2">
        <v>42340</v>
      </c>
      <c r="E5092">
        <v>6.75</v>
      </c>
      <c r="G5092" s="2">
        <v>42340</v>
      </c>
      <c r="H5092">
        <v>7.25</v>
      </c>
      <c r="J5092" s="2">
        <v>42347</v>
      </c>
      <c r="K5092" s="3">
        <f t="shared" si="158"/>
        <v>6.75</v>
      </c>
      <c r="L5092" s="3">
        <f t="shared" si="159"/>
        <v>7.242</v>
      </c>
    </row>
    <row r="5093" spans="1:12" x14ac:dyDescent="0.3">
      <c r="A5093" s="2">
        <v>41610</v>
      </c>
      <c r="B5093" t="s">
        <v>13</v>
      </c>
      <c r="D5093" s="2">
        <v>42341</v>
      </c>
      <c r="E5093">
        <v>6.75</v>
      </c>
      <c r="G5093" s="2">
        <v>42341</v>
      </c>
      <c r="H5093">
        <v>7.25</v>
      </c>
      <c r="J5093" s="2">
        <v>42348</v>
      </c>
      <c r="K5093" s="3">
        <f t="shared" si="158"/>
        <v>6.75</v>
      </c>
      <c r="L5093" s="3">
        <f t="shared" si="159"/>
        <v>7.2290000000000001</v>
      </c>
    </row>
    <row r="5094" spans="1:12" x14ac:dyDescent="0.3">
      <c r="A5094" s="2">
        <v>41611</v>
      </c>
      <c r="B5094" t="s">
        <v>13</v>
      </c>
      <c r="D5094" s="2">
        <v>42342</v>
      </c>
      <c r="E5094">
        <v>6.75</v>
      </c>
      <c r="G5094" s="2">
        <v>42342</v>
      </c>
      <c r="H5094">
        <v>7.266</v>
      </c>
      <c r="J5094" s="2">
        <v>42349</v>
      </c>
      <c r="K5094" s="3">
        <f t="shared" si="158"/>
        <v>6.75</v>
      </c>
      <c r="L5094" s="3">
        <f t="shared" si="159"/>
        <v>7.2309999999999999</v>
      </c>
    </row>
    <row r="5095" spans="1:12" x14ac:dyDescent="0.3">
      <c r="A5095" s="2">
        <v>41612</v>
      </c>
      <c r="B5095" t="s">
        <v>13</v>
      </c>
      <c r="D5095" s="2">
        <v>42343</v>
      </c>
      <c r="E5095">
        <v>6.75</v>
      </c>
      <c r="G5095" s="2">
        <v>42343</v>
      </c>
      <c r="H5095">
        <v>7.266</v>
      </c>
      <c r="J5095" s="2">
        <v>42350</v>
      </c>
      <c r="K5095" s="3">
        <f t="shared" si="158"/>
        <v>6.75</v>
      </c>
      <c r="L5095" s="3">
        <f t="shared" si="159"/>
        <v>7.2309999999999999</v>
      </c>
    </row>
    <row r="5096" spans="1:12" x14ac:dyDescent="0.3">
      <c r="A5096" s="2">
        <v>41613</v>
      </c>
      <c r="B5096" t="s">
        <v>13</v>
      </c>
      <c r="D5096" s="2">
        <v>42344</v>
      </c>
      <c r="E5096">
        <v>6.75</v>
      </c>
      <c r="G5096" s="2">
        <v>42344</v>
      </c>
      <c r="H5096">
        <v>7.266</v>
      </c>
      <c r="J5096" s="2">
        <v>42351</v>
      </c>
      <c r="K5096" s="3">
        <f t="shared" si="158"/>
        <v>6.75</v>
      </c>
      <c r="L5096" s="3">
        <f t="shared" si="159"/>
        <v>7.2309999999999999</v>
      </c>
    </row>
    <row r="5097" spans="1:12" x14ac:dyDescent="0.3">
      <c r="A5097" s="2">
        <v>41614</v>
      </c>
      <c r="B5097" t="s">
        <v>13</v>
      </c>
      <c r="D5097" s="2">
        <v>42345</v>
      </c>
      <c r="E5097">
        <v>6.75</v>
      </c>
      <c r="G5097" s="2">
        <v>42345</v>
      </c>
      <c r="H5097">
        <v>7.2709999999999999</v>
      </c>
      <c r="J5097" s="2">
        <v>42352</v>
      </c>
      <c r="K5097" s="3">
        <f t="shared" si="158"/>
        <v>6.75</v>
      </c>
      <c r="L5097" s="3">
        <f t="shared" si="159"/>
        <v>7.2460000000000004</v>
      </c>
    </row>
    <row r="5098" spans="1:12" x14ac:dyDescent="0.3">
      <c r="A5098" s="2">
        <v>41615</v>
      </c>
      <c r="B5098" t="s">
        <v>13</v>
      </c>
      <c r="D5098" s="2">
        <v>42346</v>
      </c>
      <c r="E5098">
        <v>6.75</v>
      </c>
      <c r="G5098" s="2">
        <v>42346</v>
      </c>
      <c r="H5098">
        <v>7.2329999999999997</v>
      </c>
      <c r="J5098" s="2">
        <v>42353</v>
      </c>
      <c r="K5098" s="3">
        <f t="shared" si="158"/>
        <v>6.75</v>
      </c>
      <c r="L5098" s="3">
        <f t="shared" si="159"/>
        <v>7.2350000000000003</v>
      </c>
    </row>
    <row r="5099" spans="1:12" x14ac:dyDescent="0.3">
      <c r="A5099" s="2">
        <v>41616</v>
      </c>
      <c r="B5099" t="s">
        <v>13</v>
      </c>
      <c r="D5099" s="2">
        <v>42347</v>
      </c>
      <c r="E5099">
        <v>6.75</v>
      </c>
      <c r="G5099" s="2">
        <v>42347</v>
      </c>
      <c r="H5099">
        <v>7.242</v>
      </c>
      <c r="J5099" s="2">
        <v>42354</v>
      </c>
      <c r="K5099" s="3">
        <f t="shared" si="158"/>
        <v>6.75</v>
      </c>
      <c r="L5099" s="3">
        <f t="shared" si="159"/>
        <v>7.2359999999999998</v>
      </c>
    </row>
    <row r="5100" spans="1:12" x14ac:dyDescent="0.3">
      <c r="A5100" s="2">
        <v>41617</v>
      </c>
      <c r="B5100" t="s">
        <v>13</v>
      </c>
      <c r="D5100" s="2">
        <v>42348</v>
      </c>
      <c r="E5100">
        <v>6.75</v>
      </c>
      <c r="G5100" s="2">
        <v>42348</v>
      </c>
      <c r="H5100">
        <v>7.2290000000000001</v>
      </c>
      <c r="J5100" s="2">
        <v>42355</v>
      </c>
      <c r="K5100" s="3">
        <f t="shared" si="158"/>
        <v>6.75</v>
      </c>
      <c r="L5100" s="3">
        <f t="shared" si="159"/>
        <v>7.234</v>
      </c>
    </row>
    <row r="5101" spans="1:12" x14ac:dyDescent="0.3">
      <c r="A5101" s="2">
        <v>41618</v>
      </c>
      <c r="B5101" t="s">
        <v>13</v>
      </c>
      <c r="D5101" s="2">
        <v>42349</v>
      </c>
      <c r="E5101">
        <v>6.75</v>
      </c>
      <c r="G5101" s="2">
        <v>42349</v>
      </c>
      <c r="H5101">
        <v>7.2309999999999999</v>
      </c>
      <c r="J5101" s="2">
        <v>42356</v>
      </c>
      <c r="K5101" s="3">
        <f t="shared" si="158"/>
        <v>6.75</v>
      </c>
      <c r="L5101" s="3">
        <f t="shared" si="159"/>
        <v>7.2220000000000004</v>
      </c>
    </row>
    <row r="5102" spans="1:12" x14ac:dyDescent="0.3">
      <c r="A5102" s="2">
        <v>41619</v>
      </c>
      <c r="B5102" t="s">
        <v>13</v>
      </c>
      <c r="D5102" s="2">
        <v>42350</v>
      </c>
      <c r="E5102">
        <v>6.75</v>
      </c>
      <c r="G5102" s="2">
        <v>42350</v>
      </c>
      <c r="H5102">
        <v>7.2309999999999999</v>
      </c>
      <c r="J5102" s="2">
        <v>42357</v>
      </c>
      <c r="K5102" s="3">
        <f t="shared" si="158"/>
        <v>6.75</v>
      </c>
      <c r="L5102" s="3">
        <f t="shared" si="159"/>
        <v>7.2220000000000004</v>
      </c>
    </row>
    <row r="5103" spans="1:12" x14ac:dyDescent="0.3">
      <c r="A5103" s="2">
        <v>41620</v>
      </c>
      <c r="B5103" t="s">
        <v>13</v>
      </c>
      <c r="D5103" s="2">
        <v>42351</v>
      </c>
      <c r="E5103">
        <v>6.75</v>
      </c>
      <c r="G5103" s="2">
        <v>42351</v>
      </c>
      <c r="H5103">
        <v>7.2309999999999999</v>
      </c>
      <c r="J5103" s="2">
        <v>42358</v>
      </c>
      <c r="K5103" s="3">
        <f t="shared" si="158"/>
        <v>6.75</v>
      </c>
      <c r="L5103" s="3">
        <f t="shared" si="159"/>
        <v>7.2220000000000004</v>
      </c>
    </row>
    <row r="5104" spans="1:12" x14ac:dyDescent="0.3">
      <c r="A5104" s="2">
        <v>41621</v>
      </c>
      <c r="B5104" t="s">
        <v>13</v>
      </c>
      <c r="D5104" s="2">
        <v>42352</v>
      </c>
      <c r="E5104">
        <v>6.75</v>
      </c>
      <c r="G5104" s="2">
        <v>42352</v>
      </c>
      <c r="H5104">
        <v>7.2460000000000004</v>
      </c>
      <c r="J5104" s="2">
        <v>42359</v>
      </c>
      <c r="K5104" s="3">
        <f t="shared" si="158"/>
        <v>6.75</v>
      </c>
      <c r="L5104" s="3">
        <f t="shared" si="159"/>
        <v>7.2380000000000004</v>
      </c>
    </row>
    <row r="5105" spans="1:12" x14ac:dyDescent="0.3">
      <c r="A5105" s="2">
        <v>41622</v>
      </c>
      <c r="B5105" t="s">
        <v>13</v>
      </c>
      <c r="D5105" s="2">
        <v>42353</v>
      </c>
      <c r="E5105">
        <v>6.75</v>
      </c>
      <c r="G5105" s="2">
        <v>42353</v>
      </c>
      <c r="H5105">
        <v>7.2350000000000003</v>
      </c>
      <c r="J5105" s="2">
        <v>42360</v>
      </c>
      <c r="K5105" s="3">
        <f t="shared" si="158"/>
        <v>6.75</v>
      </c>
      <c r="L5105" s="3">
        <f t="shared" si="159"/>
        <v>7.2389999999999999</v>
      </c>
    </row>
    <row r="5106" spans="1:12" x14ac:dyDescent="0.3">
      <c r="A5106" s="2">
        <v>41623</v>
      </c>
      <c r="B5106" t="s">
        <v>13</v>
      </c>
      <c r="D5106" s="2">
        <v>42354</v>
      </c>
      <c r="E5106">
        <v>6.75</v>
      </c>
      <c r="G5106" s="2">
        <v>42354</v>
      </c>
      <c r="H5106">
        <v>7.2359999999999998</v>
      </c>
      <c r="J5106" s="2">
        <v>42361</v>
      </c>
      <c r="K5106" s="3">
        <f t="shared" si="158"/>
        <v>6.75</v>
      </c>
      <c r="L5106" s="3">
        <f t="shared" si="159"/>
        <v>7.23</v>
      </c>
    </row>
    <row r="5107" spans="1:12" x14ac:dyDescent="0.3">
      <c r="A5107" s="2">
        <v>41624</v>
      </c>
      <c r="B5107" t="s">
        <v>13</v>
      </c>
      <c r="D5107" s="2">
        <v>42355</v>
      </c>
      <c r="E5107">
        <v>6.75</v>
      </c>
      <c r="G5107" s="2">
        <v>42355</v>
      </c>
      <c r="H5107">
        <v>7.234</v>
      </c>
      <c r="J5107" s="2">
        <v>42362</v>
      </c>
      <c r="K5107" s="3">
        <f t="shared" si="158"/>
        <v>6.75</v>
      </c>
      <c r="L5107" s="3">
        <f t="shared" si="159"/>
        <v>7.2290000000000001</v>
      </c>
    </row>
    <row r="5108" spans="1:12" x14ac:dyDescent="0.3">
      <c r="A5108" s="2">
        <v>41625</v>
      </c>
      <c r="B5108" t="s">
        <v>13</v>
      </c>
      <c r="D5108" s="2">
        <v>42356</v>
      </c>
      <c r="E5108">
        <v>6.75</v>
      </c>
      <c r="G5108" s="2">
        <v>42356</v>
      </c>
      <c r="H5108">
        <v>7.2220000000000004</v>
      </c>
      <c r="J5108" s="2">
        <v>42363</v>
      </c>
      <c r="K5108" s="3">
        <f t="shared" si="158"/>
        <v>6.75</v>
      </c>
      <c r="L5108" s="3">
        <f t="shared" si="159"/>
        <v>7.2290000000000001</v>
      </c>
    </row>
    <row r="5109" spans="1:12" x14ac:dyDescent="0.3">
      <c r="A5109" s="2">
        <v>41626</v>
      </c>
      <c r="B5109" t="s">
        <v>13</v>
      </c>
      <c r="D5109" s="2">
        <v>42357</v>
      </c>
      <c r="E5109">
        <v>6.75</v>
      </c>
      <c r="G5109" s="2">
        <v>42357</v>
      </c>
      <c r="H5109">
        <v>7.2220000000000004</v>
      </c>
      <c r="J5109" s="2">
        <v>42364</v>
      </c>
      <c r="K5109" s="3">
        <f t="shared" si="158"/>
        <v>6.75</v>
      </c>
      <c r="L5109" s="3">
        <f t="shared" si="159"/>
        <v>7.2290000000000001</v>
      </c>
    </row>
    <row r="5110" spans="1:12" x14ac:dyDescent="0.3">
      <c r="A5110" s="2">
        <v>41627</v>
      </c>
      <c r="B5110" t="s">
        <v>13</v>
      </c>
      <c r="D5110" s="2">
        <v>42358</v>
      </c>
      <c r="E5110">
        <v>6.75</v>
      </c>
      <c r="G5110" s="2">
        <v>42358</v>
      </c>
      <c r="H5110">
        <v>7.2220000000000004</v>
      </c>
      <c r="J5110" s="2">
        <v>42365</v>
      </c>
      <c r="K5110" s="3">
        <f t="shared" si="158"/>
        <v>6.75</v>
      </c>
      <c r="L5110" s="3">
        <f t="shared" si="159"/>
        <v>7.2290000000000001</v>
      </c>
    </row>
    <row r="5111" spans="1:12" x14ac:dyDescent="0.3">
      <c r="A5111" s="2">
        <v>41628</v>
      </c>
      <c r="B5111" t="s">
        <v>13</v>
      </c>
      <c r="D5111" s="2">
        <v>42359</v>
      </c>
      <c r="E5111">
        <v>6.75</v>
      </c>
      <c r="G5111" s="2">
        <v>42359</v>
      </c>
      <c r="H5111">
        <v>7.2380000000000004</v>
      </c>
      <c r="J5111" s="2">
        <v>42366</v>
      </c>
      <c r="K5111" s="3">
        <f t="shared" si="158"/>
        <v>6.75</v>
      </c>
      <c r="L5111" s="3">
        <f t="shared" si="159"/>
        <v>7.2409999999999997</v>
      </c>
    </row>
    <row r="5112" spans="1:12" x14ac:dyDescent="0.3">
      <c r="A5112" s="2">
        <v>41629</v>
      </c>
      <c r="B5112" t="s">
        <v>13</v>
      </c>
      <c r="D5112" s="2">
        <v>42360</v>
      </c>
      <c r="E5112">
        <v>6.75</v>
      </c>
      <c r="G5112" s="2">
        <v>42360</v>
      </c>
      <c r="H5112">
        <v>7.2389999999999999</v>
      </c>
      <c r="J5112" s="2">
        <v>42367</v>
      </c>
      <c r="K5112" s="3">
        <f t="shared" si="158"/>
        <v>6.75</v>
      </c>
      <c r="L5112" s="3">
        <f t="shared" si="159"/>
        <v>7.2770000000000001</v>
      </c>
    </row>
    <row r="5113" spans="1:12" x14ac:dyDescent="0.3">
      <c r="A5113" s="2">
        <v>41630</v>
      </c>
      <c r="B5113" t="s">
        <v>13</v>
      </c>
      <c r="D5113" s="2">
        <v>42361</v>
      </c>
      <c r="E5113">
        <v>6.75</v>
      </c>
      <c r="G5113" s="2">
        <v>42361</v>
      </c>
      <c r="H5113">
        <v>7.23</v>
      </c>
      <c r="J5113" s="2">
        <v>42368</v>
      </c>
      <c r="K5113" s="3">
        <f t="shared" si="158"/>
        <v>6.75</v>
      </c>
      <c r="L5113" s="3">
        <f t="shared" si="159"/>
        <v>7.2949999999999999</v>
      </c>
    </row>
    <row r="5114" spans="1:12" x14ac:dyDescent="0.3">
      <c r="A5114" s="2">
        <v>41631</v>
      </c>
      <c r="B5114" t="s">
        <v>13</v>
      </c>
      <c r="D5114" s="2">
        <v>42362</v>
      </c>
      <c r="E5114">
        <v>6.75</v>
      </c>
      <c r="G5114" s="2">
        <v>42362</v>
      </c>
      <c r="H5114">
        <v>7.2290000000000001</v>
      </c>
      <c r="J5114" s="2">
        <v>42369</v>
      </c>
      <c r="K5114" s="3">
        <f t="shared" si="158"/>
        <v>6.75</v>
      </c>
      <c r="L5114" s="3">
        <f t="shared" si="159"/>
        <v>7.2969999999999997</v>
      </c>
    </row>
    <row r="5115" spans="1:12" x14ac:dyDescent="0.3">
      <c r="A5115" s="2">
        <v>41632</v>
      </c>
      <c r="B5115" t="s">
        <v>13</v>
      </c>
      <c r="D5115" s="2">
        <v>42363</v>
      </c>
      <c r="E5115">
        <v>6.75</v>
      </c>
      <c r="G5115" s="2">
        <v>42363</v>
      </c>
      <c r="H5115">
        <v>7.2290000000000001</v>
      </c>
      <c r="J5115" s="2">
        <v>42370</v>
      </c>
      <c r="K5115" s="3">
        <f t="shared" si="158"/>
        <v>6.75</v>
      </c>
      <c r="L5115" s="3">
        <f t="shared" si="159"/>
        <v>7.3250000000000002</v>
      </c>
    </row>
    <row r="5116" spans="1:12" x14ac:dyDescent="0.3">
      <c r="A5116" s="2">
        <v>41633</v>
      </c>
      <c r="B5116" t="s">
        <v>13</v>
      </c>
      <c r="D5116" s="2">
        <v>42364</v>
      </c>
      <c r="E5116">
        <v>6.75</v>
      </c>
      <c r="G5116" s="2">
        <v>42364</v>
      </c>
      <c r="H5116">
        <v>7.2290000000000001</v>
      </c>
      <c r="J5116" s="2">
        <v>42371</v>
      </c>
      <c r="K5116" s="3">
        <f t="shared" si="158"/>
        <v>6.75</v>
      </c>
      <c r="L5116" s="3">
        <f t="shared" si="159"/>
        <v>7.3250000000000002</v>
      </c>
    </row>
    <row r="5117" spans="1:12" x14ac:dyDescent="0.3">
      <c r="A5117" s="2">
        <v>41634</v>
      </c>
      <c r="B5117" t="s">
        <v>13</v>
      </c>
      <c r="D5117" s="2">
        <v>42365</v>
      </c>
      <c r="E5117">
        <v>6.75</v>
      </c>
      <c r="G5117" s="2">
        <v>42365</v>
      </c>
      <c r="H5117">
        <v>7.2290000000000001</v>
      </c>
      <c r="J5117" s="2">
        <v>42372</v>
      </c>
      <c r="K5117" s="3">
        <f t="shared" si="158"/>
        <v>6.75</v>
      </c>
      <c r="L5117" s="3">
        <f t="shared" si="159"/>
        <v>7.3250000000000002</v>
      </c>
    </row>
    <row r="5118" spans="1:12" x14ac:dyDescent="0.3">
      <c r="A5118" s="2">
        <v>41635</v>
      </c>
      <c r="B5118" t="s">
        <v>13</v>
      </c>
      <c r="D5118" s="2">
        <v>42366</v>
      </c>
      <c r="E5118">
        <v>6.75</v>
      </c>
      <c r="G5118" s="2">
        <v>42366</v>
      </c>
      <c r="H5118">
        <v>7.2409999999999997</v>
      </c>
      <c r="J5118" s="2">
        <v>42373</v>
      </c>
      <c r="K5118" s="3">
        <f t="shared" si="158"/>
        <v>6.75</v>
      </c>
      <c r="L5118" s="3">
        <f t="shared" si="159"/>
        <v>7.2720000000000002</v>
      </c>
    </row>
    <row r="5119" spans="1:12" x14ac:dyDescent="0.3">
      <c r="A5119" s="2">
        <v>41636</v>
      </c>
      <c r="B5119" t="s">
        <v>13</v>
      </c>
      <c r="D5119" s="2">
        <v>42367</v>
      </c>
      <c r="E5119">
        <v>6.75</v>
      </c>
      <c r="G5119" s="2">
        <v>42367</v>
      </c>
      <c r="H5119">
        <v>7.2770000000000001</v>
      </c>
      <c r="J5119" s="2">
        <v>42374</v>
      </c>
      <c r="K5119" s="3">
        <f t="shared" si="158"/>
        <v>6.75</v>
      </c>
      <c r="L5119" s="3">
        <f t="shared" si="159"/>
        <v>7.2569999999999997</v>
      </c>
    </row>
    <row r="5120" spans="1:12" x14ac:dyDescent="0.3">
      <c r="A5120" s="2">
        <v>41637</v>
      </c>
      <c r="B5120" t="s">
        <v>13</v>
      </c>
      <c r="D5120" s="2">
        <v>42368</v>
      </c>
      <c r="E5120">
        <v>6.75</v>
      </c>
      <c r="G5120" s="2">
        <v>42368</v>
      </c>
      <c r="H5120">
        <v>7.2949999999999999</v>
      </c>
      <c r="J5120" s="2">
        <v>42375</v>
      </c>
      <c r="K5120" s="3">
        <f t="shared" si="158"/>
        <v>6.75</v>
      </c>
      <c r="L5120" s="3">
        <f t="shared" si="159"/>
        <v>7.306</v>
      </c>
    </row>
    <row r="5121" spans="1:12" x14ac:dyDescent="0.3">
      <c r="A5121" s="2">
        <v>41638</v>
      </c>
      <c r="B5121" t="s">
        <v>13</v>
      </c>
      <c r="D5121" s="2">
        <v>42369</v>
      </c>
      <c r="E5121">
        <v>6.75</v>
      </c>
      <c r="G5121" s="2">
        <v>42369</v>
      </c>
      <c r="H5121">
        <v>7.2969999999999997</v>
      </c>
      <c r="J5121" s="2">
        <v>42376</v>
      </c>
      <c r="K5121" s="3">
        <f t="shared" si="158"/>
        <v>6.75</v>
      </c>
      <c r="L5121" s="3">
        <f t="shared" si="159"/>
        <v>7.2590000000000003</v>
      </c>
    </row>
    <row r="5122" spans="1:12" x14ac:dyDescent="0.3">
      <c r="A5122" s="2">
        <v>41639</v>
      </c>
      <c r="B5122" t="s">
        <v>13</v>
      </c>
      <c r="D5122" s="2">
        <v>42370</v>
      </c>
      <c r="E5122">
        <v>6.75</v>
      </c>
      <c r="G5122" s="2">
        <v>42370</v>
      </c>
      <c r="H5122">
        <v>7.3250000000000002</v>
      </c>
      <c r="J5122" s="2">
        <v>42377</v>
      </c>
      <c r="K5122" s="3">
        <f t="shared" si="158"/>
        <v>6.75</v>
      </c>
      <c r="L5122" s="3">
        <f t="shared" si="159"/>
        <v>7.2789999999999999</v>
      </c>
    </row>
    <row r="5123" spans="1:12" x14ac:dyDescent="0.3">
      <c r="A5123" s="2">
        <v>41640</v>
      </c>
      <c r="B5123" t="s">
        <v>13</v>
      </c>
      <c r="D5123" s="2">
        <v>42371</v>
      </c>
      <c r="E5123">
        <v>6.75</v>
      </c>
      <c r="G5123" s="2">
        <v>42371</v>
      </c>
      <c r="H5123">
        <v>7.3250000000000002</v>
      </c>
      <c r="J5123" s="2">
        <v>42378</v>
      </c>
      <c r="K5123" s="3">
        <f t="shared" ref="K5123:K5186" si="160">E5130</f>
        <v>6.75</v>
      </c>
      <c r="L5123" s="3">
        <f t="shared" ref="L5123:L5186" si="161">H5130</f>
        <v>7.2789999999999999</v>
      </c>
    </row>
    <row r="5124" spans="1:12" x14ac:dyDescent="0.3">
      <c r="A5124" s="2">
        <v>41641</v>
      </c>
      <c r="B5124" t="s">
        <v>13</v>
      </c>
      <c r="D5124" s="2">
        <v>42372</v>
      </c>
      <c r="E5124">
        <v>6.75</v>
      </c>
      <c r="G5124" s="2">
        <v>42372</v>
      </c>
      <c r="H5124">
        <v>7.3250000000000002</v>
      </c>
      <c r="J5124" s="2">
        <v>42379</v>
      </c>
      <c r="K5124" s="3">
        <f t="shared" si="160"/>
        <v>6.75</v>
      </c>
      <c r="L5124" s="3">
        <f t="shared" si="161"/>
        <v>7.2789999999999999</v>
      </c>
    </row>
    <row r="5125" spans="1:12" x14ac:dyDescent="0.3">
      <c r="A5125" s="2">
        <v>41642</v>
      </c>
      <c r="B5125" t="s">
        <v>13</v>
      </c>
      <c r="D5125" s="2">
        <v>42373</v>
      </c>
      <c r="E5125">
        <v>6.75</v>
      </c>
      <c r="G5125" s="2">
        <v>42373</v>
      </c>
      <c r="H5125">
        <v>7.2720000000000002</v>
      </c>
      <c r="J5125" s="2">
        <v>42380</v>
      </c>
      <c r="K5125" s="3">
        <f t="shared" si="160"/>
        <v>6.75</v>
      </c>
      <c r="L5125" s="3">
        <f t="shared" si="161"/>
        <v>7.266</v>
      </c>
    </row>
    <row r="5126" spans="1:12" x14ac:dyDescent="0.3">
      <c r="A5126" s="2">
        <v>41643</v>
      </c>
      <c r="B5126" t="s">
        <v>13</v>
      </c>
      <c r="D5126" s="2">
        <v>42374</v>
      </c>
      <c r="E5126">
        <v>6.75</v>
      </c>
      <c r="G5126" s="2">
        <v>42374</v>
      </c>
      <c r="H5126">
        <v>7.2569999999999997</v>
      </c>
      <c r="J5126" s="2">
        <v>42381</v>
      </c>
      <c r="K5126" s="3">
        <f t="shared" si="160"/>
        <v>6.75</v>
      </c>
      <c r="L5126" s="3">
        <f t="shared" si="161"/>
        <v>7.2480000000000002</v>
      </c>
    </row>
    <row r="5127" spans="1:12" x14ac:dyDescent="0.3">
      <c r="A5127" s="2">
        <v>41644</v>
      </c>
      <c r="B5127" t="s">
        <v>13</v>
      </c>
      <c r="D5127" s="2">
        <v>42375</v>
      </c>
      <c r="E5127">
        <v>6.75</v>
      </c>
      <c r="G5127" s="2">
        <v>42375</v>
      </c>
      <c r="H5127">
        <v>7.306</v>
      </c>
      <c r="J5127" s="2">
        <v>42382</v>
      </c>
      <c r="K5127" s="3">
        <f t="shared" si="160"/>
        <v>6.75</v>
      </c>
      <c r="L5127" s="3">
        <f t="shared" si="161"/>
        <v>7.2510000000000003</v>
      </c>
    </row>
    <row r="5128" spans="1:12" x14ac:dyDescent="0.3">
      <c r="A5128" s="2">
        <v>41645</v>
      </c>
      <c r="B5128" t="s">
        <v>13</v>
      </c>
      <c r="D5128" s="2">
        <v>42376</v>
      </c>
      <c r="E5128">
        <v>6.75</v>
      </c>
      <c r="G5128" s="2">
        <v>42376</v>
      </c>
      <c r="H5128">
        <v>7.2590000000000003</v>
      </c>
      <c r="J5128" s="2">
        <v>42383</v>
      </c>
      <c r="K5128" s="3">
        <f t="shared" si="160"/>
        <v>6.75</v>
      </c>
      <c r="L5128" s="3">
        <f t="shared" si="161"/>
        <v>7.2510000000000003</v>
      </c>
    </row>
    <row r="5129" spans="1:12" x14ac:dyDescent="0.3">
      <c r="A5129" s="2">
        <v>41646</v>
      </c>
      <c r="B5129" t="s">
        <v>13</v>
      </c>
      <c r="D5129" s="2">
        <v>42377</v>
      </c>
      <c r="E5129">
        <v>6.75</v>
      </c>
      <c r="G5129" s="2">
        <v>42377</v>
      </c>
      <c r="H5129">
        <v>7.2789999999999999</v>
      </c>
      <c r="J5129" s="2">
        <v>42384</v>
      </c>
      <c r="K5129" s="3">
        <f t="shared" si="160"/>
        <v>6.75</v>
      </c>
      <c r="L5129" s="3">
        <f t="shared" si="161"/>
        <v>7.2549999999999999</v>
      </c>
    </row>
    <row r="5130" spans="1:12" x14ac:dyDescent="0.3">
      <c r="A5130" s="2">
        <v>41647</v>
      </c>
      <c r="B5130" t="s">
        <v>13</v>
      </c>
      <c r="D5130" s="2">
        <v>42378</v>
      </c>
      <c r="E5130">
        <v>6.75</v>
      </c>
      <c r="G5130" s="2">
        <v>42378</v>
      </c>
      <c r="H5130">
        <v>7.2789999999999999</v>
      </c>
      <c r="J5130" s="2">
        <v>42385</v>
      </c>
      <c r="K5130" s="3">
        <f t="shared" si="160"/>
        <v>6.75</v>
      </c>
      <c r="L5130" s="3">
        <f t="shared" si="161"/>
        <v>7.2549999999999999</v>
      </c>
    </row>
    <row r="5131" spans="1:12" x14ac:dyDescent="0.3">
      <c r="A5131" s="2">
        <v>41648</v>
      </c>
      <c r="B5131" t="s">
        <v>13</v>
      </c>
      <c r="D5131" s="2">
        <v>42379</v>
      </c>
      <c r="E5131">
        <v>6.75</v>
      </c>
      <c r="G5131" s="2">
        <v>42379</v>
      </c>
      <c r="H5131">
        <v>7.2789999999999999</v>
      </c>
      <c r="J5131" s="2">
        <v>42386</v>
      </c>
      <c r="K5131" s="3">
        <f t="shared" si="160"/>
        <v>6.75</v>
      </c>
      <c r="L5131" s="3">
        <f t="shared" si="161"/>
        <v>7.2549999999999999</v>
      </c>
    </row>
    <row r="5132" spans="1:12" x14ac:dyDescent="0.3">
      <c r="A5132" s="2">
        <v>41649</v>
      </c>
      <c r="B5132" t="s">
        <v>13</v>
      </c>
      <c r="D5132" s="2">
        <v>42380</v>
      </c>
      <c r="E5132">
        <v>6.75</v>
      </c>
      <c r="G5132" s="2">
        <v>42380</v>
      </c>
      <c r="H5132">
        <v>7.266</v>
      </c>
      <c r="J5132" s="2">
        <v>42387</v>
      </c>
      <c r="K5132" s="3">
        <f t="shared" si="160"/>
        <v>6.75</v>
      </c>
      <c r="L5132" s="3">
        <f t="shared" si="161"/>
        <v>7.258</v>
      </c>
    </row>
    <row r="5133" spans="1:12" x14ac:dyDescent="0.3">
      <c r="A5133" s="2">
        <v>41650</v>
      </c>
      <c r="B5133" t="s">
        <v>13</v>
      </c>
      <c r="D5133" s="2">
        <v>42381</v>
      </c>
      <c r="E5133">
        <v>6.75</v>
      </c>
      <c r="G5133" s="2">
        <v>42381</v>
      </c>
      <c r="H5133">
        <v>7.2480000000000002</v>
      </c>
      <c r="J5133" s="2">
        <v>42388</v>
      </c>
      <c r="K5133" s="3">
        <f t="shared" si="160"/>
        <v>6.75</v>
      </c>
      <c r="L5133" s="3">
        <f t="shared" si="161"/>
        <v>7.242</v>
      </c>
    </row>
    <row r="5134" spans="1:12" x14ac:dyDescent="0.3">
      <c r="A5134" s="2">
        <v>41651</v>
      </c>
      <c r="B5134" t="s">
        <v>13</v>
      </c>
      <c r="D5134" s="2">
        <v>42382</v>
      </c>
      <c r="E5134">
        <v>6.75</v>
      </c>
      <c r="G5134" s="2">
        <v>42382</v>
      </c>
      <c r="H5134">
        <v>7.2510000000000003</v>
      </c>
      <c r="J5134" s="2">
        <v>42389</v>
      </c>
      <c r="K5134" s="3">
        <f t="shared" si="160"/>
        <v>6.75</v>
      </c>
      <c r="L5134" s="3">
        <f t="shared" si="161"/>
        <v>7.2249999999999996</v>
      </c>
    </row>
    <row r="5135" spans="1:12" x14ac:dyDescent="0.3">
      <c r="A5135" s="2">
        <v>41652</v>
      </c>
      <c r="B5135" t="s">
        <v>13</v>
      </c>
      <c r="D5135" s="2">
        <v>42383</v>
      </c>
      <c r="E5135">
        <v>6.75</v>
      </c>
      <c r="G5135" s="2">
        <v>42383</v>
      </c>
      <c r="H5135">
        <v>7.2510000000000003</v>
      </c>
      <c r="J5135" s="2">
        <v>42390</v>
      </c>
      <c r="K5135" s="3">
        <f t="shared" si="160"/>
        <v>6.75</v>
      </c>
      <c r="L5135" s="3">
        <f t="shared" si="161"/>
        <v>7.2270000000000003</v>
      </c>
    </row>
    <row r="5136" spans="1:12" x14ac:dyDescent="0.3">
      <c r="A5136" s="2">
        <v>41653</v>
      </c>
      <c r="B5136" t="s">
        <v>13</v>
      </c>
      <c r="D5136" s="2">
        <v>42384</v>
      </c>
      <c r="E5136">
        <v>6.75</v>
      </c>
      <c r="G5136" s="2">
        <v>42384</v>
      </c>
      <c r="H5136">
        <v>7.2549999999999999</v>
      </c>
      <c r="J5136" s="2">
        <v>42391</v>
      </c>
      <c r="K5136" s="3">
        <f t="shared" si="160"/>
        <v>6.75</v>
      </c>
      <c r="L5136" s="3">
        <f t="shared" si="161"/>
        <v>7.2409999999999997</v>
      </c>
    </row>
    <row r="5137" spans="1:12" x14ac:dyDescent="0.3">
      <c r="A5137" s="2">
        <v>41654</v>
      </c>
      <c r="B5137" t="s">
        <v>13</v>
      </c>
      <c r="D5137" s="2">
        <v>42385</v>
      </c>
      <c r="E5137">
        <v>6.75</v>
      </c>
      <c r="G5137" s="2">
        <v>42385</v>
      </c>
      <c r="H5137">
        <v>7.2549999999999999</v>
      </c>
      <c r="J5137" s="2">
        <v>42392</v>
      </c>
      <c r="K5137" s="3">
        <f t="shared" si="160"/>
        <v>6.75</v>
      </c>
      <c r="L5137" s="3">
        <f t="shared" si="161"/>
        <v>7.2409999999999997</v>
      </c>
    </row>
    <row r="5138" spans="1:12" x14ac:dyDescent="0.3">
      <c r="A5138" s="2">
        <v>41655</v>
      </c>
      <c r="B5138" t="s">
        <v>13</v>
      </c>
      <c r="D5138" s="2">
        <v>42386</v>
      </c>
      <c r="E5138">
        <v>6.75</v>
      </c>
      <c r="G5138" s="2">
        <v>42386</v>
      </c>
      <c r="H5138">
        <v>7.2549999999999999</v>
      </c>
      <c r="J5138" s="2">
        <v>42393</v>
      </c>
      <c r="K5138" s="3">
        <f t="shared" si="160"/>
        <v>6.75</v>
      </c>
      <c r="L5138" s="3">
        <f t="shared" si="161"/>
        <v>7.2409999999999997</v>
      </c>
    </row>
    <row r="5139" spans="1:12" x14ac:dyDescent="0.3">
      <c r="A5139" s="2">
        <v>41656</v>
      </c>
      <c r="B5139" t="s">
        <v>13</v>
      </c>
      <c r="D5139" s="2">
        <v>42387</v>
      </c>
      <c r="E5139">
        <v>6.75</v>
      </c>
      <c r="G5139" s="2">
        <v>42387</v>
      </c>
      <c r="H5139">
        <v>7.258</v>
      </c>
      <c r="J5139" s="2">
        <v>42394</v>
      </c>
      <c r="K5139" s="3">
        <f t="shared" si="160"/>
        <v>6.75</v>
      </c>
      <c r="L5139" s="3">
        <f t="shared" si="161"/>
        <v>7.2140000000000004</v>
      </c>
    </row>
    <row r="5140" spans="1:12" x14ac:dyDescent="0.3">
      <c r="A5140" s="2">
        <v>41657</v>
      </c>
      <c r="B5140" t="s">
        <v>13</v>
      </c>
      <c r="D5140" s="2">
        <v>42388</v>
      </c>
      <c r="E5140">
        <v>6.75</v>
      </c>
      <c r="G5140" s="2">
        <v>42388</v>
      </c>
      <c r="H5140">
        <v>7.242</v>
      </c>
      <c r="J5140" s="2">
        <v>42395</v>
      </c>
      <c r="K5140" s="3">
        <f t="shared" si="160"/>
        <v>6.75</v>
      </c>
      <c r="L5140" s="3">
        <f t="shared" si="161"/>
        <v>7.2140000000000004</v>
      </c>
    </row>
    <row r="5141" spans="1:12" x14ac:dyDescent="0.3">
      <c r="A5141" s="2">
        <v>41658</v>
      </c>
      <c r="B5141" t="s">
        <v>13</v>
      </c>
      <c r="D5141" s="2">
        <v>42389</v>
      </c>
      <c r="E5141">
        <v>6.75</v>
      </c>
      <c r="G5141" s="2">
        <v>42389</v>
      </c>
      <c r="H5141">
        <v>7.2249999999999996</v>
      </c>
      <c r="J5141" s="2">
        <v>42396</v>
      </c>
      <c r="K5141" s="3">
        <f t="shared" si="160"/>
        <v>6.75</v>
      </c>
      <c r="L5141" s="3">
        <f t="shared" si="161"/>
        <v>7.2160000000000002</v>
      </c>
    </row>
    <row r="5142" spans="1:12" x14ac:dyDescent="0.3">
      <c r="A5142" s="2">
        <v>41659</v>
      </c>
      <c r="B5142" t="s">
        <v>13</v>
      </c>
      <c r="D5142" s="2">
        <v>42390</v>
      </c>
      <c r="E5142">
        <v>6.75</v>
      </c>
      <c r="G5142" s="2">
        <v>42390</v>
      </c>
      <c r="H5142">
        <v>7.2270000000000003</v>
      </c>
      <c r="J5142" s="2">
        <v>42397</v>
      </c>
      <c r="K5142" s="3">
        <f t="shared" si="160"/>
        <v>6.75</v>
      </c>
      <c r="L5142" s="3">
        <f t="shared" si="161"/>
        <v>7.2130000000000001</v>
      </c>
    </row>
    <row r="5143" spans="1:12" x14ac:dyDescent="0.3">
      <c r="A5143" s="2">
        <v>41660</v>
      </c>
      <c r="B5143" t="s">
        <v>13</v>
      </c>
      <c r="D5143" s="2">
        <v>42391</v>
      </c>
      <c r="E5143">
        <v>6.75</v>
      </c>
      <c r="G5143" s="2">
        <v>42391</v>
      </c>
      <c r="H5143">
        <v>7.2409999999999997</v>
      </c>
      <c r="J5143" s="2">
        <v>42398</v>
      </c>
      <c r="K5143" s="3">
        <f t="shared" si="160"/>
        <v>6.75</v>
      </c>
      <c r="L5143" s="3">
        <f t="shared" si="161"/>
        <v>7.2539999999999996</v>
      </c>
    </row>
    <row r="5144" spans="1:12" x14ac:dyDescent="0.3">
      <c r="A5144" s="2">
        <v>41661</v>
      </c>
      <c r="B5144" t="s">
        <v>13</v>
      </c>
      <c r="D5144" s="2">
        <v>42392</v>
      </c>
      <c r="E5144">
        <v>6.75</v>
      </c>
      <c r="G5144" s="2">
        <v>42392</v>
      </c>
      <c r="H5144">
        <v>7.2409999999999997</v>
      </c>
      <c r="J5144" s="2">
        <v>42399</v>
      </c>
      <c r="K5144" s="3">
        <f t="shared" si="160"/>
        <v>6.75</v>
      </c>
      <c r="L5144" s="3">
        <f t="shared" si="161"/>
        <v>7.2539999999999996</v>
      </c>
    </row>
    <row r="5145" spans="1:12" x14ac:dyDescent="0.3">
      <c r="A5145" s="2">
        <v>41662</v>
      </c>
      <c r="B5145" t="s">
        <v>13</v>
      </c>
      <c r="D5145" s="2">
        <v>42393</v>
      </c>
      <c r="E5145">
        <v>6.75</v>
      </c>
      <c r="G5145" s="2">
        <v>42393</v>
      </c>
      <c r="H5145">
        <v>7.2409999999999997</v>
      </c>
      <c r="J5145" s="2">
        <v>42400</v>
      </c>
      <c r="K5145" s="3">
        <f t="shared" si="160"/>
        <v>6.75</v>
      </c>
      <c r="L5145" s="3">
        <f t="shared" si="161"/>
        <v>7.2539999999999996</v>
      </c>
    </row>
    <row r="5146" spans="1:12" x14ac:dyDescent="0.3">
      <c r="A5146" s="2">
        <v>41663</v>
      </c>
      <c r="B5146" t="s">
        <v>13</v>
      </c>
      <c r="D5146" s="2">
        <v>42394</v>
      </c>
      <c r="E5146">
        <v>6.75</v>
      </c>
      <c r="G5146" s="2">
        <v>42394</v>
      </c>
      <c r="H5146">
        <v>7.2140000000000004</v>
      </c>
      <c r="J5146" s="2">
        <v>42401</v>
      </c>
      <c r="K5146" s="3">
        <f t="shared" si="160"/>
        <v>6.75</v>
      </c>
      <c r="L5146" s="3">
        <f t="shared" si="161"/>
        <v>7.2169999999999996</v>
      </c>
    </row>
    <row r="5147" spans="1:12" x14ac:dyDescent="0.3">
      <c r="A5147" s="2">
        <v>41664</v>
      </c>
      <c r="B5147" t="s">
        <v>13</v>
      </c>
      <c r="D5147" s="2">
        <v>42395</v>
      </c>
      <c r="E5147">
        <v>6.75</v>
      </c>
      <c r="G5147" s="2">
        <v>42395</v>
      </c>
      <c r="H5147">
        <v>7.2140000000000004</v>
      </c>
      <c r="J5147" s="2">
        <v>42402</v>
      </c>
      <c r="K5147" s="3">
        <f t="shared" si="160"/>
        <v>6.75</v>
      </c>
      <c r="L5147" s="3">
        <f t="shared" si="161"/>
        <v>7.2640000000000002</v>
      </c>
    </row>
    <row r="5148" spans="1:12" x14ac:dyDescent="0.3">
      <c r="A5148" s="2">
        <v>41665</v>
      </c>
      <c r="B5148" t="s">
        <v>13</v>
      </c>
      <c r="D5148" s="2">
        <v>42396</v>
      </c>
      <c r="E5148">
        <v>6.75</v>
      </c>
      <c r="G5148" s="2">
        <v>42396</v>
      </c>
      <c r="H5148">
        <v>7.2160000000000002</v>
      </c>
      <c r="J5148" s="2">
        <v>42403</v>
      </c>
      <c r="K5148" s="3">
        <f t="shared" si="160"/>
        <v>6.75</v>
      </c>
      <c r="L5148" s="3">
        <f t="shared" si="161"/>
        <v>7.2610000000000001</v>
      </c>
    </row>
    <row r="5149" spans="1:12" x14ac:dyDescent="0.3">
      <c r="A5149" s="2">
        <v>41666</v>
      </c>
      <c r="B5149" t="s">
        <v>13</v>
      </c>
      <c r="D5149" s="2">
        <v>42397</v>
      </c>
      <c r="E5149">
        <v>6.75</v>
      </c>
      <c r="G5149" s="2">
        <v>42397</v>
      </c>
      <c r="H5149">
        <v>7.2130000000000001</v>
      </c>
      <c r="J5149" s="2">
        <v>42404</v>
      </c>
      <c r="K5149" s="3">
        <f t="shared" si="160"/>
        <v>6.75</v>
      </c>
      <c r="L5149" s="3">
        <f t="shared" si="161"/>
        <v>7.27</v>
      </c>
    </row>
    <row r="5150" spans="1:12" x14ac:dyDescent="0.3">
      <c r="A5150" s="2">
        <v>41667</v>
      </c>
      <c r="B5150" t="s">
        <v>13</v>
      </c>
      <c r="D5150" s="2">
        <v>42398</v>
      </c>
      <c r="E5150">
        <v>6.75</v>
      </c>
      <c r="G5150" s="2">
        <v>42398</v>
      </c>
      <c r="H5150">
        <v>7.2539999999999996</v>
      </c>
      <c r="J5150" s="2">
        <v>42405</v>
      </c>
      <c r="K5150" s="3">
        <f t="shared" si="160"/>
        <v>6.75</v>
      </c>
      <c r="L5150" s="3">
        <f t="shared" si="161"/>
        <v>7.2409999999999997</v>
      </c>
    </row>
    <row r="5151" spans="1:12" x14ac:dyDescent="0.3">
      <c r="A5151" s="2">
        <v>41668</v>
      </c>
      <c r="B5151" t="s">
        <v>13</v>
      </c>
      <c r="D5151" s="2">
        <v>42399</v>
      </c>
      <c r="E5151">
        <v>6.75</v>
      </c>
      <c r="G5151" s="2">
        <v>42399</v>
      </c>
      <c r="H5151">
        <v>7.2539999999999996</v>
      </c>
      <c r="J5151" s="2">
        <v>42406</v>
      </c>
      <c r="K5151" s="3">
        <f t="shared" si="160"/>
        <v>6.75</v>
      </c>
      <c r="L5151" s="3">
        <f t="shared" si="161"/>
        <v>7.2409999999999997</v>
      </c>
    </row>
    <row r="5152" spans="1:12" x14ac:dyDescent="0.3">
      <c r="A5152" s="2">
        <v>41669</v>
      </c>
      <c r="B5152" t="s">
        <v>13</v>
      </c>
      <c r="D5152" s="2">
        <v>42400</v>
      </c>
      <c r="E5152">
        <v>6.75</v>
      </c>
      <c r="G5152" s="2">
        <v>42400</v>
      </c>
      <c r="H5152">
        <v>7.2539999999999996</v>
      </c>
      <c r="J5152" s="2">
        <v>42407</v>
      </c>
      <c r="K5152" s="3">
        <f t="shared" si="160"/>
        <v>6.75</v>
      </c>
      <c r="L5152" s="3">
        <f t="shared" si="161"/>
        <v>7.2409999999999997</v>
      </c>
    </row>
    <row r="5153" spans="1:12" x14ac:dyDescent="0.3">
      <c r="A5153" s="2">
        <v>41670</v>
      </c>
      <c r="B5153" t="s">
        <v>13</v>
      </c>
      <c r="D5153" s="2">
        <v>42401</v>
      </c>
      <c r="E5153">
        <v>6.75</v>
      </c>
      <c r="G5153" s="2">
        <v>42401</v>
      </c>
      <c r="H5153">
        <v>7.2169999999999996</v>
      </c>
      <c r="J5153" s="2">
        <v>42408</v>
      </c>
      <c r="K5153" s="3">
        <f t="shared" si="160"/>
        <v>6.75</v>
      </c>
      <c r="L5153" s="3">
        <f t="shared" si="161"/>
        <v>7.3070000000000004</v>
      </c>
    </row>
    <row r="5154" spans="1:12" x14ac:dyDescent="0.3">
      <c r="A5154" s="2">
        <v>41671</v>
      </c>
      <c r="B5154" t="s">
        <v>13</v>
      </c>
      <c r="D5154" s="2">
        <v>42402</v>
      </c>
      <c r="E5154">
        <v>6.75</v>
      </c>
      <c r="G5154" s="2">
        <v>42402</v>
      </c>
      <c r="H5154">
        <v>7.2640000000000002</v>
      </c>
      <c r="J5154" s="2">
        <v>42409</v>
      </c>
      <c r="K5154" s="3">
        <f t="shared" si="160"/>
        <v>6.75</v>
      </c>
      <c r="L5154" s="3">
        <f t="shared" si="161"/>
        <v>7.2560000000000002</v>
      </c>
    </row>
    <row r="5155" spans="1:12" x14ac:dyDescent="0.3">
      <c r="A5155" s="2">
        <v>41672</v>
      </c>
      <c r="B5155" t="s">
        <v>13</v>
      </c>
      <c r="D5155" s="2">
        <v>42403</v>
      </c>
      <c r="E5155">
        <v>6.75</v>
      </c>
      <c r="G5155" s="2">
        <v>42403</v>
      </c>
      <c r="H5155">
        <v>7.2610000000000001</v>
      </c>
      <c r="J5155" s="2">
        <v>42410</v>
      </c>
      <c r="K5155" s="3">
        <f t="shared" si="160"/>
        <v>6.75</v>
      </c>
      <c r="L5155" s="3">
        <f t="shared" si="161"/>
        <v>7.2709999999999999</v>
      </c>
    </row>
    <row r="5156" spans="1:12" x14ac:dyDescent="0.3">
      <c r="A5156" s="2">
        <v>41673</v>
      </c>
      <c r="B5156" t="s">
        <v>13</v>
      </c>
      <c r="D5156" s="2">
        <v>42404</v>
      </c>
      <c r="E5156">
        <v>6.75</v>
      </c>
      <c r="G5156" s="2">
        <v>42404</v>
      </c>
      <c r="H5156">
        <v>7.27</v>
      </c>
      <c r="J5156" s="2">
        <v>42411</v>
      </c>
      <c r="K5156" s="3">
        <f t="shared" si="160"/>
        <v>6.75</v>
      </c>
      <c r="L5156" s="3">
        <f t="shared" si="161"/>
        <v>7.2679999999999998</v>
      </c>
    </row>
    <row r="5157" spans="1:12" x14ac:dyDescent="0.3">
      <c r="A5157" s="2">
        <v>41674</v>
      </c>
      <c r="B5157" t="s">
        <v>13</v>
      </c>
      <c r="D5157" s="2">
        <v>42405</v>
      </c>
      <c r="E5157">
        <v>6.75</v>
      </c>
      <c r="G5157" s="2">
        <v>42405</v>
      </c>
      <c r="H5157">
        <v>7.2409999999999997</v>
      </c>
      <c r="J5157" s="2">
        <v>42412</v>
      </c>
      <c r="K5157" s="3">
        <f t="shared" si="160"/>
        <v>6.75</v>
      </c>
      <c r="L5157" s="3">
        <f t="shared" si="161"/>
        <v>7.2839999999999998</v>
      </c>
    </row>
    <row r="5158" spans="1:12" x14ac:dyDescent="0.3">
      <c r="A5158" s="2">
        <v>41675</v>
      </c>
      <c r="B5158" t="s">
        <v>13</v>
      </c>
      <c r="D5158" s="2">
        <v>42406</v>
      </c>
      <c r="E5158">
        <v>6.75</v>
      </c>
      <c r="G5158" s="2">
        <v>42406</v>
      </c>
      <c r="H5158">
        <v>7.2409999999999997</v>
      </c>
      <c r="J5158" s="2">
        <v>42413</v>
      </c>
      <c r="K5158" s="3">
        <f t="shared" si="160"/>
        <v>6.75</v>
      </c>
      <c r="L5158" s="3">
        <f t="shared" si="161"/>
        <v>7.2839999999999998</v>
      </c>
    </row>
    <row r="5159" spans="1:12" x14ac:dyDescent="0.3">
      <c r="A5159" s="2">
        <v>41676</v>
      </c>
      <c r="B5159" t="s">
        <v>13</v>
      </c>
      <c r="D5159" s="2">
        <v>42407</v>
      </c>
      <c r="E5159">
        <v>6.75</v>
      </c>
      <c r="G5159" s="2">
        <v>42407</v>
      </c>
      <c r="H5159">
        <v>7.2409999999999997</v>
      </c>
      <c r="J5159" s="2">
        <v>42414</v>
      </c>
      <c r="K5159" s="3">
        <f t="shared" si="160"/>
        <v>6.75</v>
      </c>
      <c r="L5159" s="3">
        <f t="shared" si="161"/>
        <v>7.2839999999999998</v>
      </c>
    </row>
    <row r="5160" spans="1:12" x14ac:dyDescent="0.3">
      <c r="A5160" s="2">
        <v>41677</v>
      </c>
      <c r="B5160" t="s">
        <v>13</v>
      </c>
      <c r="D5160" s="2">
        <v>42408</v>
      </c>
      <c r="E5160">
        <v>6.75</v>
      </c>
      <c r="G5160" s="2">
        <v>42408</v>
      </c>
      <c r="H5160">
        <v>7.3070000000000004</v>
      </c>
      <c r="J5160" s="2">
        <v>42415</v>
      </c>
      <c r="K5160" s="3">
        <f t="shared" si="160"/>
        <v>6.75</v>
      </c>
      <c r="L5160" s="3">
        <f t="shared" si="161"/>
        <v>7.2670000000000003</v>
      </c>
    </row>
    <row r="5161" spans="1:12" x14ac:dyDescent="0.3">
      <c r="A5161" s="2">
        <v>41678</v>
      </c>
      <c r="B5161" t="s">
        <v>13</v>
      </c>
      <c r="D5161" s="2">
        <v>42409</v>
      </c>
      <c r="E5161">
        <v>6.75</v>
      </c>
      <c r="G5161" s="2">
        <v>42409</v>
      </c>
      <c r="H5161">
        <v>7.2560000000000002</v>
      </c>
      <c r="J5161" s="2">
        <v>42416</v>
      </c>
      <c r="K5161" s="3">
        <f t="shared" si="160"/>
        <v>6.75</v>
      </c>
      <c r="L5161" s="3">
        <f t="shared" si="161"/>
        <v>7.3650000000000002</v>
      </c>
    </row>
    <row r="5162" spans="1:12" x14ac:dyDescent="0.3">
      <c r="A5162" s="2">
        <v>41679</v>
      </c>
      <c r="B5162" t="s">
        <v>13</v>
      </c>
      <c r="D5162" s="2">
        <v>42410</v>
      </c>
      <c r="E5162">
        <v>6.75</v>
      </c>
      <c r="G5162" s="2">
        <v>42410</v>
      </c>
      <c r="H5162">
        <v>7.2709999999999999</v>
      </c>
      <c r="J5162" s="2">
        <v>42417</v>
      </c>
      <c r="K5162" s="3">
        <f t="shared" si="160"/>
        <v>6.75</v>
      </c>
      <c r="L5162" s="3">
        <f t="shared" si="161"/>
        <v>7.2750000000000004</v>
      </c>
    </row>
    <row r="5163" spans="1:12" x14ac:dyDescent="0.3">
      <c r="A5163" s="2">
        <v>41680</v>
      </c>
      <c r="B5163" t="s">
        <v>13</v>
      </c>
      <c r="D5163" s="2">
        <v>42411</v>
      </c>
      <c r="E5163">
        <v>6.75</v>
      </c>
      <c r="G5163" s="2">
        <v>42411</v>
      </c>
      <c r="H5163">
        <v>7.2679999999999998</v>
      </c>
      <c r="J5163" s="2">
        <v>42418</v>
      </c>
      <c r="K5163" s="3">
        <f t="shared" si="160"/>
        <v>6.75</v>
      </c>
      <c r="L5163" s="3">
        <f t="shared" si="161"/>
        <v>7.3179999999999996</v>
      </c>
    </row>
    <row r="5164" spans="1:12" x14ac:dyDescent="0.3">
      <c r="A5164" s="2">
        <v>41681</v>
      </c>
      <c r="B5164" t="s">
        <v>13</v>
      </c>
      <c r="D5164" s="2">
        <v>42412</v>
      </c>
      <c r="E5164">
        <v>6.75</v>
      </c>
      <c r="G5164" s="2">
        <v>42412</v>
      </c>
      <c r="H5164">
        <v>7.2839999999999998</v>
      </c>
      <c r="J5164" s="2">
        <v>42419</v>
      </c>
      <c r="K5164" s="3">
        <f t="shared" si="160"/>
        <v>6.75</v>
      </c>
      <c r="L5164" s="3">
        <f t="shared" si="161"/>
        <v>7.319</v>
      </c>
    </row>
    <row r="5165" spans="1:12" x14ac:dyDescent="0.3">
      <c r="A5165" s="2">
        <v>41682</v>
      </c>
      <c r="B5165" t="s">
        <v>13</v>
      </c>
      <c r="D5165" s="2">
        <v>42413</v>
      </c>
      <c r="E5165">
        <v>6.75</v>
      </c>
      <c r="G5165" s="2">
        <v>42413</v>
      </c>
      <c r="H5165">
        <v>7.2839999999999998</v>
      </c>
      <c r="J5165" s="2">
        <v>42420</v>
      </c>
      <c r="K5165" s="3">
        <f t="shared" si="160"/>
        <v>6.75</v>
      </c>
      <c r="L5165" s="3">
        <f t="shared" si="161"/>
        <v>7.319</v>
      </c>
    </row>
    <row r="5166" spans="1:12" x14ac:dyDescent="0.3">
      <c r="A5166" s="2">
        <v>41683</v>
      </c>
      <c r="B5166" t="s">
        <v>13</v>
      </c>
      <c r="D5166" s="2">
        <v>42414</v>
      </c>
      <c r="E5166">
        <v>6.75</v>
      </c>
      <c r="G5166" s="2">
        <v>42414</v>
      </c>
      <c r="H5166">
        <v>7.2839999999999998</v>
      </c>
      <c r="J5166" s="2">
        <v>42421</v>
      </c>
      <c r="K5166" s="3">
        <f t="shared" si="160"/>
        <v>6.75</v>
      </c>
      <c r="L5166" s="3">
        <f t="shared" si="161"/>
        <v>7.319</v>
      </c>
    </row>
    <row r="5167" spans="1:12" x14ac:dyDescent="0.3">
      <c r="A5167" s="2">
        <v>41684</v>
      </c>
      <c r="B5167" t="s">
        <v>13</v>
      </c>
      <c r="D5167" s="2">
        <v>42415</v>
      </c>
      <c r="E5167">
        <v>6.75</v>
      </c>
      <c r="G5167" s="2">
        <v>42415</v>
      </c>
      <c r="H5167">
        <v>7.2670000000000003</v>
      </c>
      <c r="J5167" s="2">
        <v>42422</v>
      </c>
      <c r="K5167" s="3">
        <f t="shared" si="160"/>
        <v>6.75</v>
      </c>
      <c r="L5167" s="3">
        <f t="shared" si="161"/>
        <v>7.3730000000000002</v>
      </c>
    </row>
    <row r="5168" spans="1:12" x14ac:dyDescent="0.3">
      <c r="A5168" s="2">
        <v>41685</v>
      </c>
      <c r="B5168" t="s">
        <v>13</v>
      </c>
      <c r="D5168" s="2">
        <v>42416</v>
      </c>
      <c r="E5168">
        <v>6.75</v>
      </c>
      <c r="G5168" s="2">
        <v>42416</v>
      </c>
      <c r="H5168">
        <v>7.3650000000000002</v>
      </c>
      <c r="J5168" s="2">
        <v>42423</v>
      </c>
      <c r="K5168" s="3">
        <f t="shared" si="160"/>
        <v>6.75</v>
      </c>
      <c r="L5168" s="3">
        <f t="shared" si="161"/>
        <v>7.367</v>
      </c>
    </row>
    <row r="5169" spans="1:12" x14ac:dyDescent="0.3">
      <c r="A5169" s="2">
        <v>41686</v>
      </c>
      <c r="B5169" t="s">
        <v>13</v>
      </c>
      <c r="D5169" s="2">
        <v>42417</v>
      </c>
      <c r="E5169">
        <v>6.75</v>
      </c>
      <c r="G5169" s="2">
        <v>42417</v>
      </c>
      <c r="H5169">
        <v>7.2750000000000004</v>
      </c>
      <c r="J5169" s="2">
        <v>42424</v>
      </c>
      <c r="K5169" s="3">
        <f t="shared" si="160"/>
        <v>6.75</v>
      </c>
      <c r="L5169" s="3">
        <f t="shared" si="161"/>
        <v>7.3760000000000003</v>
      </c>
    </row>
    <row r="5170" spans="1:12" x14ac:dyDescent="0.3">
      <c r="A5170" s="2">
        <v>41687</v>
      </c>
      <c r="B5170" t="s">
        <v>13</v>
      </c>
      <c r="D5170" s="2">
        <v>42418</v>
      </c>
      <c r="E5170">
        <v>6.75</v>
      </c>
      <c r="G5170" s="2">
        <v>42418</v>
      </c>
      <c r="H5170">
        <v>7.3179999999999996</v>
      </c>
      <c r="J5170" s="2">
        <v>42425</v>
      </c>
      <c r="K5170" s="3">
        <f t="shared" si="160"/>
        <v>6.75</v>
      </c>
      <c r="L5170" s="3">
        <f t="shared" si="161"/>
        <v>7.37</v>
      </c>
    </row>
    <row r="5171" spans="1:12" x14ac:dyDescent="0.3">
      <c r="A5171" s="2">
        <v>41688</v>
      </c>
      <c r="B5171" t="s">
        <v>13</v>
      </c>
      <c r="D5171" s="2">
        <v>42419</v>
      </c>
      <c r="E5171">
        <v>6.75</v>
      </c>
      <c r="G5171" s="2">
        <v>42419</v>
      </c>
      <c r="H5171">
        <v>7.319</v>
      </c>
      <c r="J5171" s="2">
        <v>42426</v>
      </c>
      <c r="K5171" s="3">
        <f t="shared" si="160"/>
        <v>6.75</v>
      </c>
      <c r="L5171" s="3">
        <f t="shared" si="161"/>
        <v>7.3840000000000003</v>
      </c>
    </row>
    <row r="5172" spans="1:12" x14ac:dyDescent="0.3">
      <c r="A5172" s="2">
        <v>41689</v>
      </c>
      <c r="B5172" t="s">
        <v>13</v>
      </c>
      <c r="D5172" s="2">
        <v>42420</v>
      </c>
      <c r="E5172">
        <v>6.75</v>
      </c>
      <c r="G5172" s="2">
        <v>42420</v>
      </c>
      <c r="H5172">
        <v>7.319</v>
      </c>
      <c r="J5172" s="2">
        <v>42427</v>
      </c>
      <c r="K5172" s="3">
        <f t="shared" si="160"/>
        <v>6.75</v>
      </c>
      <c r="L5172" s="3">
        <f t="shared" si="161"/>
        <v>7.3840000000000003</v>
      </c>
    </row>
    <row r="5173" spans="1:12" x14ac:dyDescent="0.3">
      <c r="A5173" s="2">
        <v>41690</v>
      </c>
      <c r="B5173" t="s">
        <v>13</v>
      </c>
      <c r="D5173" s="2">
        <v>42421</v>
      </c>
      <c r="E5173">
        <v>6.75</v>
      </c>
      <c r="G5173" s="2">
        <v>42421</v>
      </c>
      <c r="H5173">
        <v>7.319</v>
      </c>
      <c r="J5173" s="2">
        <v>42428</v>
      </c>
      <c r="K5173" s="3">
        <f t="shared" si="160"/>
        <v>6.75</v>
      </c>
      <c r="L5173" s="3">
        <f t="shared" si="161"/>
        <v>7.3840000000000003</v>
      </c>
    </row>
    <row r="5174" spans="1:12" x14ac:dyDescent="0.3">
      <c r="A5174" s="2">
        <v>41691</v>
      </c>
      <c r="B5174" t="s">
        <v>13</v>
      </c>
      <c r="D5174" s="2">
        <v>42422</v>
      </c>
      <c r="E5174">
        <v>6.75</v>
      </c>
      <c r="G5174" s="2">
        <v>42422</v>
      </c>
      <c r="H5174">
        <v>7.3730000000000002</v>
      </c>
      <c r="J5174" s="2">
        <v>42429</v>
      </c>
      <c r="K5174" s="3">
        <f t="shared" si="160"/>
        <v>6.75</v>
      </c>
      <c r="L5174" s="3">
        <f t="shared" si="161"/>
        <v>7.3440000000000003</v>
      </c>
    </row>
    <row r="5175" spans="1:12" x14ac:dyDescent="0.3">
      <c r="A5175" s="2">
        <v>41692</v>
      </c>
      <c r="B5175" t="s">
        <v>13</v>
      </c>
      <c r="D5175" s="2">
        <v>42423</v>
      </c>
      <c r="E5175">
        <v>6.75</v>
      </c>
      <c r="G5175" s="2">
        <v>42423</v>
      </c>
      <c r="H5175">
        <v>7.367</v>
      </c>
      <c r="J5175" s="2">
        <v>42430</v>
      </c>
      <c r="K5175" s="3">
        <f t="shared" si="160"/>
        <v>6.75</v>
      </c>
      <c r="L5175" s="3">
        <f t="shared" si="161"/>
        <v>7.383</v>
      </c>
    </row>
    <row r="5176" spans="1:12" x14ac:dyDescent="0.3">
      <c r="A5176" s="2">
        <v>41693</v>
      </c>
      <c r="B5176" t="s">
        <v>13</v>
      </c>
      <c r="D5176" s="2">
        <v>42424</v>
      </c>
      <c r="E5176">
        <v>6.75</v>
      </c>
      <c r="G5176" s="2">
        <v>42424</v>
      </c>
      <c r="H5176">
        <v>7.3760000000000003</v>
      </c>
      <c r="J5176" s="2">
        <v>42431</v>
      </c>
      <c r="K5176" s="3">
        <f t="shared" si="160"/>
        <v>6.75</v>
      </c>
      <c r="L5176" s="3">
        <f t="shared" si="161"/>
        <v>7.27</v>
      </c>
    </row>
    <row r="5177" spans="1:12" x14ac:dyDescent="0.3">
      <c r="A5177" s="2">
        <v>41694</v>
      </c>
      <c r="B5177" t="s">
        <v>13</v>
      </c>
      <c r="D5177" s="2">
        <v>42425</v>
      </c>
      <c r="E5177">
        <v>6.75</v>
      </c>
      <c r="G5177" s="2">
        <v>42425</v>
      </c>
      <c r="H5177">
        <v>7.37</v>
      </c>
      <c r="J5177" s="2">
        <v>42432</v>
      </c>
      <c r="K5177" s="3">
        <f t="shared" si="160"/>
        <v>6.75</v>
      </c>
      <c r="L5177" s="3">
        <f t="shared" si="161"/>
        <v>7.3090000000000002</v>
      </c>
    </row>
    <row r="5178" spans="1:12" x14ac:dyDescent="0.3">
      <c r="A5178" s="2">
        <v>41695</v>
      </c>
      <c r="B5178" t="s">
        <v>13</v>
      </c>
      <c r="D5178" s="2">
        <v>42426</v>
      </c>
      <c r="E5178">
        <v>6.75</v>
      </c>
      <c r="G5178" s="2">
        <v>42426</v>
      </c>
      <c r="H5178">
        <v>7.3840000000000003</v>
      </c>
      <c r="J5178" s="2">
        <v>42433</v>
      </c>
      <c r="K5178" s="3">
        <f t="shared" si="160"/>
        <v>6.75</v>
      </c>
      <c r="L5178" s="3">
        <f t="shared" si="161"/>
        <v>7.3070000000000004</v>
      </c>
    </row>
    <row r="5179" spans="1:12" x14ac:dyDescent="0.3">
      <c r="A5179" s="2">
        <v>41696</v>
      </c>
      <c r="B5179" t="s">
        <v>13</v>
      </c>
      <c r="D5179" s="2">
        <v>42427</v>
      </c>
      <c r="E5179">
        <v>6.75</v>
      </c>
      <c r="G5179" s="2">
        <v>42427</v>
      </c>
      <c r="H5179">
        <v>7.3840000000000003</v>
      </c>
      <c r="J5179" s="2">
        <v>42434</v>
      </c>
      <c r="K5179" s="3">
        <f t="shared" si="160"/>
        <v>6.75</v>
      </c>
      <c r="L5179" s="3">
        <f t="shared" si="161"/>
        <v>7.3070000000000004</v>
      </c>
    </row>
    <row r="5180" spans="1:12" x14ac:dyDescent="0.3">
      <c r="A5180" s="2">
        <v>41697</v>
      </c>
      <c r="B5180" t="s">
        <v>13</v>
      </c>
      <c r="D5180" s="2">
        <v>42428</v>
      </c>
      <c r="E5180">
        <v>6.75</v>
      </c>
      <c r="G5180" s="2">
        <v>42428</v>
      </c>
      <c r="H5180">
        <v>7.3840000000000003</v>
      </c>
      <c r="J5180" s="2">
        <v>42435</v>
      </c>
      <c r="K5180" s="3">
        <f t="shared" si="160"/>
        <v>6.75</v>
      </c>
      <c r="L5180" s="3">
        <f t="shared" si="161"/>
        <v>7.3070000000000004</v>
      </c>
    </row>
    <row r="5181" spans="1:12" x14ac:dyDescent="0.3">
      <c r="A5181" s="2">
        <v>41698</v>
      </c>
      <c r="B5181" t="s">
        <v>13</v>
      </c>
      <c r="D5181" s="2">
        <v>42429</v>
      </c>
      <c r="E5181">
        <v>6.75</v>
      </c>
      <c r="G5181" s="2">
        <v>42429</v>
      </c>
      <c r="H5181">
        <v>7.3440000000000003</v>
      </c>
      <c r="J5181" s="2">
        <v>42436</v>
      </c>
      <c r="K5181" s="3">
        <f t="shared" si="160"/>
        <v>6.75</v>
      </c>
      <c r="L5181" s="3">
        <f t="shared" si="161"/>
        <v>7.3070000000000004</v>
      </c>
    </row>
    <row r="5182" spans="1:12" x14ac:dyDescent="0.3">
      <c r="A5182" s="2">
        <v>41699</v>
      </c>
      <c r="B5182" t="s">
        <v>13</v>
      </c>
      <c r="D5182" s="2">
        <v>42430</v>
      </c>
      <c r="E5182">
        <v>6.75</v>
      </c>
      <c r="G5182" s="2">
        <v>42430</v>
      </c>
      <c r="H5182">
        <v>7.383</v>
      </c>
      <c r="J5182" s="2">
        <v>42437</v>
      </c>
      <c r="K5182" s="3">
        <f t="shared" si="160"/>
        <v>6.75</v>
      </c>
      <c r="L5182" s="3">
        <f t="shared" si="161"/>
        <v>7.319</v>
      </c>
    </row>
    <row r="5183" spans="1:12" x14ac:dyDescent="0.3">
      <c r="A5183" s="2">
        <v>41700</v>
      </c>
      <c r="B5183" t="s">
        <v>13</v>
      </c>
      <c r="D5183" s="2">
        <v>42431</v>
      </c>
      <c r="E5183">
        <v>6.75</v>
      </c>
      <c r="G5183" s="2">
        <v>42431</v>
      </c>
      <c r="H5183">
        <v>7.27</v>
      </c>
      <c r="J5183" s="2">
        <v>42438</v>
      </c>
      <c r="K5183" s="3">
        <f t="shared" si="160"/>
        <v>6.75</v>
      </c>
      <c r="L5183" s="3">
        <f t="shared" si="161"/>
        <v>7.3179999999999996</v>
      </c>
    </row>
    <row r="5184" spans="1:12" x14ac:dyDescent="0.3">
      <c r="A5184" s="2">
        <v>41701</v>
      </c>
      <c r="B5184" t="s">
        <v>13</v>
      </c>
      <c r="D5184" s="2">
        <v>42432</v>
      </c>
      <c r="E5184">
        <v>6.75</v>
      </c>
      <c r="G5184" s="2">
        <v>42432</v>
      </c>
      <c r="H5184">
        <v>7.3090000000000002</v>
      </c>
      <c r="J5184" s="2">
        <v>42439</v>
      </c>
      <c r="K5184" s="3">
        <f t="shared" si="160"/>
        <v>6.75</v>
      </c>
      <c r="L5184" s="3">
        <f t="shared" si="161"/>
        <v>7.3380000000000001</v>
      </c>
    </row>
    <row r="5185" spans="1:12" x14ac:dyDescent="0.3">
      <c r="A5185" s="2">
        <v>41702</v>
      </c>
      <c r="B5185" t="s">
        <v>13</v>
      </c>
      <c r="D5185" s="2">
        <v>42433</v>
      </c>
      <c r="E5185">
        <v>6.75</v>
      </c>
      <c r="G5185" s="2">
        <v>42433</v>
      </c>
      <c r="H5185">
        <v>7.3070000000000004</v>
      </c>
      <c r="J5185" s="2">
        <v>42440</v>
      </c>
      <c r="K5185" s="3">
        <f t="shared" si="160"/>
        <v>6.75</v>
      </c>
      <c r="L5185" s="3">
        <f t="shared" si="161"/>
        <v>7.3390000000000004</v>
      </c>
    </row>
    <row r="5186" spans="1:12" x14ac:dyDescent="0.3">
      <c r="A5186" s="2">
        <v>41703</v>
      </c>
      <c r="B5186" t="s">
        <v>13</v>
      </c>
      <c r="D5186" s="2">
        <v>42434</v>
      </c>
      <c r="E5186">
        <v>6.75</v>
      </c>
      <c r="G5186" s="2">
        <v>42434</v>
      </c>
      <c r="H5186">
        <v>7.3070000000000004</v>
      </c>
      <c r="J5186" s="2">
        <v>42441</v>
      </c>
      <c r="K5186" s="3">
        <f t="shared" si="160"/>
        <v>6.75</v>
      </c>
      <c r="L5186" s="3">
        <f t="shared" si="161"/>
        <v>7.3390000000000004</v>
      </c>
    </row>
    <row r="5187" spans="1:12" x14ac:dyDescent="0.3">
      <c r="A5187" s="2">
        <v>41704</v>
      </c>
      <c r="B5187" t="s">
        <v>13</v>
      </c>
      <c r="D5187" s="2">
        <v>42435</v>
      </c>
      <c r="E5187">
        <v>6.75</v>
      </c>
      <c r="G5187" s="2">
        <v>42435</v>
      </c>
      <c r="H5187">
        <v>7.3070000000000004</v>
      </c>
      <c r="J5187" s="2">
        <v>42442</v>
      </c>
      <c r="K5187" s="3">
        <f t="shared" ref="K5187:K5250" si="162">E5194</f>
        <v>6.75</v>
      </c>
      <c r="L5187" s="3">
        <f t="shared" ref="L5187:L5250" si="163">H5194</f>
        <v>7.3390000000000004</v>
      </c>
    </row>
    <row r="5188" spans="1:12" x14ac:dyDescent="0.3">
      <c r="A5188" s="2">
        <v>41705</v>
      </c>
      <c r="B5188" t="s">
        <v>13</v>
      </c>
      <c r="D5188" s="2">
        <v>42436</v>
      </c>
      <c r="E5188">
        <v>6.75</v>
      </c>
      <c r="G5188" s="2">
        <v>42436</v>
      </c>
      <c r="H5188">
        <v>7.3070000000000004</v>
      </c>
      <c r="J5188" s="2">
        <v>42443</v>
      </c>
      <c r="K5188" s="3">
        <f t="shared" si="162"/>
        <v>6.75</v>
      </c>
      <c r="L5188" s="3">
        <f t="shared" si="163"/>
        <v>7.3710000000000004</v>
      </c>
    </row>
    <row r="5189" spans="1:12" x14ac:dyDescent="0.3">
      <c r="A5189" s="2">
        <v>41706</v>
      </c>
      <c r="B5189" t="s">
        <v>13</v>
      </c>
      <c r="D5189" s="2">
        <v>42437</v>
      </c>
      <c r="E5189">
        <v>6.75</v>
      </c>
      <c r="G5189" s="2">
        <v>42437</v>
      </c>
      <c r="H5189">
        <v>7.319</v>
      </c>
      <c r="J5189" s="2">
        <v>42444</v>
      </c>
      <c r="K5189" s="3">
        <f t="shared" si="162"/>
        <v>6.75</v>
      </c>
      <c r="L5189" s="3">
        <f t="shared" si="163"/>
        <v>7.3010000000000002</v>
      </c>
    </row>
    <row r="5190" spans="1:12" x14ac:dyDescent="0.3">
      <c r="A5190" s="2">
        <v>41707</v>
      </c>
      <c r="B5190" t="s">
        <v>13</v>
      </c>
      <c r="D5190" s="2">
        <v>42438</v>
      </c>
      <c r="E5190">
        <v>6.75</v>
      </c>
      <c r="G5190" s="2">
        <v>42438</v>
      </c>
      <c r="H5190">
        <v>7.3179999999999996</v>
      </c>
      <c r="J5190" s="2">
        <v>42445</v>
      </c>
      <c r="K5190" s="3">
        <f t="shared" si="162"/>
        <v>6.75</v>
      </c>
      <c r="L5190" s="3">
        <f t="shared" si="163"/>
        <v>7.3280000000000003</v>
      </c>
    </row>
    <row r="5191" spans="1:12" x14ac:dyDescent="0.3">
      <c r="A5191" s="2">
        <v>41708</v>
      </c>
      <c r="B5191" t="s">
        <v>13</v>
      </c>
      <c r="D5191" s="2">
        <v>42439</v>
      </c>
      <c r="E5191">
        <v>6.75</v>
      </c>
      <c r="G5191" s="2">
        <v>42439</v>
      </c>
      <c r="H5191">
        <v>7.3380000000000001</v>
      </c>
      <c r="J5191" s="2">
        <v>42446</v>
      </c>
      <c r="K5191" s="3">
        <f t="shared" si="162"/>
        <v>6.75</v>
      </c>
      <c r="L5191" s="3">
        <f t="shared" si="163"/>
        <v>7.3280000000000003</v>
      </c>
    </row>
    <row r="5192" spans="1:12" x14ac:dyDescent="0.3">
      <c r="A5192" s="2">
        <v>41709</v>
      </c>
      <c r="B5192" t="s">
        <v>13</v>
      </c>
      <c r="D5192" s="2">
        <v>42440</v>
      </c>
      <c r="E5192">
        <v>6.75</v>
      </c>
      <c r="G5192" s="2">
        <v>42440</v>
      </c>
      <c r="H5192">
        <v>7.3390000000000004</v>
      </c>
      <c r="J5192" s="2">
        <v>42447</v>
      </c>
      <c r="K5192" s="3">
        <f t="shared" si="162"/>
        <v>6.75</v>
      </c>
      <c r="L5192" s="3">
        <f t="shared" si="163"/>
        <v>7.35</v>
      </c>
    </row>
    <row r="5193" spans="1:12" x14ac:dyDescent="0.3">
      <c r="A5193" s="2">
        <v>41710</v>
      </c>
      <c r="B5193" t="s">
        <v>13</v>
      </c>
      <c r="D5193" s="2">
        <v>42441</v>
      </c>
      <c r="E5193">
        <v>6.75</v>
      </c>
      <c r="G5193" s="2">
        <v>42441</v>
      </c>
      <c r="H5193">
        <v>7.3390000000000004</v>
      </c>
      <c r="J5193" s="2">
        <v>42448</v>
      </c>
      <c r="K5193" s="3">
        <f t="shared" si="162"/>
        <v>6.75</v>
      </c>
      <c r="L5193" s="3">
        <f t="shared" si="163"/>
        <v>7.35</v>
      </c>
    </row>
    <row r="5194" spans="1:12" x14ac:dyDescent="0.3">
      <c r="A5194" s="2">
        <v>41711</v>
      </c>
      <c r="B5194" t="s">
        <v>13</v>
      </c>
      <c r="D5194" s="2">
        <v>42442</v>
      </c>
      <c r="E5194">
        <v>6.75</v>
      </c>
      <c r="G5194" s="2">
        <v>42442</v>
      </c>
      <c r="H5194">
        <v>7.3390000000000004</v>
      </c>
      <c r="J5194" s="2">
        <v>42449</v>
      </c>
      <c r="K5194" s="3">
        <f t="shared" si="162"/>
        <v>6.75</v>
      </c>
      <c r="L5194" s="3">
        <f t="shared" si="163"/>
        <v>7.35</v>
      </c>
    </row>
    <row r="5195" spans="1:12" x14ac:dyDescent="0.3">
      <c r="A5195" s="2">
        <v>41712</v>
      </c>
      <c r="B5195" t="s">
        <v>13</v>
      </c>
      <c r="D5195" s="2">
        <v>42443</v>
      </c>
      <c r="E5195">
        <v>6.75</v>
      </c>
      <c r="G5195" s="2">
        <v>42443</v>
      </c>
      <c r="H5195">
        <v>7.3710000000000004</v>
      </c>
      <c r="J5195" s="2">
        <v>42450</v>
      </c>
      <c r="K5195" s="3">
        <f t="shared" si="162"/>
        <v>6.75</v>
      </c>
      <c r="L5195" s="3">
        <f t="shared" si="163"/>
        <v>7.3220000000000001</v>
      </c>
    </row>
    <row r="5196" spans="1:12" x14ac:dyDescent="0.3">
      <c r="A5196" s="2">
        <v>41713</v>
      </c>
      <c r="B5196" t="s">
        <v>13</v>
      </c>
      <c r="D5196" s="2">
        <v>42444</v>
      </c>
      <c r="E5196">
        <v>6.75</v>
      </c>
      <c r="G5196" s="2">
        <v>42444</v>
      </c>
      <c r="H5196">
        <v>7.3010000000000002</v>
      </c>
      <c r="J5196" s="2">
        <v>42451</v>
      </c>
      <c r="K5196" s="3">
        <f t="shared" si="162"/>
        <v>6.75</v>
      </c>
      <c r="L5196" s="3">
        <f t="shared" si="163"/>
        <v>7.3170000000000002</v>
      </c>
    </row>
    <row r="5197" spans="1:12" x14ac:dyDescent="0.3">
      <c r="A5197" s="2">
        <v>41714</v>
      </c>
      <c r="B5197" t="s">
        <v>13</v>
      </c>
      <c r="D5197" s="2">
        <v>42445</v>
      </c>
      <c r="E5197">
        <v>6.75</v>
      </c>
      <c r="G5197" s="2">
        <v>42445</v>
      </c>
      <c r="H5197">
        <v>7.3280000000000003</v>
      </c>
      <c r="J5197" s="2">
        <v>42452</v>
      </c>
      <c r="K5197" s="3">
        <f t="shared" si="162"/>
        <v>6.75</v>
      </c>
      <c r="L5197" s="3">
        <f t="shared" si="163"/>
        <v>7.2779999999999996</v>
      </c>
    </row>
    <row r="5198" spans="1:12" x14ac:dyDescent="0.3">
      <c r="A5198" s="2">
        <v>41715</v>
      </c>
      <c r="B5198" t="s">
        <v>13</v>
      </c>
      <c r="D5198" s="2">
        <v>42446</v>
      </c>
      <c r="E5198">
        <v>6.75</v>
      </c>
      <c r="G5198" s="2">
        <v>42446</v>
      </c>
      <c r="H5198">
        <v>7.3280000000000003</v>
      </c>
      <c r="J5198" s="2">
        <v>42453</v>
      </c>
      <c r="K5198" s="3">
        <f t="shared" si="162"/>
        <v>6.75</v>
      </c>
      <c r="L5198" s="3">
        <f t="shared" si="163"/>
        <v>7.2789999999999999</v>
      </c>
    </row>
    <row r="5199" spans="1:12" x14ac:dyDescent="0.3">
      <c r="A5199" s="2">
        <v>41716</v>
      </c>
      <c r="B5199" t="s">
        <v>13</v>
      </c>
      <c r="D5199" s="2">
        <v>42447</v>
      </c>
      <c r="E5199">
        <v>6.75</v>
      </c>
      <c r="G5199" s="2">
        <v>42447</v>
      </c>
      <c r="H5199">
        <v>7.35</v>
      </c>
      <c r="J5199" s="2">
        <v>42454</v>
      </c>
      <c r="K5199" s="3">
        <f t="shared" si="162"/>
        <v>6.75</v>
      </c>
      <c r="L5199" s="3">
        <f t="shared" si="163"/>
        <v>7.2789999999999999</v>
      </c>
    </row>
    <row r="5200" spans="1:12" x14ac:dyDescent="0.3">
      <c r="A5200" s="2">
        <v>41717</v>
      </c>
      <c r="B5200" t="s">
        <v>13</v>
      </c>
      <c r="D5200" s="2">
        <v>42448</v>
      </c>
      <c r="E5200">
        <v>6.75</v>
      </c>
      <c r="G5200" s="2">
        <v>42448</v>
      </c>
      <c r="H5200">
        <v>7.35</v>
      </c>
      <c r="J5200" s="2">
        <v>42455</v>
      </c>
      <c r="K5200" s="3">
        <f t="shared" si="162"/>
        <v>6.75</v>
      </c>
      <c r="L5200" s="3">
        <f t="shared" si="163"/>
        <v>7.2789999999999999</v>
      </c>
    </row>
    <row r="5201" spans="1:12" x14ac:dyDescent="0.3">
      <c r="A5201" s="2">
        <v>41718</v>
      </c>
      <c r="B5201" t="s">
        <v>13</v>
      </c>
      <c r="D5201" s="2">
        <v>42449</v>
      </c>
      <c r="E5201">
        <v>6.75</v>
      </c>
      <c r="G5201" s="2">
        <v>42449</v>
      </c>
      <c r="H5201">
        <v>7.35</v>
      </c>
      <c r="J5201" s="2">
        <v>42456</v>
      </c>
      <c r="K5201" s="3">
        <f t="shared" si="162"/>
        <v>6.75</v>
      </c>
      <c r="L5201" s="3">
        <f t="shared" si="163"/>
        <v>7.2789999999999999</v>
      </c>
    </row>
    <row r="5202" spans="1:12" x14ac:dyDescent="0.3">
      <c r="A5202" s="2">
        <v>41719</v>
      </c>
      <c r="B5202" t="s">
        <v>13</v>
      </c>
      <c r="D5202" s="2">
        <v>42450</v>
      </c>
      <c r="E5202">
        <v>6.75</v>
      </c>
      <c r="G5202" s="2">
        <v>42450</v>
      </c>
      <c r="H5202">
        <v>7.3220000000000001</v>
      </c>
      <c r="J5202" s="2">
        <v>42457</v>
      </c>
      <c r="K5202" s="3">
        <f t="shared" si="162"/>
        <v>6.75</v>
      </c>
      <c r="L5202" s="3">
        <f t="shared" si="163"/>
        <v>7.3029999999999999</v>
      </c>
    </row>
    <row r="5203" spans="1:12" x14ac:dyDescent="0.3">
      <c r="A5203" s="2">
        <v>41720</v>
      </c>
      <c r="B5203" t="s">
        <v>13</v>
      </c>
      <c r="D5203" s="2">
        <v>42451</v>
      </c>
      <c r="E5203">
        <v>6.75</v>
      </c>
      <c r="G5203" s="2">
        <v>42451</v>
      </c>
      <c r="H5203">
        <v>7.3170000000000002</v>
      </c>
      <c r="J5203" s="2">
        <v>42458</v>
      </c>
      <c r="K5203" s="3">
        <f t="shared" si="162"/>
        <v>6.75</v>
      </c>
      <c r="L5203" s="3">
        <f t="shared" si="163"/>
        <v>7.3369999999999997</v>
      </c>
    </row>
    <row r="5204" spans="1:12" x14ac:dyDescent="0.3">
      <c r="A5204" s="2">
        <v>41721</v>
      </c>
      <c r="B5204" t="s">
        <v>13</v>
      </c>
      <c r="D5204" s="2">
        <v>42452</v>
      </c>
      <c r="E5204">
        <v>6.75</v>
      </c>
      <c r="G5204" s="2">
        <v>42452</v>
      </c>
      <c r="H5204">
        <v>7.2779999999999996</v>
      </c>
      <c r="J5204" s="2">
        <v>42459</v>
      </c>
      <c r="K5204" s="3">
        <f t="shared" si="162"/>
        <v>6.75</v>
      </c>
      <c r="L5204" s="3">
        <f t="shared" si="163"/>
        <v>7.2930000000000001</v>
      </c>
    </row>
    <row r="5205" spans="1:12" x14ac:dyDescent="0.3">
      <c r="A5205" s="2">
        <v>41722</v>
      </c>
      <c r="B5205" t="s">
        <v>13</v>
      </c>
      <c r="D5205" s="2">
        <v>42453</v>
      </c>
      <c r="E5205">
        <v>6.75</v>
      </c>
      <c r="G5205" s="2">
        <v>42453</v>
      </c>
      <c r="H5205">
        <v>7.2789999999999999</v>
      </c>
      <c r="J5205" s="2">
        <v>42460</v>
      </c>
      <c r="K5205" s="3">
        <f t="shared" si="162"/>
        <v>6.75</v>
      </c>
      <c r="L5205" s="3">
        <f t="shared" si="163"/>
        <v>7.1929999999999996</v>
      </c>
    </row>
    <row r="5206" spans="1:12" x14ac:dyDescent="0.3">
      <c r="A5206" s="2">
        <v>41723</v>
      </c>
      <c r="B5206" t="s">
        <v>13</v>
      </c>
      <c r="D5206" s="2">
        <v>42454</v>
      </c>
      <c r="E5206">
        <v>6.75</v>
      </c>
      <c r="G5206" s="2">
        <v>42454</v>
      </c>
      <c r="H5206">
        <v>7.2789999999999999</v>
      </c>
      <c r="J5206" s="2">
        <v>42461</v>
      </c>
      <c r="K5206" s="3">
        <f t="shared" si="162"/>
        <v>6.75</v>
      </c>
      <c r="L5206" s="3">
        <f t="shared" si="163"/>
        <v>7.1929999999999996</v>
      </c>
    </row>
    <row r="5207" spans="1:12" x14ac:dyDescent="0.3">
      <c r="A5207" s="2">
        <v>41724</v>
      </c>
      <c r="B5207" t="s">
        <v>13</v>
      </c>
      <c r="D5207" s="2">
        <v>42455</v>
      </c>
      <c r="E5207">
        <v>6.75</v>
      </c>
      <c r="G5207" s="2">
        <v>42455</v>
      </c>
      <c r="H5207">
        <v>7.2789999999999999</v>
      </c>
      <c r="J5207" s="2">
        <v>42462</v>
      </c>
      <c r="K5207" s="3">
        <f t="shared" si="162"/>
        <v>6.75</v>
      </c>
      <c r="L5207" s="3">
        <f t="shared" si="163"/>
        <v>7.1929999999999996</v>
      </c>
    </row>
    <row r="5208" spans="1:12" x14ac:dyDescent="0.3">
      <c r="A5208" s="2">
        <v>41725</v>
      </c>
      <c r="B5208" t="s">
        <v>13</v>
      </c>
      <c r="D5208" s="2">
        <v>42456</v>
      </c>
      <c r="E5208">
        <v>6.75</v>
      </c>
      <c r="G5208" s="2">
        <v>42456</v>
      </c>
      <c r="H5208">
        <v>7.2789999999999999</v>
      </c>
      <c r="J5208" s="2">
        <v>42463</v>
      </c>
      <c r="K5208" s="3">
        <f t="shared" si="162"/>
        <v>6.75</v>
      </c>
      <c r="L5208" s="3">
        <f t="shared" si="163"/>
        <v>7.1929999999999996</v>
      </c>
    </row>
    <row r="5209" spans="1:12" x14ac:dyDescent="0.3">
      <c r="A5209" s="2">
        <v>41726</v>
      </c>
      <c r="B5209" t="s">
        <v>13</v>
      </c>
      <c r="D5209" s="2">
        <v>42457</v>
      </c>
      <c r="E5209">
        <v>6.75</v>
      </c>
      <c r="G5209" s="2">
        <v>42457</v>
      </c>
      <c r="H5209">
        <v>7.3029999999999999</v>
      </c>
      <c r="J5209" s="2">
        <v>42464</v>
      </c>
      <c r="K5209" s="3">
        <f t="shared" si="162"/>
        <v>6.75</v>
      </c>
      <c r="L5209" s="3">
        <f t="shared" si="163"/>
        <v>6.9640000000000004</v>
      </c>
    </row>
    <row r="5210" spans="1:12" x14ac:dyDescent="0.3">
      <c r="A5210" s="2">
        <v>41727</v>
      </c>
      <c r="B5210" t="s">
        <v>13</v>
      </c>
      <c r="D5210" s="2">
        <v>42458</v>
      </c>
      <c r="E5210">
        <v>6.75</v>
      </c>
      <c r="G5210" s="2">
        <v>42458</v>
      </c>
      <c r="H5210">
        <v>7.3369999999999997</v>
      </c>
      <c r="J5210" s="2">
        <v>42465</v>
      </c>
      <c r="K5210" s="3">
        <f t="shared" si="162"/>
        <v>6.5</v>
      </c>
      <c r="L5210" s="3">
        <f t="shared" si="163"/>
        <v>6.9889999999999999</v>
      </c>
    </row>
    <row r="5211" spans="1:12" x14ac:dyDescent="0.3">
      <c r="A5211" s="2">
        <v>41728</v>
      </c>
      <c r="B5211" t="s">
        <v>13</v>
      </c>
      <c r="D5211" s="2">
        <v>42459</v>
      </c>
      <c r="E5211">
        <v>6.75</v>
      </c>
      <c r="G5211" s="2">
        <v>42459</v>
      </c>
      <c r="H5211">
        <v>7.2930000000000001</v>
      </c>
      <c r="J5211" s="2">
        <v>42466</v>
      </c>
      <c r="K5211" s="3">
        <f t="shared" si="162"/>
        <v>6.5</v>
      </c>
      <c r="L5211" s="3">
        <f t="shared" si="163"/>
        <v>6.9809999999999999</v>
      </c>
    </row>
    <row r="5212" spans="1:12" x14ac:dyDescent="0.3">
      <c r="A5212" s="2">
        <v>41729</v>
      </c>
      <c r="B5212" t="s">
        <v>13</v>
      </c>
      <c r="D5212" s="2">
        <v>42460</v>
      </c>
      <c r="E5212">
        <v>6.75</v>
      </c>
      <c r="G5212" s="2">
        <v>42460</v>
      </c>
      <c r="H5212">
        <v>7.1929999999999996</v>
      </c>
      <c r="J5212" s="2">
        <v>42467</v>
      </c>
      <c r="K5212" s="3">
        <f t="shared" si="162"/>
        <v>6.5</v>
      </c>
      <c r="L5212" s="3">
        <f t="shared" si="163"/>
        <v>7.0549999999999997</v>
      </c>
    </row>
    <row r="5213" spans="1:12" x14ac:dyDescent="0.3">
      <c r="A5213" s="2">
        <v>41730</v>
      </c>
      <c r="B5213" t="s">
        <v>13</v>
      </c>
      <c r="D5213" s="2">
        <v>42461</v>
      </c>
      <c r="E5213">
        <v>6.75</v>
      </c>
      <c r="G5213" s="2">
        <v>42461</v>
      </c>
      <c r="H5213">
        <v>7.1929999999999996</v>
      </c>
      <c r="J5213" s="2">
        <v>42468</v>
      </c>
      <c r="K5213" s="3">
        <f t="shared" si="162"/>
        <v>6.5</v>
      </c>
      <c r="L5213" s="3">
        <f t="shared" si="163"/>
        <v>7.0529999999999999</v>
      </c>
    </row>
    <row r="5214" spans="1:12" x14ac:dyDescent="0.3">
      <c r="A5214" s="2">
        <v>41731</v>
      </c>
      <c r="B5214" t="s">
        <v>13</v>
      </c>
      <c r="D5214" s="2">
        <v>42462</v>
      </c>
      <c r="E5214">
        <v>6.75</v>
      </c>
      <c r="G5214" s="2">
        <v>42462</v>
      </c>
      <c r="H5214">
        <v>7.1929999999999996</v>
      </c>
      <c r="J5214" s="2">
        <v>42469</v>
      </c>
      <c r="K5214" s="3">
        <f t="shared" si="162"/>
        <v>6.5</v>
      </c>
      <c r="L5214" s="3">
        <f t="shared" si="163"/>
        <v>7.0529999999999999</v>
      </c>
    </row>
    <row r="5215" spans="1:12" x14ac:dyDescent="0.3">
      <c r="A5215" s="2">
        <v>41732</v>
      </c>
      <c r="B5215" t="s">
        <v>13</v>
      </c>
      <c r="D5215" s="2">
        <v>42463</v>
      </c>
      <c r="E5215">
        <v>6.75</v>
      </c>
      <c r="G5215" s="2">
        <v>42463</v>
      </c>
      <c r="H5215">
        <v>7.1929999999999996</v>
      </c>
      <c r="J5215" s="2">
        <v>42470</v>
      </c>
      <c r="K5215" s="3">
        <f t="shared" si="162"/>
        <v>6.5</v>
      </c>
      <c r="L5215" s="3">
        <f t="shared" si="163"/>
        <v>7.0529999999999999</v>
      </c>
    </row>
    <row r="5216" spans="1:12" x14ac:dyDescent="0.3">
      <c r="A5216" s="2">
        <v>41733</v>
      </c>
      <c r="B5216" t="s">
        <v>13</v>
      </c>
      <c r="D5216" s="2">
        <v>42464</v>
      </c>
      <c r="E5216">
        <v>6.75</v>
      </c>
      <c r="G5216" s="2">
        <v>42464</v>
      </c>
      <c r="H5216">
        <v>6.9640000000000004</v>
      </c>
      <c r="J5216" s="2">
        <v>42471</v>
      </c>
      <c r="K5216" s="3">
        <f t="shared" si="162"/>
        <v>6.5</v>
      </c>
      <c r="L5216" s="3">
        <f t="shared" si="163"/>
        <v>7.0519999999999996</v>
      </c>
    </row>
    <row r="5217" spans="1:12" x14ac:dyDescent="0.3">
      <c r="A5217" s="2">
        <v>41734</v>
      </c>
      <c r="B5217" t="s">
        <v>13</v>
      </c>
      <c r="D5217" s="2">
        <v>42465</v>
      </c>
      <c r="E5217">
        <v>6.5</v>
      </c>
      <c r="G5217" s="2">
        <v>42465</v>
      </c>
      <c r="H5217">
        <v>6.9889999999999999</v>
      </c>
      <c r="J5217" s="2">
        <v>42472</v>
      </c>
      <c r="K5217" s="3">
        <f t="shared" si="162"/>
        <v>6.5</v>
      </c>
      <c r="L5217" s="3">
        <f t="shared" si="163"/>
        <v>7.0510000000000002</v>
      </c>
    </row>
    <row r="5218" spans="1:12" x14ac:dyDescent="0.3">
      <c r="A5218" s="2">
        <v>41735</v>
      </c>
      <c r="B5218" t="s">
        <v>13</v>
      </c>
      <c r="D5218" s="2">
        <v>42466</v>
      </c>
      <c r="E5218">
        <v>6.5</v>
      </c>
      <c r="G5218" s="2">
        <v>42466</v>
      </c>
      <c r="H5218">
        <v>6.9809999999999999</v>
      </c>
      <c r="J5218" s="2">
        <v>42473</v>
      </c>
      <c r="K5218" s="3">
        <f t="shared" si="162"/>
        <v>6.5</v>
      </c>
      <c r="L5218" s="3">
        <f t="shared" si="163"/>
        <v>7.11</v>
      </c>
    </row>
    <row r="5219" spans="1:12" x14ac:dyDescent="0.3">
      <c r="A5219" s="2">
        <v>41736</v>
      </c>
      <c r="B5219" t="s">
        <v>13</v>
      </c>
      <c r="D5219" s="2">
        <v>42467</v>
      </c>
      <c r="E5219">
        <v>6.5</v>
      </c>
      <c r="G5219" s="2">
        <v>42467</v>
      </c>
      <c r="H5219">
        <v>7.0549999999999997</v>
      </c>
      <c r="J5219" s="2">
        <v>42474</v>
      </c>
      <c r="K5219" s="3">
        <f t="shared" si="162"/>
        <v>6.5</v>
      </c>
      <c r="L5219" s="3">
        <f t="shared" si="163"/>
        <v>7.11</v>
      </c>
    </row>
    <row r="5220" spans="1:12" x14ac:dyDescent="0.3">
      <c r="A5220" s="2">
        <v>41737</v>
      </c>
      <c r="B5220" t="s">
        <v>13</v>
      </c>
      <c r="D5220" s="2">
        <v>42468</v>
      </c>
      <c r="E5220">
        <v>6.5</v>
      </c>
      <c r="G5220" s="2">
        <v>42468</v>
      </c>
      <c r="H5220">
        <v>7.0529999999999999</v>
      </c>
      <c r="J5220" s="2">
        <v>42475</v>
      </c>
      <c r="K5220" s="3">
        <f t="shared" si="162"/>
        <v>6.5</v>
      </c>
      <c r="L5220" s="3">
        <f t="shared" si="163"/>
        <v>7.11</v>
      </c>
    </row>
    <row r="5221" spans="1:12" x14ac:dyDescent="0.3">
      <c r="A5221" s="2">
        <v>41738</v>
      </c>
      <c r="B5221" t="s">
        <v>13</v>
      </c>
      <c r="D5221" s="2">
        <v>42469</v>
      </c>
      <c r="E5221">
        <v>6.5</v>
      </c>
      <c r="G5221" s="2">
        <v>42469</v>
      </c>
      <c r="H5221">
        <v>7.0529999999999999</v>
      </c>
      <c r="J5221" s="2">
        <v>42476</v>
      </c>
      <c r="K5221" s="3">
        <f t="shared" si="162"/>
        <v>6.5</v>
      </c>
      <c r="L5221" s="3">
        <f t="shared" si="163"/>
        <v>7.11</v>
      </c>
    </row>
    <row r="5222" spans="1:12" x14ac:dyDescent="0.3">
      <c r="A5222" s="2">
        <v>41739</v>
      </c>
      <c r="B5222" t="s">
        <v>13</v>
      </c>
      <c r="D5222" s="2">
        <v>42470</v>
      </c>
      <c r="E5222">
        <v>6.5</v>
      </c>
      <c r="G5222" s="2">
        <v>42470</v>
      </c>
      <c r="H5222">
        <v>7.0529999999999999</v>
      </c>
      <c r="J5222" s="2">
        <v>42477</v>
      </c>
      <c r="K5222" s="3">
        <f t="shared" si="162"/>
        <v>6.5</v>
      </c>
      <c r="L5222" s="3">
        <f t="shared" si="163"/>
        <v>7.11</v>
      </c>
    </row>
    <row r="5223" spans="1:12" x14ac:dyDescent="0.3">
      <c r="A5223" s="2">
        <v>41740</v>
      </c>
      <c r="B5223" t="s">
        <v>13</v>
      </c>
      <c r="D5223" s="2">
        <v>42471</v>
      </c>
      <c r="E5223">
        <v>6.5</v>
      </c>
      <c r="G5223" s="2">
        <v>42471</v>
      </c>
      <c r="H5223">
        <v>7.0519999999999996</v>
      </c>
      <c r="J5223" s="2">
        <v>42478</v>
      </c>
      <c r="K5223" s="3">
        <f t="shared" si="162"/>
        <v>6.5</v>
      </c>
      <c r="L5223" s="3">
        <f t="shared" si="163"/>
        <v>7.0810000000000004</v>
      </c>
    </row>
    <row r="5224" spans="1:12" x14ac:dyDescent="0.3">
      <c r="A5224" s="2">
        <v>41741</v>
      </c>
      <c r="B5224" t="s">
        <v>13</v>
      </c>
      <c r="D5224" s="2">
        <v>42472</v>
      </c>
      <c r="E5224">
        <v>6.5</v>
      </c>
      <c r="G5224" s="2">
        <v>42472</v>
      </c>
      <c r="H5224">
        <v>7.0510000000000002</v>
      </c>
      <c r="J5224" s="2">
        <v>42479</v>
      </c>
      <c r="K5224" s="3">
        <f t="shared" si="162"/>
        <v>6.5</v>
      </c>
      <c r="L5224" s="3">
        <f t="shared" si="163"/>
        <v>7.0810000000000004</v>
      </c>
    </row>
    <row r="5225" spans="1:12" x14ac:dyDescent="0.3">
      <c r="A5225" s="2">
        <v>41742</v>
      </c>
      <c r="B5225" t="s">
        <v>13</v>
      </c>
      <c r="D5225" s="2">
        <v>42473</v>
      </c>
      <c r="E5225">
        <v>6.5</v>
      </c>
      <c r="G5225" s="2">
        <v>42473</v>
      </c>
      <c r="H5225">
        <v>7.11</v>
      </c>
      <c r="J5225" s="2">
        <v>42480</v>
      </c>
      <c r="K5225" s="3">
        <f t="shared" si="162"/>
        <v>6.5</v>
      </c>
      <c r="L5225" s="3">
        <f t="shared" si="163"/>
        <v>7.0579999999999998</v>
      </c>
    </row>
    <row r="5226" spans="1:12" x14ac:dyDescent="0.3">
      <c r="A5226" s="2">
        <v>41743</v>
      </c>
      <c r="B5226" t="s">
        <v>13</v>
      </c>
      <c r="D5226" s="2">
        <v>42474</v>
      </c>
      <c r="E5226">
        <v>6.5</v>
      </c>
      <c r="G5226" s="2">
        <v>42474</v>
      </c>
      <c r="H5226">
        <v>7.11</v>
      </c>
      <c r="J5226" s="2">
        <v>42481</v>
      </c>
      <c r="K5226" s="3">
        <f t="shared" si="162"/>
        <v>6.5</v>
      </c>
      <c r="L5226" s="3">
        <f t="shared" si="163"/>
        <v>7.0609999999999999</v>
      </c>
    </row>
    <row r="5227" spans="1:12" x14ac:dyDescent="0.3">
      <c r="A5227" s="2">
        <v>41744</v>
      </c>
      <c r="B5227" t="s">
        <v>13</v>
      </c>
      <c r="D5227" s="2">
        <v>42475</v>
      </c>
      <c r="E5227">
        <v>6.5</v>
      </c>
      <c r="G5227" s="2">
        <v>42475</v>
      </c>
      <c r="H5227">
        <v>7.11</v>
      </c>
      <c r="J5227" s="2">
        <v>42482</v>
      </c>
      <c r="K5227" s="3">
        <f t="shared" si="162"/>
        <v>6.5</v>
      </c>
      <c r="L5227" s="3">
        <f t="shared" si="163"/>
        <v>7.0439999999999996</v>
      </c>
    </row>
    <row r="5228" spans="1:12" x14ac:dyDescent="0.3">
      <c r="A5228" s="2">
        <v>41745</v>
      </c>
      <c r="B5228" t="s">
        <v>13</v>
      </c>
      <c r="D5228" s="2">
        <v>42476</v>
      </c>
      <c r="E5228">
        <v>6.5</v>
      </c>
      <c r="G5228" s="2">
        <v>42476</v>
      </c>
      <c r="H5228">
        <v>7.11</v>
      </c>
      <c r="J5228" s="2">
        <v>42483</v>
      </c>
      <c r="K5228" s="3">
        <f t="shared" si="162"/>
        <v>6.5</v>
      </c>
      <c r="L5228" s="3">
        <f t="shared" si="163"/>
        <v>7.0439999999999996</v>
      </c>
    </row>
    <row r="5229" spans="1:12" x14ac:dyDescent="0.3">
      <c r="A5229" s="2">
        <v>41746</v>
      </c>
      <c r="B5229" t="s">
        <v>13</v>
      </c>
      <c r="D5229" s="2">
        <v>42477</v>
      </c>
      <c r="E5229">
        <v>6.5</v>
      </c>
      <c r="G5229" s="2">
        <v>42477</v>
      </c>
      <c r="H5229">
        <v>7.11</v>
      </c>
      <c r="J5229" s="2">
        <v>42484</v>
      </c>
      <c r="K5229" s="3">
        <f t="shared" si="162"/>
        <v>6.5</v>
      </c>
      <c r="L5229" s="3">
        <f t="shared" si="163"/>
        <v>7.0439999999999996</v>
      </c>
    </row>
    <row r="5230" spans="1:12" x14ac:dyDescent="0.3">
      <c r="A5230" s="2">
        <v>41747</v>
      </c>
      <c r="B5230" t="s">
        <v>13</v>
      </c>
      <c r="D5230" s="2">
        <v>42478</v>
      </c>
      <c r="E5230">
        <v>6.5</v>
      </c>
      <c r="G5230" s="2">
        <v>42478</v>
      </c>
      <c r="H5230">
        <v>7.0810000000000004</v>
      </c>
      <c r="J5230" s="2">
        <v>42485</v>
      </c>
      <c r="K5230" s="3">
        <f t="shared" si="162"/>
        <v>6.5</v>
      </c>
      <c r="L5230" s="3">
        <f t="shared" si="163"/>
        <v>7.085</v>
      </c>
    </row>
    <row r="5231" spans="1:12" x14ac:dyDescent="0.3">
      <c r="A5231" s="2">
        <v>41748</v>
      </c>
      <c r="B5231" t="s">
        <v>13</v>
      </c>
      <c r="D5231" s="2">
        <v>42479</v>
      </c>
      <c r="E5231">
        <v>6.5</v>
      </c>
      <c r="G5231" s="2">
        <v>42479</v>
      </c>
      <c r="H5231">
        <v>7.0810000000000004</v>
      </c>
      <c r="J5231" s="2">
        <v>42486</v>
      </c>
      <c r="K5231" s="3">
        <f t="shared" si="162"/>
        <v>6.5</v>
      </c>
      <c r="L5231" s="3">
        <f t="shared" si="163"/>
        <v>7.085</v>
      </c>
    </row>
    <row r="5232" spans="1:12" x14ac:dyDescent="0.3">
      <c r="A5232" s="2">
        <v>41749</v>
      </c>
      <c r="B5232" t="s">
        <v>13</v>
      </c>
      <c r="D5232" s="2">
        <v>42480</v>
      </c>
      <c r="E5232">
        <v>6.5</v>
      </c>
      <c r="G5232" s="2">
        <v>42480</v>
      </c>
      <c r="H5232">
        <v>7.0579999999999998</v>
      </c>
      <c r="J5232" s="2">
        <v>42487</v>
      </c>
      <c r="K5232" s="3">
        <f t="shared" si="162"/>
        <v>6.5</v>
      </c>
      <c r="L5232" s="3">
        <f t="shared" si="163"/>
        <v>7.085</v>
      </c>
    </row>
    <row r="5233" spans="1:12" x14ac:dyDescent="0.3">
      <c r="A5233" s="2">
        <v>41750</v>
      </c>
      <c r="B5233" t="s">
        <v>13</v>
      </c>
      <c r="D5233" s="2">
        <v>42481</v>
      </c>
      <c r="E5233">
        <v>6.5</v>
      </c>
      <c r="G5233" s="2">
        <v>42481</v>
      </c>
      <c r="H5233">
        <v>7.0609999999999999</v>
      </c>
      <c r="J5233" s="2">
        <v>42488</v>
      </c>
      <c r="K5233" s="3">
        <f t="shared" si="162"/>
        <v>6.5</v>
      </c>
      <c r="L5233" s="3">
        <f t="shared" si="163"/>
        <v>7.0990000000000002</v>
      </c>
    </row>
    <row r="5234" spans="1:12" x14ac:dyDescent="0.3">
      <c r="A5234" s="2">
        <v>41751</v>
      </c>
      <c r="B5234" t="s">
        <v>13</v>
      </c>
      <c r="D5234" s="2">
        <v>42482</v>
      </c>
      <c r="E5234">
        <v>6.5</v>
      </c>
      <c r="G5234" s="2">
        <v>42482</v>
      </c>
      <c r="H5234">
        <v>7.0439999999999996</v>
      </c>
      <c r="J5234" s="2">
        <v>42489</v>
      </c>
      <c r="K5234" s="3">
        <f t="shared" si="162"/>
        <v>6.5</v>
      </c>
      <c r="L5234" s="3">
        <f t="shared" si="163"/>
        <v>7.0549999999999997</v>
      </c>
    </row>
    <row r="5235" spans="1:12" x14ac:dyDescent="0.3">
      <c r="A5235" s="2">
        <v>41752</v>
      </c>
      <c r="B5235" t="s">
        <v>13</v>
      </c>
      <c r="D5235" s="2">
        <v>42483</v>
      </c>
      <c r="E5235">
        <v>6.5</v>
      </c>
      <c r="G5235" s="2">
        <v>42483</v>
      </c>
      <c r="H5235">
        <v>7.0439999999999996</v>
      </c>
      <c r="J5235" s="2">
        <v>42490</v>
      </c>
      <c r="K5235" s="3">
        <f t="shared" si="162"/>
        <v>6.5</v>
      </c>
      <c r="L5235" s="3">
        <f t="shared" si="163"/>
        <v>7.0549999999999997</v>
      </c>
    </row>
    <row r="5236" spans="1:12" x14ac:dyDescent="0.3">
      <c r="A5236" s="2">
        <v>41753</v>
      </c>
      <c r="B5236" t="s">
        <v>13</v>
      </c>
      <c r="D5236" s="2">
        <v>42484</v>
      </c>
      <c r="E5236">
        <v>6.5</v>
      </c>
      <c r="G5236" s="2">
        <v>42484</v>
      </c>
      <c r="H5236">
        <v>7.0439999999999996</v>
      </c>
      <c r="J5236" s="2">
        <v>42491</v>
      </c>
      <c r="K5236" s="3">
        <f t="shared" si="162"/>
        <v>6.5</v>
      </c>
      <c r="L5236" s="3">
        <f t="shared" si="163"/>
        <v>7.0549999999999997</v>
      </c>
    </row>
    <row r="5237" spans="1:12" x14ac:dyDescent="0.3">
      <c r="A5237" s="2">
        <v>41754</v>
      </c>
      <c r="B5237" t="s">
        <v>13</v>
      </c>
      <c r="D5237" s="2">
        <v>42485</v>
      </c>
      <c r="E5237">
        <v>6.5</v>
      </c>
      <c r="G5237" s="2">
        <v>42485</v>
      </c>
      <c r="H5237">
        <v>7.085</v>
      </c>
      <c r="J5237" s="2">
        <v>42492</v>
      </c>
      <c r="K5237" s="3">
        <f t="shared" si="162"/>
        <v>6.5</v>
      </c>
      <c r="L5237" s="3">
        <f t="shared" si="163"/>
        <v>7.0650000000000004</v>
      </c>
    </row>
    <row r="5238" spans="1:12" x14ac:dyDescent="0.3">
      <c r="A5238" s="2">
        <v>41755</v>
      </c>
      <c r="B5238" t="s">
        <v>13</v>
      </c>
      <c r="D5238" s="2">
        <v>42486</v>
      </c>
      <c r="E5238">
        <v>6.5</v>
      </c>
      <c r="G5238" s="2">
        <v>42486</v>
      </c>
      <c r="H5238">
        <v>7.085</v>
      </c>
      <c r="J5238" s="2">
        <v>42493</v>
      </c>
      <c r="K5238" s="3">
        <f t="shared" si="162"/>
        <v>6.5</v>
      </c>
      <c r="L5238" s="3">
        <f t="shared" si="163"/>
        <v>7.0629999999999997</v>
      </c>
    </row>
    <row r="5239" spans="1:12" x14ac:dyDescent="0.3">
      <c r="A5239" s="2">
        <v>41756</v>
      </c>
      <c r="B5239" t="s">
        <v>13</v>
      </c>
      <c r="D5239" s="2">
        <v>42487</v>
      </c>
      <c r="E5239">
        <v>6.5</v>
      </c>
      <c r="G5239" s="2">
        <v>42487</v>
      </c>
      <c r="H5239">
        <v>7.085</v>
      </c>
      <c r="J5239" s="2">
        <v>42494</v>
      </c>
      <c r="K5239" s="3">
        <f t="shared" si="162"/>
        <v>6.5</v>
      </c>
      <c r="L5239" s="3">
        <f t="shared" si="163"/>
        <v>7.05</v>
      </c>
    </row>
    <row r="5240" spans="1:12" x14ac:dyDescent="0.3">
      <c r="A5240" s="2">
        <v>41757</v>
      </c>
      <c r="B5240" t="s">
        <v>13</v>
      </c>
      <c r="D5240" s="2">
        <v>42488</v>
      </c>
      <c r="E5240">
        <v>6.5</v>
      </c>
      <c r="G5240" s="2">
        <v>42488</v>
      </c>
      <c r="H5240">
        <v>7.0990000000000002</v>
      </c>
      <c r="J5240" s="2">
        <v>42495</v>
      </c>
      <c r="K5240" s="3">
        <f t="shared" si="162"/>
        <v>6.5</v>
      </c>
      <c r="L5240" s="3">
        <f t="shared" si="163"/>
        <v>7.0490000000000004</v>
      </c>
    </row>
    <row r="5241" spans="1:12" x14ac:dyDescent="0.3">
      <c r="A5241" s="2">
        <v>41758</v>
      </c>
      <c r="B5241" t="s">
        <v>13</v>
      </c>
      <c r="D5241" s="2">
        <v>42489</v>
      </c>
      <c r="E5241">
        <v>6.5</v>
      </c>
      <c r="G5241" s="2">
        <v>42489</v>
      </c>
      <c r="H5241">
        <v>7.0549999999999997</v>
      </c>
      <c r="J5241" s="2">
        <v>42496</v>
      </c>
      <c r="K5241" s="3">
        <f t="shared" si="162"/>
        <v>6.5</v>
      </c>
      <c r="L5241" s="3">
        <f t="shared" si="163"/>
        <v>7.0449999999999999</v>
      </c>
    </row>
    <row r="5242" spans="1:12" x14ac:dyDescent="0.3">
      <c r="A5242" s="2">
        <v>41759</v>
      </c>
      <c r="B5242" t="s">
        <v>13</v>
      </c>
      <c r="D5242" s="2">
        <v>42490</v>
      </c>
      <c r="E5242">
        <v>6.5</v>
      </c>
      <c r="G5242" s="2">
        <v>42490</v>
      </c>
      <c r="H5242">
        <v>7.0549999999999997</v>
      </c>
      <c r="J5242" s="2">
        <v>42497</v>
      </c>
      <c r="K5242" s="3">
        <f t="shared" si="162"/>
        <v>6.5</v>
      </c>
      <c r="L5242" s="3">
        <f t="shared" si="163"/>
        <v>7.0449999999999999</v>
      </c>
    </row>
    <row r="5243" spans="1:12" x14ac:dyDescent="0.3">
      <c r="A5243" s="2">
        <v>41760</v>
      </c>
      <c r="B5243" t="s">
        <v>13</v>
      </c>
      <c r="D5243" s="2">
        <v>42491</v>
      </c>
      <c r="E5243">
        <v>6.5</v>
      </c>
      <c r="G5243" s="2">
        <v>42491</v>
      </c>
      <c r="H5243">
        <v>7.0549999999999997</v>
      </c>
      <c r="J5243" s="2">
        <v>42498</v>
      </c>
      <c r="K5243" s="3">
        <f t="shared" si="162"/>
        <v>6.5</v>
      </c>
      <c r="L5243" s="3">
        <f t="shared" si="163"/>
        <v>7.0449999999999999</v>
      </c>
    </row>
    <row r="5244" spans="1:12" x14ac:dyDescent="0.3">
      <c r="A5244" s="2">
        <v>41761</v>
      </c>
      <c r="B5244" t="s">
        <v>13</v>
      </c>
      <c r="D5244" s="2">
        <v>42492</v>
      </c>
      <c r="E5244">
        <v>6.5</v>
      </c>
      <c r="G5244" s="2">
        <v>42492</v>
      </c>
      <c r="H5244">
        <v>7.0650000000000004</v>
      </c>
      <c r="J5244" s="2">
        <v>42499</v>
      </c>
      <c r="K5244" s="3">
        <f t="shared" si="162"/>
        <v>6.5</v>
      </c>
      <c r="L5244" s="3">
        <f t="shared" si="163"/>
        <v>7.0419999999999998</v>
      </c>
    </row>
    <row r="5245" spans="1:12" x14ac:dyDescent="0.3">
      <c r="A5245" s="2">
        <v>41762</v>
      </c>
      <c r="B5245" t="s">
        <v>13</v>
      </c>
      <c r="D5245" s="2">
        <v>42493</v>
      </c>
      <c r="E5245">
        <v>6.5</v>
      </c>
      <c r="G5245" s="2">
        <v>42493</v>
      </c>
      <c r="H5245">
        <v>7.0629999999999997</v>
      </c>
      <c r="J5245" s="2">
        <v>42500</v>
      </c>
      <c r="K5245" s="3">
        <f t="shared" si="162"/>
        <v>6.5</v>
      </c>
      <c r="L5245" s="3">
        <f t="shared" si="163"/>
        <v>7.0430000000000001</v>
      </c>
    </row>
    <row r="5246" spans="1:12" x14ac:dyDescent="0.3">
      <c r="A5246" s="2">
        <v>41763</v>
      </c>
      <c r="B5246" t="s">
        <v>13</v>
      </c>
      <c r="D5246" s="2">
        <v>42494</v>
      </c>
      <c r="E5246">
        <v>6.5</v>
      </c>
      <c r="G5246" s="2">
        <v>42494</v>
      </c>
      <c r="H5246">
        <v>7.05</v>
      </c>
      <c r="J5246" s="2">
        <v>42501</v>
      </c>
      <c r="K5246" s="3">
        <f t="shared" si="162"/>
        <v>6.5</v>
      </c>
      <c r="L5246" s="3">
        <f t="shared" si="163"/>
        <v>7.0250000000000004</v>
      </c>
    </row>
    <row r="5247" spans="1:12" x14ac:dyDescent="0.3">
      <c r="A5247" s="2">
        <v>41764</v>
      </c>
      <c r="B5247" t="s">
        <v>13</v>
      </c>
      <c r="D5247" s="2">
        <v>42495</v>
      </c>
      <c r="E5247">
        <v>6.5</v>
      </c>
      <c r="G5247" s="2">
        <v>42495</v>
      </c>
      <c r="H5247">
        <v>7.0490000000000004</v>
      </c>
      <c r="J5247" s="2">
        <v>42502</v>
      </c>
      <c r="K5247" s="3">
        <f t="shared" si="162"/>
        <v>6.5</v>
      </c>
      <c r="L5247" s="3">
        <f t="shared" si="163"/>
        <v>7.0179999999999998</v>
      </c>
    </row>
    <row r="5248" spans="1:12" x14ac:dyDescent="0.3">
      <c r="A5248" s="2">
        <v>41765</v>
      </c>
      <c r="B5248" t="s">
        <v>13</v>
      </c>
      <c r="D5248" s="2">
        <v>42496</v>
      </c>
      <c r="E5248">
        <v>6.5</v>
      </c>
      <c r="G5248" s="2">
        <v>42496</v>
      </c>
      <c r="H5248">
        <v>7.0449999999999999</v>
      </c>
      <c r="J5248" s="2">
        <v>42503</v>
      </c>
      <c r="K5248" s="3">
        <f t="shared" si="162"/>
        <v>6.5</v>
      </c>
      <c r="L5248" s="3">
        <f t="shared" si="163"/>
        <v>7.0419999999999998</v>
      </c>
    </row>
    <row r="5249" spans="1:12" x14ac:dyDescent="0.3">
      <c r="A5249" s="2">
        <v>41766</v>
      </c>
      <c r="B5249" t="s">
        <v>13</v>
      </c>
      <c r="D5249" s="2">
        <v>42497</v>
      </c>
      <c r="E5249">
        <v>6.5</v>
      </c>
      <c r="G5249" s="2">
        <v>42497</v>
      </c>
      <c r="H5249">
        <v>7.0449999999999999</v>
      </c>
      <c r="J5249" s="2">
        <v>42504</v>
      </c>
      <c r="K5249" s="3">
        <f t="shared" si="162"/>
        <v>6.5</v>
      </c>
      <c r="L5249" s="3">
        <f t="shared" si="163"/>
        <v>7.0419999999999998</v>
      </c>
    </row>
    <row r="5250" spans="1:12" x14ac:dyDescent="0.3">
      <c r="A5250" s="2">
        <v>41767</v>
      </c>
      <c r="B5250" t="s">
        <v>13</v>
      </c>
      <c r="D5250" s="2">
        <v>42498</v>
      </c>
      <c r="E5250">
        <v>6.5</v>
      </c>
      <c r="G5250" s="2">
        <v>42498</v>
      </c>
      <c r="H5250">
        <v>7.0449999999999999</v>
      </c>
      <c r="J5250" s="2">
        <v>42505</v>
      </c>
      <c r="K5250" s="3">
        <f t="shared" si="162"/>
        <v>6.5</v>
      </c>
      <c r="L5250" s="3">
        <f t="shared" si="163"/>
        <v>7.0419999999999998</v>
      </c>
    </row>
    <row r="5251" spans="1:12" x14ac:dyDescent="0.3">
      <c r="A5251" s="2">
        <v>41768</v>
      </c>
      <c r="B5251" t="s">
        <v>13</v>
      </c>
      <c r="D5251" s="2">
        <v>42499</v>
      </c>
      <c r="E5251">
        <v>6.5</v>
      </c>
      <c r="G5251" s="2">
        <v>42499</v>
      </c>
      <c r="H5251">
        <v>7.0419999999999998</v>
      </c>
      <c r="J5251" s="2">
        <v>42506</v>
      </c>
      <c r="K5251" s="3">
        <f t="shared" ref="K5251:K5314" si="164">E5258</f>
        <v>6.5</v>
      </c>
      <c r="L5251" s="3">
        <f t="shared" ref="L5251:L5314" si="165">H5258</f>
        <v>7.0549999999999997</v>
      </c>
    </row>
    <row r="5252" spans="1:12" x14ac:dyDescent="0.3">
      <c r="A5252" s="2">
        <v>41769</v>
      </c>
      <c r="B5252" t="s">
        <v>13</v>
      </c>
      <c r="D5252" s="2">
        <v>42500</v>
      </c>
      <c r="E5252">
        <v>6.5</v>
      </c>
      <c r="G5252" s="2">
        <v>42500</v>
      </c>
      <c r="H5252">
        <v>7.0430000000000001</v>
      </c>
      <c r="J5252" s="2">
        <v>42507</v>
      </c>
      <c r="K5252" s="3">
        <f t="shared" si="164"/>
        <v>6.5</v>
      </c>
      <c r="L5252" s="3">
        <f t="shared" si="165"/>
        <v>7.0330000000000004</v>
      </c>
    </row>
    <row r="5253" spans="1:12" x14ac:dyDescent="0.3">
      <c r="A5253" s="2">
        <v>41770</v>
      </c>
      <c r="B5253" t="s">
        <v>13</v>
      </c>
      <c r="D5253" s="2">
        <v>42501</v>
      </c>
      <c r="E5253">
        <v>6.5</v>
      </c>
      <c r="G5253" s="2">
        <v>42501</v>
      </c>
      <c r="H5253">
        <v>7.0250000000000004</v>
      </c>
      <c r="J5253" s="2">
        <v>42508</v>
      </c>
      <c r="K5253" s="3">
        <f t="shared" si="164"/>
        <v>6.5</v>
      </c>
      <c r="L5253" s="3">
        <f t="shared" si="165"/>
        <v>7.0490000000000004</v>
      </c>
    </row>
    <row r="5254" spans="1:12" x14ac:dyDescent="0.3">
      <c r="A5254" s="2">
        <v>41771</v>
      </c>
      <c r="B5254" t="s">
        <v>13</v>
      </c>
      <c r="D5254" s="2">
        <v>42502</v>
      </c>
      <c r="E5254">
        <v>6.5</v>
      </c>
      <c r="G5254" s="2">
        <v>42502</v>
      </c>
      <c r="H5254">
        <v>7.0179999999999998</v>
      </c>
      <c r="J5254" s="2">
        <v>42509</v>
      </c>
      <c r="K5254" s="3">
        <f t="shared" si="164"/>
        <v>6.5</v>
      </c>
      <c r="L5254" s="3">
        <f t="shared" si="165"/>
        <v>7.0469999999999997</v>
      </c>
    </row>
    <row r="5255" spans="1:12" x14ac:dyDescent="0.3">
      <c r="A5255" s="2">
        <v>41772</v>
      </c>
      <c r="B5255" t="s">
        <v>13</v>
      </c>
      <c r="D5255" s="2">
        <v>42503</v>
      </c>
      <c r="E5255">
        <v>6.5</v>
      </c>
      <c r="G5255" s="2">
        <v>42503</v>
      </c>
      <c r="H5255">
        <v>7.0419999999999998</v>
      </c>
      <c r="J5255" s="2">
        <v>42510</v>
      </c>
      <c r="K5255" s="3">
        <f t="shared" si="164"/>
        <v>6.5</v>
      </c>
      <c r="L5255" s="3">
        <f t="shared" si="165"/>
        <v>7.0449999999999999</v>
      </c>
    </row>
    <row r="5256" spans="1:12" x14ac:dyDescent="0.3">
      <c r="A5256" s="2">
        <v>41773</v>
      </c>
      <c r="B5256" t="s">
        <v>13</v>
      </c>
      <c r="D5256" s="2">
        <v>42504</v>
      </c>
      <c r="E5256">
        <v>6.5</v>
      </c>
      <c r="G5256" s="2">
        <v>42504</v>
      </c>
      <c r="H5256">
        <v>7.0419999999999998</v>
      </c>
      <c r="J5256" s="2">
        <v>42511</v>
      </c>
      <c r="K5256" s="3">
        <f t="shared" si="164"/>
        <v>6.5</v>
      </c>
      <c r="L5256" s="3">
        <f t="shared" si="165"/>
        <v>7.0449999999999999</v>
      </c>
    </row>
    <row r="5257" spans="1:12" x14ac:dyDescent="0.3">
      <c r="A5257" s="2">
        <v>41774</v>
      </c>
      <c r="B5257" t="s">
        <v>13</v>
      </c>
      <c r="D5257" s="2">
        <v>42505</v>
      </c>
      <c r="E5257">
        <v>6.5</v>
      </c>
      <c r="G5257" s="2">
        <v>42505</v>
      </c>
      <c r="H5257">
        <v>7.0419999999999998</v>
      </c>
      <c r="J5257" s="2">
        <v>42512</v>
      </c>
      <c r="K5257" s="3">
        <f t="shared" si="164"/>
        <v>6.5</v>
      </c>
      <c r="L5257" s="3">
        <f t="shared" si="165"/>
        <v>7.0449999999999999</v>
      </c>
    </row>
    <row r="5258" spans="1:12" x14ac:dyDescent="0.3">
      <c r="A5258" s="2">
        <v>41775</v>
      </c>
      <c r="B5258" t="s">
        <v>13</v>
      </c>
      <c r="D5258" s="2">
        <v>42506</v>
      </c>
      <c r="E5258">
        <v>6.5</v>
      </c>
      <c r="G5258" s="2">
        <v>42506</v>
      </c>
      <c r="H5258">
        <v>7.0549999999999997</v>
      </c>
      <c r="J5258" s="2">
        <v>42513</v>
      </c>
      <c r="K5258" s="3">
        <f t="shared" si="164"/>
        <v>6.5</v>
      </c>
      <c r="L5258" s="3">
        <f t="shared" si="165"/>
        <v>7.0490000000000004</v>
      </c>
    </row>
    <row r="5259" spans="1:12" x14ac:dyDescent="0.3">
      <c r="A5259" s="2">
        <v>41776</v>
      </c>
      <c r="B5259" t="s">
        <v>13</v>
      </c>
      <c r="D5259" s="2">
        <v>42507</v>
      </c>
      <c r="E5259">
        <v>6.5</v>
      </c>
      <c r="G5259" s="2">
        <v>42507</v>
      </c>
      <c r="H5259">
        <v>7.0330000000000004</v>
      </c>
      <c r="J5259" s="2">
        <v>42514</v>
      </c>
      <c r="K5259" s="3">
        <f t="shared" si="164"/>
        <v>6.5</v>
      </c>
      <c r="L5259" s="3">
        <f t="shared" si="165"/>
        <v>7.0460000000000003</v>
      </c>
    </row>
    <row r="5260" spans="1:12" x14ac:dyDescent="0.3">
      <c r="A5260" s="2">
        <v>41777</v>
      </c>
      <c r="B5260" t="s">
        <v>13</v>
      </c>
      <c r="D5260" s="2">
        <v>42508</v>
      </c>
      <c r="E5260">
        <v>6.5</v>
      </c>
      <c r="G5260" s="2">
        <v>42508</v>
      </c>
      <c r="H5260">
        <v>7.0490000000000004</v>
      </c>
      <c r="J5260" s="2">
        <v>42515</v>
      </c>
      <c r="K5260" s="3">
        <f t="shared" si="164"/>
        <v>6.5</v>
      </c>
      <c r="L5260" s="3">
        <f t="shared" si="165"/>
        <v>7.0810000000000004</v>
      </c>
    </row>
    <row r="5261" spans="1:12" x14ac:dyDescent="0.3">
      <c r="A5261" s="2">
        <v>41778</v>
      </c>
      <c r="B5261" t="s">
        <v>13</v>
      </c>
      <c r="D5261" s="2">
        <v>42509</v>
      </c>
      <c r="E5261">
        <v>6.5</v>
      </c>
      <c r="G5261" s="2">
        <v>42509</v>
      </c>
      <c r="H5261">
        <v>7.0469999999999997</v>
      </c>
      <c r="J5261" s="2">
        <v>42516</v>
      </c>
      <c r="K5261" s="3">
        <f t="shared" si="164"/>
        <v>6.5</v>
      </c>
      <c r="L5261" s="3">
        <f t="shared" si="165"/>
        <v>7.0529999999999999</v>
      </c>
    </row>
    <row r="5262" spans="1:12" x14ac:dyDescent="0.3">
      <c r="A5262" s="2">
        <v>41779</v>
      </c>
      <c r="B5262" t="s">
        <v>13</v>
      </c>
      <c r="D5262" s="2">
        <v>42510</v>
      </c>
      <c r="E5262">
        <v>6.5</v>
      </c>
      <c r="G5262" s="2">
        <v>42510</v>
      </c>
      <c r="H5262">
        <v>7.0449999999999999</v>
      </c>
      <c r="J5262" s="2">
        <v>42517</v>
      </c>
      <c r="K5262" s="3">
        <f t="shared" si="164"/>
        <v>6.5</v>
      </c>
      <c r="L5262" s="3">
        <f t="shared" si="165"/>
        <v>7.0460000000000003</v>
      </c>
    </row>
    <row r="5263" spans="1:12" x14ac:dyDescent="0.3">
      <c r="A5263" s="2">
        <v>41780</v>
      </c>
      <c r="B5263" t="s">
        <v>13</v>
      </c>
      <c r="D5263" s="2">
        <v>42511</v>
      </c>
      <c r="E5263">
        <v>6.5</v>
      </c>
      <c r="G5263" s="2">
        <v>42511</v>
      </c>
      <c r="H5263">
        <v>7.0449999999999999</v>
      </c>
      <c r="J5263" s="2">
        <v>42518</v>
      </c>
      <c r="K5263" s="3">
        <f t="shared" si="164"/>
        <v>6.5</v>
      </c>
      <c r="L5263" s="3">
        <f t="shared" si="165"/>
        <v>7.0460000000000003</v>
      </c>
    </row>
    <row r="5264" spans="1:12" x14ac:dyDescent="0.3">
      <c r="A5264" s="2">
        <v>41781</v>
      </c>
      <c r="B5264" t="s">
        <v>13</v>
      </c>
      <c r="D5264" s="2">
        <v>42512</v>
      </c>
      <c r="E5264">
        <v>6.5</v>
      </c>
      <c r="G5264" s="2">
        <v>42512</v>
      </c>
      <c r="H5264">
        <v>7.0449999999999999</v>
      </c>
      <c r="J5264" s="2">
        <v>42519</v>
      </c>
      <c r="K5264" s="3">
        <f t="shared" si="164"/>
        <v>6.5</v>
      </c>
      <c r="L5264" s="3">
        <f t="shared" si="165"/>
        <v>7.0460000000000003</v>
      </c>
    </row>
    <row r="5265" spans="1:12" x14ac:dyDescent="0.3">
      <c r="A5265" s="2">
        <v>41782</v>
      </c>
      <c r="B5265" t="s">
        <v>13</v>
      </c>
      <c r="D5265" s="2">
        <v>42513</v>
      </c>
      <c r="E5265">
        <v>6.5</v>
      </c>
      <c r="G5265" s="2">
        <v>42513</v>
      </c>
      <c r="H5265">
        <v>7.0490000000000004</v>
      </c>
      <c r="J5265" s="2">
        <v>42520</v>
      </c>
      <c r="K5265" s="3">
        <f t="shared" si="164"/>
        <v>6.5</v>
      </c>
      <c r="L5265" s="3">
        <f t="shared" si="165"/>
        <v>7.0460000000000003</v>
      </c>
    </row>
    <row r="5266" spans="1:12" x14ac:dyDescent="0.3">
      <c r="A5266" s="2">
        <v>41783</v>
      </c>
      <c r="B5266" t="s">
        <v>13</v>
      </c>
      <c r="D5266" s="2">
        <v>42514</v>
      </c>
      <c r="E5266">
        <v>6.5</v>
      </c>
      <c r="G5266" s="2">
        <v>42514</v>
      </c>
      <c r="H5266">
        <v>7.0460000000000003</v>
      </c>
      <c r="J5266" s="2">
        <v>42521</v>
      </c>
      <c r="K5266" s="3">
        <f t="shared" si="164"/>
        <v>6.5</v>
      </c>
      <c r="L5266" s="3">
        <f t="shared" si="165"/>
        <v>7.0460000000000003</v>
      </c>
    </row>
    <row r="5267" spans="1:12" x14ac:dyDescent="0.3">
      <c r="A5267" s="2">
        <v>41784</v>
      </c>
      <c r="B5267" t="s">
        <v>13</v>
      </c>
      <c r="D5267" s="2">
        <v>42515</v>
      </c>
      <c r="E5267">
        <v>6.5</v>
      </c>
      <c r="G5267" s="2">
        <v>42515</v>
      </c>
      <c r="H5267">
        <v>7.0810000000000004</v>
      </c>
      <c r="J5267" s="2">
        <v>42522</v>
      </c>
      <c r="K5267" s="3">
        <f t="shared" si="164"/>
        <v>6.5</v>
      </c>
      <c r="L5267" s="3">
        <f t="shared" si="165"/>
        <v>7.048</v>
      </c>
    </row>
    <row r="5268" spans="1:12" x14ac:dyDescent="0.3">
      <c r="A5268" s="2">
        <v>41785</v>
      </c>
      <c r="B5268" t="s">
        <v>13</v>
      </c>
      <c r="D5268" s="2">
        <v>42516</v>
      </c>
      <c r="E5268">
        <v>6.5</v>
      </c>
      <c r="G5268" s="2">
        <v>42516</v>
      </c>
      <c r="H5268">
        <v>7.0529999999999999</v>
      </c>
      <c r="J5268" s="2">
        <v>42523</v>
      </c>
      <c r="K5268" s="3">
        <f t="shared" si="164"/>
        <v>6.5</v>
      </c>
      <c r="L5268" s="3">
        <f t="shared" si="165"/>
        <v>7.0439999999999996</v>
      </c>
    </row>
    <row r="5269" spans="1:12" x14ac:dyDescent="0.3">
      <c r="A5269" s="2">
        <v>41786</v>
      </c>
      <c r="B5269" t="s">
        <v>13</v>
      </c>
      <c r="D5269" s="2">
        <v>42517</v>
      </c>
      <c r="E5269">
        <v>6.5</v>
      </c>
      <c r="G5269" s="2">
        <v>42517</v>
      </c>
      <c r="H5269">
        <v>7.0460000000000003</v>
      </c>
      <c r="J5269" s="2">
        <v>42524</v>
      </c>
      <c r="K5269" s="3">
        <f t="shared" si="164"/>
        <v>6.5</v>
      </c>
      <c r="L5269" s="3">
        <f t="shared" si="165"/>
        <v>7.0380000000000003</v>
      </c>
    </row>
    <row r="5270" spans="1:12" x14ac:dyDescent="0.3">
      <c r="A5270" s="2">
        <v>41787</v>
      </c>
      <c r="B5270" t="s">
        <v>13</v>
      </c>
      <c r="D5270" s="2">
        <v>42518</v>
      </c>
      <c r="E5270">
        <v>6.5</v>
      </c>
      <c r="G5270" s="2">
        <v>42518</v>
      </c>
      <c r="H5270">
        <v>7.0460000000000003</v>
      </c>
      <c r="J5270" s="2">
        <v>42525</v>
      </c>
      <c r="K5270" s="3">
        <f t="shared" si="164"/>
        <v>6.5</v>
      </c>
      <c r="L5270" s="3">
        <f t="shared" si="165"/>
        <v>7.0380000000000003</v>
      </c>
    </row>
    <row r="5271" spans="1:12" x14ac:dyDescent="0.3">
      <c r="A5271" s="2">
        <v>41788</v>
      </c>
      <c r="B5271" t="s">
        <v>13</v>
      </c>
      <c r="D5271" s="2">
        <v>42519</v>
      </c>
      <c r="E5271">
        <v>6.5</v>
      </c>
      <c r="G5271" s="2">
        <v>42519</v>
      </c>
      <c r="H5271">
        <v>7.0460000000000003</v>
      </c>
      <c r="J5271" s="2">
        <v>42526</v>
      </c>
      <c r="K5271" s="3">
        <f t="shared" si="164"/>
        <v>6.5</v>
      </c>
      <c r="L5271" s="3">
        <f t="shared" si="165"/>
        <v>7.0380000000000003</v>
      </c>
    </row>
    <row r="5272" spans="1:12" x14ac:dyDescent="0.3">
      <c r="A5272" s="2">
        <v>41789</v>
      </c>
      <c r="B5272" t="s">
        <v>13</v>
      </c>
      <c r="D5272" s="2">
        <v>42520</v>
      </c>
      <c r="E5272">
        <v>6.5</v>
      </c>
      <c r="G5272" s="2">
        <v>42520</v>
      </c>
      <c r="H5272">
        <v>7.0460000000000003</v>
      </c>
      <c r="J5272" s="2">
        <v>42527</v>
      </c>
      <c r="K5272" s="3">
        <f t="shared" si="164"/>
        <v>6.5</v>
      </c>
      <c r="L5272" s="3">
        <f t="shared" si="165"/>
        <v>7.0359999999999996</v>
      </c>
    </row>
    <row r="5273" spans="1:12" x14ac:dyDescent="0.3">
      <c r="A5273" s="2">
        <v>41790</v>
      </c>
      <c r="B5273" t="s">
        <v>13</v>
      </c>
      <c r="D5273" s="2">
        <v>42521</v>
      </c>
      <c r="E5273">
        <v>6.5</v>
      </c>
      <c r="G5273" s="2">
        <v>42521</v>
      </c>
      <c r="H5273">
        <v>7.0460000000000003</v>
      </c>
      <c r="J5273" s="2">
        <v>42528</v>
      </c>
      <c r="K5273" s="3">
        <f t="shared" si="164"/>
        <v>6.5</v>
      </c>
      <c r="L5273" s="3">
        <f t="shared" si="165"/>
        <v>7.0359999999999996</v>
      </c>
    </row>
    <row r="5274" spans="1:12" x14ac:dyDescent="0.3">
      <c r="A5274" s="2">
        <v>41791</v>
      </c>
      <c r="B5274" t="s">
        <v>13</v>
      </c>
      <c r="D5274" s="2">
        <v>42522</v>
      </c>
      <c r="E5274">
        <v>6.5</v>
      </c>
      <c r="G5274" s="2">
        <v>42522</v>
      </c>
      <c r="H5274">
        <v>7.048</v>
      </c>
      <c r="J5274" s="2">
        <v>42529</v>
      </c>
      <c r="K5274" s="3">
        <f t="shared" si="164"/>
        <v>6.5</v>
      </c>
      <c r="L5274" s="3">
        <f t="shared" si="165"/>
        <v>7.024</v>
      </c>
    </row>
    <row r="5275" spans="1:12" x14ac:dyDescent="0.3">
      <c r="A5275" s="2">
        <v>41792</v>
      </c>
      <c r="B5275" t="s">
        <v>13</v>
      </c>
      <c r="D5275" s="2">
        <v>42523</v>
      </c>
      <c r="E5275">
        <v>6.5</v>
      </c>
      <c r="G5275" s="2">
        <v>42523</v>
      </c>
      <c r="H5275">
        <v>7.0439999999999996</v>
      </c>
      <c r="J5275" s="2">
        <v>42530</v>
      </c>
      <c r="K5275" s="3">
        <f t="shared" si="164"/>
        <v>6.5</v>
      </c>
      <c r="L5275" s="3">
        <f t="shared" si="165"/>
        <v>7.0140000000000002</v>
      </c>
    </row>
    <row r="5276" spans="1:12" x14ac:dyDescent="0.3">
      <c r="A5276" s="2">
        <v>41793</v>
      </c>
      <c r="B5276" t="s">
        <v>13</v>
      </c>
      <c r="D5276" s="2">
        <v>42524</v>
      </c>
      <c r="E5276">
        <v>6.5</v>
      </c>
      <c r="G5276" s="2">
        <v>42524</v>
      </c>
      <c r="H5276">
        <v>7.0380000000000003</v>
      </c>
      <c r="J5276" s="2">
        <v>42531</v>
      </c>
      <c r="K5276" s="3">
        <f t="shared" si="164"/>
        <v>6.5</v>
      </c>
      <c r="L5276" s="3">
        <f t="shared" si="165"/>
        <v>7.0190000000000001</v>
      </c>
    </row>
    <row r="5277" spans="1:12" x14ac:dyDescent="0.3">
      <c r="A5277" s="2">
        <v>41794</v>
      </c>
      <c r="B5277" t="s">
        <v>13</v>
      </c>
      <c r="D5277" s="2">
        <v>42525</v>
      </c>
      <c r="E5277">
        <v>6.5</v>
      </c>
      <c r="G5277" s="2">
        <v>42525</v>
      </c>
      <c r="H5277">
        <v>7.0380000000000003</v>
      </c>
      <c r="J5277" s="2">
        <v>42532</v>
      </c>
      <c r="K5277" s="3">
        <f t="shared" si="164"/>
        <v>6.5</v>
      </c>
      <c r="L5277" s="3">
        <f t="shared" si="165"/>
        <v>7.0190000000000001</v>
      </c>
    </row>
    <row r="5278" spans="1:12" x14ac:dyDescent="0.3">
      <c r="A5278" s="2">
        <v>41795</v>
      </c>
      <c r="B5278" t="s">
        <v>13</v>
      </c>
      <c r="D5278" s="2">
        <v>42526</v>
      </c>
      <c r="E5278">
        <v>6.5</v>
      </c>
      <c r="G5278" s="2">
        <v>42526</v>
      </c>
      <c r="H5278">
        <v>7.0380000000000003</v>
      </c>
      <c r="J5278" s="2">
        <v>42533</v>
      </c>
      <c r="K5278" s="3">
        <f t="shared" si="164"/>
        <v>6.5</v>
      </c>
      <c r="L5278" s="3">
        <f t="shared" si="165"/>
        <v>7.0190000000000001</v>
      </c>
    </row>
    <row r="5279" spans="1:12" x14ac:dyDescent="0.3">
      <c r="A5279" s="2">
        <v>41796</v>
      </c>
      <c r="B5279" t="s">
        <v>13</v>
      </c>
      <c r="D5279" s="2">
        <v>42527</v>
      </c>
      <c r="E5279">
        <v>6.5</v>
      </c>
      <c r="G5279" s="2">
        <v>42527</v>
      </c>
      <c r="H5279">
        <v>7.0359999999999996</v>
      </c>
      <c r="J5279" s="2">
        <v>42534</v>
      </c>
      <c r="K5279" s="3">
        <f t="shared" si="164"/>
        <v>6.5</v>
      </c>
      <c r="L5279" s="3">
        <f t="shared" si="165"/>
        <v>7.0229999999999997</v>
      </c>
    </row>
    <row r="5280" spans="1:12" x14ac:dyDescent="0.3">
      <c r="A5280" s="2">
        <v>41797</v>
      </c>
      <c r="B5280" t="s">
        <v>13</v>
      </c>
      <c r="D5280" s="2">
        <v>42528</v>
      </c>
      <c r="E5280">
        <v>6.5</v>
      </c>
      <c r="G5280" s="2">
        <v>42528</v>
      </c>
      <c r="H5280">
        <v>7.0359999999999996</v>
      </c>
      <c r="J5280" s="2">
        <v>42535</v>
      </c>
      <c r="K5280" s="3">
        <f t="shared" si="164"/>
        <v>6.5</v>
      </c>
      <c r="L5280" s="3">
        <f t="shared" si="165"/>
        <v>7.01</v>
      </c>
    </row>
    <row r="5281" spans="1:12" x14ac:dyDescent="0.3">
      <c r="A5281" s="2">
        <v>41798</v>
      </c>
      <c r="B5281" t="s">
        <v>13</v>
      </c>
      <c r="D5281" s="2">
        <v>42529</v>
      </c>
      <c r="E5281">
        <v>6.5</v>
      </c>
      <c r="G5281" s="2">
        <v>42529</v>
      </c>
      <c r="H5281">
        <v>7.024</v>
      </c>
      <c r="J5281" s="2">
        <v>42536</v>
      </c>
      <c r="K5281" s="3">
        <f t="shared" si="164"/>
        <v>6.5</v>
      </c>
      <c r="L5281" s="3">
        <f t="shared" si="165"/>
        <v>6.9980000000000002</v>
      </c>
    </row>
    <row r="5282" spans="1:12" x14ac:dyDescent="0.3">
      <c r="A5282" s="2">
        <v>41799</v>
      </c>
      <c r="B5282" t="s">
        <v>13</v>
      </c>
      <c r="D5282" s="2">
        <v>42530</v>
      </c>
      <c r="E5282">
        <v>6.5</v>
      </c>
      <c r="G5282" s="2">
        <v>42530</v>
      </c>
      <c r="H5282">
        <v>7.0140000000000002</v>
      </c>
      <c r="J5282" s="2">
        <v>42537</v>
      </c>
      <c r="K5282" s="3">
        <f t="shared" si="164"/>
        <v>6.5</v>
      </c>
      <c r="L5282" s="3">
        <f t="shared" si="165"/>
        <v>7.0010000000000003</v>
      </c>
    </row>
    <row r="5283" spans="1:12" x14ac:dyDescent="0.3">
      <c r="A5283" s="2">
        <v>41800</v>
      </c>
      <c r="B5283" t="s">
        <v>13</v>
      </c>
      <c r="D5283" s="2">
        <v>42531</v>
      </c>
      <c r="E5283">
        <v>6.5</v>
      </c>
      <c r="G5283" s="2">
        <v>42531</v>
      </c>
      <c r="H5283">
        <v>7.0190000000000001</v>
      </c>
      <c r="J5283" s="2">
        <v>42538</v>
      </c>
      <c r="K5283" s="3">
        <f t="shared" si="164"/>
        <v>6.5</v>
      </c>
      <c r="L5283" s="3">
        <f t="shared" si="165"/>
        <v>7.0049999999999999</v>
      </c>
    </row>
    <row r="5284" spans="1:12" x14ac:dyDescent="0.3">
      <c r="A5284" s="2">
        <v>41801</v>
      </c>
      <c r="B5284" t="s">
        <v>13</v>
      </c>
      <c r="D5284" s="2">
        <v>42532</v>
      </c>
      <c r="E5284">
        <v>6.5</v>
      </c>
      <c r="G5284" s="2">
        <v>42532</v>
      </c>
      <c r="H5284">
        <v>7.0190000000000001</v>
      </c>
      <c r="J5284" s="2">
        <v>42539</v>
      </c>
      <c r="K5284" s="3">
        <f t="shared" si="164"/>
        <v>6.5</v>
      </c>
      <c r="L5284" s="3">
        <f t="shared" si="165"/>
        <v>7.0049999999999999</v>
      </c>
    </row>
    <row r="5285" spans="1:12" x14ac:dyDescent="0.3">
      <c r="A5285" s="2">
        <v>41802</v>
      </c>
      <c r="B5285" t="s">
        <v>13</v>
      </c>
      <c r="D5285" s="2">
        <v>42533</v>
      </c>
      <c r="E5285">
        <v>6.5</v>
      </c>
      <c r="G5285" s="2">
        <v>42533</v>
      </c>
      <c r="H5285">
        <v>7.0190000000000001</v>
      </c>
      <c r="J5285" s="2">
        <v>42540</v>
      </c>
      <c r="K5285" s="3">
        <f t="shared" si="164"/>
        <v>6.5</v>
      </c>
      <c r="L5285" s="3">
        <f t="shared" si="165"/>
        <v>7.0049999999999999</v>
      </c>
    </row>
    <row r="5286" spans="1:12" x14ac:dyDescent="0.3">
      <c r="A5286" s="2">
        <v>41803</v>
      </c>
      <c r="B5286" t="s">
        <v>13</v>
      </c>
      <c r="D5286" s="2">
        <v>42534</v>
      </c>
      <c r="E5286">
        <v>6.5</v>
      </c>
      <c r="G5286" s="2">
        <v>42534</v>
      </c>
      <c r="H5286">
        <v>7.0229999999999997</v>
      </c>
      <c r="J5286" s="2">
        <v>42541</v>
      </c>
      <c r="K5286" s="3">
        <f t="shared" si="164"/>
        <v>6.5</v>
      </c>
      <c r="L5286" s="3">
        <f t="shared" si="165"/>
        <v>7.0279999999999996</v>
      </c>
    </row>
    <row r="5287" spans="1:12" x14ac:dyDescent="0.3">
      <c r="A5287" s="2">
        <v>41804</v>
      </c>
      <c r="B5287" t="s">
        <v>13</v>
      </c>
      <c r="D5287" s="2">
        <v>42535</v>
      </c>
      <c r="E5287">
        <v>6.5</v>
      </c>
      <c r="G5287" s="2">
        <v>42535</v>
      </c>
      <c r="H5287">
        <v>7.01</v>
      </c>
      <c r="J5287" s="2">
        <v>42542</v>
      </c>
      <c r="K5287" s="3">
        <f t="shared" si="164"/>
        <v>6.5</v>
      </c>
      <c r="L5287" s="3">
        <f t="shared" si="165"/>
        <v>6.99</v>
      </c>
    </row>
    <row r="5288" spans="1:12" x14ac:dyDescent="0.3">
      <c r="A5288" s="2">
        <v>41805</v>
      </c>
      <c r="B5288" t="s">
        <v>13</v>
      </c>
      <c r="D5288" s="2">
        <v>42536</v>
      </c>
      <c r="E5288">
        <v>6.5</v>
      </c>
      <c r="G5288" s="2">
        <v>42536</v>
      </c>
      <c r="H5288">
        <v>6.9980000000000002</v>
      </c>
      <c r="J5288" s="2">
        <v>42543</v>
      </c>
      <c r="K5288" s="3">
        <f t="shared" si="164"/>
        <v>6.5</v>
      </c>
      <c r="L5288" s="3">
        <f t="shared" si="165"/>
        <v>6.99</v>
      </c>
    </row>
    <row r="5289" spans="1:12" x14ac:dyDescent="0.3">
      <c r="A5289" s="2">
        <v>41806</v>
      </c>
      <c r="B5289" t="s">
        <v>13</v>
      </c>
      <c r="D5289" s="2">
        <v>42537</v>
      </c>
      <c r="E5289">
        <v>6.5</v>
      </c>
      <c r="G5289" s="2">
        <v>42537</v>
      </c>
      <c r="H5289">
        <v>7.0010000000000003</v>
      </c>
      <c r="J5289" s="2">
        <v>42544</v>
      </c>
      <c r="K5289" s="3">
        <f t="shared" si="164"/>
        <v>6.5</v>
      </c>
      <c r="L5289" s="3">
        <f t="shared" si="165"/>
        <v>6.99</v>
      </c>
    </row>
    <row r="5290" spans="1:12" x14ac:dyDescent="0.3">
      <c r="A5290" s="2">
        <v>41807</v>
      </c>
      <c r="B5290" t="s">
        <v>13</v>
      </c>
      <c r="D5290" s="2">
        <v>42538</v>
      </c>
      <c r="E5290">
        <v>6.5</v>
      </c>
      <c r="G5290" s="2">
        <v>42538</v>
      </c>
      <c r="H5290">
        <v>7.0049999999999999</v>
      </c>
      <c r="J5290" s="2">
        <v>42545</v>
      </c>
      <c r="K5290" s="3">
        <f t="shared" si="164"/>
        <v>6.5</v>
      </c>
      <c r="L5290" s="3">
        <f t="shared" si="165"/>
        <v>7.0119999999999996</v>
      </c>
    </row>
    <row r="5291" spans="1:12" x14ac:dyDescent="0.3">
      <c r="A5291" s="2">
        <v>41808</v>
      </c>
      <c r="B5291" t="s">
        <v>13</v>
      </c>
      <c r="D5291" s="2">
        <v>42539</v>
      </c>
      <c r="E5291">
        <v>6.5</v>
      </c>
      <c r="G5291" s="2">
        <v>42539</v>
      </c>
      <c r="H5291">
        <v>7.0049999999999999</v>
      </c>
      <c r="J5291" s="2">
        <v>42546</v>
      </c>
      <c r="K5291" s="3">
        <f t="shared" si="164"/>
        <v>6.5</v>
      </c>
      <c r="L5291" s="3">
        <f t="shared" si="165"/>
        <v>7.0119999999999996</v>
      </c>
    </row>
    <row r="5292" spans="1:12" x14ac:dyDescent="0.3">
      <c r="A5292" s="2">
        <v>41809</v>
      </c>
      <c r="B5292" t="s">
        <v>13</v>
      </c>
      <c r="D5292" s="2">
        <v>42540</v>
      </c>
      <c r="E5292">
        <v>6.5</v>
      </c>
      <c r="G5292" s="2">
        <v>42540</v>
      </c>
      <c r="H5292">
        <v>7.0049999999999999</v>
      </c>
      <c r="J5292" s="2">
        <v>42547</v>
      </c>
      <c r="K5292" s="3">
        <f t="shared" si="164"/>
        <v>6.5</v>
      </c>
      <c r="L5292" s="3">
        <f t="shared" si="165"/>
        <v>7.0119999999999996</v>
      </c>
    </row>
    <row r="5293" spans="1:12" x14ac:dyDescent="0.3">
      <c r="A5293" s="2">
        <v>41810</v>
      </c>
      <c r="B5293" t="s">
        <v>13</v>
      </c>
      <c r="D5293" s="2">
        <v>42541</v>
      </c>
      <c r="E5293">
        <v>6.5</v>
      </c>
      <c r="G5293" s="2">
        <v>42541</v>
      </c>
      <c r="H5293">
        <v>7.0279999999999996</v>
      </c>
      <c r="J5293" s="2">
        <v>42548</v>
      </c>
      <c r="K5293" s="3">
        <f t="shared" si="164"/>
        <v>6.5</v>
      </c>
      <c r="L5293" s="3">
        <f t="shared" si="165"/>
        <v>6.984</v>
      </c>
    </row>
    <row r="5294" spans="1:12" x14ac:dyDescent="0.3">
      <c r="A5294" s="2">
        <v>41811</v>
      </c>
      <c r="B5294" t="s">
        <v>13</v>
      </c>
      <c r="D5294" s="2">
        <v>42542</v>
      </c>
      <c r="E5294">
        <v>6.5</v>
      </c>
      <c r="G5294" s="2">
        <v>42542</v>
      </c>
      <c r="H5294">
        <v>6.99</v>
      </c>
      <c r="J5294" s="2">
        <v>42549</v>
      </c>
      <c r="K5294" s="3">
        <f t="shared" si="164"/>
        <v>6.5</v>
      </c>
      <c r="L5294" s="3">
        <f t="shared" si="165"/>
        <v>6.9809999999999999</v>
      </c>
    </row>
    <row r="5295" spans="1:12" x14ac:dyDescent="0.3">
      <c r="A5295" s="2">
        <v>41812</v>
      </c>
      <c r="B5295" t="s">
        <v>13</v>
      </c>
      <c r="D5295" s="2">
        <v>42543</v>
      </c>
      <c r="E5295">
        <v>6.5</v>
      </c>
      <c r="G5295" s="2">
        <v>42543</v>
      </c>
      <c r="H5295">
        <v>6.99</v>
      </c>
      <c r="J5295" s="2">
        <v>42550</v>
      </c>
      <c r="K5295" s="3">
        <f t="shared" si="164"/>
        <v>6.5</v>
      </c>
      <c r="L5295" s="3">
        <f t="shared" si="165"/>
        <v>6.9820000000000002</v>
      </c>
    </row>
    <row r="5296" spans="1:12" x14ac:dyDescent="0.3">
      <c r="A5296" s="2">
        <v>41813</v>
      </c>
      <c r="B5296" t="s">
        <v>13</v>
      </c>
      <c r="D5296" s="2">
        <v>42544</v>
      </c>
      <c r="E5296">
        <v>6.5</v>
      </c>
      <c r="G5296" s="2">
        <v>42544</v>
      </c>
      <c r="H5296">
        <v>6.99</v>
      </c>
      <c r="J5296" s="2">
        <v>42551</v>
      </c>
      <c r="K5296" s="3">
        <f t="shared" si="164"/>
        <v>6.5</v>
      </c>
      <c r="L5296" s="3">
        <f t="shared" si="165"/>
        <v>7.032</v>
      </c>
    </row>
    <row r="5297" spans="1:12" x14ac:dyDescent="0.3">
      <c r="A5297" s="2">
        <v>41814</v>
      </c>
      <c r="B5297" t="s">
        <v>13</v>
      </c>
      <c r="D5297" s="2">
        <v>42545</v>
      </c>
      <c r="E5297">
        <v>6.5</v>
      </c>
      <c r="G5297" s="2">
        <v>42545</v>
      </c>
      <c r="H5297">
        <v>7.0119999999999996</v>
      </c>
      <c r="J5297" s="2">
        <v>42552</v>
      </c>
      <c r="K5297" s="3">
        <f t="shared" si="164"/>
        <v>6.5</v>
      </c>
      <c r="L5297" s="3">
        <f t="shared" si="165"/>
        <v>6.96</v>
      </c>
    </row>
    <row r="5298" spans="1:12" x14ac:dyDescent="0.3">
      <c r="A5298" s="2">
        <v>41815</v>
      </c>
      <c r="B5298" t="s">
        <v>13</v>
      </c>
      <c r="D5298" s="2">
        <v>42546</v>
      </c>
      <c r="E5298">
        <v>6.5</v>
      </c>
      <c r="G5298" s="2">
        <v>42546</v>
      </c>
      <c r="H5298">
        <v>7.0119999999999996</v>
      </c>
      <c r="J5298" s="2">
        <v>42553</v>
      </c>
      <c r="K5298" s="3">
        <f t="shared" si="164"/>
        <v>6.5</v>
      </c>
      <c r="L5298" s="3">
        <f t="shared" si="165"/>
        <v>6.96</v>
      </c>
    </row>
    <row r="5299" spans="1:12" x14ac:dyDescent="0.3">
      <c r="A5299" s="2">
        <v>41816</v>
      </c>
      <c r="B5299" t="s">
        <v>13</v>
      </c>
      <c r="D5299" s="2">
        <v>42547</v>
      </c>
      <c r="E5299">
        <v>6.5</v>
      </c>
      <c r="G5299" s="2">
        <v>42547</v>
      </c>
      <c r="H5299">
        <v>7.0119999999999996</v>
      </c>
      <c r="J5299" s="2">
        <v>42554</v>
      </c>
      <c r="K5299" s="3">
        <f t="shared" si="164"/>
        <v>6.5</v>
      </c>
      <c r="L5299" s="3">
        <f t="shared" si="165"/>
        <v>6.96</v>
      </c>
    </row>
    <row r="5300" spans="1:12" x14ac:dyDescent="0.3">
      <c r="A5300" s="2">
        <v>41817</v>
      </c>
      <c r="B5300" t="s">
        <v>13</v>
      </c>
      <c r="D5300" s="2">
        <v>42548</v>
      </c>
      <c r="E5300">
        <v>6.5</v>
      </c>
      <c r="G5300" s="2">
        <v>42548</v>
      </c>
      <c r="H5300">
        <v>6.984</v>
      </c>
      <c r="J5300" s="2">
        <v>42555</v>
      </c>
      <c r="K5300" s="3">
        <f t="shared" si="164"/>
        <v>6.5</v>
      </c>
      <c r="L5300" s="3">
        <f t="shared" si="165"/>
        <v>6.96</v>
      </c>
    </row>
    <row r="5301" spans="1:12" x14ac:dyDescent="0.3">
      <c r="A5301" s="2">
        <v>41818</v>
      </c>
      <c r="B5301" t="s">
        <v>13</v>
      </c>
      <c r="D5301" s="2">
        <v>42549</v>
      </c>
      <c r="E5301">
        <v>6.5</v>
      </c>
      <c r="G5301" s="2">
        <v>42549</v>
      </c>
      <c r="H5301">
        <v>6.9809999999999999</v>
      </c>
      <c r="J5301" s="2">
        <v>42556</v>
      </c>
      <c r="K5301" s="3">
        <f t="shared" si="164"/>
        <v>6.5</v>
      </c>
      <c r="L5301" s="3">
        <f t="shared" si="165"/>
        <v>6.9029999999999996</v>
      </c>
    </row>
    <row r="5302" spans="1:12" x14ac:dyDescent="0.3">
      <c r="A5302" s="2">
        <v>41819</v>
      </c>
      <c r="B5302" t="s">
        <v>13</v>
      </c>
      <c r="D5302" s="2">
        <v>42550</v>
      </c>
      <c r="E5302">
        <v>6.5</v>
      </c>
      <c r="G5302" s="2">
        <v>42550</v>
      </c>
      <c r="H5302">
        <v>6.9820000000000002</v>
      </c>
      <c r="J5302" s="2">
        <v>42557</v>
      </c>
      <c r="K5302" s="3">
        <f t="shared" si="164"/>
        <v>6.5</v>
      </c>
      <c r="L5302" s="3">
        <f t="shared" si="165"/>
        <v>6.9029999999999996</v>
      </c>
    </row>
    <row r="5303" spans="1:12" x14ac:dyDescent="0.3">
      <c r="A5303" s="2">
        <v>41820</v>
      </c>
      <c r="B5303" t="s">
        <v>13</v>
      </c>
      <c r="D5303" s="2">
        <v>42551</v>
      </c>
      <c r="E5303">
        <v>6.5</v>
      </c>
      <c r="G5303" s="2">
        <v>42551</v>
      </c>
      <c r="H5303">
        <v>7.032</v>
      </c>
      <c r="J5303" s="2">
        <v>42558</v>
      </c>
      <c r="K5303" s="3">
        <f t="shared" si="164"/>
        <v>6.5</v>
      </c>
      <c r="L5303" s="3">
        <f t="shared" si="165"/>
        <v>6.9029999999999996</v>
      </c>
    </row>
    <row r="5304" spans="1:12" x14ac:dyDescent="0.3">
      <c r="A5304" s="2">
        <v>41821</v>
      </c>
      <c r="B5304" t="s">
        <v>13</v>
      </c>
      <c r="D5304" s="2">
        <v>42552</v>
      </c>
      <c r="E5304">
        <v>6.5</v>
      </c>
      <c r="G5304" s="2">
        <v>42552</v>
      </c>
      <c r="H5304">
        <v>6.96</v>
      </c>
      <c r="J5304" s="2">
        <v>42559</v>
      </c>
      <c r="K5304" s="3">
        <f t="shared" si="164"/>
        <v>6.5</v>
      </c>
      <c r="L5304" s="3">
        <f t="shared" si="165"/>
        <v>6.9029999999999996</v>
      </c>
    </row>
    <row r="5305" spans="1:12" x14ac:dyDescent="0.3">
      <c r="A5305" s="2">
        <v>41822</v>
      </c>
      <c r="B5305" t="s">
        <v>13</v>
      </c>
      <c r="D5305" s="2">
        <v>42553</v>
      </c>
      <c r="E5305">
        <v>6.5</v>
      </c>
      <c r="G5305" s="2">
        <v>42553</v>
      </c>
      <c r="H5305">
        <v>6.96</v>
      </c>
      <c r="J5305" s="2">
        <v>42560</v>
      </c>
      <c r="K5305" s="3">
        <f t="shared" si="164"/>
        <v>6.5</v>
      </c>
      <c r="L5305" s="3">
        <f t="shared" si="165"/>
        <v>6.9029999999999996</v>
      </c>
    </row>
    <row r="5306" spans="1:12" x14ac:dyDescent="0.3">
      <c r="A5306" s="2">
        <v>41823</v>
      </c>
      <c r="B5306" t="s">
        <v>13</v>
      </c>
      <c r="D5306" s="2">
        <v>42554</v>
      </c>
      <c r="E5306">
        <v>6.5</v>
      </c>
      <c r="G5306" s="2">
        <v>42554</v>
      </c>
      <c r="H5306">
        <v>6.96</v>
      </c>
      <c r="J5306" s="2">
        <v>42561</v>
      </c>
      <c r="K5306" s="3">
        <f t="shared" si="164"/>
        <v>6.5</v>
      </c>
      <c r="L5306" s="3">
        <f t="shared" si="165"/>
        <v>6.9029999999999996</v>
      </c>
    </row>
    <row r="5307" spans="1:12" x14ac:dyDescent="0.3">
      <c r="A5307" s="2">
        <v>41824</v>
      </c>
      <c r="B5307" t="s">
        <v>13</v>
      </c>
      <c r="D5307" s="2">
        <v>42555</v>
      </c>
      <c r="E5307">
        <v>6.5</v>
      </c>
      <c r="G5307" s="2">
        <v>42555</v>
      </c>
      <c r="H5307">
        <v>6.96</v>
      </c>
      <c r="J5307" s="2">
        <v>42562</v>
      </c>
      <c r="K5307" s="3">
        <f t="shared" si="164"/>
        <v>6.5</v>
      </c>
      <c r="L5307" s="3">
        <f t="shared" si="165"/>
        <v>6.8470000000000004</v>
      </c>
    </row>
    <row r="5308" spans="1:12" x14ac:dyDescent="0.3">
      <c r="A5308" s="2">
        <v>41825</v>
      </c>
      <c r="B5308" t="s">
        <v>13</v>
      </c>
      <c r="D5308" s="2">
        <v>42556</v>
      </c>
      <c r="E5308">
        <v>6.5</v>
      </c>
      <c r="G5308" s="2">
        <v>42556</v>
      </c>
      <c r="H5308">
        <v>6.9029999999999996</v>
      </c>
      <c r="J5308" s="2">
        <v>42563</v>
      </c>
      <c r="K5308" s="3">
        <f t="shared" si="164"/>
        <v>6.5</v>
      </c>
      <c r="L5308" s="3">
        <f t="shared" si="165"/>
        <v>6.8109999999999999</v>
      </c>
    </row>
    <row r="5309" spans="1:12" x14ac:dyDescent="0.3">
      <c r="A5309" s="2">
        <v>41826</v>
      </c>
      <c r="B5309" t="s">
        <v>13</v>
      </c>
      <c r="D5309" s="2">
        <v>42557</v>
      </c>
      <c r="E5309">
        <v>6.5</v>
      </c>
      <c r="G5309" s="2">
        <v>42557</v>
      </c>
      <c r="H5309">
        <v>6.9029999999999996</v>
      </c>
      <c r="J5309" s="2">
        <v>42564</v>
      </c>
      <c r="K5309" s="3">
        <f t="shared" si="164"/>
        <v>6.5</v>
      </c>
      <c r="L5309" s="3">
        <f t="shared" si="165"/>
        <v>6.8520000000000003</v>
      </c>
    </row>
    <row r="5310" spans="1:12" x14ac:dyDescent="0.3">
      <c r="A5310" s="2">
        <v>41827</v>
      </c>
      <c r="B5310" t="s">
        <v>13</v>
      </c>
      <c r="D5310" s="2">
        <v>42558</v>
      </c>
      <c r="E5310">
        <v>6.5</v>
      </c>
      <c r="G5310" s="2">
        <v>42558</v>
      </c>
      <c r="H5310">
        <v>6.9029999999999996</v>
      </c>
      <c r="J5310" s="2">
        <v>42565</v>
      </c>
      <c r="K5310" s="3">
        <f t="shared" si="164"/>
        <v>6.5</v>
      </c>
      <c r="L5310" s="3">
        <f t="shared" si="165"/>
        <v>6.8390000000000004</v>
      </c>
    </row>
    <row r="5311" spans="1:12" x14ac:dyDescent="0.3">
      <c r="A5311" s="2">
        <v>41828</v>
      </c>
      <c r="B5311" t="s">
        <v>13</v>
      </c>
      <c r="D5311" s="2">
        <v>42559</v>
      </c>
      <c r="E5311">
        <v>6.5</v>
      </c>
      <c r="G5311" s="2">
        <v>42559</v>
      </c>
      <c r="H5311">
        <v>6.9029999999999996</v>
      </c>
      <c r="J5311" s="2">
        <v>42566</v>
      </c>
      <c r="K5311" s="3">
        <f t="shared" si="164"/>
        <v>6.5</v>
      </c>
      <c r="L5311" s="3">
        <f t="shared" si="165"/>
        <v>6.8319999999999999</v>
      </c>
    </row>
    <row r="5312" spans="1:12" x14ac:dyDescent="0.3">
      <c r="A5312" s="2">
        <v>41829</v>
      </c>
      <c r="B5312" t="s">
        <v>13</v>
      </c>
      <c r="D5312" s="2">
        <v>42560</v>
      </c>
      <c r="E5312">
        <v>6.5</v>
      </c>
      <c r="G5312" s="2">
        <v>42560</v>
      </c>
      <c r="H5312">
        <v>6.9029999999999996</v>
      </c>
      <c r="J5312" s="2">
        <v>42567</v>
      </c>
      <c r="K5312" s="3">
        <f t="shared" si="164"/>
        <v>6.5</v>
      </c>
      <c r="L5312" s="3">
        <f t="shared" si="165"/>
        <v>6.8319999999999999</v>
      </c>
    </row>
    <row r="5313" spans="1:12" x14ac:dyDescent="0.3">
      <c r="A5313" s="2">
        <v>41830</v>
      </c>
      <c r="B5313" t="s">
        <v>13</v>
      </c>
      <c r="D5313" s="2">
        <v>42561</v>
      </c>
      <c r="E5313">
        <v>6.5</v>
      </c>
      <c r="G5313" s="2">
        <v>42561</v>
      </c>
      <c r="H5313">
        <v>6.9029999999999996</v>
      </c>
      <c r="J5313" s="2">
        <v>42568</v>
      </c>
      <c r="K5313" s="3">
        <f t="shared" si="164"/>
        <v>6.5</v>
      </c>
      <c r="L5313" s="3">
        <f t="shared" si="165"/>
        <v>6.8319999999999999</v>
      </c>
    </row>
    <row r="5314" spans="1:12" x14ac:dyDescent="0.3">
      <c r="A5314" s="2">
        <v>41831</v>
      </c>
      <c r="B5314" t="s">
        <v>13</v>
      </c>
      <c r="D5314" s="2">
        <v>42562</v>
      </c>
      <c r="E5314">
        <v>6.5</v>
      </c>
      <c r="G5314" s="2">
        <v>42562</v>
      </c>
      <c r="H5314">
        <v>6.8470000000000004</v>
      </c>
      <c r="J5314" s="2">
        <v>42569</v>
      </c>
      <c r="K5314" s="3">
        <f t="shared" si="164"/>
        <v>6.5</v>
      </c>
      <c r="L5314" s="3">
        <f t="shared" si="165"/>
        <v>6.843</v>
      </c>
    </row>
    <row r="5315" spans="1:12" x14ac:dyDescent="0.3">
      <c r="A5315" s="2">
        <v>41832</v>
      </c>
      <c r="B5315" t="s">
        <v>13</v>
      </c>
      <c r="D5315" s="2">
        <v>42563</v>
      </c>
      <c r="E5315">
        <v>6.5</v>
      </c>
      <c r="G5315" s="2">
        <v>42563</v>
      </c>
      <c r="H5315">
        <v>6.8109999999999999</v>
      </c>
      <c r="J5315" s="2">
        <v>42570</v>
      </c>
      <c r="K5315" s="3">
        <f t="shared" ref="K5315:K5378" si="166">E5322</f>
        <v>6.5</v>
      </c>
      <c r="L5315" s="3">
        <f t="shared" ref="L5315:L5378" si="167">H5322</f>
        <v>6.827</v>
      </c>
    </row>
    <row r="5316" spans="1:12" x14ac:dyDescent="0.3">
      <c r="A5316" s="2">
        <v>41833</v>
      </c>
      <c r="B5316" t="s">
        <v>13</v>
      </c>
      <c r="D5316" s="2">
        <v>42564</v>
      </c>
      <c r="E5316">
        <v>6.5</v>
      </c>
      <c r="G5316" s="2">
        <v>42564</v>
      </c>
      <c r="H5316">
        <v>6.8520000000000003</v>
      </c>
      <c r="J5316" s="2">
        <v>42571</v>
      </c>
      <c r="K5316" s="3">
        <f t="shared" si="166"/>
        <v>6.5</v>
      </c>
      <c r="L5316" s="3">
        <f t="shared" si="167"/>
        <v>6.81</v>
      </c>
    </row>
    <row r="5317" spans="1:12" x14ac:dyDescent="0.3">
      <c r="A5317" s="2">
        <v>41834</v>
      </c>
      <c r="B5317" t="s">
        <v>13</v>
      </c>
      <c r="D5317" s="2">
        <v>42565</v>
      </c>
      <c r="E5317">
        <v>6.5</v>
      </c>
      <c r="G5317" s="2">
        <v>42565</v>
      </c>
      <c r="H5317">
        <v>6.8390000000000004</v>
      </c>
      <c r="J5317" s="2">
        <v>42572</v>
      </c>
      <c r="K5317" s="3">
        <f t="shared" si="166"/>
        <v>6.5</v>
      </c>
      <c r="L5317" s="3">
        <f t="shared" si="167"/>
        <v>6.8109999999999999</v>
      </c>
    </row>
    <row r="5318" spans="1:12" x14ac:dyDescent="0.3">
      <c r="A5318" s="2">
        <v>41835</v>
      </c>
      <c r="B5318" t="s">
        <v>13</v>
      </c>
      <c r="D5318" s="2">
        <v>42566</v>
      </c>
      <c r="E5318">
        <v>6.5</v>
      </c>
      <c r="G5318" s="2">
        <v>42566</v>
      </c>
      <c r="H5318">
        <v>6.8319999999999999</v>
      </c>
      <c r="J5318" s="2">
        <v>42573</v>
      </c>
      <c r="K5318" s="3">
        <f t="shared" si="166"/>
        <v>6.5</v>
      </c>
      <c r="L5318" s="3">
        <f t="shared" si="167"/>
        <v>6.8</v>
      </c>
    </row>
    <row r="5319" spans="1:12" x14ac:dyDescent="0.3">
      <c r="A5319" s="2">
        <v>41836</v>
      </c>
      <c r="B5319" t="s">
        <v>13</v>
      </c>
      <c r="D5319" s="2">
        <v>42567</v>
      </c>
      <c r="E5319">
        <v>6.5</v>
      </c>
      <c r="G5319" s="2">
        <v>42567</v>
      </c>
      <c r="H5319">
        <v>6.8319999999999999</v>
      </c>
      <c r="J5319" s="2">
        <v>42574</v>
      </c>
      <c r="K5319" s="3">
        <f t="shared" si="166"/>
        <v>6.5</v>
      </c>
      <c r="L5319" s="3">
        <f t="shared" si="167"/>
        <v>6.8</v>
      </c>
    </row>
    <row r="5320" spans="1:12" x14ac:dyDescent="0.3">
      <c r="A5320" s="2">
        <v>41837</v>
      </c>
      <c r="B5320" t="s">
        <v>13</v>
      </c>
      <c r="D5320" s="2">
        <v>42568</v>
      </c>
      <c r="E5320">
        <v>6.5</v>
      </c>
      <c r="G5320" s="2">
        <v>42568</v>
      </c>
      <c r="H5320">
        <v>6.8319999999999999</v>
      </c>
      <c r="J5320" s="2">
        <v>42575</v>
      </c>
      <c r="K5320" s="3">
        <f t="shared" si="166"/>
        <v>6.5</v>
      </c>
      <c r="L5320" s="3">
        <f t="shared" si="167"/>
        <v>6.8</v>
      </c>
    </row>
    <row r="5321" spans="1:12" x14ac:dyDescent="0.3">
      <c r="A5321" s="2">
        <v>41838</v>
      </c>
      <c r="B5321" t="s">
        <v>13</v>
      </c>
      <c r="D5321" s="2">
        <v>42569</v>
      </c>
      <c r="E5321">
        <v>6.5</v>
      </c>
      <c r="G5321" s="2">
        <v>42569</v>
      </c>
      <c r="H5321">
        <v>6.843</v>
      </c>
      <c r="J5321" s="2">
        <v>42576</v>
      </c>
      <c r="K5321" s="3">
        <f t="shared" si="166"/>
        <v>6.5</v>
      </c>
      <c r="L5321" s="3">
        <f t="shared" si="167"/>
        <v>6.8159999999999998</v>
      </c>
    </row>
    <row r="5322" spans="1:12" x14ac:dyDescent="0.3">
      <c r="A5322" s="2">
        <v>41839</v>
      </c>
      <c r="B5322" t="s">
        <v>13</v>
      </c>
      <c r="D5322" s="2">
        <v>42570</v>
      </c>
      <c r="E5322">
        <v>6.5</v>
      </c>
      <c r="G5322" s="2">
        <v>42570</v>
      </c>
      <c r="H5322">
        <v>6.827</v>
      </c>
      <c r="J5322" s="2">
        <v>42577</v>
      </c>
      <c r="K5322" s="3">
        <f t="shared" si="166"/>
        <v>6.5</v>
      </c>
      <c r="L5322" s="3">
        <f t="shared" si="167"/>
        <v>6.8079999999999998</v>
      </c>
    </row>
    <row r="5323" spans="1:12" x14ac:dyDescent="0.3">
      <c r="A5323" s="2">
        <v>41840</v>
      </c>
      <c r="B5323" t="s">
        <v>13</v>
      </c>
      <c r="D5323" s="2">
        <v>42571</v>
      </c>
      <c r="E5323">
        <v>6.5</v>
      </c>
      <c r="G5323" s="2">
        <v>42571</v>
      </c>
      <c r="H5323">
        <v>6.81</v>
      </c>
      <c r="J5323" s="2">
        <v>42578</v>
      </c>
      <c r="K5323" s="3">
        <f t="shared" si="166"/>
        <v>6.5</v>
      </c>
      <c r="L5323" s="3">
        <f t="shared" si="167"/>
        <v>6.8220000000000001</v>
      </c>
    </row>
    <row r="5324" spans="1:12" x14ac:dyDescent="0.3">
      <c r="A5324" s="2">
        <v>41841</v>
      </c>
      <c r="B5324" t="s">
        <v>13</v>
      </c>
      <c r="D5324" s="2">
        <v>42572</v>
      </c>
      <c r="E5324">
        <v>6.5</v>
      </c>
      <c r="G5324" s="2">
        <v>42572</v>
      </c>
      <c r="H5324">
        <v>6.8109999999999999</v>
      </c>
      <c r="J5324" s="2">
        <v>42579</v>
      </c>
      <c r="K5324" s="3">
        <f t="shared" si="166"/>
        <v>6.5</v>
      </c>
      <c r="L5324" s="3">
        <f t="shared" si="167"/>
        <v>6.8280000000000003</v>
      </c>
    </row>
    <row r="5325" spans="1:12" x14ac:dyDescent="0.3">
      <c r="A5325" s="2">
        <v>41842</v>
      </c>
      <c r="B5325" t="s">
        <v>13</v>
      </c>
      <c r="D5325" s="2">
        <v>42573</v>
      </c>
      <c r="E5325">
        <v>6.5</v>
      </c>
      <c r="G5325" s="2">
        <v>42573</v>
      </c>
      <c r="H5325">
        <v>6.8</v>
      </c>
      <c r="J5325" s="2">
        <v>42580</v>
      </c>
      <c r="K5325" s="3">
        <f t="shared" si="166"/>
        <v>6.5</v>
      </c>
      <c r="L5325" s="3">
        <f t="shared" si="167"/>
        <v>6.82</v>
      </c>
    </row>
    <row r="5326" spans="1:12" x14ac:dyDescent="0.3">
      <c r="A5326" s="2">
        <v>41843</v>
      </c>
      <c r="B5326" t="s">
        <v>13</v>
      </c>
      <c r="D5326" s="2">
        <v>42574</v>
      </c>
      <c r="E5326">
        <v>6.5</v>
      </c>
      <c r="G5326" s="2">
        <v>42574</v>
      </c>
      <c r="H5326">
        <v>6.8</v>
      </c>
      <c r="J5326" s="2">
        <v>42581</v>
      </c>
      <c r="K5326" s="3">
        <f t="shared" si="166"/>
        <v>6.5</v>
      </c>
      <c r="L5326" s="3">
        <f t="shared" si="167"/>
        <v>6.82</v>
      </c>
    </row>
    <row r="5327" spans="1:12" x14ac:dyDescent="0.3">
      <c r="A5327" s="2">
        <v>41844</v>
      </c>
      <c r="B5327" t="s">
        <v>13</v>
      </c>
      <c r="D5327" s="2">
        <v>42575</v>
      </c>
      <c r="E5327">
        <v>6.5</v>
      </c>
      <c r="G5327" s="2">
        <v>42575</v>
      </c>
      <c r="H5327">
        <v>6.8</v>
      </c>
      <c r="J5327" s="2">
        <v>42582</v>
      </c>
      <c r="K5327" s="3">
        <f t="shared" si="166"/>
        <v>6.5</v>
      </c>
      <c r="L5327" s="3">
        <f t="shared" si="167"/>
        <v>6.82</v>
      </c>
    </row>
    <row r="5328" spans="1:12" x14ac:dyDescent="0.3">
      <c r="A5328" s="2">
        <v>41845</v>
      </c>
      <c r="B5328" t="s">
        <v>13</v>
      </c>
      <c r="D5328" s="2">
        <v>42576</v>
      </c>
      <c r="E5328">
        <v>6.5</v>
      </c>
      <c r="G5328" s="2">
        <v>42576</v>
      </c>
      <c r="H5328">
        <v>6.8159999999999998</v>
      </c>
      <c r="J5328" s="2">
        <v>42583</v>
      </c>
      <c r="K5328" s="3">
        <f t="shared" si="166"/>
        <v>6.5</v>
      </c>
      <c r="L5328" s="3">
        <f t="shared" si="167"/>
        <v>6.8419999999999996</v>
      </c>
    </row>
    <row r="5329" spans="1:12" x14ac:dyDescent="0.3">
      <c r="A5329" s="2">
        <v>41846</v>
      </c>
      <c r="B5329" t="s">
        <v>13</v>
      </c>
      <c r="D5329" s="2">
        <v>42577</v>
      </c>
      <c r="E5329">
        <v>6.5</v>
      </c>
      <c r="G5329" s="2">
        <v>42577</v>
      </c>
      <c r="H5329">
        <v>6.8079999999999998</v>
      </c>
      <c r="J5329" s="2">
        <v>42584</v>
      </c>
      <c r="K5329" s="3">
        <f t="shared" si="166"/>
        <v>6.5</v>
      </c>
      <c r="L5329" s="3">
        <f t="shared" si="167"/>
        <v>6.843</v>
      </c>
    </row>
    <row r="5330" spans="1:12" x14ac:dyDescent="0.3">
      <c r="A5330" s="2">
        <v>41847</v>
      </c>
      <c r="B5330" t="s">
        <v>13</v>
      </c>
      <c r="D5330" s="2">
        <v>42578</v>
      </c>
      <c r="E5330">
        <v>6.5</v>
      </c>
      <c r="G5330" s="2">
        <v>42578</v>
      </c>
      <c r="H5330">
        <v>6.8220000000000001</v>
      </c>
      <c r="J5330" s="2">
        <v>42585</v>
      </c>
      <c r="K5330" s="3">
        <f t="shared" si="166"/>
        <v>6.5</v>
      </c>
      <c r="L5330" s="3">
        <f t="shared" si="167"/>
        <v>6.859</v>
      </c>
    </row>
    <row r="5331" spans="1:12" x14ac:dyDescent="0.3">
      <c r="A5331" s="2">
        <v>41848</v>
      </c>
      <c r="B5331" t="s">
        <v>13</v>
      </c>
      <c r="D5331" s="2">
        <v>42579</v>
      </c>
      <c r="E5331">
        <v>6.5</v>
      </c>
      <c r="G5331" s="2">
        <v>42579</v>
      </c>
      <c r="H5331">
        <v>6.8280000000000003</v>
      </c>
      <c r="J5331" s="2">
        <v>42586</v>
      </c>
      <c r="K5331" s="3">
        <f t="shared" si="166"/>
        <v>6.5</v>
      </c>
      <c r="L5331" s="3">
        <f t="shared" si="167"/>
        <v>6.843</v>
      </c>
    </row>
    <row r="5332" spans="1:12" x14ac:dyDescent="0.3">
      <c r="A5332" s="2">
        <v>41849</v>
      </c>
      <c r="B5332" t="s">
        <v>13</v>
      </c>
      <c r="D5332" s="2">
        <v>42580</v>
      </c>
      <c r="E5332">
        <v>6.5</v>
      </c>
      <c r="G5332" s="2">
        <v>42580</v>
      </c>
      <c r="H5332">
        <v>6.82</v>
      </c>
      <c r="J5332" s="2">
        <v>42587</v>
      </c>
      <c r="K5332" s="3">
        <f t="shared" si="166"/>
        <v>6.5</v>
      </c>
      <c r="L5332" s="3">
        <f t="shared" si="167"/>
        <v>6.8369999999999997</v>
      </c>
    </row>
    <row r="5333" spans="1:12" x14ac:dyDescent="0.3">
      <c r="A5333" s="2">
        <v>41850</v>
      </c>
      <c r="B5333" t="s">
        <v>13</v>
      </c>
      <c r="D5333" s="2">
        <v>42581</v>
      </c>
      <c r="E5333">
        <v>6.5</v>
      </c>
      <c r="G5333" s="2">
        <v>42581</v>
      </c>
      <c r="H5333">
        <v>6.82</v>
      </c>
      <c r="J5333" s="2">
        <v>42588</v>
      </c>
      <c r="K5333" s="3">
        <f t="shared" si="166"/>
        <v>6.5</v>
      </c>
      <c r="L5333" s="3">
        <f t="shared" si="167"/>
        <v>6.8369999999999997</v>
      </c>
    </row>
    <row r="5334" spans="1:12" x14ac:dyDescent="0.3">
      <c r="A5334" s="2">
        <v>41851</v>
      </c>
      <c r="B5334" t="s">
        <v>13</v>
      </c>
      <c r="D5334" s="2">
        <v>42582</v>
      </c>
      <c r="E5334">
        <v>6.5</v>
      </c>
      <c r="G5334" s="2">
        <v>42582</v>
      </c>
      <c r="H5334">
        <v>6.82</v>
      </c>
      <c r="J5334" s="2">
        <v>42589</v>
      </c>
      <c r="K5334" s="3">
        <f t="shared" si="166"/>
        <v>6.5</v>
      </c>
      <c r="L5334" s="3">
        <f t="shared" si="167"/>
        <v>6.8369999999999997</v>
      </c>
    </row>
    <row r="5335" spans="1:12" x14ac:dyDescent="0.3">
      <c r="A5335" s="2">
        <v>41852</v>
      </c>
      <c r="B5335" t="s">
        <v>13</v>
      </c>
      <c r="D5335" s="2">
        <v>42583</v>
      </c>
      <c r="E5335">
        <v>6.5</v>
      </c>
      <c r="G5335" s="2">
        <v>42583</v>
      </c>
      <c r="H5335">
        <v>6.8419999999999996</v>
      </c>
      <c r="J5335" s="2">
        <v>42590</v>
      </c>
      <c r="K5335" s="3">
        <f t="shared" si="166"/>
        <v>6.5</v>
      </c>
      <c r="L5335" s="3">
        <f t="shared" si="167"/>
        <v>6.8369999999999997</v>
      </c>
    </row>
    <row r="5336" spans="1:12" x14ac:dyDescent="0.3">
      <c r="A5336" s="2">
        <v>41853</v>
      </c>
      <c r="B5336" t="s">
        <v>13</v>
      </c>
      <c r="D5336" s="2">
        <v>42584</v>
      </c>
      <c r="E5336">
        <v>6.5</v>
      </c>
      <c r="G5336" s="2">
        <v>42584</v>
      </c>
      <c r="H5336">
        <v>6.843</v>
      </c>
      <c r="J5336" s="2">
        <v>42591</v>
      </c>
      <c r="K5336" s="3">
        <f t="shared" si="166"/>
        <v>6.5</v>
      </c>
      <c r="L5336" s="3">
        <f t="shared" si="167"/>
        <v>6.8470000000000004</v>
      </c>
    </row>
    <row r="5337" spans="1:12" x14ac:dyDescent="0.3">
      <c r="A5337" s="2">
        <v>41854</v>
      </c>
      <c r="B5337" t="s">
        <v>13</v>
      </c>
      <c r="D5337" s="2">
        <v>42585</v>
      </c>
      <c r="E5337">
        <v>6.5</v>
      </c>
      <c r="G5337" s="2">
        <v>42585</v>
      </c>
      <c r="H5337">
        <v>6.859</v>
      </c>
      <c r="J5337" s="2">
        <v>42592</v>
      </c>
      <c r="K5337" s="3">
        <f t="shared" si="166"/>
        <v>6.5</v>
      </c>
      <c r="L5337" s="3">
        <f t="shared" si="167"/>
        <v>6.8470000000000004</v>
      </c>
    </row>
    <row r="5338" spans="1:12" x14ac:dyDescent="0.3">
      <c r="A5338" s="2">
        <v>41855</v>
      </c>
      <c r="B5338" t="s">
        <v>13</v>
      </c>
      <c r="D5338" s="2">
        <v>42586</v>
      </c>
      <c r="E5338">
        <v>6.5</v>
      </c>
      <c r="G5338" s="2">
        <v>42586</v>
      </c>
      <c r="H5338">
        <v>6.843</v>
      </c>
      <c r="J5338" s="2">
        <v>42593</v>
      </c>
      <c r="K5338" s="3">
        <f t="shared" si="166"/>
        <v>6.5</v>
      </c>
      <c r="L5338" s="3">
        <f t="shared" si="167"/>
        <v>6.8339999999999996</v>
      </c>
    </row>
    <row r="5339" spans="1:12" x14ac:dyDescent="0.3">
      <c r="A5339" s="2">
        <v>41856</v>
      </c>
      <c r="B5339" t="s">
        <v>13</v>
      </c>
      <c r="D5339" s="2">
        <v>42587</v>
      </c>
      <c r="E5339">
        <v>6.5</v>
      </c>
      <c r="G5339" s="2">
        <v>42587</v>
      </c>
      <c r="H5339">
        <v>6.8369999999999997</v>
      </c>
      <c r="J5339" s="2">
        <v>42594</v>
      </c>
      <c r="K5339" s="3">
        <f t="shared" si="166"/>
        <v>6.5</v>
      </c>
      <c r="L5339" s="3">
        <f t="shared" si="167"/>
        <v>6.83</v>
      </c>
    </row>
    <row r="5340" spans="1:12" x14ac:dyDescent="0.3">
      <c r="A5340" s="2">
        <v>41857</v>
      </c>
      <c r="B5340" t="s">
        <v>13</v>
      </c>
      <c r="D5340" s="2">
        <v>42588</v>
      </c>
      <c r="E5340">
        <v>6.5</v>
      </c>
      <c r="G5340" s="2">
        <v>42588</v>
      </c>
      <c r="H5340">
        <v>6.8369999999999997</v>
      </c>
      <c r="J5340" s="2">
        <v>42595</v>
      </c>
      <c r="K5340" s="3">
        <f t="shared" si="166"/>
        <v>6.5</v>
      </c>
      <c r="L5340" s="3">
        <f t="shared" si="167"/>
        <v>6.83</v>
      </c>
    </row>
    <row r="5341" spans="1:12" x14ac:dyDescent="0.3">
      <c r="A5341" s="2">
        <v>41858</v>
      </c>
      <c r="B5341" t="s">
        <v>13</v>
      </c>
      <c r="D5341" s="2">
        <v>42589</v>
      </c>
      <c r="E5341">
        <v>6.5</v>
      </c>
      <c r="G5341" s="2">
        <v>42589</v>
      </c>
      <c r="H5341">
        <v>6.8369999999999997</v>
      </c>
      <c r="J5341" s="2">
        <v>42596</v>
      </c>
      <c r="K5341" s="3">
        <f t="shared" si="166"/>
        <v>6.5</v>
      </c>
      <c r="L5341" s="3">
        <f t="shared" si="167"/>
        <v>6.83</v>
      </c>
    </row>
    <row r="5342" spans="1:12" x14ac:dyDescent="0.3">
      <c r="A5342" s="2">
        <v>41859</v>
      </c>
      <c r="B5342" t="s">
        <v>13</v>
      </c>
      <c r="D5342" s="2">
        <v>42590</v>
      </c>
      <c r="E5342">
        <v>6.5</v>
      </c>
      <c r="G5342" s="2">
        <v>42590</v>
      </c>
      <c r="H5342">
        <v>6.8369999999999997</v>
      </c>
      <c r="J5342" s="2">
        <v>42597</v>
      </c>
      <c r="K5342" s="3">
        <f t="shared" si="166"/>
        <v>6.5</v>
      </c>
      <c r="L5342" s="3">
        <f t="shared" si="167"/>
        <v>6.83</v>
      </c>
    </row>
    <row r="5343" spans="1:12" x14ac:dyDescent="0.3">
      <c r="A5343" s="2">
        <v>41860</v>
      </c>
      <c r="B5343" t="s">
        <v>13</v>
      </c>
      <c r="D5343" s="2">
        <v>42591</v>
      </c>
      <c r="E5343">
        <v>6.5</v>
      </c>
      <c r="G5343" s="2">
        <v>42591</v>
      </c>
      <c r="H5343">
        <v>6.8470000000000004</v>
      </c>
      <c r="J5343" s="2">
        <v>42598</v>
      </c>
      <c r="K5343" s="3">
        <f t="shared" si="166"/>
        <v>6.5</v>
      </c>
      <c r="L5343" s="3">
        <f t="shared" si="167"/>
        <v>6.8019999999999996</v>
      </c>
    </row>
    <row r="5344" spans="1:12" x14ac:dyDescent="0.3">
      <c r="A5344" s="2">
        <v>41861</v>
      </c>
      <c r="B5344" t="s">
        <v>13</v>
      </c>
      <c r="D5344" s="2">
        <v>42592</v>
      </c>
      <c r="E5344">
        <v>6.5</v>
      </c>
      <c r="G5344" s="2">
        <v>42592</v>
      </c>
      <c r="H5344">
        <v>6.8470000000000004</v>
      </c>
      <c r="J5344" s="2">
        <v>42599</v>
      </c>
      <c r="K5344" s="3">
        <f t="shared" si="166"/>
        <v>6.5</v>
      </c>
      <c r="L5344" s="3">
        <f t="shared" si="167"/>
        <v>6.8019999999999996</v>
      </c>
    </row>
    <row r="5345" spans="1:12" x14ac:dyDescent="0.3">
      <c r="A5345" s="2">
        <v>41862</v>
      </c>
      <c r="B5345" t="s">
        <v>13</v>
      </c>
      <c r="D5345" s="2">
        <v>42593</v>
      </c>
      <c r="E5345">
        <v>6.5</v>
      </c>
      <c r="G5345" s="2">
        <v>42593</v>
      </c>
      <c r="H5345">
        <v>6.8339999999999996</v>
      </c>
      <c r="J5345" s="2">
        <v>42600</v>
      </c>
      <c r="K5345" s="3">
        <f t="shared" si="166"/>
        <v>6.5</v>
      </c>
      <c r="L5345" s="3">
        <f t="shared" si="167"/>
        <v>6.8250000000000002</v>
      </c>
    </row>
    <row r="5346" spans="1:12" x14ac:dyDescent="0.3">
      <c r="A5346" s="2">
        <v>41863</v>
      </c>
      <c r="B5346" t="s">
        <v>13</v>
      </c>
      <c r="D5346" s="2">
        <v>42594</v>
      </c>
      <c r="E5346">
        <v>6.5</v>
      </c>
      <c r="G5346" s="2">
        <v>42594</v>
      </c>
      <c r="H5346">
        <v>6.83</v>
      </c>
      <c r="J5346" s="2">
        <v>42601</v>
      </c>
      <c r="K5346" s="3">
        <f t="shared" si="166"/>
        <v>6.5</v>
      </c>
      <c r="L5346" s="3">
        <f t="shared" si="167"/>
        <v>6.8310000000000004</v>
      </c>
    </row>
    <row r="5347" spans="1:12" x14ac:dyDescent="0.3">
      <c r="A5347" s="2">
        <v>41864</v>
      </c>
      <c r="B5347" t="s">
        <v>13</v>
      </c>
      <c r="D5347" s="2">
        <v>42595</v>
      </c>
      <c r="E5347">
        <v>6.5</v>
      </c>
      <c r="G5347" s="2">
        <v>42595</v>
      </c>
      <c r="H5347">
        <v>6.83</v>
      </c>
      <c r="J5347" s="2">
        <v>42602</v>
      </c>
      <c r="K5347" s="3">
        <f t="shared" si="166"/>
        <v>6.5</v>
      </c>
      <c r="L5347" s="3">
        <f t="shared" si="167"/>
        <v>6.8310000000000004</v>
      </c>
    </row>
    <row r="5348" spans="1:12" x14ac:dyDescent="0.3">
      <c r="A5348" s="2">
        <v>41865</v>
      </c>
      <c r="B5348" t="s">
        <v>13</v>
      </c>
      <c r="D5348" s="2">
        <v>42596</v>
      </c>
      <c r="E5348">
        <v>6.5</v>
      </c>
      <c r="G5348" s="2">
        <v>42596</v>
      </c>
      <c r="H5348">
        <v>6.83</v>
      </c>
      <c r="J5348" s="2">
        <v>42603</v>
      </c>
      <c r="K5348" s="3">
        <f t="shared" si="166"/>
        <v>6.5</v>
      </c>
      <c r="L5348" s="3">
        <f t="shared" si="167"/>
        <v>6.8310000000000004</v>
      </c>
    </row>
    <row r="5349" spans="1:12" x14ac:dyDescent="0.3">
      <c r="A5349" s="2">
        <v>41866</v>
      </c>
      <c r="B5349" t="s">
        <v>13</v>
      </c>
      <c r="D5349" s="2">
        <v>42597</v>
      </c>
      <c r="E5349">
        <v>6.5</v>
      </c>
      <c r="G5349" s="2">
        <v>42597</v>
      </c>
      <c r="H5349">
        <v>6.83</v>
      </c>
      <c r="J5349" s="2">
        <v>42604</v>
      </c>
      <c r="K5349" s="3">
        <f t="shared" si="166"/>
        <v>6.5</v>
      </c>
      <c r="L5349" s="3">
        <f t="shared" si="167"/>
        <v>6.82</v>
      </c>
    </row>
    <row r="5350" spans="1:12" x14ac:dyDescent="0.3">
      <c r="A5350" s="2">
        <v>41867</v>
      </c>
      <c r="B5350" t="s">
        <v>13</v>
      </c>
      <c r="D5350" s="2">
        <v>42598</v>
      </c>
      <c r="E5350">
        <v>6.5</v>
      </c>
      <c r="G5350" s="2">
        <v>42598</v>
      </c>
      <c r="H5350">
        <v>6.8019999999999996</v>
      </c>
      <c r="J5350" s="2">
        <v>42605</v>
      </c>
      <c r="K5350" s="3">
        <f t="shared" si="166"/>
        <v>6.5</v>
      </c>
      <c r="L5350" s="3">
        <f t="shared" si="167"/>
        <v>6.8479999999999999</v>
      </c>
    </row>
    <row r="5351" spans="1:12" x14ac:dyDescent="0.3">
      <c r="A5351" s="2">
        <v>41868</v>
      </c>
      <c r="B5351" t="s">
        <v>13</v>
      </c>
      <c r="D5351" s="2">
        <v>42599</v>
      </c>
      <c r="E5351">
        <v>6.5</v>
      </c>
      <c r="G5351" s="2">
        <v>42599</v>
      </c>
      <c r="H5351">
        <v>6.8019999999999996</v>
      </c>
      <c r="J5351" s="2">
        <v>42606</v>
      </c>
      <c r="K5351" s="3">
        <f t="shared" si="166"/>
        <v>6.5</v>
      </c>
      <c r="L5351" s="3">
        <f t="shared" si="167"/>
        <v>6.84</v>
      </c>
    </row>
    <row r="5352" spans="1:12" x14ac:dyDescent="0.3">
      <c r="A5352" s="2">
        <v>41869</v>
      </c>
      <c r="B5352" t="s">
        <v>13</v>
      </c>
      <c r="D5352" s="2">
        <v>42600</v>
      </c>
      <c r="E5352">
        <v>6.5</v>
      </c>
      <c r="G5352" s="2">
        <v>42600</v>
      </c>
      <c r="H5352">
        <v>6.8250000000000002</v>
      </c>
      <c r="J5352" s="2">
        <v>42607</v>
      </c>
      <c r="K5352" s="3">
        <f t="shared" si="166"/>
        <v>6.5</v>
      </c>
      <c r="L5352" s="3">
        <f t="shared" si="167"/>
        <v>6.8220000000000001</v>
      </c>
    </row>
    <row r="5353" spans="1:12" x14ac:dyDescent="0.3">
      <c r="A5353" s="2">
        <v>41870</v>
      </c>
      <c r="B5353" t="s">
        <v>13</v>
      </c>
      <c r="D5353" s="2">
        <v>42601</v>
      </c>
      <c r="E5353">
        <v>6.5</v>
      </c>
      <c r="G5353" s="2">
        <v>42601</v>
      </c>
      <c r="H5353">
        <v>6.8310000000000004</v>
      </c>
      <c r="J5353" s="2">
        <v>42608</v>
      </c>
      <c r="K5353" s="3">
        <f t="shared" si="166"/>
        <v>6.5</v>
      </c>
      <c r="L5353" s="3">
        <f t="shared" si="167"/>
        <v>6.8150000000000004</v>
      </c>
    </row>
    <row r="5354" spans="1:12" x14ac:dyDescent="0.3">
      <c r="A5354" s="2">
        <v>41871</v>
      </c>
      <c r="B5354" t="s">
        <v>13</v>
      </c>
      <c r="D5354" s="2">
        <v>42602</v>
      </c>
      <c r="E5354">
        <v>6.5</v>
      </c>
      <c r="G5354" s="2">
        <v>42602</v>
      </c>
      <c r="H5354">
        <v>6.8310000000000004</v>
      </c>
      <c r="J5354" s="2">
        <v>42609</v>
      </c>
      <c r="K5354" s="3">
        <f t="shared" si="166"/>
        <v>6.5</v>
      </c>
      <c r="L5354" s="3">
        <f t="shared" si="167"/>
        <v>6.8150000000000004</v>
      </c>
    </row>
    <row r="5355" spans="1:12" x14ac:dyDescent="0.3">
      <c r="A5355" s="2">
        <v>41872</v>
      </c>
      <c r="B5355" t="s">
        <v>13</v>
      </c>
      <c r="D5355" s="2">
        <v>42603</v>
      </c>
      <c r="E5355">
        <v>6.5</v>
      </c>
      <c r="G5355" s="2">
        <v>42603</v>
      </c>
      <c r="H5355">
        <v>6.8310000000000004</v>
      </c>
      <c r="J5355" s="2">
        <v>42610</v>
      </c>
      <c r="K5355" s="3">
        <f t="shared" si="166"/>
        <v>6.5</v>
      </c>
      <c r="L5355" s="3">
        <f t="shared" si="167"/>
        <v>6.8150000000000004</v>
      </c>
    </row>
    <row r="5356" spans="1:12" x14ac:dyDescent="0.3">
      <c r="A5356" s="2">
        <v>41873</v>
      </c>
      <c r="B5356" t="s">
        <v>13</v>
      </c>
      <c r="D5356" s="2">
        <v>42604</v>
      </c>
      <c r="E5356">
        <v>6.5</v>
      </c>
      <c r="G5356" s="2">
        <v>42604</v>
      </c>
      <c r="H5356">
        <v>6.82</v>
      </c>
      <c r="J5356" s="2">
        <v>42611</v>
      </c>
      <c r="K5356" s="3">
        <f t="shared" si="166"/>
        <v>6.5</v>
      </c>
      <c r="L5356" s="3">
        <f t="shared" si="167"/>
        <v>6.8179999999999996</v>
      </c>
    </row>
    <row r="5357" spans="1:12" x14ac:dyDescent="0.3">
      <c r="A5357" s="2">
        <v>41874</v>
      </c>
      <c r="B5357" t="s">
        <v>13</v>
      </c>
      <c r="D5357" s="2">
        <v>42605</v>
      </c>
      <c r="E5357">
        <v>6.5</v>
      </c>
      <c r="G5357" s="2">
        <v>42605</v>
      </c>
      <c r="H5357">
        <v>6.8479999999999999</v>
      </c>
      <c r="J5357" s="2">
        <v>42612</v>
      </c>
      <c r="K5357" s="3">
        <f t="shared" si="166"/>
        <v>6.5</v>
      </c>
      <c r="L5357" s="3">
        <f t="shared" si="167"/>
        <v>6.8490000000000002</v>
      </c>
    </row>
    <row r="5358" spans="1:12" x14ac:dyDescent="0.3">
      <c r="A5358" s="2">
        <v>41875</v>
      </c>
      <c r="B5358" t="s">
        <v>13</v>
      </c>
      <c r="D5358" s="2">
        <v>42606</v>
      </c>
      <c r="E5358">
        <v>6.5</v>
      </c>
      <c r="G5358" s="2">
        <v>42606</v>
      </c>
      <c r="H5358">
        <v>6.84</v>
      </c>
      <c r="J5358" s="2">
        <v>42613</v>
      </c>
      <c r="K5358" s="3">
        <f t="shared" si="166"/>
        <v>6.5</v>
      </c>
      <c r="L5358" s="3">
        <f t="shared" si="167"/>
        <v>6.8220000000000001</v>
      </c>
    </row>
    <row r="5359" spans="1:12" x14ac:dyDescent="0.3">
      <c r="A5359" s="2">
        <v>41876</v>
      </c>
      <c r="B5359" t="s">
        <v>13</v>
      </c>
      <c r="D5359" s="2">
        <v>42607</v>
      </c>
      <c r="E5359">
        <v>6.5</v>
      </c>
      <c r="G5359" s="2">
        <v>42607</v>
      </c>
      <c r="H5359">
        <v>6.8220000000000001</v>
      </c>
      <c r="J5359" s="2">
        <v>42614</v>
      </c>
      <c r="K5359" s="3">
        <f t="shared" si="166"/>
        <v>6.5</v>
      </c>
      <c r="L5359" s="3">
        <f t="shared" si="167"/>
        <v>6.8380000000000001</v>
      </c>
    </row>
    <row r="5360" spans="1:12" x14ac:dyDescent="0.3">
      <c r="A5360" s="2">
        <v>41877</v>
      </c>
      <c r="B5360" t="s">
        <v>13</v>
      </c>
      <c r="D5360" s="2">
        <v>42608</v>
      </c>
      <c r="E5360">
        <v>6.5</v>
      </c>
      <c r="G5360" s="2">
        <v>42608</v>
      </c>
      <c r="H5360">
        <v>6.8150000000000004</v>
      </c>
      <c r="J5360" s="2">
        <v>42615</v>
      </c>
      <c r="K5360" s="3">
        <f t="shared" si="166"/>
        <v>6.5</v>
      </c>
      <c r="L5360" s="3">
        <f t="shared" si="167"/>
        <v>6.8390000000000004</v>
      </c>
    </row>
    <row r="5361" spans="1:12" x14ac:dyDescent="0.3">
      <c r="A5361" s="2">
        <v>41878</v>
      </c>
      <c r="B5361" t="s">
        <v>13</v>
      </c>
      <c r="D5361" s="2">
        <v>42609</v>
      </c>
      <c r="E5361">
        <v>6.5</v>
      </c>
      <c r="G5361" s="2">
        <v>42609</v>
      </c>
      <c r="H5361">
        <v>6.8150000000000004</v>
      </c>
      <c r="J5361" s="2">
        <v>42616</v>
      </c>
      <c r="K5361" s="3">
        <f t="shared" si="166"/>
        <v>6.5</v>
      </c>
      <c r="L5361" s="3">
        <f t="shared" si="167"/>
        <v>6.8390000000000004</v>
      </c>
    </row>
    <row r="5362" spans="1:12" x14ac:dyDescent="0.3">
      <c r="A5362" s="2">
        <v>41879</v>
      </c>
      <c r="B5362" t="s">
        <v>13</v>
      </c>
      <c r="D5362" s="2">
        <v>42610</v>
      </c>
      <c r="E5362">
        <v>6.5</v>
      </c>
      <c r="G5362" s="2">
        <v>42610</v>
      </c>
      <c r="H5362">
        <v>6.8150000000000004</v>
      </c>
      <c r="J5362" s="2">
        <v>42617</v>
      </c>
      <c r="K5362" s="3">
        <f t="shared" si="166"/>
        <v>6.5</v>
      </c>
      <c r="L5362" s="3">
        <f t="shared" si="167"/>
        <v>6.8390000000000004</v>
      </c>
    </row>
    <row r="5363" spans="1:12" x14ac:dyDescent="0.3">
      <c r="A5363" s="2">
        <v>41880</v>
      </c>
      <c r="B5363" t="s">
        <v>13</v>
      </c>
      <c r="D5363" s="2">
        <v>42611</v>
      </c>
      <c r="E5363">
        <v>6.5</v>
      </c>
      <c r="G5363" s="2">
        <v>42611</v>
      </c>
      <c r="H5363">
        <v>6.8179999999999996</v>
      </c>
      <c r="J5363" s="2">
        <v>42618</v>
      </c>
      <c r="K5363" s="3">
        <f t="shared" si="166"/>
        <v>6.5</v>
      </c>
      <c r="L5363" s="3">
        <f t="shared" si="167"/>
        <v>6.8390000000000004</v>
      </c>
    </row>
    <row r="5364" spans="1:12" x14ac:dyDescent="0.3">
      <c r="A5364" s="2">
        <v>41881</v>
      </c>
      <c r="B5364" t="s">
        <v>13</v>
      </c>
      <c r="D5364" s="2">
        <v>42612</v>
      </c>
      <c r="E5364">
        <v>6.5</v>
      </c>
      <c r="G5364" s="2">
        <v>42612</v>
      </c>
      <c r="H5364">
        <v>6.8490000000000002</v>
      </c>
      <c r="J5364" s="2">
        <v>42619</v>
      </c>
      <c r="K5364" s="3">
        <f t="shared" si="166"/>
        <v>6.5</v>
      </c>
      <c r="L5364" s="3">
        <f t="shared" si="167"/>
        <v>6.8010000000000002</v>
      </c>
    </row>
    <row r="5365" spans="1:12" x14ac:dyDescent="0.3">
      <c r="A5365" s="2">
        <v>41882</v>
      </c>
      <c r="B5365" t="s">
        <v>13</v>
      </c>
      <c r="D5365" s="2">
        <v>42613</v>
      </c>
      <c r="E5365">
        <v>6.5</v>
      </c>
      <c r="G5365" s="2">
        <v>42613</v>
      </c>
      <c r="H5365">
        <v>6.8220000000000001</v>
      </c>
      <c r="J5365" s="2">
        <v>42620</v>
      </c>
      <c r="K5365" s="3">
        <f t="shared" si="166"/>
        <v>6.5</v>
      </c>
      <c r="L5365" s="3">
        <f t="shared" si="167"/>
        <v>6.7619999999999996</v>
      </c>
    </row>
    <row r="5366" spans="1:12" x14ac:dyDescent="0.3">
      <c r="A5366" s="2">
        <v>41883</v>
      </c>
      <c r="B5366" t="s">
        <v>13</v>
      </c>
      <c r="D5366" s="2">
        <v>42614</v>
      </c>
      <c r="E5366">
        <v>6.5</v>
      </c>
      <c r="G5366" s="2">
        <v>42614</v>
      </c>
      <c r="H5366">
        <v>6.8380000000000001</v>
      </c>
      <c r="J5366" s="2">
        <v>42621</v>
      </c>
      <c r="K5366" s="3">
        <f t="shared" si="166"/>
        <v>6.5</v>
      </c>
      <c r="L5366" s="3">
        <f t="shared" si="167"/>
        <v>6.782</v>
      </c>
    </row>
    <row r="5367" spans="1:12" x14ac:dyDescent="0.3">
      <c r="A5367" s="2">
        <v>41884</v>
      </c>
      <c r="B5367" t="s">
        <v>13</v>
      </c>
      <c r="D5367" s="2">
        <v>42615</v>
      </c>
      <c r="E5367">
        <v>6.5</v>
      </c>
      <c r="G5367" s="2">
        <v>42615</v>
      </c>
      <c r="H5367">
        <v>6.8390000000000004</v>
      </c>
      <c r="J5367" s="2">
        <v>42622</v>
      </c>
      <c r="K5367" s="3">
        <f t="shared" si="166"/>
        <v>6.5</v>
      </c>
      <c r="L5367" s="3">
        <f t="shared" si="167"/>
        <v>6.7990000000000004</v>
      </c>
    </row>
    <row r="5368" spans="1:12" x14ac:dyDescent="0.3">
      <c r="A5368" s="2">
        <v>41885</v>
      </c>
      <c r="B5368" t="s">
        <v>13</v>
      </c>
      <c r="D5368" s="2">
        <v>42616</v>
      </c>
      <c r="E5368">
        <v>6.5</v>
      </c>
      <c r="G5368" s="2">
        <v>42616</v>
      </c>
      <c r="H5368">
        <v>6.8390000000000004</v>
      </c>
      <c r="J5368" s="2">
        <v>42623</v>
      </c>
      <c r="K5368" s="3">
        <f t="shared" si="166"/>
        <v>6.5</v>
      </c>
      <c r="L5368" s="3">
        <f t="shared" si="167"/>
        <v>6.7990000000000004</v>
      </c>
    </row>
    <row r="5369" spans="1:12" x14ac:dyDescent="0.3">
      <c r="A5369" s="2">
        <v>41886</v>
      </c>
      <c r="B5369" t="s">
        <v>13</v>
      </c>
      <c r="D5369" s="2">
        <v>42617</v>
      </c>
      <c r="E5369">
        <v>6.5</v>
      </c>
      <c r="G5369" s="2">
        <v>42617</v>
      </c>
      <c r="H5369">
        <v>6.8390000000000004</v>
      </c>
      <c r="J5369" s="2">
        <v>42624</v>
      </c>
      <c r="K5369" s="3">
        <f t="shared" si="166"/>
        <v>6.5</v>
      </c>
      <c r="L5369" s="3">
        <f t="shared" si="167"/>
        <v>6.7990000000000004</v>
      </c>
    </row>
    <row r="5370" spans="1:12" x14ac:dyDescent="0.3">
      <c r="A5370" s="2">
        <v>41887</v>
      </c>
      <c r="B5370" t="s">
        <v>13</v>
      </c>
      <c r="D5370" s="2">
        <v>42618</v>
      </c>
      <c r="E5370">
        <v>6.5</v>
      </c>
      <c r="G5370" s="2">
        <v>42618</v>
      </c>
      <c r="H5370">
        <v>6.8390000000000004</v>
      </c>
      <c r="J5370" s="2">
        <v>42625</v>
      </c>
      <c r="K5370" s="3">
        <f t="shared" si="166"/>
        <v>6.5</v>
      </c>
      <c r="L5370" s="3">
        <f t="shared" si="167"/>
        <v>6.8</v>
      </c>
    </row>
    <row r="5371" spans="1:12" x14ac:dyDescent="0.3">
      <c r="A5371" s="2">
        <v>41888</v>
      </c>
      <c r="B5371" t="s">
        <v>13</v>
      </c>
      <c r="D5371" s="2">
        <v>42619</v>
      </c>
      <c r="E5371">
        <v>6.5</v>
      </c>
      <c r="G5371" s="2">
        <v>42619</v>
      </c>
      <c r="H5371">
        <v>6.8010000000000002</v>
      </c>
      <c r="J5371" s="2">
        <v>42626</v>
      </c>
      <c r="K5371" s="3">
        <f t="shared" si="166"/>
        <v>6.5</v>
      </c>
      <c r="L5371" s="3">
        <f t="shared" si="167"/>
        <v>6.7969999999999997</v>
      </c>
    </row>
    <row r="5372" spans="1:12" x14ac:dyDescent="0.3">
      <c r="A5372" s="2">
        <v>41889</v>
      </c>
      <c r="B5372" t="s">
        <v>13</v>
      </c>
      <c r="D5372" s="2">
        <v>42620</v>
      </c>
      <c r="E5372">
        <v>6.5</v>
      </c>
      <c r="G5372" s="2">
        <v>42620</v>
      </c>
      <c r="H5372">
        <v>6.7619999999999996</v>
      </c>
      <c r="J5372" s="2">
        <v>42627</v>
      </c>
      <c r="K5372" s="3">
        <f t="shared" si="166"/>
        <v>6.5</v>
      </c>
      <c r="L5372" s="3">
        <f t="shared" si="167"/>
        <v>6.7990000000000004</v>
      </c>
    </row>
    <row r="5373" spans="1:12" x14ac:dyDescent="0.3">
      <c r="A5373" s="2">
        <v>41890</v>
      </c>
      <c r="B5373" t="s">
        <v>13</v>
      </c>
      <c r="D5373" s="2">
        <v>42621</v>
      </c>
      <c r="E5373">
        <v>6.5</v>
      </c>
      <c r="G5373" s="2">
        <v>42621</v>
      </c>
      <c r="H5373">
        <v>6.782</v>
      </c>
      <c r="J5373" s="2">
        <v>42628</v>
      </c>
      <c r="K5373" s="3">
        <f t="shared" si="166"/>
        <v>6.5</v>
      </c>
      <c r="L5373" s="3">
        <f t="shared" si="167"/>
        <v>6.7969999999999997</v>
      </c>
    </row>
    <row r="5374" spans="1:12" x14ac:dyDescent="0.3">
      <c r="A5374" s="2">
        <v>41891</v>
      </c>
      <c r="B5374" t="s">
        <v>13</v>
      </c>
      <c r="D5374" s="2">
        <v>42622</v>
      </c>
      <c r="E5374">
        <v>6.5</v>
      </c>
      <c r="G5374" s="2">
        <v>42622</v>
      </c>
      <c r="H5374">
        <v>6.7990000000000004</v>
      </c>
      <c r="J5374" s="2">
        <v>42629</v>
      </c>
      <c r="K5374" s="3">
        <f t="shared" si="166"/>
        <v>6.5</v>
      </c>
      <c r="L5374" s="3">
        <f t="shared" si="167"/>
        <v>6.7770000000000001</v>
      </c>
    </row>
    <row r="5375" spans="1:12" x14ac:dyDescent="0.3">
      <c r="A5375" s="2">
        <v>41892</v>
      </c>
      <c r="B5375" t="s">
        <v>13</v>
      </c>
      <c r="D5375" s="2">
        <v>42623</v>
      </c>
      <c r="E5375">
        <v>6.5</v>
      </c>
      <c r="G5375" s="2">
        <v>42623</v>
      </c>
      <c r="H5375">
        <v>6.7990000000000004</v>
      </c>
      <c r="J5375" s="2">
        <v>42630</v>
      </c>
      <c r="K5375" s="3">
        <f t="shared" si="166"/>
        <v>6.5</v>
      </c>
      <c r="L5375" s="3">
        <f t="shared" si="167"/>
        <v>6.7770000000000001</v>
      </c>
    </row>
    <row r="5376" spans="1:12" x14ac:dyDescent="0.3">
      <c r="A5376" s="2">
        <v>41893</v>
      </c>
      <c r="B5376" t="s">
        <v>13</v>
      </c>
      <c r="D5376" s="2">
        <v>42624</v>
      </c>
      <c r="E5376">
        <v>6.5</v>
      </c>
      <c r="G5376" s="2">
        <v>42624</v>
      </c>
      <c r="H5376">
        <v>6.7990000000000004</v>
      </c>
      <c r="J5376" s="2">
        <v>42631</v>
      </c>
      <c r="K5376" s="3">
        <f t="shared" si="166"/>
        <v>6.5</v>
      </c>
      <c r="L5376" s="3">
        <f t="shared" si="167"/>
        <v>6.7770000000000001</v>
      </c>
    </row>
    <row r="5377" spans="1:12" x14ac:dyDescent="0.3">
      <c r="A5377" s="2">
        <v>41894</v>
      </c>
      <c r="B5377" t="s">
        <v>13</v>
      </c>
      <c r="D5377" s="2">
        <v>42625</v>
      </c>
      <c r="E5377">
        <v>6.5</v>
      </c>
      <c r="G5377" s="2">
        <v>42625</v>
      </c>
      <c r="H5377">
        <v>6.8</v>
      </c>
      <c r="J5377" s="2">
        <v>42632</v>
      </c>
      <c r="K5377" s="3">
        <f t="shared" si="166"/>
        <v>6.5</v>
      </c>
      <c r="L5377" s="3">
        <f t="shared" si="167"/>
        <v>6.7690000000000001</v>
      </c>
    </row>
    <row r="5378" spans="1:12" x14ac:dyDescent="0.3">
      <c r="A5378" s="2">
        <v>41895</v>
      </c>
      <c r="B5378" t="s">
        <v>13</v>
      </c>
      <c r="D5378" s="2">
        <v>42626</v>
      </c>
      <c r="E5378">
        <v>6.5</v>
      </c>
      <c r="G5378" s="2">
        <v>42626</v>
      </c>
      <c r="H5378">
        <v>6.7969999999999997</v>
      </c>
      <c r="J5378" s="2">
        <v>42633</v>
      </c>
      <c r="K5378" s="3">
        <f t="shared" si="166"/>
        <v>6.5</v>
      </c>
      <c r="L5378" s="3">
        <f t="shared" si="167"/>
        <v>6.7750000000000004</v>
      </c>
    </row>
    <row r="5379" spans="1:12" x14ac:dyDescent="0.3">
      <c r="A5379" s="2">
        <v>41896</v>
      </c>
      <c r="B5379" t="s">
        <v>13</v>
      </c>
      <c r="D5379" s="2">
        <v>42627</v>
      </c>
      <c r="E5379">
        <v>6.5</v>
      </c>
      <c r="G5379" s="2">
        <v>42627</v>
      </c>
      <c r="H5379">
        <v>6.7990000000000004</v>
      </c>
      <c r="J5379" s="2">
        <v>42634</v>
      </c>
      <c r="K5379" s="3">
        <f t="shared" ref="K5379:K5442" si="168">E5386</f>
        <v>6.5</v>
      </c>
      <c r="L5379" s="3">
        <f t="shared" ref="L5379:L5442" si="169">H5386</f>
        <v>6.7629999999999999</v>
      </c>
    </row>
    <row r="5380" spans="1:12" x14ac:dyDescent="0.3">
      <c r="A5380" s="2">
        <v>41897</v>
      </c>
      <c r="B5380" t="s">
        <v>13</v>
      </c>
      <c r="D5380" s="2">
        <v>42628</v>
      </c>
      <c r="E5380">
        <v>6.5</v>
      </c>
      <c r="G5380" s="2">
        <v>42628</v>
      </c>
      <c r="H5380">
        <v>6.7969999999999997</v>
      </c>
      <c r="J5380" s="2">
        <v>42635</v>
      </c>
      <c r="K5380" s="3">
        <f t="shared" si="168"/>
        <v>6.5</v>
      </c>
      <c r="L5380" s="3">
        <f t="shared" si="169"/>
        <v>6.7329999999999997</v>
      </c>
    </row>
    <row r="5381" spans="1:12" x14ac:dyDescent="0.3">
      <c r="A5381" s="2">
        <v>41898</v>
      </c>
      <c r="B5381" t="s">
        <v>13</v>
      </c>
      <c r="D5381" s="2">
        <v>42629</v>
      </c>
      <c r="E5381">
        <v>6.5</v>
      </c>
      <c r="G5381" s="2">
        <v>42629</v>
      </c>
      <c r="H5381">
        <v>6.7770000000000001</v>
      </c>
      <c r="J5381" s="2">
        <v>42636</v>
      </c>
      <c r="K5381" s="3">
        <f t="shared" si="168"/>
        <v>6.5</v>
      </c>
      <c r="L5381" s="3">
        <f t="shared" si="169"/>
        <v>6.702</v>
      </c>
    </row>
    <row r="5382" spans="1:12" x14ac:dyDescent="0.3">
      <c r="A5382" s="2">
        <v>41899</v>
      </c>
      <c r="B5382" t="s">
        <v>13</v>
      </c>
      <c r="D5382" s="2">
        <v>42630</v>
      </c>
      <c r="E5382">
        <v>6.5</v>
      </c>
      <c r="G5382" s="2">
        <v>42630</v>
      </c>
      <c r="H5382">
        <v>6.7770000000000001</v>
      </c>
      <c r="J5382" s="2">
        <v>42637</v>
      </c>
      <c r="K5382" s="3">
        <f t="shared" si="168"/>
        <v>6.5</v>
      </c>
      <c r="L5382" s="3">
        <f t="shared" si="169"/>
        <v>6.702</v>
      </c>
    </row>
    <row r="5383" spans="1:12" x14ac:dyDescent="0.3">
      <c r="A5383" s="2">
        <v>41900</v>
      </c>
      <c r="B5383" t="s">
        <v>13</v>
      </c>
      <c r="D5383" s="2">
        <v>42631</v>
      </c>
      <c r="E5383">
        <v>6.5</v>
      </c>
      <c r="G5383" s="2">
        <v>42631</v>
      </c>
      <c r="H5383">
        <v>6.7770000000000001</v>
      </c>
      <c r="J5383" s="2">
        <v>42638</v>
      </c>
      <c r="K5383" s="3">
        <f t="shared" si="168"/>
        <v>6.5</v>
      </c>
      <c r="L5383" s="3">
        <f t="shared" si="169"/>
        <v>6.702</v>
      </c>
    </row>
    <row r="5384" spans="1:12" x14ac:dyDescent="0.3">
      <c r="A5384" s="2">
        <v>41901</v>
      </c>
      <c r="B5384" t="s">
        <v>13</v>
      </c>
      <c r="D5384" s="2">
        <v>42632</v>
      </c>
      <c r="E5384">
        <v>6.5</v>
      </c>
      <c r="G5384" s="2">
        <v>42632</v>
      </c>
      <c r="H5384">
        <v>6.7690000000000001</v>
      </c>
      <c r="J5384" s="2">
        <v>42639</v>
      </c>
      <c r="K5384" s="3">
        <f t="shared" si="168"/>
        <v>6.5</v>
      </c>
      <c r="L5384" s="3">
        <f t="shared" si="169"/>
        <v>6.673</v>
      </c>
    </row>
    <row r="5385" spans="1:12" x14ac:dyDescent="0.3">
      <c r="A5385" s="2">
        <v>41902</v>
      </c>
      <c r="B5385" t="s">
        <v>13</v>
      </c>
      <c r="D5385" s="2">
        <v>42633</v>
      </c>
      <c r="E5385">
        <v>6.5</v>
      </c>
      <c r="G5385" s="2">
        <v>42633</v>
      </c>
      <c r="H5385">
        <v>6.7750000000000004</v>
      </c>
      <c r="J5385" s="2">
        <v>42640</v>
      </c>
      <c r="K5385" s="3">
        <f t="shared" si="168"/>
        <v>6.5</v>
      </c>
      <c r="L5385" s="3">
        <f t="shared" si="169"/>
        <v>6.6680000000000001</v>
      </c>
    </row>
    <row r="5386" spans="1:12" x14ac:dyDescent="0.3">
      <c r="A5386" s="2">
        <v>41903</v>
      </c>
      <c r="B5386" t="s">
        <v>13</v>
      </c>
      <c r="D5386" s="2">
        <v>42634</v>
      </c>
      <c r="E5386">
        <v>6.5</v>
      </c>
      <c r="G5386" s="2">
        <v>42634</v>
      </c>
      <c r="H5386">
        <v>6.7629999999999999</v>
      </c>
      <c r="J5386" s="2">
        <v>42641</v>
      </c>
      <c r="K5386" s="3">
        <f t="shared" si="168"/>
        <v>6.5</v>
      </c>
      <c r="L5386" s="3">
        <f t="shared" si="169"/>
        <v>6.6639999999999997</v>
      </c>
    </row>
    <row r="5387" spans="1:12" x14ac:dyDescent="0.3">
      <c r="A5387" s="2">
        <v>41904</v>
      </c>
      <c r="B5387" t="s">
        <v>13</v>
      </c>
      <c r="D5387" s="2">
        <v>42635</v>
      </c>
      <c r="E5387">
        <v>6.5</v>
      </c>
      <c r="G5387" s="2">
        <v>42635</v>
      </c>
      <c r="H5387">
        <v>6.7329999999999997</v>
      </c>
      <c r="J5387" s="2">
        <v>42642</v>
      </c>
      <c r="K5387" s="3">
        <f t="shared" si="168"/>
        <v>6.5</v>
      </c>
      <c r="L5387" s="3">
        <f t="shared" si="169"/>
        <v>6.6980000000000004</v>
      </c>
    </row>
    <row r="5388" spans="1:12" x14ac:dyDescent="0.3">
      <c r="A5388" s="2">
        <v>41905</v>
      </c>
      <c r="B5388" t="s">
        <v>13</v>
      </c>
      <c r="D5388" s="2">
        <v>42636</v>
      </c>
      <c r="E5388">
        <v>6.5</v>
      </c>
      <c r="G5388" s="2">
        <v>42636</v>
      </c>
      <c r="H5388">
        <v>6.702</v>
      </c>
      <c r="J5388" s="2">
        <v>42643</v>
      </c>
      <c r="K5388" s="3">
        <f t="shared" si="168"/>
        <v>6.5</v>
      </c>
      <c r="L5388" s="3">
        <f t="shared" si="169"/>
        <v>6.6859999999999999</v>
      </c>
    </row>
    <row r="5389" spans="1:12" x14ac:dyDescent="0.3">
      <c r="A5389" s="2">
        <v>41906</v>
      </c>
      <c r="B5389" t="s">
        <v>13</v>
      </c>
      <c r="D5389" s="2">
        <v>42637</v>
      </c>
      <c r="E5389">
        <v>6.5</v>
      </c>
      <c r="G5389" s="2">
        <v>42637</v>
      </c>
      <c r="H5389">
        <v>6.702</v>
      </c>
      <c r="J5389" s="2">
        <v>42644</v>
      </c>
      <c r="K5389" s="3">
        <f t="shared" si="168"/>
        <v>6.5</v>
      </c>
      <c r="L5389" s="3">
        <f t="shared" si="169"/>
        <v>6.6859999999999999</v>
      </c>
    </row>
    <row r="5390" spans="1:12" x14ac:dyDescent="0.3">
      <c r="A5390" s="2">
        <v>41907</v>
      </c>
      <c r="B5390" t="s">
        <v>13</v>
      </c>
      <c r="D5390" s="2">
        <v>42638</v>
      </c>
      <c r="E5390">
        <v>6.5</v>
      </c>
      <c r="G5390" s="2">
        <v>42638</v>
      </c>
      <c r="H5390">
        <v>6.702</v>
      </c>
      <c r="J5390" s="2">
        <v>42645</v>
      </c>
      <c r="K5390" s="3">
        <f t="shared" si="168"/>
        <v>6.5</v>
      </c>
      <c r="L5390" s="3">
        <f t="shared" si="169"/>
        <v>6.6859999999999999</v>
      </c>
    </row>
    <row r="5391" spans="1:12" x14ac:dyDescent="0.3">
      <c r="A5391" s="2">
        <v>41908</v>
      </c>
      <c r="B5391" t="s">
        <v>13</v>
      </c>
      <c r="D5391" s="2">
        <v>42639</v>
      </c>
      <c r="E5391">
        <v>6.5</v>
      </c>
      <c r="G5391" s="2">
        <v>42639</v>
      </c>
      <c r="H5391">
        <v>6.673</v>
      </c>
      <c r="J5391" s="2">
        <v>42646</v>
      </c>
      <c r="K5391" s="3">
        <f t="shared" si="168"/>
        <v>6.5</v>
      </c>
      <c r="L5391" s="3">
        <f t="shared" si="169"/>
        <v>6.649</v>
      </c>
    </row>
    <row r="5392" spans="1:12" x14ac:dyDescent="0.3">
      <c r="A5392" s="2">
        <v>41909</v>
      </c>
      <c r="B5392" t="s">
        <v>13</v>
      </c>
      <c r="D5392" s="2">
        <v>42640</v>
      </c>
      <c r="E5392">
        <v>6.5</v>
      </c>
      <c r="G5392" s="2">
        <v>42640</v>
      </c>
      <c r="H5392">
        <v>6.6680000000000001</v>
      </c>
      <c r="J5392" s="2">
        <v>42647</v>
      </c>
      <c r="K5392" s="3">
        <f t="shared" si="168"/>
        <v>6.5</v>
      </c>
      <c r="L5392" s="3">
        <f t="shared" si="169"/>
        <v>6.59</v>
      </c>
    </row>
    <row r="5393" spans="1:12" x14ac:dyDescent="0.3">
      <c r="A5393" s="2">
        <v>41910</v>
      </c>
      <c r="B5393" t="s">
        <v>13</v>
      </c>
      <c r="D5393" s="2">
        <v>42641</v>
      </c>
      <c r="E5393">
        <v>6.5</v>
      </c>
      <c r="G5393" s="2">
        <v>42641</v>
      </c>
      <c r="H5393">
        <v>6.6639999999999997</v>
      </c>
      <c r="J5393" s="2">
        <v>42648</v>
      </c>
      <c r="K5393" s="3">
        <f t="shared" si="168"/>
        <v>6.25</v>
      </c>
      <c r="L5393" s="3">
        <f t="shared" si="169"/>
        <v>6.5810000000000004</v>
      </c>
    </row>
    <row r="5394" spans="1:12" x14ac:dyDescent="0.3">
      <c r="A5394" s="2">
        <v>41911</v>
      </c>
      <c r="B5394" t="s">
        <v>13</v>
      </c>
      <c r="D5394" s="2">
        <v>42642</v>
      </c>
      <c r="E5394">
        <v>6.5</v>
      </c>
      <c r="G5394" s="2">
        <v>42642</v>
      </c>
      <c r="H5394">
        <v>6.6980000000000004</v>
      </c>
      <c r="J5394" s="2">
        <v>42649</v>
      </c>
      <c r="K5394" s="3">
        <f t="shared" si="168"/>
        <v>6.25</v>
      </c>
      <c r="L5394" s="3">
        <f t="shared" si="169"/>
        <v>6.5709999999999997</v>
      </c>
    </row>
    <row r="5395" spans="1:12" x14ac:dyDescent="0.3">
      <c r="A5395" s="2">
        <v>41912</v>
      </c>
      <c r="B5395" t="s">
        <v>13</v>
      </c>
      <c r="D5395" s="2">
        <v>42643</v>
      </c>
      <c r="E5395">
        <v>6.5</v>
      </c>
      <c r="G5395" s="2">
        <v>42643</v>
      </c>
      <c r="H5395">
        <v>6.6859999999999999</v>
      </c>
      <c r="J5395" s="2">
        <v>42650</v>
      </c>
      <c r="K5395" s="3">
        <f t="shared" si="168"/>
        <v>6.25</v>
      </c>
      <c r="L5395" s="3">
        <f t="shared" si="169"/>
        <v>6.5359999999999996</v>
      </c>
    </row>
    <row r="5396" spans="1:12" x14ac:dyDescent="0.3">
      <c r="A5396" s="2">
        <v>41913</v>
      </c>
      <c r="B5396" t="s">
        <v>13</v>
      </c>
      <c r="D5396" s="2">
        <v>42644</v>
      </c>
      <c r="E5396">
        <v>6.5</v>
      </c>
      <c r="G5396" s="2">
        <v>42644</v>
      </c>
      <c r="H5396">
        <v>6.6859999999999999</v>
      </c>
      <c r="J5396" s="2">
        <v>42651</v>
      </c>
      <c r="K5396" s="3">
        <f t="shared" si="168"/>
        <v>6.25</v>
      </c>
      <c r="L5396" s="3">
        <f t="shared" si="169"/>
        <v>6.5359999999999996</v>
      </c>
    </row>
    <row r="5397" spans="1:12" x14ac:dyDescent="0.3">
      <c r="A5397" s="2">
        <v>41914</v>
      </c>
      <c r="B5397" t="s">
        <v>13</v>
      </c>
      <c r="D5397" s="2">
        <v>42645</v>
      </c>
      <c r="E5397">
        <v>6.5</v>
      </c>
      <c r="G5397" s="2">
        <v>42645</v>
      </c>
      <c r="H5397">
        <v>6.6859999999999999</v>
      </c>
      <c r="J5397" s="2">
        <v>42652</v>
      </c>
      <c r="K5397" s="3">
        <f t="shared" si="168"/>
        <v>6.25</v>
      </c>
      <c r="L5397" s="3">
        <f t="shared" si="169"/>
        <v>6.5359999999999996</v>
      </c>
    </row>
    <row r="5398" spans="1:12" x14ac:dyDescent="0.3">
      <c r="A5398" s="2">
        <v>41915</v>
      </c>
      <c r="B5398" t="s">
        <v>13</v>
      </c>
      <c r="D5398" s="2">
        <v>42646</v>
      </c>
      <c r="E5398">
        <v>6.5</v>
      </c>
      <c r="G5398" s="2">
        <v>42646</v>
      </c>
      <c r="H5398">
        <v>6.649</v>
      </c>
      <c r="J5398" s="2">
        <v>42653</v>
      </c>
      <c r="K5398" s="3">
        <f t="shared" si="168"/>
        <v>6.25</v>
      </c>
      <c r="L5398" s="3">
        <f t="shared" si="169"/>
        <v>6.5069999999999997</v>
      </c>
    </row>
    <row r="5399" spans="1:12" x14ac:dyDescent="0.3">
      <c r="A5399" s="2">
        <v>41916</v>
      </c>
      <c r="B5399" t="s">
        <v>13</v>
      </c>
      <c r="D5399" s="2">
        <v>42647</v>
      </c>
      <c r="E5399">
        <v>6.5</v>
      </c>
      <c r="G5399" s="2">
        <v>42647</v>
      </c>
      <c r="H5399">
        <v>6.59</v>
      </c>
      <c r="J5399" s="2">
        <v>42654</v>
      </c>
      <c r="K5399" s="3">
        <f t="shared" si="168"/>
        <v>6.25</v>
      </c>
      <c r="L5399" s="3">
        <f t="shared" si="169"/>
        <v>6.5069999999999997</v>
      </c>
    </row>
    <row r="5400" spans="1:12" x14ac:dyDescent="0.3">
      <c r="A5400" s="2">
        <v>41917</v>
      </c>
      <c r="B5400" t="s">
        <v>13</v>
      </c>
      <c r="D5400" s="2">
        <v>42648</v>
      </c>
      <c r="E5400">
        <v>6.25</v>
      </c>
      <c r="G5400" s="2">
        <v>42648</v>
      </c>
      <c r="H5400">
        <v>6.5810000000000004</v>
      </c>
      <c r="J5400" s="2">
        <v>42655</v>
      </c>
      <c r="K5400" s="3">
        <f t="shared" si="168"/>
        <v>6.25</v>
      </c>
      <c r="L5400" s="3">
        <f t="shared" si="169"/>
        <v>6.5069999999999997</v>
      </c>
    </row>
    <row r="5401" spans="1:12" x14ac:dyDescent="0.3">
      <c r="A5401" s="2">
        <v>41918</v>
      </c>
      <c r="B5401" t="s">
        <v>13</v>
      </c>
      <c r="D5401" s="2">
        <v>42649</v>
      </c>
      <c r="E5401">
        <v>6.25</v>
      </c>
      <c r="G5401" s="2">
        <v>42649</v>
      </c>
      <c r="H5401">
        <v>6.5709999999999997</v>
      </c>
      <c r="J5401" s="2">
        <v>42656</v>
      </c>
      <c r="K5401" s="3">
        <f t="shared" si="168"/>
        <v>6.25</v>
      </c>
      <c r="L5401" s="3">
        <f t="shared" si="169"/>
        <v>6.5419999999999998</v>
      </c>
    </row>
    <row r="5402" spans="1:12" x14ac:dyDescent="0.3">
      <c r="A5402" s="2">
        <v>41919</v>
      </c>
      <c r="B5402" t="s">
        <v>13</v>
      </c>
      <c r="D5402" s="2">
        <v>42650</v>
      </c>
      <c r="E5402">
        <v>6.25</v>
      </c>
      <c r="G5402" s="2">
        <v>42650</v>
      </c>
      <c r="H5402">
        <v>6.5359999999999996</v>
      </c>
      <c r="J5402" s="2">
        <v>42657</v>
      </c>
      <c r="K5402" s="3">
        <f t="shared" si="168"/>
        <v>6.25</v>
      </c>
      <c r="L5402" s="3">
        <f t="shared" si="169"/>
        <v>6.52</v>
      </c>
    </row>
    <row r="5403" spans="1:12" x14ac:dyDescent="0.3">
      <c r="A5403" s="2">
        <v>41920</v>
      </c>
      <c r="B5403" t="s">
        <v>13</v>
      </c>
      <c r="D5403" s="2">
        <v>42651</v>
      </c>
      <c r="E5403">
        <v>6.25</v>
      </c>
      <c r="G5403" s="2">
        <v>42651</v>
      </c>
      <c r="H5403">
        <v>6.5359999999999996</v>
      </c>
      <c r="J5403" s="2">
        <v>42658</v>
      </c>
      <c r="K5403" s="3">
        <f t="shared" si="168"/>
        <v>6.25</v>
      </c>
      <c r="L5403" s="3">
        <f t="shared" si="169"/>
        <v>6.52</v>
      </c>
    </row>
    <row r="5404" spans="1:12" x14ac:dyDescent="0.3">
      <c r="A5404" s="2">
        <v>41921</v>
      </c>
      <c r="B5404" t="s">
        <v>13</v>
      </c>
      <c r="D5404" s="2">
        <v>42652</v>
      </c>
      <c r="E5404">
        <v>6.25</v>
      </c>
      <c r="G5404" s="2">
        <v>42652</v>
      </c>
      <c r="H5404">
        <v>6.5359999999999996</v>
      </c>
      <c r="J5404" s="2">
        <v>42659</v>
      </c>
      <c r="K5404" s="3">
        <f t="shared" si="168"/>
        <v>6.25</v>
      </c>
      <c r="L5404" s="3">
        <f t="shared" si="169"/>
        <v>6.52</v>
      </c>
    </row>
    <row r="5405" spans="1:12" x14ac:dyDescent="0.3">
      <c r="A5405" s="2">
        <v>41922</v>
      </c>
      <c r="B5405" t="s">
        <v>13</v>
      </c>
      <c r="D5405" s="2">
        <v>42653</v>
      </c>
      <c r="E5405">
        <v>6.25</v>
      </c>
      <c r="G5405" s="2">
        <v>42653</v>
      </c>
      <c r="H5405">
        <v>6.5069999999999997</v>
      </c>
      <c r="J5405" s="2">
        <v>42660</v>
      </c>
      <c r="K5405" s="3">
        <f t="shared" si="168"/>
        <v>6.25</v>
      </c>
      <c r="L5405" s="3">
        <f t="shared" si="169"/>
        <v>6.5490000000000004</v>
      </c>
    </row>
    <row r="5406" spans="1:12" x14ac:dyDescent="0.3">
      <c r="A5406" s="2">
        <v>41923</v>
      </c>
      <c r="B5406" t="s">
        <v>13</v>
      </c>
      <c r="D5406" s="2">
        <v>42654</v>
      </c>
      <c r="E5406">
        <v>6.25</v>
      </c>
      <c r="G5406" s="2">
        <v>42654</v>
      </c>
      <c r="H5406">
        <v>6.5069999999999997</v>
      </c>
      <c r="J5406" s="2">
        <v>42661</v>
      </c>
      <c r="K5406" s="3">
        <f t="shared" si="168"/>
        <v>6.25</v>
      </c>
      <c r="L5406" s="3">
        <f t="shared" si="169"/>
        <v>6.5979999999999999</v>
      </c>
    </row>
    <row r="5407" spans="1:12" x14ac:dyDescent="0.3">
      <c r="A5407" s="2">
        <v>41924</v>
      </c>
      <c r="B5407" t="s">
        <v>13</v>
      </c>
      <c r="D5407" s="2">
        <v>42655</v>
      </c>
      <c r="E5407">
        <v>6.25</v>
      </c>
      <c r="G5407" s="2">
        <v>42655</v>
      </c>
      <c r="H5407">
        <v>6.5069999999999997</v>
      </c>
      <c r="J5407" s="2">
        <v>42662</v>
      </c>
      <c r="K5407" s="3">
        <f t="shared" si="168"/>
        <v>6.25</v>
      </c>
      <c r="L5407" s="3">
        <f t="shared" si="169"/>
        <v>6.6120000000000001</v>
      </c>
    </row>
    <row r="5408" spans="1:12" x14ac:dyDescent="0.3">
      <c r="A5408" s="2">
        <v>41925</v>
      </c>
      <c r="B5408" t="s">
        <v>13</v>
      </c>
      <c r="D5408" s="2">
        <v>42656</v>
      </c>
      <c r="E5408">
        <v>6.25</v>
      </c>
      <c r="G5408" s="2">
        <v>42656</v>
      </c>
      <c r="H5408">
        <v>6.5419999999999998</v>
      </c>
      <c r="J5408" s="2">
        <v>42663</v>
      </c>
      <c r="K5408" s="3">
        <f t="shared" si="168"/>
        <v>6.25</v>
      </c>
      <c r="L5408" s="3">
        <f t="shared" si="169"/>
        <v>6.5590000000000002</v>
      </c>
    </row>
    <row r="5409" spans="1:12" x14ac:dyDescent="0.3">
      <c r="A5409" s="2">
        <v>41926</v>
      </c>
      <c r="B5409" t="s">
        <v>13</v>
      </c>
      <c r="D5409" s="2">
        <v>42657</v>
      </c>
      <c r="E5409">
        <v>6.25</v>
      </c>
      <c r="G5409" s="2">
        <v>42657</v>
      </c>
      <c r="H5409">
        <v>6.52</v>
      </c>
      <c r="J5409" s="2">
        <v>42664</v>
      </c>
      <c r="K5409" s="3">
        <f t="shared" si="168"/>
        <v>6.25</v>
      </c>
      <c r="L5409" s="3">
        <f t="shared" si="169"/>
        <v>6.5549999999999997</v>
      </c>
    </row>
    <row r="5410" spans="1:12" x14ac:dyDescent="0.3">
      <c r="A5410" s="2">
        <v>41927</v>
      </c>
      <c r="B5410" t="s">
        <v>13</v>
      </c>
      <c r="D5410" s="2">
        <v>42658</v>
      </c>
      <c r="E5410">
        <v>6.25</v>
      </c>
      <c r="G5410" s="2">
        <v>42658</v>
      </c>
      <c r="H5410">
        <v>6.52</v>
      </c>
      <c r="J5410" s="2">
        <v>42665</v>
      </c>
      <c r="K5410" s="3">
        <f t="shared" si="168"/>
        <v>6.25</v>
      </c>
      <c r="L5410" s="3">
        <f t="shared" si="169"/>
        <v>6.5549999999999997</v>
      </c>
    </row>
    <row r="5411" spans="1:12" x14ac:dyDescent="0.3">
      <c r="A5411" s="2">
        <v>41928</v>
      </c>
      <c r="B5411" t="s">
        <v>13</v>
      </c>
      <c r="D5411" s="2">
        <v>42659</v>
      </c>
      <c r="E5411">
        <v>6.25</v>
      </c>
      <c r="G5411" s="2">
        <v>42659</v>
      </c>
      <c r="H5411">
        <v>6.52</v>
      </c>
      <c r="J5411" s="2">
        <v>42666</v>
      </c>
      <c r="K5411" s="3">
        <f t="shared" si="168"/>
        <v>6.25</v>
      </c>
      <c r="L5411" s="3">
        <f t="shared" si="169"/>
        <v>6.5549999999999997</v>
      </c>
    </row>
    <row r="5412" spans="1:12" x14ac:dyDescent="0.3">
      <c r="A5412" s="2">
        <v>41929</v>
      </c>
      <c r="B5412" t="s">
        <v>13</v>
      </c>
      <c r="D5412" s="2">
        <v>42660</v>
      </c>
      <c r="E5412">
        <v>6.25</v>
      </c>
      <c r="G5412" s="2">
        <v>42660</v>
      </c>
      <c r="H5412">
        <v>6.5490000000000004</v>
      </c>
      <c r="J5412" s="2">
        <v>42667</v>
      </c>
      <c r="K5412" s="3">
        <f t="shared" si="168"/>
        <v>6.25</v>
      </c>
      <c r="L5412" s="3">
        <f t="shared" si="169"/>
        <v>6.5469999999999997</v>
      </c>
    </row>
    <row r="5413" spans="1:12" x14ac:dyDescent="0.3">
      <c r="A5413" s="2">
        <v>41930</v>
      </c>
      <c r="B5413" t="s">
        <v>13</v>
      </c>
      <c r="D5413" s="2">
        <v>42661</v>
      </c>
      <c r="E5413">
        <v>6.25</v>
      </c>
      <c r="G5413" s="2">
        <v>42661</v>
      </c>
      <c r="H5413">
        <v>6.5979999999999999</v>
      </c>
      <c r="J5413" s="2">
        <v>42668</v>
      </c>
      <c r="K5413" s="3">
        <f t="shared" si="168"/>
        <v>6.25</v>
      </c>
      <c r="L5413" s="3">
        <f t="shared" si="169"/>
        <v>6.5510000000000002</v>
      </c>
    </row>
    <row r="5414" spans="1:12" x14ac:dyDescent="0.3">
      <c r="A5414" s="2">
        <v>41931</v>
      </c>
      <c r="B5414" t="s">
        <v>13</v>
      </c>
      <c r="D5414" s="2">
        <v>42662</v>
      </c>
      <c r="E5414">
        <v>6.25</v>
      </c>
      <c r="G5414" s="2">
        <v>42662</v>
      </c>
      <c r="H5414">
        <v>6.6120000000000001</v>
      </c>
      <c r="J5414" s="2">
        <v>42669</v>
      </c>
      <c r="K5414" s="3">
        <f t="shared" si="168"/>
        <v>6.25</v>
      </c>
      <c r="L5414" s="3">
        <f t="shared" si="169"/>
        <v>6.5359999999999996</v>
      </c>
    </row>
    <row r="5415" spans="1:12" x14ac:dyDescent="0.3">
      <c r="A5415" s="2">
        <v>41932</v>
      </c>
      <c r="B5415" t="s">
        <v>13</v>
      </c>
      <c r="D5415" s="2">
        <v>42663</v>
      </c>
      <c r="E5415">
        <v>6.25</v>
      </c>
      <c r="G5415" s="2">
        <v>42663</v>
      </c>
      <c r="H5415">
        <v>6.5590000000000002</v>
      </c>
      <c r="J5415" s="2">
        <v>42670</v>
      </c>
      <c r="K5415" s="3">
        <f t="shared" si="168"/>
        <v>6.25</v>
      </c>
      <c r="L5415" s="3">
        <f t="shared" si="169"/>
        <v>6.5389999999999997</v>
      </c>
    </row>
    <row r="5416" spans="1:12" x14ac:dyDescent="0.3">
      <c r="A5416" s="2">
        <v>41933</v>
      </c>
      <c r="B5416" t="s">
        <v>13</v>
      </c>
      <c r="D5416" s="2">
        <v>42664</v>
      </c>
      <c r="E5416">
        <v>6.25</v>
      </c>
      <c r="G5416" s="2">
        <v>42664</v>
      </c>
      <c r="H5416">
        <v>6.5549999999999997</v>
      </c>
      <c r="J5416" s="2">
        <v>42671</v>
      </c>
      <c r="K5416" s="3">
        <f t="shared" si="168"/>
        <v>6.25</v>
      </c>
      <c r="L5416" s="3">
        <f t="shared" si="169"/>
        <v>6.5129999999999999</v>
      </c>
    </row>
    <row r="5417" spans="1:12" x14ac:dyDescent="0.3">
      <c r="A5417" s="2">
        <v>41934</v>
      </c>
      <c r="B5417" t="s">
        <v>13</v>
      </c>
      <c r="D5417" s="2">
        <v>42665</v>
      </c>
      <c r="E5417">
        <v>6.25</v>
      </c>
      <c r="G5417" s="2">
        <v>42665</v>
      </c>
      <c r="H5417">
        <v>6.5549999999999997</v>
      </c>
      <c r="J5417" s="2">
        <v>42672</v>
      </c>
      <c r="K5417" s="3">
        <f t="shared" si="168"/>
        <v>6.25</v>
      </c>
      <c r="L5417" s="3">
        <f t="shared" si="169"/>
        <v>6.5129999999999999</v>
      </c>
    </row>
    <row r="5418" spans="1:12" x14ac:dyDescent="0.3">
      <c r="A5418" s="2">
        <v>41935</v>
      </c>
      <c r="B5418" t="s">
        <v>13</v>
      </c>
      <c r="D5418" s="2">
        <v>42666</v>
      </c>
      <c r="E5418">
        <v>6.25</v>
      </c>
      <c r="G5418" s="2">
        <v>42666</v>
      </c>
      <c r="H5418">
        <v>6.5549999999999997</v>
      </c>
      <c r="J5418" s="2">
        <v>42673</v>
      </c>
      <c r="K5418" s="3">
        <f t="shared" si="168"/>
        <v>6.25</v>
      </c>
      <c r="L5418" s="3">
        <f t="shared" si="169"/>
        <v>6.5129999999999999</v>
      </c>
    </row>
    <row r="5419" spans="1:12" x14ac:dyDescent="0.3">
      <c r="A5419" s="2">
        <v>41936</v>
      </c>
      <c r="B5419" t="s">
        <v>13</v>
      </c>
      <c r="D5419" s="2">
        <v>42667</v>
      </c>
      <c r="E5419">
        <v>6.25</v>
      </c>
      <c r="G5419" s="2">
        <v>42667</v>
      </c>
      <c r="H5419">
        <v>6.5469999999999997</v>
      </c>
      <c r="J5419" s="2">
        <v>42674</v>
      </c>
      <c r="K5419" s="3">
        <f t="shared" si="168"/>
        <v>6.25</v>
      </c>
      <c r="L5419" s="3">
        <f t="shared" si="169"/>
        <v>6.5129999999999999</v>
      </c>
    </row>
    <row r="5420" spans="1:12" x14ac:dyDescent="0.3">
      <c r="A5420" s="2">
        <v>41937</v>
      </c>
      <c r="B5420" t="s">
        <v>13</v>
      </c>
      <c r="D5420" s="2">
        <v>42668</v>
      </c>
      <c r="E5420">
        <v>6.25</v>
      </c>
      <c r="G5420" s="2">
        <v>42668</v>
      </c>
      <c r="H5420">
        <v>6.5510000000000002</v>
      </c>
      <c r="J5420" s="2">
        <v>42675</v>
      </c>
      <c r="K5420" s="3">
        <f t="shared" si="168"/>
        <v>6.25</v>
      </c>
      <c r="L5420" s="3">
        <f t="shared" si="169"/>
        <v>6.51</v>
      </c>
    </row>
    <row r="5421" spans="1:12" x14ac:dyDescent="0.3">
      <c r="A5421" s="2">
        <v>41938</v>
      </c>
      <c r="B5421" t="s">
        <v>13</v>
      </c>
      <c r="D5421" s="2">
        <v>42669</v>
      </c>
      <c r="E5421">
        <v>6.25</v>
      </c>
      <c r="G5421" s="2">
        <v>42669</v>
      </c>
      <c r="H5421">
        <v>6.5359999999999996</v>
      </c>
      <c r="J5421" s="2">
        <v>42676</v>
      </c>
      <c r="K5421" s="3">
        <f t="shared" si="168"/>
        <v>6.25</v>
      </c>
      <c r="L5421" s="3">
        <f t="shared" si="169"/>
        <v>6.5519999999999996</v>
      </c>
    </row>
    <row r="5422" spans="1:12" x14ac:dyDescent="0.3">
      <c r="A5422" s="2">
        <v>41939</v>
      </c>
      <c r="B5422" t="s">
        <v>13</v>
      </c>
      <c r="D5422" s="2">
        <v>42670</v>
      </c>
      <c r="E5422">
        <v>6.25</v>
      </c>
      <c r="G5422" s="2">
        <v>42670</v>
      </c>
      <c r="H5422">
        <v>6.5389999999999997</v>
      </c>
      <c r="J5422" s="2">
        <v>42677</v>
      </c>
      <c r="K5422" s="3">
        <f t="shared" si="168"/>
        <v>6.25</v>
      </c>
      <c r="L5422" s="3">
        <f t="shared" si="169"/>
        <v>6.5650000000000004</v>
      </c>
    </row>
    <row r="5423" spans="1:12" x14ac:dyDescent="0.3">
      <c r="A5423" s="2">
        <v>41940</v>
      </c>
      <c r="B5423" t="s">
        <v>13</v>
      </c>
      <c r="D5423" s="2">
        <v>42671</v>
      </c>
      <c r="E5423">
        <v>6.25</v>
      </c>
      <c r="G5423" s="2">
        <v>42671</v>
      </c>
      <c r="H5423">
        <v>6.5129999999999999</v>
      </c>
      <c r="J5423" s="2">
        <v>42678</v>
      </c>
      <c r="K5423" s="3">
        <f t="shared" si="168"/>
        <v>6.25</v>
      </c>
      <c r="L5423" s="3">
        <f t="shared" si="169"/>
        <v>6.5519999999999996</v>
      </c>
    </row>
    <row r="5424" spans="1:12" x14ac:dyDescent="0.3">
      <c r="A5424" s="2">
        <v>41941</v>
      </c>
      <c r="B5424" t="s">
        <v>13</v>
      </c>
      <c r="D5424" s="2">
        <v>42672</v>
      </c>
      <c r="E5424">
        <v>6.25</v>
      </c>
      <c r="G5424" s="2">
        <v>42672</v>
      </c>
      <c r="H5424">
        <v>6.5129999999999999</v>
      </c>
      <c r="J5424" s="2">
        <v>42679</v>
      </c>
      <c r="K5424" s="3">
        <f t="shared" si="168"/>
        <v>6.25</v>
      </c>
      <c r="L5424" s="3">
        <f t="shared" si="169"/>
        <v>6.5519999999999996</v>
      </c>
    </row>
    <row r="5425" spans="1:12" x14ac:dyDescent="0.3">
      <c r="A5425" s="2">
        <v>41942</v>
      </c>
      <c r="B5425" t="s">
        <v>13</v>
      </c>
      <c r="D5425" s="2">
        <v>42673</v>
      </c>
      <c r="E5425">
        <v>6.25</v>
      </c>
      <c r="G5425" s="2">
        <v>42673</v>
      </c>
      <c r="H5425">
        <v>6.5129999999999999</v>
      </c>
      <c r="J5425" s="2">
        <v>42680</v>
      </c>
      <c r="K5425" s="3">
        <f t="shared" si="168"/>
        <v>6.25</v>
      </c>
      <c r="L5425" s="3">
        <f t="shared" si="169"/>
        <v>6.5519999999999996</v>
      </c>
    </row>
    <row r="5426" spans="1:12" x14ac:dyDescent="0.3">
      <c r="A5426" s="2">
        <v>41943</v>
      </c>
      <c r="B5426" t="s">
        <v>13</v>
      </c>
      <c r="D5426" s="2">
        <v>42674</v>
      </c>
      <c r="E5426">
        <v>6.25</v>
      </c>
      <c r="G5426" s="2">
        <v>42674</v>
      </c>
      <c r="H5426">
        <v>6.5129999999999999</v>
      </c>
      <c r="J5426" s="2">
        <v>42681</v>
      </c>
      <c r="K5426" s="3">
        <f t="shared" si="168"/>
        <v>6.25</v>
      </c>
      <c r="L5426" s="3">
        <f t="shared" si="169"/>
        <v>6.5380000000000003</v>
      </c>
    </row>
    <row r="5427" spans="1:12" x14ac:dyDescent="0.3">
      <c r="A5427" s="2">
        <v>41944</v>
      </c>
      <c r="B5427" t="s">
        <v>13</v>
      </c>
      <c r="D5427" s="2">
        <v>42675</v>
      </c>
      <c r="E5427">
        <v>6.25</v>
      </c>
      <c r="G5427" s="2">
        <v>42675</v>
      </c>
      <c r="H5427">
        <v>6.51</v>
      </c>
      <c r="J5427" s="2">
        <v>42682</v>
      </c>
      <c r="K5427" s="3">
        <f t="shared" si="168"/>
        <v>6.25</v>
      </c>
      <c r="L5427" s="3">
        <f t="shared" si="169"/>
        <v>6.532</v>
      </c>
    </row>
    <row r="5428" spans="1:12" x14ac:dyDescent="0.3">
      <c r="A5428" s="2">
        <v>41945</v>
      </c>
      <c r="B5428" t="s">
        <v>13</v>
      </c>
      <c r="D5428" s="2">
        <v>42676</v>
      </c>
      <c r="E5428">
        <v>6.25</v>
      </c>
      <c r="G5428" s="2">
        <v>42676</v>
      </c>
      <c r="H5428">
        <v>6.5519999999999996</v>
      </c>
      <c r="J5428" s="2">
        <v>42683</v>
      </c>
      <c r="K5428" s="3">
        <f t="shared" si="168"/>
        <v>6.25</v>
      </c>
      <c r="L5428" s="3">
        <f t="shared" si="169"/>
        <v>6.4509999999999996</v>
      </c>
    </row>
    <row r="5429" spans="1:12" x14ac:dyDescent="0.3">
      <c r="A5429" s="2">
        <v>41946</v>
      </c>
      <c r="B5429" t="s">
        <v>13</v>
      </c>
      <c r="D5429" s="2">
        <v>42677</v>
      </c>
      <c r="E5429">
        <v>6.25</v>
      </c>
      <c r="G5429" s="2">
        <v>42677</v>
      </c>
      <c r="H5429">
        <v>6.5650000000000004</v>
      </c>
      <c r="J5429" s="2">
        <v>42684</v>
      </c>
      <c r="K5429" s="3">
        <f t="shared" si="168"/>
        <v>6.25</v>
      </c>
      <c r="L5429" s="3">
        <f t="shared" si="169"/>
        <v>6.4390000000000001</v>
      </c>
    </row>
    <row r="5430" spans="1:12" x14ac:dyDescent="0.3">
      <c r="A5430" s="2">
        <v>41947</v>
      </c>
      <c r="B5430" t="s">
        <v>13</v>
      </c>
      <c r="D5430" s="2">
        <v>42678</v>
      </c>
      <c r="E5430">
        <v>6.25</v>
      </c>
      <c r="G5430" s="2">
        <v>42678</v>
      </c>
      <c r="H5430">
        <v>6.5519999999999996</v>
      </c>
      <c r="J5430" s="2">
        <v>42685</v>
      </c>
      <c r="K5430" s="3">
        <f t="shared" si="168"/>
        <v>6.25</v>
      </c>
      <c r="L5430" s="3">
        <f t="shared" si="169"/>
        <v>6.407</v>
      </c>
    </row>
    <row r="5431" spans="1:12" x14ac:dyDescent="0.3">
      <c r="A5431" s="2">
        <v>41948</v>
      </c>
      <c r="B5431" t="s">
        <v>13</v>
      </c>
      <c r="D5431" s="2">
        <v>42679</v>
      </c>
      <c r="E5431">
        <v>6.25</v>
      </c>
      <c r="G5431" s="2">
        <v>42679</v>
      </c>
      <c r="H5431">
        <v>6.5519999999999996</v>
      </c>
      <c r="J5431" s="2">
        <v>42686</v>
      </c>
      <c r="K5431" s="3">
        <f t="shared" si="168"/>
        <v>6.25</v>
      </c>
      <c r="L5431" s="3">
        <f t="shared" si="169"/>
        <v>6.407</v>
      </c>
    </row>
    <row r="5432" spans="1:12" x14ac:dyDescent="0.3">
      <c r="A5432" s="2">
        <v>41949</v>
      </c>
      <c r="B5432" t="s">
        <v>13</v>
      </c>
      <c r="D5432" s="2">
        <v>42680</v>
      </c>
      <c r="E5432">
        <v>6.25</v>
      </c>
      <c r="G5432" s="2">
        <v>42680</v>
      </c>
      <c r="H5432">
        <v>6.5519999999999996</v>
      </c>
      <c r="J5432" s="2">
        <v>42687</v>
      </c>
      <c r="K5432" s="3">
        <f t="shared" si="168"/>
        <v>6.25</v>
      </c>
      <c r="L5432" s="3">
        <f t="shared" si="169"/>
        <v>6.407</v>
      </c>
    </row>
    <row r="5433" spans="1:12" x14ac:dyDescent="0.3">
      <c r="A5433" s="2">
        <v>41950</v>
      </c>
      <c r="B5433" t="s">
        <v>13</v>
      </c>
      <c r="D5433" s="2">
        <v>42681</v>
      </c>
      <c r="E5433">
        <v>6.25</v>
      </c>
      <c r="G5433" s="2">
        <v>42681</v>
      </c>
      <c r="H5433">
        <v>6.5380000000000003</v>
      </c>
      <c r="J5433" s="2">
        <v>42688</v>
      </c>
      <c r="K5433" s="3">
        <f t="shared" si="168"/>
        <v>6.25</v>
      </c>
      <c r="L5433" s="3">
        <f t="shared" si="169"/>
        <v>6.407</v>
      </c>
    </row>
    <row r="5434" spans="1:12" x14ac:dyDescent="0.3">
      <c r="A5434" s="2">
        <v>41951</v>
      </c>
      <c r="B5434" t="s">
        <v>13</v>
      </c>
      <c r="D5434" s="2">
        <v>42682</v>
      </c>
      <c r="E5434">
        <v>6.25</v>
      </c>
      <c r="G5434" s="2">
        <v>42682</v>
      </c>
      <c r="H5434">
        <v>6.532</v>
      </c>
      <c r="J5434" s="2">
        <v>42689</v>
      </c>
      <c r="K5434" s="3">
        <f t="shared" si="168"/>
        <v>6.25</v>
      </c>
      <c r="L5434" s="3">
        <f t="shared" si="169"/>
        <v>6.2789999999999999</v>
      </c>
    </row>
    <row r="5435" spans="1:12" x14ac:dyDescent="0.3">
      <c r="A5435" s="2">
        <v>41952</v>
      </c>
      <c r="B5435" t="s">
        <v>13</v>
      </c>
      <c r="D5435" s="2">
        <v>42683</v>
      </c>
      <c r="E5435">
        <v>6.25</v>
      </c>
      <c r="G5435" s="2">
        <v>42683</v>
      </c>
      <c r="H5435">
        <v>6.4509999999999996</v>
      </c>
      <c r="J5435" s="2">
        <v>42690</v>
      </c>
      <c r="K5435" s="3">
        <f t="shared" si="168"/>
        <v>6.25</v>
      </c>
      <c r="L5435" s="3">
        <f t="shared" si="169"/>
        <v>6.3609999999999998</v>
      </c>
    </row>
    <row r="5436" spans="1:12" x14ac:dyDescent="0.3">
      <c r="A5436" s="2">
        <v>41953</v>
      </c>
      <c r="B5436" t="s">
        <v>13</v>
      </c>
      <c r="D5436" s="2">
        <v>42684</v>
      </c>
      <c r="E5436">
        <v>6.25</v>
      </c>
      <c r="G5436" s="2">
        <v>42684</v>
      </c>
      <c r="H5436">
        <v>6.4390000000000001</v>
      </c>
      <c r="J5436" s="2">
        <v>42691</v>
      </c>
      <c r="K5436" s="3">
        <f t="shared" si="168"/>
        <v>6.25</v>
      </c>
      <c r="L5436" s="3">
        <f t="shared" si="169"/>
        <v>6.1820000000000004</v>
      </c>
    </row>
    <row r="5437" spans="1:12" x14ac:dyDescent="0.3">
      <c r="A5437" s="2">
        <v>41954</v>
      </c>
      <c r="B5437" t="s">
        <v>13</v>
      </c>
      <c r="D5437" s="2">
        <v>42685</v>
      </c>
      <c r="E5437">
        <v>6.25</v>
      </c>
      <c r="G5437" s="2">
        <v>42685</v>
      </c>
      <c r="H5437">
        <v>6.407</v>
      </c>
      <c r="J5437" s="2">
        <v>42692</v>
      </c>
      <c r="K5437" s="3">
        <f t="shared" si="168"/>
        <v>6.25</v>
      </c>
      <c r="L5437" s="3">
        <f t="shared" si="169"/>
        <v>6.2060000000000004</v>
      </c>
    </row>
    <row r="5438" spans="1:12" x14ac:dyDescent="0.3">
      <c r="A5438" s="2">
        <v>41955</v>
      </c>
      <c r="B5438" t="s">
        <v>13</v>
      </c>
      <c r="D5438" s="2">
        <v>42686</v>
      </c>
      <c r="E5438">
        <v>6.25</v>
      </c>
      <c r="G5438" s="2">
        <v>42686</v>
      </c>
      <c r="H5438">
        <v>6.407</v>
      </c>
      <c r="J5438" s="2">
        <v>42693</v>
      </c>
      <c r="K5438" s="3">
        <f t="shared" si="168"/>
        <v>6.25</v>
      </c>
      <c r="L5438" s="3">
        <f t="shared" si="169"/>
        <v>6.2060000000000004</v>
      </c>
    </row>
    <row r="5439" spans="1:12" x14ac:dyDescent="0.3">
      <c r="A5439" s="2">
        <v>41956</v>
      </c>
      <c r="B5439" t="s">
        <v>13</v>
      </c>
      <c r="D5439" s="2">
        <v>42687</v>
      </c>
      <c r="E5439">
        <v>6.25</v>
      </c>
      <c r="G5439" s="2">
        <v>42687</v>
      </c>
      <c r="H5439">
        <v>6.407</v>
      </c>
      <c r="J5439" s="2">
        <v>42694</v>
      </c>
      <c r="K5439" s="3">
        <f t="shared" si="168"/>
        <v>6.25</v>
      </c>
      <c r="L5439" s="3">
        <f t="shared" si="169"/>
        <v>6.2060000000000004</v>
      </c>
    </row>
    <row r="5440" spans="1:12" x14ac:dyDescent="0.3">
      <c r="A5440" s="2">
        <v>41957</v>
      </c>
      <c r="B5440" t="s">
        <v>13</v>
      </c>
      <c r="D5440" s="2">
        <v>42688</v>
      </c>
      <c r="E5440">
        <v>6.25</v>
      </c>
      <c r="G5440" s="2">
        <v>42688</v>
      </c>
      <c r="H5440">
        <v>6.407</v>
      </c>
      <c r="J5440" s="2">
        <v>42695</v>
      </c>
      <c r="K5440" s="3">
        <f t="shared" si="168"/>
        <v>6.25</v>
      </c>
      <c r="L5440" s="3">
        <f t="shared" si="169"/>
        <v>6.1950000000000003</v>
      </c>
    </row>
    <row r="5441" spans="1:12" x14ac:dyDescent="0.3">
      <c r="A5441" s="2">
        <v>41958</v>
      </c>
      <c r="B5441" t="s">
        <v>13</v>
      </c>
      <c r="D5441" s="2">
        <v>42689</v>
      </c>
      <c r="E5441">
        <v>6.25</v>
      </c>
      <c r="G5441" s="2">
        <v>42689</v>
      </c>
      <c r="H5441">
        <v>6.2789999999999999</v>
      </c>
      <c r="J5441" s="2">
        <v>42696</v>
      </c>
      <c r="K5441" s="3">
        <f t="shared" si="168"/>
        <v>6.25</v>
      </c>
      <c r="L5441" s="3">
        <f t="shared" si="169"/>
        <v>6.181</v>
      </c>
    </row>
    <row r="5442" spans="1:12" x14ac:dyDescent="0.3">
      <c r="A5442" s="2">
        <v>41959</v>
      </c>
      <c r="B5442" t="s">
        <v>13</v>
      </c>
      <c r="D5442" s="2">
        <v>42690</v>
      </c>
      <c r="E5442">
        <v>6.25</v>
      </c>
      <c r="G5442" s="2">
        <v>42690</v>
      </c>
      <c r="H5442">
        <v>6.3609999999999998</v>
      </c>
      <c r="J5442" s="2">
        <v>42697</v>
      </c>
      <c r="K5442" s="3">
        <f t="shared" si="168"/>
        <v>6.25</v>
      </c>
      <c r="L5442" s="3">
        <f t="shared" si="169"/>
        <v>6.1779999999999999</v>
      </c>
    </row>
    <row r="5443" spans="1:12" x14ac:dyDescent="0.3">
      <c r="A5443" s="2">
        <v>41960</v>
      </c>
      <c r="B5443" t="s">
        <v>13</v>
      </c>
      <c r="D5443" s="2">
        <v>42691</v>
      </c>
      <c r="E5443">
        <v>6.25</v>
      </c>
      <c r="G5443" s="2">
        <v>42691</v>
      </c>
      <c r="H5443">
        <v>6.1820000000000004</v>
      </c>
      <c r="J5443" s="2">
        <v>42698</v>
      </c>
      <c r="K5443" s="3">
        <f t="shared" ref="K5443:K5506" si="170">E5450</f>
        <v>6.25</v>
      </c>
      <c r="L5443" s="3">
        <f t="shared" ref="L5443:L5506" si="171">H5450</f>
        <v>6.0979999999999999</v>
      </c>
    </row>
    <row r="5444" spans="1:12" x14ac:dyDescent="0.3">
      <c r="A5444" s="2">
        <v>41961</v>
      </c>
      <c r="B5444" t="s">
        <v>13</v>
      </c>
      <c r="D5444" s="2">
        <v>42692</v>
      </c>
      <c r="E5444">
        <v>6.25</v>
      </c>
      <c r="G5444" s="2">
        <v>42692</v>
      </c>
      <c r="H5444">
        <v>6.2060000000000004</v>
      </c>
      <c r="J5444" s="2">
        <v>42699</v>
      </c>
      <c r="K5444" s="3">
        <f t="shared" si="170"/>
        <v>6.25</v>
      </c>
      <c r="L5444" s="3">
        <f t="shared" si="171"/>
        <v>6.1130000000000004</v>
      </c>
    </row>
    <row r="5445" spans="1:12" x14ac:dyDescent="0.3">
      <c r="A5445" s="2">
        <v>41962</v>
      </c>
      <c r="B5445" t="s">
        <v>13</v>
      </c>
      <c r="D5445" s="2">
        <v>42693</v>
      </c>
      <c r="E5445">
        <v>6.25</v>
      </c>
      <c r="G5445" s="2">
        <v>42693</v>
      </c>
      <c r="H5445">
        <v>6.2060000000000004</v>
      </c>
      <c r="J5445" s="2">
        <v>42700</v>
      </c>
      <c r="K5445" s="3">
        <f t="shared" si="170"/>
        <v>6.25</v>
      </c>
      <c r="L5445" s="3">
        <f t="shared" si="171"/>
        <v>6.1130000000000004</v>
      </c>
    </row>
    <row r="5446" spans="1:12" x14ac:dyDescent="0.3">
      <c r="A5446" s="2">
        <v>41963</v>
      </c>
      <c r="B5446" t="s">
        <v>13</v>
      </c>
      <c r="D5446" s="2">
        <v>42694</v>
      </c>
      <c r="E5446">
        <v>6.25</v>
      </c>
      <c r="G5446" s="2">
        <v>42694</v>
      </c>
      <c r="H5446">
        <v>6.2060000000000004</v>
      </c>
      <c r="J5446" s="2">
        <v>42701</v>
      </c>
      <c r="K5446" s="3">
        <f t="shared" si="170"/>
        <v>6.25</v>
      </c>
      <c r="L5446" s="3">
        <f t="shared" si="171"/>
        <v>6.1130000000000004</v>
      </c>
    </row>
    <row r="5447" spans="1:12" x14ac:dyDescent="0.3">
      <c r="A5447" s="2">
        <v>41964</v>
      </c>
      <c r="B5447" t="s">
        <v>13</v>
      </c>
      <c r="D5447" s="2">
        <v>42695</v>
      </c>
      <c r="E5447">
        <v>6.25</v>
      </c>
      <c r="G5447" s="2">
        <v>42695</v>
      </c>
      <c r="H5447">
        <v>6.1950000000000003</v>
      </c>
      <c r="J5447" s="2">
        <v>42702</v>
      </c>
      <c r="K5447" s="3">
        <f t="shared" si="170"/>
        <v>6.25</v>
      </c>
      <c r="L5447" s="3">
        <f t="shared" si="171"/>
        <v>6.2169999999999996</v>
      </c>
    </row>
    <row r="5448" spans="1:12" x14ac:dyDescent="0.3">
      <c r="A5448" s="2">
        <v>41965</v>
      </c>
      <c r="B5448" t="s">
        <v>13</v>
      </c>
      <c r="D5448" s="2">
        <v>42696</v>
      </c>
      <c r="E5448">
        <v>6.25</v>
      </c>
      <c r="G5448" s="2">
        <v>42696</v>
      </c>
      <c r="H5448">
        <v>6.181</v>
      </c>
      <c r="J5448" s="2">
        <v>42703</v>
      </c>
      <c r="K5448" s="3">
        <f t="shared" si="170"/>
        <v>6.25</v>
      </c>
      <c r="L5448" s="3">
        <f t="shared" si="171"/>
        <v>6.0380000000000003</v>
      </c>
    </row>
    <row r="5449" spans="1:12" x14ac:dyDescent="0.3">
      <c r="A5449" s="2">
        <v>41966</v>
      </c>
      <c r="B5449" t="s">
        <v>13</v>
      </c>
      <c r="D5449" s="2">
        <v>42697</v>
      </c>
      <c r="E5449">
        <v>6.25</v>
      </c>
      <c r="G5449" s="2">
        <v>42697</v>
      </c>
      <c r="H5449">
        <v>6.1779999999999999</v>
      </c>
      <c r="J5449" s="2">
        <v>42704</v>
      </c>
      <c r="K5449" s="3">
        <f t="shared" si="170"/>
        <v>6.25</v>
      </c>
      <c r="L5449" s="3">
        <f t="shared" si="171"/>
        <v>6.0730000000000004</v>
      </c>
    </row>
    <row r="5450" spans="1:12" x14ac:dyDescent="0.3">
      <c r="A5450" s="2">
        <v>41967</v>
      </c>
      <c r="B5450" t="s">
        <v>13</v>
      </c>
      <c r="D5450" s="2">
        <v>42698</v>
      </c>
      <c r="E5450">
        <v>6.25</v>
      </c>
      <c r="G5450" s="2">
        <v>42698</v>
      </c>
      <c r="H5450">
        <v>6.0979999999999999</v>
      </c>
      <c r="J5450" s="2">
        <v>42705</v>
      </c>
      <c r="K5450" s="3">
        <f t="shared" si="170"/>
        <v>6.25</v>
      </c>
      <c r="L5450" s="3">
        <f t="shared" si="171"/>
        <v>6.03</v>
      </c>
    </row>
    <row r="5451" spans="1:12" x14ac:dyDescent="0.3">
      <c r="A5451" s="2">
        <v>41968</v>
      </c>
      <c r="B5451" t="s">
        <v>13</v>
      </c>
      <c r="D5451" s="2">
        <v>42699</v>
      </c>
      <c r="E5451">
        <v>6.25</v>
      </c>
      <c r="G5451" s="2">
        <v>42699</v>
      </c>
      <c r="H5451">
        <v>6.1130000000000004</v>
      </c>
      <c r="J5451" s="2">
        <v>42706</v>
      </c>
      <c r="K5451" s="3">
        <f t="shared" si="170"/>
        <v>6.25</v>
      </c>
      <c r="L5451" s="3">
        <f t="shared" si="171"/>
        <v>6.0720000000000001</v>
      </c>
    </row>
    <row r="5452" spans="1:12" x14ac:dyDescent="0.3">
      <c r="A5452" s="2">
        <v>41969</v>
      </c>
      <c r="B5452" t="s">
        <v>13</v>
      </c>
      <c r="D5452" s="2">
        <v>42700</v>
      </c>
      <c r="E5452">
        <v>6.25</v>
      </c>
      <c r="G5452" s="2">
        <v>42700</v>
      </c>
      <c r="H5452">
        <v>6.1130000000000004</v>
      </c>
      <c r="J5452" s="2">
        <v>42707</v>
      </c>
      <c r="K5452" s="3">
        <f t="shared" si="170"/>
        <v>6.25</v>
      </c>
      <c r="L5452" s="3">
        <f t="shared" si="171"/>
        <v>6.0720000000000001</v>
      </c>
    </row>
    <row r="5453" spans="1:12" x14ac:dyDescent="0.3">
      <c r="A5453" s="2">
        <v>41970</v>
      </c>
      <c r="B5453" t="s">
        <v>13</v>
      </c>
      <c r="D5453" s="2">
        <v>42701</v>
      </c>
      <c r="E5453">
        <v>6.25</v>
      </c>
      <c r="G5453" s="2">
        <v>42701</v>
      </c>
      <c r="H5453">
        <v>6.1130000000000004</v>
      </c>
      <c r="J5453" s="2">
        <v>42708</v>
      </c>
      <c r="K5453" s="3">
        <f t="shared" si="170"/>
        <v>6.25</v>
      </c>
      <c r="L5453" s="3">
        <f t="shared" si="171"/>
        <v>6.0720000000000001</v>
      </c>
    </row>
    <row r="5454" spans="1:12" x14ac:dyDescent="0.3">
      <c r="A5454" s="2">
        <v>41971</v>
      </c>
      <c r="B5454" t="s">
        <v>13</v>
      </c>
      <c r="D5454" s="2">
        <v>42702</v>
      </c>
      <c r="E5454">
        <v>6.25</v>
      </c>
      <c r="G5454" s="2">
        <v>42702</v>
      </c>
      <c r="H5454">
        <v>6.2169999999999996</v>
      </c>
      <c r="J5454" s="2">
        <v>42709</v>
      </c>
      <c r="K5454" s="3">
        <f t="shared" si="170"/>
        <v>6.25</v>
      </c>
      <c r="L5454" s="3">
        <f t="shared" si="171"/>
        <v>6.2039999999999997</v>
      </c>
    </row>
    <row r="5455" spans="1:12" x14ac:dyDescent="0.3">
      <c r="A5455" s="2">
        <v>41972</v>
      </c>
      <c r="B5455" t="s">
        <v>13</v>
      </c>
      <c r="D5455" s="2">
        <v>42703</v>
      </c>
      <c r="E5455">
        <v>6.25</v>
      </c>
      <c r="G5455" s="2">
        <v>42703</v>
      </c>
      <c r="H5455">
        <v>6.0380000000000003</v>
      </c>
      <c r="J5455" s="2">
        <v>42710</v>
      </c>
      <c r="K5455" s="3">
        <f t="shared" si="170"/>
        <v>6.25</v>
      </c>
      <c r="L5455" s="3">
        <f t="shared" si="171"/>
        <v>6.1559999999999997</v>
      </c>
    </row>
    <row r="5456" spans="1:12" x14ac:dyDescent="0.3">
      <c r="A5456" s="2">
        <v>41973</v>
      </c>
      <c r="B5456" t="s">
        <v>13</v>
      </c>
      <c r="D5456" s="2">
        <v>42704</v>
      </c>
      <c r="E5456">
        <v>6.25</v>
      </c>
      <c r="G5456" s="2">
        <v>42704</v>
      </c>
      <c r="H5456">
        <v>6.0730000000000004</v>
      </c>
      <c r="J5456" s="2">
        <v>42711</v>
      </c>
      <c r="K5456" s="3">
        <f t="shared" si="170"/>
        <v>6.25</v>
      </c>
      <c r="L5456" s="3">
        <f t="shared" si="171"/>
        <v>6.0670000000000002</v>
      </c>
    </row>
    <row r="5457" spans="1:12" x14ac:dyDescent="0.3">
      <c r="A5457" s="2">
        <v>41974</v>
      </c>
      <c r="B5457" t="s">
        <v>13</v>
      </c>
      <c r="D5457" s="2">
        <v>42705</v>
      </c>
      <c r="E5457">
        <v>6.25</v>
      </c>
      <c r="G5457" s="2">
        <v>42705</v>
      </c>
      <c r="H5457">
        <v>6.03</v>
      </c>
      <c r="J5457" s="2">
        <v>42712</v>
      </c>
      <c r="K5457" s="3">
        <f t="shared" si="170"/>
        <v>6.25</v>
      </c>
      <c r="L5457" s="3">
        <f t="shared" si="171"/>
        <v>6.2779999999999996</v>
      </c>
    </row>
    <row r="5458" spans="1:12" x14ac:dyDescent="0.3">
      <c r="A5458" s="2">
        <v>41975</v>
      </c>
      <c r="B5458" t="s">
        <v>13</v>
      </c>
      <c r="D5458" s="2">
        <v>42706</v>
      </c>
      <c r="E5458">
        <v>6.25</v>
      </c>
      <c r="G5458" s="2">
        <v>42706</v>
      </c>
      <c r="H5458">
        <v>6.0720000000000001</v>
      </c>
      <c r="J5458" s="2">
        <v>42713</v>
      </c>
      <c r="K5458" s="3">
        <f t="shared" si="170"/>
        <v>6.25</v>
      </c>
      <c r="L5458" s="3">
        <f t="shared" si="171"/>
        <v>6.2750000000000004</v>
      </c>
    </row>
    <row r="5459" spans="1:12" x14ac:dyDescent="0.3">
      <c r="A5459" s="2">
        <v>41976</v>
      </c>
      <c r="B5459" t="s">
        <v>13</v>
      </c>
      <c r="D5459" s="2">
        <v>42707</v>
      </c>
      <c r="E5459">
        <v>6.25</v>
      </c>
      <c r="G5459" s="2">
        <v>42707</v>
      </c>
      <c r="H5459">
        <v>6.0720000000000001</v>
      </c>
      <c r="J5459" s="2">
        <v>42714</v>
      </c>
      <c r="K5459" s="3">
        <f t="shared" si="170"/>
        <v>6.25</v>
      </c>
      <c r="L5459" s="3">
        <f t="shared" si="171"/>
        <v>6.2750000000000004</v>
      </c>
    </row>
    <row r="5460" spans="1:12" x14ac:dyDescent="0.3">
      <c r="A5460" s="2">
        <v>41977</v>
      </c>
      <c r="B5460" t="s">
        <v>13</v>
      </c>
      <c r="D5460" s="2">
        <v>42708</v>
      </c>
      <c r="E5460">
        <v>6.25</v>
      </c>
      <c r="G5460" s="2">
        <v>42708</v>
      </c>
      <c r="H5460">
        <v>6.0720000000000001</v>
      </c>
      <c r="J5460" s="2">
        <v>42715</v>
      </c>
      <c r="K5460" s="3">
        <f t="shared" si="170"/>
        <v>6.25</v>
      </c>
      <c r="L5460" s="3">
        <f t="shared" si="171"/>
        <v>6.2750000000000004</v>
      </c>
    </row>
    <row r="5461" spans="1:12" x14ac:dyDescent="0.3">
      <c r="A5461" s="2">
        <v>41978</v>
      </c>
      <c r="B5461" t="s">
        <v>13</v>
      </c>
      <c r="D5461" s="2">
        <v>42709</v>
      </c>
      <c r="E5461">
        <v>6.25</v>
      </c>
      <c r="G5461" s="2">
        <v>42709</v>
      </c>
      <c r="H5461">
        <v>6.2039999999999997</v>
      </c>
      <c r="J5461" s="2">
        <v>42716</v>
      </c>
      <c r="K5461" s="3">
        <f t="shared" si="170"/>
        <v>6.25</v>
      </c>
      <c r="L5461" s="3">
        <f t="shared" si="171"/>
        <v>6.2750000000000004</v>
      </c>
    </row>
    <row r="5462" spans="1:12" x14ac:dyDescent="0.3">
      <c r="A5462" s="2">
        <v>41979</v>
      </c>
      <c r="B5462" t="s">
        <v>13</v>
      </c>
      <c r="D5462" s="2">
        <v>42710</v>
      </c>
      <c r="E5462">
        <v>6.25</v>
      </c>
      <c r="G5462" s="2">
        <v>42710</v>
      </c>
      <c r="H5462">
        <v>6.1559999999999997</v>
      </c>
      <c r="J5462" s="2">
        <v>42717</v>
      </c>
      <c r="K5462" s="3">
        <f t="shared" si="170"/>
        <v>6.25</v>
      </c>
      <c r="L5462" s="3">
        <f t="shared" si="171"/>
        <v>6.298</v>
      </c>
    </row>
    <row r="5463" spans="1:12" x14ac:dyDescent="0.3">
      <c r="A5463" s="2">
        <v>41980</v>
      </c>
      <c r="B5463" t="s">
        <v>13</v>
      </c>
      <c r="D5463" s="2">
        <v>42711</v>
      </c>
      <c r="E5463">
        <v>6.25</v>
      </c>
      <c r="G5463" s="2">
        <v>42711</v>
      </c>
      <c r="H5463">
        <v>6.0670000000000002</v>
      </c>
      <c r="J5463" s="2">
        <v>42718</v>
      </c>
      <c r="K5463" s="3">
        <f t="shared" si="170"/>
        <v>6.25</v>
      </c>
      <c r="L5463" s="3">
        <f t="shared" si="171"/>
        <v>6.2750000000000004</v>
      </c>
    </row>
    <row r="5464" spans="1:12" x14ac:dyDescent="0.3">
      <c r="A5464" s="2">
        <v>41981</v>
      </c>
      <c r="B5464" t="s">
        <v>13</v>
      </c>
      <c r="D5464" s="2">
        <v>42712</v>
      </c>
      <c r="E5464">
        <v>6.25</v>
      </c>
      <c r="G5464" s="2">
        <v>42712</v>
      </c>
      <c r="H5464">
        <v>6.2779999999999996</v>
      </c>
      <c r="J5464" s="2">
        <v>42719</v>
      </c>
      <c r="K5464" s="3">
        <f t="shared" si="170"/>
        <v>6.25</v>
      </c>
      <c r="L5464" s="3">
        <f t="shared" si="171"/>
        <v>6.3609999999999998</v>
      </c>
    </row>
    <row r="5465" spans="1:12" x14ac:dyDescent="0.3">
      <c r="A5465" s="2">
        <v>41982</v>
      </c>
      <c r="B5465" t="s">
        <v>13</v>
      </c>
      <c r="D5465" s="2">
        <v>42713</v>
      </c>
      <c r="E5465">
        <v>6.25</v>
      </c>
      <c r="G5465" s="2">
        <v>42713</v>
      </c>
      <c r="H5465">
        <v>6.2750000000000004</v>
      </c>
      <c r="J5465" s="2">
        <v>42720</v>
      </c>
      <c r="K5465" s="3">
        <f t="shared" si="170"/>
        <v>6.25</v>
      </c>
      <c r="L5465" s="3">
        <f t="shared" si="171"/>
        <v>6.3550000000000004</v>
      </c>
    </row>
    <row r="5466" spans="1:12" x14ac:dyDescent="0.3">
      <c r="A5466" s="2">
        <v>41983</v>
      </c>
      <c r="B5466" t="s">
        <v>13</v>
      </c>
      <c r="D5466" s="2">
        <v>42714</v>
      </c>
      <c r="E5466">
        <v>6.25</v>
      </c>
      <c r="G5466" s="2">
        <v>42714</v>
      </c>
      <c r="H5466">
        <v>6.2750000000000004</v>
      </c>
      <c r="J5466" s="2">
        <v>42721</v>
      </c>
      <c r="K5466" s="3">
        <f t="shared" si="170"/>
        <v>6.25</v>
      </c>
      <c r="L5466" s="3">
        <f t="shared" si="171"/>
        <v>6.3550000000000004</v>
      </c>
    </row>
    <row r="5467" spans="1:12" x14ac:dyDescent="0.3">
      <c r="A5467" s="2">
        <v>41984</v>
      </c>
      <c r="B5467" t="s">
        <v>13</v>
      </c>
      <c r="D5467" s="2">
        <v>42715</v>
      </c>
      <c r="E5467">
        <v>6.25</v>
      </c>
      <c r="G5467" s="2">
        <v>42715</v>
      </c>
      <c r="H5467">
        <v>6.2750000000000004</v>
      </c>
      <c r="J5467" s="2">
        <v>42722</v>
      </c>
      <c r="K5467" s="3">
        <f t="shared" si="170"/>
        <v>6.25</v>
      </c>
      <c r="L5467" s="3">
        <f t="shared" si="171"/>
        <v>6.3550000000000004</v>
      </c>
    </row>
    <row r="5468" spans="1:12" x14ac:dyDescent="0.3">
      <c r="A5468" s="2">
        <v>41985</v>
      </c>
      <c r="B5468" t="s">
        <v>13</v>
      </c>
      <c r="D5468" s="2">
        <v>42716</v>
      </c>
      <c r="E5468">
        <v>6.25</v>
      </c>
      <c r="G5468" s="2">
        <v>42716</v>
      </c>
      <c r="H5468">
        <v>6.2750000000000004</v>
      </c>
      <c r="J5468" s="2">
        <v>42723</v>
      </c>
      <c r="K5468" s="3">
        <f t="shared" si="170"/>
        <v>6.25</v>
      </c>
      <c r="L5468" s="3">
        <f t="shared" si="171"/>
        <v>6.3659999999999997</v>
      </c>
    </row>
    <row r="5469" spans="1:12" x14ac:dyDescent="0.3">
      <c r="A5469" s="2">
        <v>41986</v>
      </c>
      <c r="B5469" t="s">
        <v>13</v>
      </c>
      <c r="D5469" s="2">
        <v>42717</v>
      </c>
      <c r="E5469">
        <v>6.25</v>
      </c>
      <c r="G5469" s="2">
        <v>42717</v>
      </c>
      <c r="H5469">
        <v>6.298</v>
      </c>
      <c r="J5469" s="2">
        <v>42724</v>
      </c>
      <c r="K5469" s="3">
        <f t="shared" si="170"/>
        <v>6.25</v>
      </c>
      <c r="L5469" s="3">
        <f t="shared" si="171"/>
        <v>6.41</v>
      </c>
    </row>
    <row r="5470" spans="1:12" x14ac:dyDescent="0.3">
      <c r="A5470" s="2">
        <v>41987</v>
      </c>
      <c r="B5470" t="s">
        <v>13</v>
      </c>
      <c r="D5470" s="2">
        <v>42718</v>
      </c>
      <c r="E5470">
        <v>6.25</v>
      </c>
      <c r="G5470" s="2">
        <v>42718</v>
      </c>
      <c r="H5470">
        <v>6.2750000000000004</v>
      </c>
      <c r="J5470" s="2">
        <v>42725</v>
      </c>
      <c r="K5470" s="3">
        <f t="shared" si="170"/>
        <v>6.25</v>
      </c>
      <c r="L5470" s="3">
        <f t="shared" si="171"/>
        <v>6.4020000000000001</v>
      </c>
    </row>
    <row r="5471" spans="1:12" x14ac:dyDescent="0.3">
      <c r="A5471" s="2">
        <v>41988</v>
      </c>
      <c r="B5471" t="s">
        <v>13</v>
      </c>
      <c r="D5471" s="2">
        <v>42719</v>
      </c>
      <c r="E5471">
        <v>6.25</v>
      </c>
      <c r="G5471" s="2">
        <v>42719</v>
      </c>
      <c r="H5471">
        <v>6.3609999999999998</v>
      </c>
      <c r="J5471" s="2">
        <v>42726</v>
      </c>
      <c r="K5471" s="3">
        <f t="shared" si="170"/>
        <v>6.25</v>
      </c>
      <c r="L5471" s="3">
        <f t="shared" si="171"/>
        <v>6.39</v>
      </c>
    </row>
    <row r="5472" spans="1:12" x14ac:dyDescent="0.3">
      <c r="A5472" s="2">
        <v>41989</v>
      </c>
      <c r="B5472" t="s">
        <v>13</v>
      </c>
      <c r="D5472" s="2">
        <v>42720</v>
      </c>
      <c r="E5472">
        <v>6.25</v>
      </c>
      <c r="G5472" s="2">
        <v>42720</v>
      </c>
      <c r="H5472">
        <v>6.3550000000000004</v>
      </c>
      <c r="J5472" s="2">
        <v>42727</v>
      </c>
      <c r="K5472" s="3">
        <f t="shared" si="170"/>
        <v>6.25</v>
      </c>
      <c r="L5472" s="3">
        <f t="shared" si="171"/>
        <v>6.3949999999999996</v>
      </c>
    </row>
    <row r="5473" spans="1:12" x14ac:dyDescent="0.3">
      <c r="A5473" s="2">
        <v>41990</v>
      </c>
      <c r="B5473" t="s">
        <v>13</v>
      </c>
      <c r="D5473" s="2">
        <v>42721</v>
      </c>
      <c r="E5473">
        <v>6.25</v>
      </c>
      <c r="G5473" s="2">
        <v>42721</v>
      </c>
      <c r="H5473">
        <v>6.3550000000000004</v>
      </c>
      <c r="J5473" s="2">
        <v>42728</v>
      </c>
      <c r="K5473" s="3">
        <f t="shared" si="170"/>
        <v>6.25</v>
      </c>
      <c r="L5473" s="3">
        <f t="shared" si="171"/>
        <v>6.3949999999999996</v>
      </c>
    </row>
    <row r="5474" spans="1:12" x14ac:dyDescent="0.3">
      <c r="A5474" s="2">
        <v>41991</v>
      </c>
      <c r="B5474" t="s">
        <v>13</v>
      </c>
      <c r="D5474" s="2">
        <v>42722</v>
      </c>
      <c r="E5474">
        <v>6.25</v>
      </c>
      <c r="G5474" s="2">
        <v>42722</v>
      </c>
      <c r="H5474">
        <v>6.3550000000000004</v>
      </c>
      <c r="J5474" s="2">
        <v>42729</v>
      </c>
      <c r="K5474" s="3">
        <f t="shared" si="170"/>
        <v>6.25</v>
      </c>
      <c r="L5474" s="3">
        <f t="shared" si="171"/>
        <v>6.3949999999999996</v>
      </c>
    </row>
    <row r="5475" spans="1:12" x14ac:dyDescent="0.3">
      <c r="A5475" s="2">
        <v>41992</v>
      </c>
      <c r="B5475" t="s">
        <v>13</v>
      </c>
      <c r="D5475" s="2">
        <v>42723</v>
      </c>
      <c r="E5475">
        <v>6.25</v>
      </c>
      <c r="G5475" s="2">
        <v>42723</v>
      </c>
      <c r="H5475">
        <v>6.3659999999999997</v>
      </c>
      <c r="J5475" s="2">
        <v>42730</v>
      </c>
      <c r="K5475" s="3">
        <f t="shared" si="170"/>
        <v>6.25</v>
      </c>
      <c r="L5475" s="3">
        <f t="shared" si="171"/>
        <v>6.3929999999999998</v>
      </c>
    </row>
    <row r="5476" spans="1:12" x14ac:dyDescent="0.3">
      <c r="A5476" s="2">
        <v>41993</v>
      </c>
      <c r="B5476" t="s">
        <v>13</v>
      </c>
      <c r="D5476" s="2">
        <v>42724</v>
      </c>
      <c r="E5476">
        <v>6.25</v>
      </c>
      <c r="G5476" s="2">
        <v>42724</v>
      </c>
      <c r="H5476">
        <v>6.41</v>
      </c>
      <c r="J5476" s="2">
        <v>42731</v>
      </c>
      <c r="K5476" s="3">
        <f t="shared" si="170"/>
        <v>6.25</v>
      </c>
      <c r="L5476" s="3">
        <f t="shared" si="171"/>
        <v>6.4089999999999998</v>
      </c>
    </row>
    <row r="5477" spans="1:12" x14ac:dyDescent="0.3">
      <c r="A5477" s="2">
        <v>41994</v>
      </c>
      <c r="B5477" t="s">
        <v>13</v>
      </c>
      <c r="D5477" s="2">
        <v>42725</v>
      </c>
      <c r="E5477">
        <v>6.25</v>
      </c>
      <c r="G5477" s="2">
        <v>42725</v>
      </c>
      <c r="H5477">
        <v>6.4020000000000001</v>
      </c>
      <c r="J5477" s="2">
        <v>42732</v>
      </c>
      <c r="K5477" s="3">
        <f t="shared" si="170"/>
        <v>6.25</v>
      </c>
      <c r="L5477" s="3">
        <f t="shared" si="171"/>
        <v>6.4009999999999998</v>
      </c>
    </row>
    <row r="5478" spans="1:12" x14ac:dyDescent="0.3">
      <c r="A5478" s="2">
        <v>41995</v>
      </c>
      <c r="B5478" t="s">
        <v>13</v>
      </c>
      <c r="D5478" s="2">
        <v>42726</v>
      </c>
      <c r="E5478">
        <v>6.25</v>
      </c>
      <c r="G5478" s="2">
        <v>42726</v>
      </c>
      <c r="H5478">
        <v>6.39</v>
      </c>
      <c r="J5478" s="2">
        <v>42733</v>
      </c>
      <c r="K5478" s="3">
        <f t="shared" si="170"/>
        <v>6.25</v>
      </c>
      <c r="L5478" s="3">
        <f t="shared" si="171"/>
        <v>6.3650000000000002</v>
      </c>
    </row>
    <row r="5479" spans="1:12" x14ac:dyDescent="0.3">
      <c r="A5479" s="2">
        <v>41996</v>
      </c>
      <c r="B5479" t="s">
        <v>13</v>
      </c>
      <c r="D5479" s="2">
        <v>42727</v>
      </c>
      <c r="E5479">
        <v>6.25</v>
      </c>
      <c r="G5479" s="2">
        <v>42727</v>
      </c>
      <c r="H5479">
        <v>6.3949999999999996</v>
      </c>
      <c r="J5479" s="2">
        <v>42734</v>
      </c>
      <c r="K5479" s="3">
        <f t="shared" si="170"/>
        <v>6.25</v>
      </c>
      <c r="L5479" s="3">
        <f t="shared" si="171"/>
        <v>6.4080000000000004</v>
      </c>
    </row>
    <row r="5480" spans="1:12" x14ac:dyDescent="0.3">
      <c r="A5480" s="2">
        <v>41997</v>
      </c>
      <c r="B5480" t="s">
        <v>13</v>
      </c>
      <c r="D5480" s="2">
        <v>42728</v>
      </c>
      <c r="E5480">
        <v>6.25</v>
      </c>
      <c r="G5480" s="2">
        <v>42728</v>
      </c>
      <c r="H5480">
        <v>6.3949999999999996</v>
      </c>
      <c r="J5480" s="2">
        <v>42735</v>
      </c>
      <c r="K5480" s="3">
        <f t="shared" si="170"/>
        <v>6.25</v>
      </c>
      <c r="L5480" s="3">
        <f t="shared" si="171"/>
        <v>6.4080000000000004</v>
      </c>
    </row>
    <row r="5481" spans="1:12" x14ac:dyDescent="0.3">
      <c r="A5481" s="2">
        <v>41998</v>
      </c>
      <c r="B5481" t="s">
        <v>13</v>
      </c>
      <c r="D5481" s="2">
        <v>42729</v>
      </c>
      <c r="E5481">
        <v>6.25</v>
      </c>
      <c r="G5481" s="2">
        <v>42729</v>
      </c>
      <c r="H5481">
        <v>6.3949999999999996</v>
      </c>
      <c r="J5481" s="2">
        <v>42736</v>
      </c>
      <c r="K5481" s="3">
        <f t="shared" si="170"/>
        <v>6.25</v>
      </c>
      <c r="L5481" s="3">
        <f t="shared" si="171"/>
        <v>6.4080000000000004</v>
      </c>
    </row>
    <row r="5482" spans="1:12" x14ac:dyDescent="0.3">
      <c r="A5482" s="2">
        <v>41999</v>
      </c>
      <c r="B5482" t="s">
        <v>13</v>
      </c>
      <c r="D5482" s="2">
        <v>42730</v>
      </c>
      <c r="E5482">
        <v>6.25</v>
      </c>
      <c r="G5482" s="2">
        <v>42730</v>
      </c>
      <c r="H5482">
        <v>6.3929999999999998</v>
      </c>
      <c r="J5482" s="2">
        <v>42737</v>
      </c>
      <c r="K5482" s="3">
        <f t="shared" si="170"/>
        <v>6.25</v>
      </c>
      <c r="L5482" s="3">
        <f t="shared" si="171"/>
        <v>6.4169999999999998</v>
      </c>
    </row>
    <row r="5483" spans="1:12" x14ac:dyDescent="0.3">
      <c r="A5483" s="2">
        <v>42000</v>
      </c>
      <c r="B5483" t="s">
        <v>13</v>
      </c>
      <c r="D5483" s="2">
        <v>42731</v>
      </c>
      <c r="E5483">
        <v>6.25</v>
      </c>
      <c r="G5483" s="2">
        <v>42731</v>
      </c>
      <c r="H5483">
        <v>6.4089999999999998</v>
      </c>
      <c r="J5483" s="2">
        <v>42738</v>
      </c>
      <c r="K5483" s="3">
        <f t="shared" si="170"/>
        <v>6.25</v>
      </c>
      <c r="L5483" s="3">
        <f t="shared" si="171"/>
        <v>6.46</v>
      </c>
    </row>
    <row r="5484" spans="1:12" x14ac:dyDescent="0.3">
      <c r="A5484" s="2">
        <v>42001</v>
      </c>
      <c r="B5484" t="s">
        <v>13</v>
      </c>
      <c r="D5484" s="2">
        <v>42732</v>
      </c>
      <c r="E5484">
        <v>6.25</v>
      </c>
      <c r="G5484" s="2">
        <v>42732</v>
      </c>
      <c r="H5484">
        <v>6.4009999999999998</v>
      </c>
      <c r="J5484" s="2">
        <v>42739</v>
      </c>
      <c r="K5484" s="3">
        <f t="shared" si="170"/>
        <v>6.25</v>
      </c>
      <c r="L5484" s="3">
        <f t="shared" si="171"/>
        <v>6.2850000000000001</v>
      </c>
    </row>
    <row r="5485" spans="1:12" x14ac:dyDescent="0.3">
      <c r="A5485" s="2">
        <v>42002</v>
      </c>
      <c r="B5485" t="s">
        <v>13</v>
      </c>
      <c r="D5485" s="2">
        <v>42733</v>
      </c>
      <c r="E5485">
        <v>6.25</v>
      </c>
      <c r="G5485" s="2">
        <v>42733</v>
      </c>
      <c r="H5485">
        <v>6.3650000000000002</v>
      </c>
      <c r="J5485" s="2">
        <v>42740</v>
      </c>
      <c r="K5485" s="3">
        <f t="shared" si="170"/>
        <v>6.25</v>
      </c>
      <c r="L5485" s="3">
        <f t="shared" si="171"/>
        <v>6.3230000000000004</v>
      </c>
    </row>
    <row r="5486" spans="1:12" x14ac:dyDescent="0.3">
      <c r="A5486" s="2">
        <v>42003</v>
      </c>
      <c r="B5486" t="s">
        <v>13</v>
      </c>
      <c r="D5486" s="2">
        <v>42734</v>
      </c>
      <c r="E5486">
        <v>6.25</v>
      </c>
      <c r="G5486" s="2">
        <v>42734</v>
      </c>
      <c r="H5486">
        <v>6.4080000000000004</v>
      </c>
      <c r="J5486" s="2">
        <v>42741</v>
      </c>
      <c r="K5486" s="3">
        <f t="shared" si="170"/>
        <v>6.25</v>
      </c>
      <c r="L5486" s="3">
        <f t="shared" si="171"/>
        <v>6.2910000000000004</v>
      </c>
    </row>
    <row r="5487" spans="1:12" x14ac:dyDescent="0.3">
      <c r="A5487" s="2">
        <v>42004</v>
      </c>
      <c r="B5487" t="s">
        <v>13</v>
      </c>
      <c r="D5487" s="2">
        <v>42735</v>
      </c>
      <c r="E5487">
        <v>6.25</v>
      </c>
      <c r="G5487" s="2">
        <v>42735</v>
      </c>
      <c r="H5487">
        <v>6.4080000000000004</v>
      </c>
      <c r="J5487" s="2">
        <v>42742</v>
      </c>
      <c r="K5487" s="3">
        <f t="shared" si="170"/>
        <v>6.25</v>
      </c>
      <c r="L5487" s="3">
        <f t="shared" si="171"/>
        <v>6.2910000000000004</v>
      </c>
    </row>
    <row r="5488" spans="1:12" x14ac:dyDescent="0.3">
      <c r="A5488" s="2">
        <v>42005</v>
      </c>
      <c r="B5488" t="s">
        <v>13</v>
      </c>
      <c r="D5488" s="2">
        <v>42736</v>
      </c>
      <c r="E5488">
        <v>6.25</v>
      </c>
      <c r="G5488" s="2">
        <v>42736</v>
      </c>
      <c r="H5488">
        <v>6.4080000000000004</v>
      </c>
      <c r="J5488" s="2">
        <v>42743</v>
      </c>
      <c r="K5488" s="3">
        <f t="shared" si="170"/>
        <v>6.25</v>
      </c>
      <c r="L5488" s="3">
        <f t="shared" si="171"/>
        <v>6.2910000000000004</v>
      </c>
    </row>
    <row r="5489" spans="1:12" x14ac:dyDescent="0.3">
      <c r="A5489" s="2">
        <v>42006</v>
      </c>
      <c r="B5489" t="s">
        <v>13</v>
      </c>
      <c r="D5489" s="2">
        <v>42737</v>
      </c>
      <c r="E5489">
        <v>6.25</v>
      </c>
      <c r="G5489" s="2">
        <v>42737</v>
      </c>
      <c r="H5489">
        <v>6.4169999999999998</v>
      </c>
      <c r="J5489" s="2">
        <v>42744</v>
      </c>
      <c r="K5489" s="3">
        <f t="shared" si="170"/>
        <v>6.25</v>
      </c>
      <c r="L5489" s="3">
        <f t="shared" si="171"/>
        <v>6.2910000000000004</v>
      </c>
    </row>
    <row r="5490" spans="1:12" x14ac:dyDescent="0.3">
      <c r="A5490" s="2">
        <v>42007</v>
      </c>
      <c r="B5490" t="s">
        <v>13</v>
      </c>
      <c r="D5490" s="2">
        <v>42738</v>
      </c>
      <c r="E5490">
        <v>6.25</v>
      </c>
      <c r="G5490" s="2">
        <v>42738</v>
      </c>
      <c r="H5490">
        <v>6.46</v>
      </c>
      <c r="J5490" s="2">
        <v>42745</v>
      </c>
      <c r="K5490" s="3">
        <f t="shared" si="170"/>
        <v>6.25</v>
      </c>
      <c r="L5490" s="3">
        <f t="shared" si="171"/>
        <v>6.3710000000000004</v>
      </c>
    </row>
    <row r="5491" spans="1:12" x14ac:dyDescent="0.3">
      <c r="A5491" s="2">
        <v>42008</v>
      </c>
      <c r="B5491" t="s">
        <v>13</v>
      </c>
      <c r="D5491" s="2">
        <v>42739</v>
      </c>
      <c r="E5491">
        <v>6.25</v>
      </c>
      <c r="G5491" s="2">
        <v>42739</v>
      </c>
      <c r="H5491">
        <v>6.2850000000000001</v>
      </c>
      <c r="J5491" s="2">
        <v>42746</v>
      </c>
      <c r="K5491" s="3">
        <f t="shared" si="170"/>
        <v>6.25</v>
      </c>
      <c r="L5491" s="3">
        <f t="shared" si="171"/>
        <v>6.2770000000000001</v>
      </c>
    </row>
    <row r="5492" spans="1:12" x14ac:dyDescent="0.3">
      <c r="A5492" s="2">
        <v>42009</v>
      </c>
      <c r="B5492" t="s">
        <v>13</v>
      </c>
      <c r="D5492" s="2">
        <v>42740</v>
      </c>
      <c r="E5492">
        <v>6.25</v>
      </c>
      <c r="G5492" s="2">
        <v>42740</v>
      </c>
      <c r="H5492">
        <v>6.3230000000000004</v>
      </c>
      <c r="J5492" s="2">
        <v>42747</v>
      </c>
      <c r="K5492" s="3">
        <f t="shared" si="170"/>
        <v>6.25</v>
      </c>
      <c r="L5492" s="3">
        <f t="shared" si="171"/>
        <v>6.2569999999999997</v>
      </c>
    </row>
    <row r="5493" spans="1:12" x14ac:dyDescent="0.3">
      <c r="A5493" s="2">
        <v>42010</v>
      </c>
      <c r="B5493" t="s">
        <v>13</v>
      </c>
      <c r="D5493" s="2">
        <v>42741</v>
      </c>
      <c r="E5493">
        <v>6.25</v>
      </c>
      <c r="G5493" s="2">
        <v>42741</v>
      </c>
      <c r="H5493">
        <v>6.2910000000000004</v>
      </c>
      <c r="J5493" s="2">
        <v>42748</v>
      </c>
      <c r="K5493" s="3">
        <f t="shared" si="170"/>
        <v>6.25</v>
      </c>
      <c r="L5493" s="3">
        <f t="shared" si="171"/>
        <v>6.2649999999999997</v>
      </c>
    </row>
    <row r="5494" spans="1:12" x14ac:dyDescent="0.3">
      <c r="A5494" s="2">
        <v>42011</v>
      </c>
      <c r="B5494" t="s">
        <v>13</v>
      </c>
      <c r="D5494" s="2">
        <v>42742</v>
      </c>
      <c r="E5494">
        <v>6.25</v>
      </c>
      <c r="G5494" s="2">
        <v>42742</v>
      </c>
      <c r="H5494">
        <v>6.2910000000000004</v>
      </c>
      <c r="J5494" s="2">
        <v>42749</v>
      </c>
      <c r="K5494" s="3">
        <f t="shared" si="170"/>
        <v>6.25</v>
      </c>
      <c r="L5494" s="3">
        <f t="shared" si="171"/>
        <v>6.2649999999999997</v>
      </c>
    </row>
    <row r="5495" spans="1:12" x14ac:dyDescent="0.3">
      <c r="A5495" s="2">
        <v>42012</v>
      </c>
      <c r="B5495" t="s">
        <v>13</v>
      </c>
      <c r="D5495" s="2">
        <v>42743</v>
      </c>
      <c r="E5495">
        <v>6.25</v>
      </c>
      <c r="G5495" s="2">
        <v>42743</v>
      </c>
      <c r="H5495">
        <v>6.2910000000000004</v>
      </c>
      <c r="J5495" s="2">
        <v>42750</v>
      </c>
      <c r="K5495" s="3">
        <f t="shared" si="170"/>
        <v>6.25</v>
      </c>
      <c r="L5495" s="3">
        <f t="shared" si="171"/>
        <v>6.2649999999999997</v>
      </c>
    </row>
    <row r="5496" spans="1:12" x14ac:dyDescent="0.3">
      <c r="A5496" s="2">
        <v>42013</v>
      </c>
      <c r="B5496" t="s">
        <v>13</v>
      </c>
      <c r="D5496" s="2">
        <v>42744</v>
      </c>
      <c r="E5496">
        <v>6.25</v>
      </c>
      <c r="G5496" s="2">
        <v>42744</v>
      </c>
      <c r="H5496">
        <v>6.2910000000000004</v>
      </c>
      <c r="J5496" s="2">
        <v>42751</v>
      </c>
      <c r="K5496" s="3">
        <f t="shared" si="170"/>
        <v>6.25</v>
      </c>
      <c r="L5496" s="3">
        <f t="shared" si="171"/>
        <v>6.2779999999999996</v>
      </c>
    </row>
    <row r="5497" spans="1:12" x14ac:dyDescent="0.3">
      <c r="A5497" s="2">
        <v>42014</v>
      </c>
      <c r="B5497" t="s">
        <v>13</v>
      </c>
      <c r="D5497" s="2">
        <v>42745</v>
      </c>
      <c r="E5497">
        <v>6.25</v>
      </c>
      <c r="G5497" s="2">
        <v>42745</v>
      </c>
      <c r="H5497">
        <v>6.3710000000000004</v>
      </c>
      <c r="J5497" s="2">
        <v>42752</v>
      </c>
      <c r="K5497" s="3">
        <f t="shared" si="170"/>
        <v>6.25</v>
      </c>
      <c r="L5497" s="3">
        <f t="shared" si="171"/>
        <v>6.25</v>
      </c>
    </row>
    <row r="5498" spans="1:12" x14ac:dyDescent="0.3">
      <c r="A5498" s="2">
        <v>42015</v>
      </c>
      <c r="B5498" t="s">
        <v>13</v>
      </c>
      <c r="D5498" s="2">
        <v>42746</v>
      </c>
      <c r="E5498">
        <v>6.25</v>
      </c>
      <c r="G5498" s="2">
        <v>42746</v>
      </c>
      <c r="H5498">
        <v>6.2770000000000001</v>
      </c>
      <c r="J5498" s="2">
        <v>42753</v>
      </c>
      <c r="K5498" s="3">
        <f t="shared" si="170"/>
        <v>6.25</v>
      </c>
      <c r="L5498" s="3">
        <f t="shared" si="171"/>
        <v>6.2640000000000002</v>
      </c>
    </row>
    <row r="5499" spans="1:12" x14ac:dyDescent="0.3">
      <c r="A5499" s="2">
        <v>42016</v>
      </c>
      <c r="B5499" t="s">
        <v>13</v>
      </c>
      <c r="D5499" s="2">
        <v>42747</v>
      </c>
      <c r="E5499">
        <v>6.25</v>
      </c>
      <c r="G5499" s="2">
        <v>42747</v>
      </c>
      <c r="H5499">
        <v>6.2569999999999997</v>
      </c>
      <c r="J5499" s="2">
        <v>42754</v>
      </c>
      <c r="K5499" s="3">
        <f t="shared" si="170"/>
        <v>6.25</v>
      </c>
      <c r="L5499" s="3">
        <f t="shared" si="171"/>
        <v>6.2690000000000001</v>
      </c>
    </row>
    <row r="5500" spans="1:12" x14ac:dyDescent="0.3">
      <c r="A5500" s="2">
        <v>42017</v>
      </c>
      <c r="B5500" t="s">
        <v>13</v>
      </c>
      <c r="D5500" s="2">
        <v>42748</v>
      </c>
      <c r="E5500">
        <v>6.25</v>
      </c>
      <c r="G5500" s="2">
        <v>42748</v>
      </c>
      <c r="H5500">
        <v>6.2649999999999997</v>
      </c>
      <c r="J5500" s="2">
        <v>42755</v>
      </c>
      <c r="K5500" s="3">
        <f t="shared" si="170"/>
        <v>6.25</v>
      </c>
      <c r="L5500" s="3">
        <f t="shared" si="171"/>
        <v>6.3019999999999996</v>
      </c>
    </row>
    <row r="5501" spans="1:12" x14ac:dyDescent="0.3">
      <c r="A5501" s="2">
        <v>42018</v>
      </c>
      <c r="B5501" t="s">
        <v>13</v>
      </c>
      <c r="D5501" s="2">
        <v>42749</v>
      </c>
      <c r="E5501">
        <v>6.25</v>
      </c>
      <c r="G5501" s="2">
        <v>42749</v>
      </c>
      <c r="H5501">
        <v>6.2649999999999997</v>
      </c>
      <c r="J5501" s="2">
        <v>42756</v>
      </c>
      <c r="K5501" s="3">
        <f t="shared" si="170"/>
        <v>6.25</v>
      </c>
      <c r="L5501" s="3">
        <f t="shared" si="171"/>
        <v>6.3019999999999996</v>
      </c>
    </row>
    <row r="5502" spans="1:12" x14ac:dyDescent="0.3">
      <c r="A5502" s="2">
        <v>42019</v>
      </c>
      <c r="B5502" t="s">
        <v>13</v>
      </c>
      <c r="D5502" s="2">
        <v>42750</v>
      </c>
      <c r="E5502">
        <v>6.25</v>
      </c>
      <c r="G5502" s="2">
        <v>42750</v>
      </c>
      <c r="H5502">
        <v>6.2649999999999997</v>
      </c>
      <c r="J5502" s="2">
        <v>42757</v>
      </c>
      <c r="K5502" s="3">
        <f t="shared" si="170"/>
        <v>6.25</v>
      </c>
      <c r="L5502" s="3">
        <f t="shared" si="171"/>
        <v>6.3019999999999996</v>
      </c>
    </row>
    <row r="5503" spans="1:12" x14ac:dyDescent="0.3">
      <c r="A5503" s="2">
        <v>42020</v>
      </c>
      <c r="B5503" t="s">
        <v>13</v>
      </c>
      <c r="D5503" s="2">
        <v>42751</v>
      </c>
      <c r="E5503">
        <v>6.25</v>
      </c>
      <c r="G5503" s="2">
        <v>42751</v>
      </c>
      <c r="H5503">
        <v>6.2779999999999996</v>
      </c>
      <c r="J5503" s="2">
        <v>42758</v>
      </c>
      <c r="K5503" s="3">
        <f t="shared" si="170"/>
        <v>6.25</v>
      </c>
      <c r="L5503" s="3">
        <f t="shared" si="171"/>
        <v>6.298</v>
      </c>
    </row>
    <row r="5504" spans="1:12" x14ac:dyDescent="0.3">
      <c r="A5504" s="2">
        <v>42021</v>
      </c>
      <c r="B5504" t="s">
        <v>13</v>
      </c>
      <c r="D5504" s="2">
        <v>42752</v>
      </c>
      <c r="E5504">
        <v>6.25</v>
      </c>
      <c r="G5504" s="2">
        <v>42752</v>
      </c>
      <c r="H5504">
        <v>6.25</v>
      </c>
      <c r="J5504" s="2">
        <v>42759</v>
      </c>
      <c r="K5504" s="3">
        <f t="shared" si="170"/>
        <v>6.25</v>
      </c>
      <c r="L5504" s="3">
        <f t="shared" si="171"/>
        <v>6.2770000000000001</v>
      </c>
    </row>
    <row r="5505" spans="1:12" x14ac:dyDescent="0.3">
      <c r="A5505" s="2">
        <v>42022</v>
      </c>
      <c r="B5505" t="s">
        <v>13</v>
      </c>
      <c r="D5505" s="2">
        <v>42753</v>
      </c>
      <c r="E5505">
        <v>6.25</v>
      </c>
      <c r="G5505" s="2">
        <v>42753</v>
      </c>
      <c r="H5505">
        <v>6.2640000000000002</v>
      </c>
      <c r="J5505" s="2">
        <v>42760</v>
      </c>
      <c r="K5505" s="3">
        <f t="shared" si="170"/>
        <v>6.25</v>
      </c>
      <c r="L5505" s="3">
        <f t="shared" si="171"/>
        <v>6.2789999999999999</v>
      </c>
    </row>
    <row r="5506" spans="1:12" x14ac:dyDescent="0.3">
      <c r="A5506" s="2">
        <v>42023</v>
      </c>
      <c r="B5506" t="s">
        <v>13</v>
      </c>
      <c r="D5506" s="2">
        <v>42754</v>
      </c>
      <c r="E5506">
        <v>6.25</v>
      </c>
      <c r="G5506" s="2">
        <v>42754</v>
      </c>
      <c r="H5506">
        <v>6.2690000000000001</v>
      </c>
      <c r="J5506" s="2">
        <v>42761</v>
      </c>
      <c r="K5506" s="3">
        <f t="shared" si="170"/>
        <v>6.25</v>
      </c>
      <c r="L5506" s="3">
        <f t="shared" si="171"/>
        <v>6.2789999999999999</v>
      </c>
    </row>
    <row r="5507" spans="1:12" x14ac:dyDescent="0.3">
      <c r="A5507" s="2">
        <v>42024</v>
      </c>
      <c r="B5507" t="s">
        <v>13</v>
      </c>
      <c r="D5507" s="2">
        <v>42755</v>
      </c>
      <c r="E5507">
        <v>6.25</v>
      </c>
      <c r="G5507" s="2">
        <v>42755</v>
      </c>
      <c r="H5507">
        <v>6.3019999999999996</v>
      </c>
      <c r="J5507" s="2">
        <v>42762</v>
      </c>
      <c r="K5507" s="3">
        <f t="shared" ref="K5507:K5570" si="172">E5514</f>
        <v>6.25</v>
      </c>
      <c r="L5507" s="3">
        <f t="shared" ref="L5507:L5570" si="173">H5514</f>
        <v>6.2949999999999999</v>
      </c>
    </row>
    <row r="5508" spans="1:12" x14ac:dyDescent="0.3">
      <c r="A5508" s="2">
        <v>42025</v>
      </c>
      <c r="B5508" t="s">
        <v>13</v>
      </c>
      <c r="D5508" s="2">
        <v>42756</v>
      </c>
      <c r="E5508">
        <v>6.25</v>
      </c>
      <c r="G5508" s="2">
        <v>42756</v>
      </c>
      <c r="H5508">
        <v>6.3019999999999996</v>
      </c>
      <c r="J5508" s="2">
        <v>42763</v>
      </c>
      <c r="K5508" s="3">
        <f t="shared" si="172"/>
        <v>6.25</v>
      </c>
      <c r="L5508" s="3">
        <f t="shared" si="173"/>
        <v>6.2949999999999999</v>
      </c>
    </row>
    <row r="5509" spans="1:12" x14ac:dyDescent="0.3">
      <c r="A5509" s="2">
        <v>42026</v>
      </c>
      <c r="B5509" t="s">
        <v>13</v>
      </c>
      <c r="D5509" s="2">
        <v>42757</v>
      </c>
      <c r="E5509">
        <v>6.25</v>
      </c>
      <c r="G5509" s="2">
        <v>42757</v>
      </c>
      <c r="H5509">
        <v>6.3019999999999996</v>
      </c>
      <c r="J5509" s="2">
        <v>42764</v>
      </c>
      <c r="K5509" s="3">
        <f t="shared" si="172"/>
        <v>6.25</v>
      </c>
      <c r="L5509" s="3">
        <f t="shared" si="173"/>
        <v>6.2949999999999999</v>
      </c>
    </row>
    <row r="5510" spans="1:12" x14ac:dyDescent="0.3">
      <c r="A5510" s="2">
        <v>42027</v>
      </c>
      <c r="B5510" t="s">
        <v>13</v>
      </c>
      <c r="D5510" s="2">
        <v>42758</v>
      </c>
      <c r="E5510">
        <v>6.25</v>
      </c>
      <c r="G5510" s="2">
        <v>42758</v>
      </c>
      <c r="H5510">
        <v>6.298</v>
      </c>
      <c r="J5510" s="2">
        <v>42765</v>
      </c>
      <c r="K5510" s="3">
        <f t="shared" si="172"/>
        <v>6.25</v>
      </c>
      <c r="L5510" s="3">
        <f t="shared" si="173"/>
        <v>6.266</v>
      </c>
    </row>
    <row r="5511" spans="1:12" x14ac:dyDescent="0.3">
      <c r="A5511" s="2">
        <v>42028</v>
      </c>
      <c r="B5511" t="s">
        <v>13</v>
      </c>
      <c r="D5511" s="2">
        <v>42759</v>
      </c>
      <c r="E5511">
        <v>6.25</v>
      </c>
      <c r="G5511" s="2">
        <v>42759</v>
      </c>
      <c r="H5511">
        <v>6.2770000000000001</v>
      </c>
      <c r="J5511" s="2">
        <v>42766</v>
      </c>
      <c r="K5511" s="3">
        <f t="shared" si="172"/>
        <v>6.25</v>
      </c>
      <c r="L5511" s="3">
        <f t="shared" si="173"/>
        <v>6.274</v>
      </c>
    </row>
    <row r="5512" spans="1:12" x14ac:dyDescent="0.3">
      <c r="A5512" s="2">
        <v>42029</v>
      </c>
      <c r="B5512" t="s">
        <v>13</v>
      </c>
      <c r="D5512" s="2">
        <v>42760</v>
      </c>
      <c r="E5512">
        <v>6.25</v>
      </c>
      <c r="G5512" s="2">
        <v>42760</v>
      </c>
      <c r="H5512">
        <v>6.2789999999999999</v>
      </c>
      <c r="J5512" s="2">
        <v>42767</v>
      </c>
      <c r="K5512" s="3">
        <f t="shared" si="172"/>
        <v>6.25</v>
      </c>
      <c r="L5512" s="3">
        <f t="shared" si="173"/>
        <v>6.2489999999999997</v>
      </c>
    </row>
    <row r="5513" spans="1:12" x14ac:dyDescent="0.3">
      <c r="A5513" s="2">
        <v>42030</v>
      </c>
      <c r="B5513" t="s">
        <v>13</v>
      </c>
      <c r="D5513" s="2">
        <v>42761</v>
      </c>
      <c r="E5513">
        <v>6.25</v>
      </c>
      <c r="G5513" s="2">
        <v>42761</v>
      </c>
      <c r="H5513">
        <v>6.2789999999999999</v>
      </c>
      <c r="J5513" s="2">
        <v>42768</v>
      </c>
      <c r="K5513" s="3">
        <f t="shared" si="172"/>
        <v>6.25</v>
      </c>
      <c r="L5513" s="3">
        <f t="shared" si="173"/>
        <v>6.2160000000000002</v>
      </c>
    </row>
    <row r="5514" spans="1:12" x14ac:dyDescent="0.3">
      <c r="A5514" s="2">
        <v>42031</v>
      </c>
      <c r="B5514" t="s">
        <v>13</v>
      </c>
      <c r="D5514" s="2">
        <v>42762</v>
      </c>
      <c r="E5514">
        <v>6.25</v>
      </c>
      <c r="G5514" s="2">
        <v>42762</v>
      </c>
      <c r="H5514">
        <v>6.2949999999999999</v>
      </c>
      <c r="J5514" s="2">
        <v>42769</v>
      </c>
      <c r="K5514" s="3">
        <f t="shared" si="172"/>
        <v>6.25</v>
      </c>
      <c r="L5514" s="3">
        <f t="shared" si="173"/>
        <v>6.2009999999999996</v>
      </c>
    </row>
    <row r="5515" spans="1:12" x14ac:dyDescent="0.3">
      <c r="A5515" s="2">
        <v>42032</v>
      </c>
      <c r="B5515" t="s">
        <v>13</v>
      </c>
      <c r="D5515" s="2">
        <v>42763</v>
      </c>
      <c r="E5515">
        <v>6.25</v>
      </c>
      <c r="G5515" s="2">
        <v>42763</v>
      </c>
      <c r="H5515">
        <v>6.2949999999999999</v>
      </c>
      <c r="J5515" s="2">
        <v>42770</v>
      </c>
      <c r="K5515" s="3">
        <f t="shared" si="172"/>
        <v>6.25</v>
      </c>
      <c r="L5515" s="3">
        <f t="shared" si="173"/>
        <v>6.2009999999999996</v>
      </c>
    </row>
    <row r="5516" spans="1:12" x14ac:dyDescent="0.3">
      <c r="A5516" s="2">
        <v>42033</v>
      </c>
      <c r="B5516" t="s">
        <v>13</v>
      </c>
      <c r="D5516" s="2">
        <v>42764</v>
      </c>
      <c r="E5516">
        <v>6.25</v>
      </c>
      <c r="G5516" s="2">
        <v>42764</v>
      </c>
      <c r="H5516">
        <v>6.2949999999999999</v>
      </c>
      <c r="J5516" s="2">
        <v>42771</v>
      </c>
      <c r="K5516" s="3">
        <f t="shared" si="172"/>
        <v>6.25</v>
      </c>
      <c r="L5516" s="3">
        <f t="shared" si="173"/>
        <v>6.2009999999999996</v>
      </c>
    </row>
    <row r="5517" spans="1:12" x14ac:dyDescent="0.3">
      <c r="A5517" s="2">
        <v>42034</v>
      </c>
      <c r="B5517" t="s">
        <v>13</v>
      </c>
      <c r="D5517" s="2">
        <v>42765</v>
      </c>
      <c r="E5517">
        <v>6.25</v>
      </c>
      <c r="G5517" s="2">
        <v>42765</v>
      </c>
      <c r="H5517">
        <v>6.266</v>
      </c>
      <c r="J5517" s="2">
        <v>42772</v>
      </c>
      <c r="K5517" s="3">
        <f t="shared" si="172"/>
        <v>6.25</v>
      </c>
      <c r="L5517" s="3">
        <f t="shared" si="173"/>
        <v>6.2089999999999996</v>
      </c>
    </row>
    <row r="5518" spans="1:12" x14ac:dyDescent="0.3">
      <c r="A5518" s="2">
        <v>42035</v>
      </c>
      <c r="B5518" t="s">
        <v>13</v>
      </c>
      <c r="D5518" s="2">
        <v>42766</v>
      </c>
      <c r="E5518">
        <v>6.25</v>
      </c>
      <c r="G5518" s="2">
        <v>42766</v>
      </c>
      <c r="H5518">
        <v>6.274</v>
      </c>
      <c r="J5518" s="2">
        <v>42773</v>
      </c>
      <c r="K5518" s="3">
        <f t="shared" si="172"/>
        <v>6.25</v>
      </c>
      <c r="L5518" s="3">
        <f t="shared" si="173"/>
        <v>6.2050000000000001</v>
      </c>
    </row>
    <row r="5519" spans="1:12" x14ac:dyDescent="0.3">
      <c r="A5519" s="2">
        <v>42036</v>
      </c>
      <c r="B5519" t="s">
        <v>13</v>
      </c>
      <c r="D5519" s="2">
        <v>42767</v>
      </c>
      <c r="E5519">
        <v>6.25</v>
      </c>
      <c r="G5519" s="2">
        <v>42767</v>
      </c>
      <c r="H5519">
        <v>6.2489999999999997</v>
      </c>
      <c r="J5519" s="2">
        <v>42774</v>
      </c>
      <c r="K5519" s="3">
        <f t="shared" si="172"/>
        <v>6.25</v>
      </c>
      <c r="L5519" s="3">
        <f t="shared" si="173"/>
        <v>6.4219999999999997</v>
      </c>
    </row>
    <row r="5520" spans="1:12" x14ac:dyDescent="0.3">
      <c r="A5520" s="2">
        <v>42037</v>
      </c>
      <c r="B5520" t="s">
        <v>13</v>
      </c>
      <c r="D5520" s="2">
        <v>42768</v>
      </c>
      <c r="E5520">
        <v>6.25</v>
      </c>
      <c r="G5520" s="2">
        <v>42768</v>
      </c>
      <c r="H5520">
        <v>6.2160000000000002</v>
      </c>
      <c r="J5520" s="2">
        <v>42775</v>
      </c>
      <c r="K5520" s="3">
        <f t="shared" si="172"/>
        <v>6.25</v>
      </c>
      <c r="L5520" s="3">
        <f t="shared" si="173"/>
        <v>6.4539999999999997</v>
      </c>
    </row>
    <row r="5521" spans="1:12" x14ac:dyDescent="0.3">
      <c r="A5521" s="2">
        <v>42038</v>
      </c>
      <c r="B5521" t="s">
        <v>13</v>
      </c>
      <c r="D5521" s="2">
        <v>42769</v>
      </c>
      <c r="E5521">
        <v>6.25</v>
      </c>
      <c r="G5521" s="2">
        <v>42769</v>
      </c>
      <c r="H5521">
        <v>6.2009999999999996</v>
      </c>
      <c r="J5521" s="2">
        <v>42776</v>
      </c>
      <c r="K5521" s="3">
        <f t="shared" si="172"/>
        <v>6.25</v>
      </c>
      <c r="L5521" s="3">
        <f t="shared" si="173"/>
        <v>6.43</v>
      </c>
    </row>
    <row r="5522" spans="1:12" x14ac:dyDescent="0.3">
      <c r="A5522" s="2">
        <v>42039</v>
      </c>
      <c r="B5522" t="s">
        <v>13</v>
      </c>
      <c r="D5522" s="2">
        <v>42770</v>
      </c>
      <c r="E5522">
        <v>6.25</v>
      </c>
      <c r="G5522" s="2">
        <v>42770</v>
      </c>
      <c r="H5522">
        <v>6.2009999999999996</v>
      </c>
      <c r="J5522" s="2">
        <v>42777</v>
      </c>
      <c r="K5522" s="3">
        <f t="shared" si="172"/>
        <v>6.25</v>
      </c>
      <c r="L5522" s="3">
        <f t="shared" si="173"/>
        <v>6.43</v>
      </c>
    </row>
    <row r="5523" spans="1:12" x14ac:dyDescent="0.3">
      <c r="A5523" s="2">
        <v>42040</v>
      </c>
      <c r="B5523" t="s">
        <v>13</v>
      </c>
      <c r="D5523" s="2">
        <v>42771</v>
      </c>
      <c r="E5523">
        <v>6.25</v>
      </c>
      <c r="G5523" s="2">
        <v>42771</v>
      </c>
      <c r="H5523">
        <v>6.2009999999999996</v>
      </c>
      <c r="J5523" s="2">
        <v>42778</v>
      </c>
      <c r="K5523" s="3">
        <f t="shared" si="172"/>
        <v>6.25</v>
      </c>
      <c r="L5523" s="3">
        <f t="shared" si="173"/>
        <v>6.43</v>
      </c>
    </row>
    <row r="5524" spans="1:12" x14ac:dyDescent="0.3">
      <c r="A5524" s="2">
        <v>42041</v>
      </c>
      <c r="B5524" t="s">
        <v>13</v>
      </c>
      <c r="D5524" s="2">
        <v>42772</v>
      </c>
      <c r="E5524">
        <v>6.25</v>
      </c>
      <c r="G5524" s="2">
        <v>42772</v>
      </c>
      <c r="H5524">
        <v>6.2089999999999996</v>
      </c>
      <c r="J5524" s="2">
        <v>42779</v>
      </c>
      <c r="K5524" s="3">
        <f t="shared" si="172"/>
        <v>6.25</v>
      </c>
      <c r="L5524" s="3">
        <f t="shared" si="173"/>
        <v>6.391</v>
      </c>
    </row>
    <row r="5525" spans="1:12" x14ac:dyDescent="0.3">
      <c r="A5525" s="2">
        <v>42042</v>
      </c>
      <c r="B5525" t="s">
        <v>13</v>
      </c>
      <c r="D5525" s="2">
        <v>42773</v>
      </c>
      <c r="E5525">
        <v>6.25</v>
      </c>
      <c r="G5525" s="2">
        <v>42773</v>
      </c>
      <c r="H5525">
        <v>6.2050000000000001</v>
      </c>
      <c r="J5525" s="2">
        <v>42780</v>
      </c>
      <c r="K5525" s="3">
        <f t="shared" si="172"/>
        <v>6.25</v>
      </c>
      <c r="L5525" s="3">
        <f t="shared" si="173"/>
        <v>6.4080000000000004</v>
      </c>
    </row>
    <row r="5526" spans="1:12" x14ac:dyDescent="0.3">
      <c r="A5526" s="2">
        <v>42043</v>
      </c>
      <c r="B5526" t="s">
        <v>13</v>
      </c>
      <c r="D5526" s="2">
        <v>42774</v>
      </c>
      <c r="E5526">
        <v>6.25</v>
      </c>
      <c r="G5526" s="2">
        <v>42774</v>
      </c>
      <c r="H5526">
        <v>6.4219999999999997</v>
      </c>
      <c r="J5526" s="2">
        <v>42781</v>
      </c>
      <c r="K5526" s="3">
        <f t="shared" si="172"/>
        <v>6.25</v>
      </c>
      <c r="L5526" s="3">
        <f t="shared" si="173"/>
        <v>6.3689999999999998</v>
      </c>
    </row>
    <row r="5527" spans="1:12" x14ac:dyDescent="0.3">
      <c r="A5527" s="2">
        <v>42044</v>
      </c>
      <c r="B5527" t="s">
        <v>13</v>
      </c>
      <c r="D5527" s="2">
        <v>42775</v>
      </c>
      <c r="E5527">
        <v>6.25</v>
      </c>
      <c r="G5527" s="2">
        <v>42775</v>
      </c>
      <c r="H5527">
        <v>6.4539999999999997</v>
      </c>
      <c r="J5527" s="2">
        <v>42782</v>
      </c>
      <c r="K5527" s="3">
        <f t="shared" si="172"/>
        <v>6.25</v>
      </c>
      <c r="L5527" s="3">
        <f t="shared" si="173"/>
        <v>6.3179999999999996</v>
      </c>
    </row>
    <row r="5528" spans="1:12" x14ac:dyDescent="0.3">
      <c r="A5528" s="2">
        <v>42045</v>
      </c>
      <c r="B5528" t="s">
        <v>13</v>
      </c>
      <c r="D5528" s="2">
        <v>42776</v>
      </c>
      <c r="E5528">
        <v>6.25</v>
      </c>
      <c r="G5528" s="2">
        <v>42776</v>
      </c>
      <c r="H5528">
        <v>6.43</v>
      </c>
      <c r="J5528" s="2">
        <v>42783</v>
      </c>
      <c r="K5528" s="3">
        <f t="shared" si="172"/>
        <v>6.25</v>
      </c>
      <c r="L5528" s="3">
        <f t="shared" si="173"/>
        <v>6.3630000000000004</v>
      </c>
    </row>
    <row r="5529" spans="1:12" x14ac:dyDescent="0.3">
      <c r="A5529" s="2">
        <v>42046</v>
      </c>
      <c r="B5529" t="s">
        <v>13</v>
      </c>
      <c r="D5529" s="2">
        <v>42777</v>
      </c>
      <c r="E5529">
        <v>6.25</v>
      </c>
      <c r="G5529" s="2">
        <v>42777</v>
      </c>
      <c r="H5529">
        <v>6.43</v>
      </c>
      <c r="J5529" s="2">
        <v>42784</v>
      </c>
      <c r="K5529" s="3">
        <f t="shared" si="172"/>
        <v>6.25</v>
      </c>
      <c r="L5529" s="3">
        <f t="shared" si="173"/>
        <v>6.3630000000000004</v>
      </c>
    </row>
    <row r="5530" spans="1:12" x14ac:dyDescent="0.3">
      <c r="A5530" s="2">
        <v>42047</v>
      </c>
      <c r="B5530" t="s">
        <v>13</v>
      </c>
      <c r="D5530" s="2">
        <v>42778</v>
      </c>
      <c r="E5530">
        <v>6.25</v>
      </c>
      <c r="G5530" s="2">
        <v>42778</v>
      </c>
      <c r="H5530">
        <v>6.43</v>
      </c>
      <c r="J5530" s="2">
        <v>42785</v>
      </c>
      <c r="K5530" s="3">
        <f t="shared" si="172"/>
        <v>6.25</v>
      </c>
      <c r="L5530" s="3">
        <f t="shared" si="173"/>
        <v>6.3630000000000004</v>
      </c>
    </row>
    <row r="5531" spans="1:12" x14ac:dyDescent="0.3">
      <c r="A5531" s="2">
        <v>42048</v>
      </c>
      <c r="B5531" t="s">
        <v>13</v>
      </c>
      <c r="D5531" s="2">
        <v>42779</v>
      </c>
      <c r="E5531">
        <v>6.25</v>
      </c>
      <c r="G5531" s="2">
        <v>42779</v>
      </c>
      <c r="H5531">
        <v>6.391</v>
      </c>
      <c r="J5531" s="2">
        <v>42786</v>
      </c>
      <c r="K5531" s="3">
        <f t="shared" si="172"/>
        <v>6.25</v>
      </c>
      <c r="L5531" s="3">
        <f t="shared" si="173"/>
        <v>6.4059999999999997</v>
      </c>
    </row>
    <row r="5532" spans="1:12" x14ac:dyDescent="0.3">
      <c r="A5532" s="2">
        <v>42049</v>
      </c>
      <c r="B5532" t="s">
        <v>13</v>
      </c>
      <c r="D5532" s="2">
        <v>42780</v>
      </c>
      <c r="E5532">
        <v>6.25</v>
      </c>
      <c r="G5532" s="2">
        <v>42780</v>
      </c>
      <c r="H5532">
        <v>6.4080000000000004</v>
      </c>
      <c r="J5532" s="2">
        <v>42787</v>
      </c>
      <c r="K5532" s="3">
        <f t="shared" si="172"/>
        <v>6.25</v>
      </c>
      <c r="L5532" s="3">
        <f t="shared" si="173"/>
        <v>6.4059999999999997</v>
      </c>
    </row>
    <row r="5533" spans="1:12" x14ac:dyDescent="0.3">
      <c r="A5533" s="2">
        <v>42050</v>
      </c>
      <c r="B5533" t="s">
        <v>13</v>
      </c>
      <c r="D5533" s="2">
        <v>42781</v>
      </c>
      <c r="E5533">
        <v>6.25</v>
      </c>
      <c r="G5533" s="2">
        <v>42781</v>
      </c>
      <c r="H5533">
        <v>6.3689999999999998</v>
      </c>
      <c r="J5533" s="2">
        <v>42788</v>
      </c>
      <c r="K5533" s="3">
        <f t="shared" si="172"/>
        <v>6.25</v>
      </c>
      <c r="L5533" s="3">
        <f t="shared" si="173"/>
        <v>6.38</v>
      </c>
    </row>
    <row r="5534" spans="1:12" x14ac:dyDescent="0.3">
      <c r="A5534" s="2">
        <v>42051</v>
      </c>
      <c r="B5534" t="s">
        <v>13</v>
      </c>
      <c r="D5534" s="2">
        <v>42782</v>
      </c>
      <c r="E5534">
        <v>6.25</v>
      </c>
      <c r="G5534" s="2">
        <v>42782</v>
      </c>
      <c r="H5534">
        <v>6.3179999999999996</v>
      </c>
      <c r="J5534" s="2">
        <v>42789</v>
      </c>
      <c r="K5534" s="3">
        <f t="shared" si="172"/>
        <v>6.25</v>
      </c>
      <c r="L5534" s="3">
        <f t="shared" si="173"/>
        <v>6.3710000000000004</v>
      </c>
    </row>
    <row r="5535" spans="1:12" x14ac:dyDescent="0.3">
      <c r="A5535" s="2">
        <v>42052</v>
      </c>
      <c r="B5535" t="s">
        <v>13</v>
      </c>
      <c r="D5535" s="2">
        <v>42783</v>
      </c>
      <c r="E5535">
        <v>6.25</v>
      </c>
      <c r="G5535" s="2">
        <v>42783</v>
      </c>
      <c r="H5535">
        <v>6.3630000000000004</v>
      </c>
      <c r="J5535" s="2">
        <v>42790</v>
      </c>
      <c r="K5535" s="3">
        <f t="shared" si="172"/>
        <v>6.25</v>
      </c>
      <c r="L5535" s="3">
        <f t="shared" si="173"/>
        <v>6.3710000000000004</v>
      </c>
    </row>
    <row r="5536" spans="1:12" x14ac:dyDescent="0.3">
      <c r="A5536" s="2">
        <v>42053</v>
      </c>
      <c r="B5536" t="s">
        <v>13</v>
      </c>
      <c r="D5536" s="2">
        <v>42784</v>
      </c>
      <c r="E5536">
        <v>6.25</v>
      </c>
      <c r="G5536" s="2">
        <v>42784</v>
      </c>
      <c r="H5536">
        <v>6.3630000000000004</v>
      </c>
      <c r="J5536" s="2">
        <v>42791</v>
      </c>
      <c r="K5536" s="3">
        <f t="shared" si="172"/>
        <v>6.25</v>
      </c>
      <c r="L5536" s="3">
        <f t="shared" si="173"/>
        <v>6.3710000000000004</v>
      </c>
    </row>
    <row r="5537" spans="1:12" x14ac:dyDescent="0.3">
      <c r="A5537" s="2">
        <v>42054</v>
      </c>
      <c r="B5537" t="s">
        <v>13</v>
      </c>
      <c r="D5537" s="2">
        <v>42785</v>
      </c>
      <c r="E5537">
        <v>6.25</v>
      </c>
      <c r="G5537" s="2">
        <v>42785</v>
      </c>
      <c r="H5537">
        <v>6.3630000000000004</v>
      </c>
      <c r="J5537" s="2">
        <v>42792</v>
      </c>
      <c r="K5537" s="3">
        <f t="shared" si="172"/>
        <v>6.25</v>
      </c>
      <c r="L5537" s="3">
        <f t="shared" si="173"/>
        <v>6.3710000000000004</v>
      </c>
    </row>
    <row r="5538" spans="1:12" x14ac:dyDescent="0.3">
      <c r="A5538" s="2">
        <v>42055</v>
      </c>
      <c r="B5538" t="s">
        <v>13</v>
      </c>
      <c r="D5538" s="2">
        <v>42786</v>
      </c>
      <c r="E5538">
        <v>6.25</v>
      </c>
      <c r="G5538" s="2">
        <v>42786</v>
      </c>
      <c r="H5538">
        <v>6.4059999999999997</v>
      </c>
      <c r="J5538" s="2">
        <v>42793</v>
      </c>
      <c r="K5538" s="3">
        <f t="shared" si="172"/>
        <v>6.25</v>
      </c>
      <c r="L5538" s="3">
        <f t="shared" si="173"/>
        <v>6.3179999999999996</v>
      </c>
    </row>
    <row r="5539" spans="1:12" x14ac:dyDescent="0.3">
      <c r="A5539" s="2">
        <v>42056</v>
      </c>
      <c r="B5539" t="s">
        <v>13</v>
      </c>
      <c r="D5539" s="2">
        <v>42787</v>
      </c>
      <c r="E5539">
        <v>6.25</v>
      </c>
      <c r="G5539" s="2">
        <v>42787</v>
      </c>
      <c r="H5539">
        <v>6.4059999999999997</v>
      </c>
      <c r="J5539" s="2">
        <v>42794</v>
      </c>
      <c r="K5539" s="3">
        <f t="shared" si="172"/>
        <v>6.25</v>
      </c>
      <c r="L5539" s="3">
        <f t="shared" si="173"/>
        <v>6.343</v>
      </c>
    </row>
    <row r="5540" spans="1:12" x14ac:dyDescent="0.3">
      <c r="A5540" s="2">
        <v>42057</v>
      </c>
      <c r="B5540" t="s">
        <v>13</v>
      </c>
      <c r="D5540" s="2">
        <v>42788</v>
      </c>
      <c r="E5540">
        <v>6.25</v>
      </c>
      <c r="G5540" s="2">
        <v>42788</v>
      </c>
      <c r="H5540">
        <v>6.38</v>
      </c>
      <c r="J5540" s="2">
        <v>42795</v>
      </c>
      <c r="K5540" s="3">
        <f t="shared" si="172"/>
        <v>6.25</v>
      </c>
      <c r="L5540" s="3">
        <f t="shared" si="173"/>
        <v>6.3860000000000001</v>
      </c>
    </row>
    <row r="5541" spans="1:12" x14ac:dyDescent="0.3">
      <c r="A5541" s="2">
        <v>42058</v>
      </c>
      <c r="B5541" t="s">
        <v>13</v>
      </c>
      <c r="D5541" s="2">
        <v>42789</v>
      </c>
      <c r="E5541">
        <v>6.25</v>
      </c>
      <c r="G5541" s="2">
        <v>42789</v>
      </c>
      <c r="H5541">
        <v>6.3710000000000004</v>
      </c>
      <c r="J5541" s="2">
        <v>42796</v>
      </c>
      <c r="K5541" s="3">
        <f t="shared" si="172"/>
        <v>6.25</v>
      </c>
      <c r="L5541" s="3">
        <f t="shared" si="173"/>
        <v>6.3819999999999997</v>
      </c>
    </row>
    <row r="5542" spans="1:12" x14ac:dyDescent="0.3">
      <c r="A5542" s="2">
        <v>42059</v>
      </c>
      <c r="B5542" t="s">
        <v>13</v>
      </c>
      <c r="D5542" s="2">
        <v>42790</v>
      </c>
      <c r="E5542">
        <v>6.25</v>
      </c>
      <c r="G5542" s="2">
        <v>42790</v>
      </c>
      <c r="H5542">
        <v>6.3710000000000004</v>
      </c>
      <c r="J5542" s="2">
        <v>42797</v>
      </c>
      <c r="K5542" s="3">
        <f t="shared" si="172"/>
        <v>6.25</v>
      </c>
      <c r="L5542" s="3">
        <f t="shared" si="173"/>
        <v>6.3639999999999999</v>
      </c>
    </row>
    <row r="5543" spans="1:12" x14ac:dyDescent="0.3">
      <c r="A5543" s="2">
        <v>42060</v>
      </c>
      <c r="B5543" t="s">
        <v>13</v>
      </c>
      <c r="D5543" s="2">
        <v>42791</v>
      </c>
      <c r="E5543">
        <v>6.25</v>
      </c>
      <c r="G5543" s="2">
        <v>42791</v>
      </c>
      <c r="H5543">
        <v>6.3710000000000004</v>
      </c>
      <c r="J5543" s="2">
        <v>42798</v>
      </c>
      <c r="K5543" s="3">
        <f t="shared" si="172"/>
        <v>6.25</v>
      </c>
      <c r="L5543" s="3">
        <f t="shared" si="173"/>
        <v>6.3639999999999999</v>
      </c>
    </row>
    <row r="5544" spans="1:12" x14ac:dyDescent="0.3">
      <c r="A5544" s="2">
        <v>42061</v>
      </c>
      <c r="B5544" t="s">
        <v>13</v>
      </c>
      <c r="D5544" s="2">
        <v>42792</v>
      </c>
      <c r="E5544">
        <v>6.25</v>
      </c>
      <c r="G5544" s="2">
        <v>42792</v>
      </c>
      <c r="H5544">
        <v>6.3710000000000004</v>
      </c>
      <c r="J5544" s="2">
        <v>42799</v>
      </c>
      <c r="K5544" s="3">
        <f t="shared" si="172"/>
        <v>6.25</v>
      </c>
      <c r="L5544" s="3">
        <f t="shared" si="173"/>
        <v>6.3639999999999999</v>
      </c>
    </row>
    <row r="5545" spans="1:12" x14ac:dyDescent="0.3">
      <c r="A5545" s="2">
        <v>42062</v>
      </c>
      <c r="B5545" t="s">
        <v>13</v>
      </c>
      <c r="D5545" s="2">
        <v>42793</v>
      </c>
      <c r="E5545">
        <v>6.25</v>
      </c>
      <c r="G5545" s="2">
        <v>42793</v>
      </c>
      <c r="H5545">
        <v>6.3179999999999996</v>
      </c>
      <c r="J5545" s="2">
        <v>42800</v>
      </c>
      <c r="K5545" s="3">
        <f t="shared" si="172"/>
        <v>6.25</v>
      </c>
      <c r="L5545" s="3">
        <f t="shared" si="173"/>
        <v>6.359</v>
      </c>
    </row>
    <row r="5546" spans="1:12" x14ac:dyDescent="0.3">
      <c r="A5546" s="2">
        <v>42063</v>
      </c>
      <c r="B5546" t="s">
        <v>13</v>
      </c>
      <c r="D5546" s="2">
        <v>42794</v>
      </c>
      <c r="E5546">
        <v>6.25</v>
      </c>
      <c r="G5546" s="2">
        <v>42794</v>
      </c>
      <c r="H5546">
        <v>6.343</v>
      </c>
      <c r="J5546" s="2">
        <v>42801</v>
      </c>
      <c r="K5546" s="3">
        <f t="shared" si="172"/>
        <v>6.25</v>
      </c>
      <c r="L5546" s="3">
        <f t="shared" si="173"/>
        <v>6.3659999999999997</v>
      </c>
    </row>
    <row r="5547" spans="1:12" x14ac:dyDescent="0.3">
      <c r="A5547" s="2">
        <v>42064</v>
      </c>
      <c r="B5547" t="s">
        <v>13</v>
      </c>
      <c r="D5547" s="2">
        <v>42795</v>
      </c>
      <c r="E5547">
        <v>6.25</v>
      </c>
      <c r="G5547" s="2">
        <v>42795</v>
      </c>
      <c r="H5547">
        <v>6.3860000000000001</v>
      </c>
      <c r="J5547" s="2">
        <v>42802</v>
      </c>
      <c r="K5547" s="3">
        <f t="shared" si="172"/>
        <v>6.25</v>
      </c>
      <c r="L5547" s="3">
        <f t="shared" si="173"/>
        <v>6.3550000000000004</v>
      </c>
    </row>
    <row r="5548" spans="1:12" x14ac:dyDescent="0.3">
      <c r="A5548" s="2">
        <v>42065</v>
      </c>
      <c r="B5548" t="s">
        <v>13</v>
      </c>
      <c r="D5548" s="2">
        <v>42796</v>
      </c>
      <c r="E5548">
        <v>6.25</v>
      </c>
      <c r="G5548" s="2">
        <v>42796</v>
      </c>
      <c r="H5548">
        <v>6.3819999999999997</v>
      </c>
      <c r="J5548" s="2">
        <v>42803</v>
      </c>
      <c r="K5548" s="3">
        <f t="shared" si="172"/>
        <v>6.25</v>
      </c>
      <c r="L5548" s="3">
        <f t="shared" si="173"/>
        <v>6.3470000000000004</v>
      </c>
    </row>
    <row r="5549" spans="1:12" x14ac:dyDescent="0.3">
      <c r="A5549" s="2">
        <v>42066</v>
      </c>
      <c r="B5549" t="s">
        <v>13</v>
      </c>
      <c r="D5549" s="2">
        <v>42797</v>
      </c>
      <c r="E5549">
        <v>6.25</v>
      </c>
      <c r="G5549" s="2">
        <v>42797</v>
      </c>
      <c r="H5549">
        <v>6.3639999999999999</v>
      </c>
      <c r="J5549" s="2">
        <v>42804</v>
      </c>
      <c r="K5549" s="3">
        <f t="shared" si="172"/>
        <v>6.25</v>
      </c>
      <c r="L5549" s="3">
        <f t="shared" si="173"/>
        <v>6.3650000000000002</v>
      </c>
    </row>
    <row r="5550" spans="1:12" x14ac:dyDescent="0.3">
      <c r="A5550" s="2">
        <v>42067</v>
      </c>
      <c r="B5550" t="s">
        <v>13</v>
      </c>
      <c r="D5550" s="2">
        <v>42798</v>
      </c>
      <c r="E5550">
        <v>6.25</v>
      </c>
      <c r="G5550" s="2">
        <v>42798</v>
      </c>
      <c r="H5550">
        <v>6.3639999999999999</v>
      </c>
      <c r="J5550" s="2">
        <v>42805</v>
      </c>
      <c r="K5550" s="3">
        <f t="shared" si="172"/>
        <v>6.25</v>
      </c>
      <c r="L5550" s="3">
        <f t="shared" si="173"/>
        <v>6.3650000000000002</v>
      </c>
    </row>
    <row r="5551" spans="1:12" x14ac:dyDescent="0.3">
      <c r="A5551" s="2">
        <v>42068</v>
      </c>
      <c r="B5551" t="s">
        <v>13</v>
      </c>
      <c r="D5551" s="2">
        <v>42799</v>
      </c>
      <c r="E5551">
        <v>6.25</v>
      </c>
      <c r="G5551" s="2">
        <v>42799</v>
      </c>
      <c r="H5551">
        <v>6.3639999999999999</v>
      </c>
      <c r="J5551" s="2">
        <v>42806</v>
      </c>
      <c r="K5551" s="3">
        <f t="shared" si="172"/>
        <v>6.25</v>
      </c>
      <c r="L5551" s="3">
        <f t="shared" si="173"/>
        <v>6.3650000000000002</v>
      </c>
    </row>
    <row r="5552" spans="1:12" x14ac:dyDescent="0.3">
      <c r="A5552" s="2">
        <v>42069</v>
      </c>
      <c r="B5552" t="s">
        <v>13</v>
      </c>
      <c r="D5552" s="2">
        <v>42800</v>
      </c>
      <c r="E5552">
        <v>6.25</v>
      </c>
      <c r="G5552" s="2">
        <v>42800</v>
      </c>
      <c r="H5552">
        <v>6.359</v>
      </c>
      <c r="J5552" s="2">
        <v>42807</v>
      </c>
      <c r="K5552" s="3">
        <f t="shared" si="172"/>
        <v>6.25</v>
      </c>
      <c r="L5552" s="3">
        <f t="shared" si="173"/>
        <v>6.3650000000000002</v>
      </c>
    </row>
    <row r="5553" spans="1:12" x14ac:dyDescent="0.3">
      <c r="A5553" s="2">
        <v>42070</v>
      </c>
      <c r="B5553" t="s">
        <v>13</v>
      </c>
      <c r="D5553" s="2">
        <v>42801</v>
      </c>
      <c r="E5553">
        <v>6.25</v>
      </c>
      <c r="G5553" s="2">
        <v>42801</v>
      </c>
      <c r="H5553">
        <v>6.3659999999999997</v>
      </c>
      <c r="J5553" s="2">
        <v>42808</v>
      </c>
      <c r="K5553" s="3">
        <f t="shared" si="172"/>
        <v>6.25</v>
      </c>
      <c r="L5553" s="3">
        <f t="shared" si="173"/>
        <v>6.3529999999999998</v>
      </c>
    </row>
    <row r="5554" spans="1:12" x14ac:dyDescent="0.3">
      <c r="A5554" s="2">
        <v>42071</v>
      </c>
      <c r="B5554" t="s">
        <v>13</v>
      </c>
      <c r="D5554" s="2">
        <v>42802</v>
      </c>
      <c r="E5554">
        <v>6.25</v>
      </c>
      <c r="G5554" s="2">
        <v>42802</v>
      </c>
      <c r="H5554">
        <v>6.3550000000000004</v>
      </c>
      <c r="J5554" s="2">
        <v>42809</v>
      </c>
      <c r="K5554" s="3">
        <f t="shared" si="172"/>
        <v>6.25</v>
      </c>
      <c r="L5554" s="3">
        <f t="shared" si="173"/>
        <v>6.3410000000000002</v>
      </c>
    </row>
    <row r="5555" spans="1:12" x14ac:dyDescent="0.3">
      <c r="A5555" s="2">
        <v>42072</v>
      </c>
      <c r="B5555" t="s">
        <v>13</v>
      </c>
      <c r="D5555" s="2">
        <v>42803</v>
      </c>
      <c r="E5555">
        <v>6.25</v>
      </c>
      <c r="G5555" s="2">
        <v>42803</v>
      </c>
      <c r="H5555">
        <v>6.3470000000000004</v>
      </c>
      <c r="J5555" s="2">
        <v>42810</v>
      </c>
      <c r="K5555" s="3">
        <f t="shared" si="172"/>
        <v>6.25</v>
      </c>
      <c r="L5555" s="3">
        <f t="shared" si="173"/>
        <v>6.3449999999999998</v>
      </c>
    </row>
    <row r="5556" spans="1:12" x14ac:dyDescent="0.3">
      <c r="A5556" s="2">
        <v>42073</v>
      </c>
      <c r="B5556" t="s">
        <v>13</v>
      </c>
      <c r="D5556" s="2">
        <v>42804</v>
      </c>
      <c r="E5556">
        <v>6.25</v>
      </c>
      <c r="G5556" s="2">
        <v>42804</v>
      </c>
      <c r="H5556">
        <v>6.3650000000000002</v>
      </c>
      <c r="J5556" s="2">
        <v>42811</v>
      </c>
      <c r="K5556" s="3">
        <f t="shared" si="172"/>
        <v>6.25</v>
      </c>
      <c r="L5556" s="3">
        <f t="shared" si="173"/>
        <v>6.335</v>
      </c>
    </row>
    <row r="5557" spans="1:12" x14ac:dyDescent="0.3">
      <c r="A5557" s="2">
        <v>42074</v>
      </c>
      <c r="B5557" t="s">
        <v>13</v>
      </c>
      <c r="D5557" s="2">
        <v>42805</v>
      </c>
      <c r="E5557">
        <v>6.25</v>
      </c>
      <c r="G5557" s="2">
        <v>42805</v>
      </c>
      <c r="H5557">
        <v>6.3650000000000002</v>
      </c>
      <c r="J5557" s="2">
        <v>42812</v>
      </c>
      <c r="K5557" s="3">
        <f t="shared" si="172"/>
        <v>6.25</v>
      </c>
      <c r="L5557" s="3">
        <f t="shared" si="173"/>
        <v>6.335</v>
      </c>
    </row>
    <row r="5558" spans="1:12" x14ac:dyDescent="0.3">
      <c r="A5558" s="2">
        <v>42075</v>
      </c>
      <c r="B5558" t="s">
        <v>13</v>
      </c>
      <c r="D5558" s="2">
        <v>42806</v>
      </c>
      <c r="E5558">
        <v>6.25</v>
      </c>
      <c r="G5558" s="2">
        <v>42806</v>
      </c>
      <c r="H5558">
        <v>6.3650000000000002</v>
      </c>
      <c r="J5558" s="2">
        <v>42813</v>
      </c>
      <c r="K5558" s="3">
        <f t="shared" si="172"/>
        <v>6.25</v>
      </c>
      <c r="L5558" s="3">
        <f t="shared" si="173"/>
        <v>6.335</v>
      </c>
    </row>
    <row r="5559" spans="1:12" x14ac:dyDescent="0.3">
      <c r="A5559" s="2">
        <v>42076</v>
      </c>
      <c r="B5559" t="s">
        <v>13</v>
      </c>
      <c r="D5559" s="2">
        <v>42807</v>
      </c>
      <c r="E5559">
        <v>6.25</v>
      </c>
      <c r="G5559" s="2">
        <v>42807</v>
      </c>
      <c r="H5559">
        <v>6.3650000000000002</v>
      </c>
      <c r="J5559" s="2">
        <v>42814</v>
      </c>
      <c r="K5559" s="3">
        <f t="shared" si="172"/>
        <v>6.25</v>
      </c>
      <c r="L5559" s="3">
        <f t="shared" si="173"/>
        <v>6.3289999999999997</v>
      </c>
    </row>
    <row r="5560" spans="1:12" x14ac:dyDescent="0.3">
      <c r="A5560" s="2">
        <v>42077</v>
      </c>
      <c r="B5560" t="s">
        <v>13</v>
      </c>
      <c r="D5560" s="2">
        <v>42808</v>
      </c>
      <c r="E5560">
        <v>6.25</v>
      </c>
      <c r="G5560" s="2">
        <v>42808</v>
      </c>
      <c r="H5560">
        <v>6.3529999999999998</v>
      </c>
      <c r="J5560" s="2">
        <v>42815</v>
      </c>
      <c r="K5560" s="3">
        <f t="shared" si="172"/>
        <v>6.25</v>
      </c>
      <c r="L5560" s="3">
        <f t="shared" si="173"/>
        <v>6.319</v>
      </c>
    </row>
    <row r="5561" spans="1:12" x14ac:dyDescent="0.3">
      <c r="A5561" s="2">
        <v>42078</v>
      </c>
      <c r="B5561" t="s">
        <v>13</v>
      </c>
      <c r="D5561" s="2">
        <v>42809</v>
      </c>
      <c r="E5561">
        <v>6.25</v>
      </c>
      <c r="G5561" s="2">
        <v>42809</v>
      </c>
      <c r="H5561">
        <v>6.3410000000000002</v>
      </c>
      <c r="J5561" s="2">
        <v>42816</v>
      </c>
      <c r="K5561" s="3">
        <f t="shared" si="172"/>
        <v>6.25</v>
      </c>
      <c r="L5561" s="3">
        <f t="shared" si="173"/>
        <v>6.3049999999999997</v>
      </c>
    </row>
    <row r="5562" spans="1:12" x14ac:dyDescent="0.3">
      <c r="A5562" s="2">
        <v>42079</v>
      </c>
      <c r="B5562" t="s">
        <v>13</v>
      </c>
      <c r="D5562" s="2">
        <v>42810</v>
      </c>
      <c r="E5562">
        <v>6.25</v>
      </c>
      <c r="G5562" s="2">
        <v>42810</v>
      </c>
      <c r="H5562">
        <v>6.3449999999999998</v>
      </c>
      <c r="J5562" s="2">
        <v>42817</v>
      </c>
      <c r="K5562" s="3">
        <f t="shared" si="172"/>
        <v>6.25</v>
      </c>
      <c r="L5562" s="3">
        <f t="shared" si="173"/>
        <v>6.3120000000000003</v>
      </c>
    </row>
    <row r="5563" spans="1:12" x14ac:dyDescent="0.3">
      <c r="A5563" s="2">
        <v>42080</v>
      </c>
      <c r="B5563" t="s">
        <v>13</v>
      </c>
      <c r="D5563" s="2">
        <v>42811</v>
      </c>
      <c r="E5563">
        <v>6.25</v>
      </c>
      <c r="G5563" s="2">
        <v>42811</v>
      </c>
      <c r="H5563">
        <v>6.335</v>
      </c>
      <c r="J5563" s="2">
        <v>42818</v>
      </c>
      <c r="K5563" s="3">
        <f t="shared" si="172"/>
        <v>6.25</v>
      </c>
      <c r="L5563" s="3">
        <f t="shared" si="173"/>
        <v>6.2519999999999998</v>
      </c>
    </row>
    <row r="5564" spans="1:12" x14ac:dyDescent="0.3">
      <c r="A5564" s="2">
        <v>42081</v>
      </c>
      <c r="B5564" t="s">
        <v>13</v>
      </c>
      <c r="D5564" s="2">
        <v>42812</v>
      </c>
      <c r="E5564">
        <v>6.25</v>
      </c>
      <c r="G5564" s="2">
        <v>42812</v>
      </c>
      <c r="H5564">
        <v>6.335</v>
      </c>
      <c r="J5564" s="2">
        <v>42819</v>
      </c>
      <c r="K5564" s="3">
        <f t="shared" si="172"/>
        <v>6.25</v>
      </c>
      <c r="L5564" s="3">
        <f t="shared" si="173"/>
        <v>6.2519999999999998</v>
      </c>
    </row>
    <row r="5565" spans="1:12" x14ac:dyDescent="0.3">
      <c r="A5565" s="2">
        <v>42082</v>
      </c>
      <c r="B5565" t="s">
        <v>13</v>
      </c>
      <c r="D5565" s="2">
        <v>42813</v>
      </c>
      <c r="E5565">
        <v>6.25</v>
      </c>
      <c r="G5565" s="2">
        <v>42813</v>
      </c>
      <c r="H5565">
        <v>6.335</v>
      </c>
      <c r="J5565" s="2">
        <v>42820</v>
      </c>
      <c r="K5565" s="3">
        <f t="shared" si="172"/>
        <v>6.25</v>
      </c>
      <c r="L5565" s="3">
        <f t="shared" si="173"/>
        <v>6.2519999999999998</v>
      </c>
    </row>
    <row r="5566" spans="1:12" x14ac:dyDescent="0.3">
      <c r="A5566" s="2">
        <v>42083</v>
      </c>
      <c r="B5566" t="s">
        <v>13</v>
      </c>
      <c r="D5566" s="2">
        <v>42814</v>
      </c>
      <c r="E5566">
        <v>6.25</v>
      </c>
      <c r="G5566" s="2">
        <v>42814</v>
      </c>
      <c r="H5566">
        <v>6.3289999999999997</v>
      </c>
      <c r="J5566" s="2">
        <v>42821</v>
      </c>
      <c r="K5566" s="3">
        <f t="shared" si="172"/>
        <v>6.25</v>
      </c>
      <c r="L5566" s="3">
        <f t="shared" si="173"/>
        <v>6.2729999999999997</v>
      </c>
    </row>
    <row r="5567" spans="1:12" x14ac:dyDescent="0.3">
      <c r="A5567" s="2">
        <v>42084</v>
      </c>
      <c r="B5567" t="s">
        <v>13</v>
      </c>
      <c r="D5567" s="2">
        <v>42815</v>
      </c>
      <c r="E5567">
        <v>6.25</v>
      </c>
      <c r="G5567" s="2">
        <v>42815</v>
      </c>
      <c r="H5567">
        <v>6.319</v>
      </c>
      <c r="J5567" s="2">
        <v>42822</v>
      </c>
      <c r="K5567" s="3">
        <f t="shared" si="172"/>
        <v>6.25</v>
      </c>
      <c r="L5567" s="3">
        <f t="shared" si="173"/>
        <v>6.2729999999999997</v>
      </c>
    </row>
    <row r="5568" spans="1:12" x14ac:dyDescent="0.3">
      <c r="A5568" s="2">
        <v>42085</v>
      </c>
      <c r="B5568" t="s">
        <v>13</v>
      </c>
      <c r="D5568" s="2">
        <v>42816</v>
      </c>
      <c r="E5568">
        <v>6.25</v>
      </c>
      <c r="G5568" s="2">
        <v>42816</v>
      </c>
      <c r="H5568">
        <v>6.3049999999999997</v>
      </c>
      <c r="J5568" s="2">
        <v>42823</v>
      </c>
      <c r="K5568" s="3">
        <f t="shared" si="172"/>
        <v>6.25</v>
      </c>
      <c r="L5568" s="3">
        <f t="shared" si="173"/>
        <v>6.2809999999999997</v>
      </c>
    </row>
    <row r="5569" spans="1:12" x14ac:dyDescent="0.3">
      <c r="A5569" s="2">
        <v>42086</v>
      </c>
      <c r="B5569" t="s">
        <v>13</v>
      </c>
      <c r="D5569" s="2">
        <v>42817</v>
      </c>
      <c r="E5569">
        <v>6.25</v>
      </c>
      <c r="G5569" s="2">
        <v>42817</v>
      </c>
      <c r="H5569">
        <v>6.3120000000000003</v>
      </c>
      <c r="J5569" s="2">
        <v>42824</v>
      </c>
      <c r="K5569" s="3">
        <f t="shared" si="172"/>
        <v>6.25</v>
      </c>
      <c r="L5569" s="3">
        <f t="shared" si="173"/>
        <v>6.2809999999999997</v>
      </c>
    </row>
    <row r="5570" spans="1:12" x14ac:dyDescent="0.3">
      <c r="A5570" s="2">
        <v>42087</v>
      </c>
      <c r="B5570" t="s">
        <v>13</v>
      </c>
      <c r="D5570" s="2">
        <v>42818</v>
      </c>
      <c r="E5570">
        <v>6.25</v>
      </c>
      <c r="G5570" s="2">
        <v>42818</v>
      </c>
      <c r="H5570">
        <v>6.2519999999999998</v>
      </c>
      <c r="J5570" s="2">
        <v>42825</v>
      </c>
      <c r="K5570" s="3">
        <f t="shared" si="172"/>
        <v>6.25</v>
      </c>
      <c r="L5570" s="3">
        <f t="shared" si="173"/>
        <v>6.2629999999999999</v>
      </c>
    </row>
    <row r="5571" spans="1:12" x14ac:dyDescent="0.3">
      <c r="A5571" s="2">
        <v>42088</v>
      </c>
      <c r="B5571" t="s">
        <v>13</v>
      </c>
      <c r="D5571" s="2">
        <v>42819</v>
      </c>
      <c r="E5571">
        <v>6.25</v>
      </c>
      <c r="G5571" s="2">
        <v>42819</v>
      </c>
      <c r="H5571">
        <v>6.2519999999999998</v>
      </c>
      <c r="J5571" s="2">
        <v>42826</v>
      </c>
      <c r="K5571" s="3">
        <f t="shared" ref="K5571:K5634" si="174">E5578</f>
        <v>6.25</v>
      </c>
      <c r="L5571" s="3">
        <f t="shared" ref="L5571:L5634" si="175">H5578</f>
        <v>6.2629999999999999</v>
      </c>
    </row>
    <row r="5572" spans="1:12" x14ac:dyDescent="0.3">
      <c r="A5572" s="2">
        <v>42089</v>
      </c>
      <c r="B5572" t="s">
        <v>13</v>
      </c>
      <c r="D5572" s="2">
        <v>42820</v>
      </c>
      <c r="E5572">
        <v>6.25</v>
      </c>
      <c r="G5572" s="2">
        <v>42820</v>
      </c>
      <c r="H5572">
        <v>6.2519999999999998</v>
      </c>
      <c r="J5572" s="2">
        <v>42827</v>
      </c>
      <c r="K5572" s="3">
        <f t="shared" si="174"/>
        <v>6.25</v>
      </c>
      <c r="L5572" s="3">
        <f t="shared" si="175"/>
        <v>6.2629999999999999</v>
      </c>
    </row>
    <row r="5573" spans="1:12" x14ac:dyDescent="0.3">
      <c r="A5573" s="2">
        <v>42090</v>
      </c>
      <c r="B5573" t="s">
        <v>13</v>
      </c>
      <c r="D5573" s="2">
        <v>42821</v>
      </c>
      <c r="E5573">
        <v>6.25</v>
      </c>
      <c r="G5573" s="2">
        <v>42821</v>
      </c>
      <c r="H5573">
        <v>6.2729999999999997</v>
      </c>
      <c r="J5573" s="2">
        <v>42828</v>
      </c>
      <c r="K5573" s="3">
        <f t="shared" si="174"/>
        <v>6.25</v>
      </c>
      <c r="L5573" s="3">
        <f t="shared" si="175"/>
        <v>6.2519999999999998</v>
      </c>
    </row>
    <row r="5574" spans="1:12" x14ac:dyDescent="0.3">
      <c r="A5574" s="2">
        <v>42091</v>
      </c>
      <c r="B5574" t="s">
        <v>13</v>
      </c>
      <c r="D5574" s="2">
        <v>42822</v>
      </c>
      <c r="E5574">
        <v>6.25</v>
      </c>
      <c r="G5574" s="2">
        <v>42822</v>
      </c>
      <c r="H5574">
        <v>6.2729999999999997</v>
      </c>
      <c r="J5574" s="2">
        <v>42829</v>
      </c>
      <c r="K5574" s="3">
        <f t="shared" si="174"/>
        <v>6.25</v>
      </c>
      <c r="L5574" s="3">
        <f t="shared" si="175"/>
        <v>6.2519999999999998</v>
      </c>
    </row>
    <row r="5575" spans="1:12" x14ac:dyDescent="0.3">
      <c r="A5575" s="2">
        <v>42092</v>
      </c>
      <c r="B5575" t="s">
        <v>13</v>
      </c>
      <c r="D5575" s="2">
        <v>42823</v>
      </c>
      <c r="E5575">
        <v>6.25</v>
      </c>
      <c r="G5575" s="2">
        <v>42823</v>
      </c>
      <c r="H5575">
        <v>6.2809999999999997</v>
      </c>
      <c r="J5575" s="2">
        <v>42830</v>
      </c>
      <c r="K5575" s="3">
        <f t="shared" si="174"/>
        <v>6.25</v>
      </c>
      <c r="L5575" s="3">
        <f t="shared" si="175"/>
        <v>6.2779999999999996</v>
      </c>
    </row>
    <row r="5576" spans="1:12" x14ac:dyDescent="0.3">
      <c r="A5576" s="2">
        <v>42093</v>
      </c>
      <c r="B5576" t="s">
        <v>13</v>
      </c>
      <c r="D5576" s="2">
        <v>42824</v>
      </c>
      <c r="E5576">
        <v>6.25</v>
      </c>
      <c r="G5576" s="2">
        <v>42824</v>
      </c>
      <c r="H5576">
        <v>6.2809999999999997</v>
      </c>
      <c r="J5576" s="2">
        <v>42831</v>
      </c>
      <c r="K5576" s="3">
        <f t="shared" si="174"/>
        <v>6.25</v>
      </c>
      <c r="L5576" s="3">
        <f t="shared" si="175"/>
        <v>6.48</v>
      </c>
    </row>
    <row r="5577" spans="1:12" x14ac:dyDescent="0.3">
      <c r="A5577" s="2">
        <v>42094</v>
      </c>
      <c r="B5577" t="s">
        <v>13</v>
      </c>
      <c r="D5577" s="2">
        <v>42825</v>
      </c>
      <c r="E5577">
        <v>6.25</v>
      </c>
      <c r="G5577" s="2">
        <v>42825</v>
      </c>
      <c r="H5577">
        <v>6.2629999999999999</v>
      </c>
      <c r="J5577" s="2">
        <v>42832</v>
      </c>
      <c r="K5577" s="3">
        <f t="shared" si="174"/>
        <v>6.25</v>
      </c>
      <c r="L5577" s="3">
        <f t="shared" si="175"/>
        <v>6.423</v>
      </c>
    </row>
    <row r="5578" spans="1:12" x14ac:dyDescent="0.3">
      <c r="A5578" s="2">
        <v>42095</v>
      </c>
      <c r="B5578" t="s">
        <v>13</v>
      </c>
      <c r="D5578" s="2">
        <v>42826</v>
      </c>
      <c r="E5578">
        <v>6.25</v>
      </c>
      <c r="G5578" s="2">
        <v>42826</v>
      </c>
      <c r="H5578">
        <v>6.2629999999999999</v>
      </c>
      <c r="J5578" s="2">
        <v>42833</v>
      </c>
      <c r="K5578" s="3">
        <f t="shared" si="174"/>
        <v>6.25</v>
      </c>
      <c r="L5578" s="3">
        <f t="shared" si="175"/>
        <v>6.423</v>
      </c>
    </row>
    <row r="5579" spans="1:12" x14ac:dyDescent="0.3">
      <c r="A5579" s="2">
        <v>42096</v>
      </c>
      <c r="B5579" t="s">
        <v>13</v>
      </c>
      <c r="D5579" s="2">
        <v>42827</v>
      </c>
      <c r="E5579">
        <v>6.25</v>
      </c>
      <c r="G5579" s="2">
        <v>42827</v>
      </c>
      <c r="H5579">
        <v>6.2629999999999999</v>
      </c>
      <c r="J5579" s="2">
        <v>42834</v>
      </c>
      <c r="K5579" s="3">
        <f t="shared" si="174"/>
        <v>6.25</v>
      </c>
      <c r="L5579" s="3">
        <f t="shared" si="175"/>
        <v>6.423</v>
      </c>
    </row>
    <row r="5580" spans="1:12" x14ac:dyDescent="0.3">
      <c r="A5580" s="2">
        <v>42097</v>
      </c>
      <c r="B5580" t="s">
        <v>13</v>
      </c>
      <c r="D5580" s="2">
        <v>42828</v>
      </c>
      <c r="E5580">
        <v>6.25</v>
      </c>
      <c r="G5580" s="2">
        <v>42828</v>
      </c>
      <c r="H5580">
        <v>6.2519999999999998</v>
      </c>
      <c r="J5580" s="2">
        <v>42835</v>
      </c>
      <c r="K5580" s="3">
        <f t="shared" si="174"/>
        <v>6.25</v>
      </c>
      <c r="L5580" s="3">
        <f t="shared" si="175"/>
        <v>6.3849999999999998</v>
      </c>
    </row>
    <row r="5581" spans="1:12" x14ac:dyDescent="0.3">
      <c r="A5581" s="2">
        <v>42098</v>
      </c>
      <c r="B5581" t="s">
        <v>13</v>
      </c>
      <c r="D5581" s="2">
        <v>42829</v>
      </c>
      <c r="E5581">
        <v>6.25</v>
      </c>
      <c r="G5581" s="2">
        <v>42829</v>
      </c>
      <c r="H5581">
        <v>6.2519999999999998</v>
      </c>
      <c r="J5581" s="2">
        <v>42836</v>
      </c>
      <c r="K5581" s="3">
        <f t="shared" si="174"/>
        <v>6.25</v>
      </c>
      <c r="L5581" s="3">
        <f t="shared" si="175"/>
        <v>6.3849999999999998</v>
      </c>
    </row>
    <row r="5582" spans="1:12" x14ac:dyDescent="0.3">
      <c r="A5582" s="2">
        <v>42099</v>
      </c>
      <c r="B5582" t="s">
        <v>13</v>
      </c>
      <c r="D5582" s="2">
        <v>42830</v>
      </c>
      <c r="E5582">
        <v>6.25</v>
      </c>
      <c r="G5582" s="2">
        <v>42830</v>
      </c>
      <c r="H5582">
        <v>6.2779999999999996</v>
      </c>
      <c r="J5582" s="2">
        <v>42837</v>
      </c>
      <c r="K5582" s="3">
        <f t="shared" si="174"/>
        <v>6.25</v>
      </c>
      <c r="L5582" s="3">
        <f t="shared" si="175"/>
        <v>6.4050000000000002</v>
      </c>
    </row>
    <row r="5583" spans="1:12" x14ac:dyDescent="0.3">
      <c r="A5583" s="2">
        <v>42100</v>
      </c>
      <c r="B5583" t="s">
        <v>13</v>
      </c>
      <c r="D5583" s="2">
        <v>42831</v>
      </c>
      <c r="E5583">
        <v>6.25</v>
      </c>
      <c r="G5583" s="2">
        <v>42831</v>
      </c>
      <c r="H5583">
        <v>6.48</v>
      </c>
      <c r="J5583" s="2">
        <v>42838</v>
      </c>
      <c r="K5583" s="3">
        <f t="shared" si="174"/>
        <v>6.25</v>
      </c>
      <c r="L5583" s="3">
        <f t="shared" si="175"/>
        <v>6.3929999999999998</v>
      </c>
    </row>
    <row r="5584" spans="1:12" x14ac:dyDescent="0.3">
      <c r="A5584" s="2">
        <v>42101</v>
      </c>
      <c r="B5584" t="s">
        <v>13</v>
      </c>
      <c r="D5584" s="2">
        <v>42832</v>
      </c>
      <c r="E5584">
        <v>6.25</v>
      </c>
      <c r="G5584" s="2">
        <v>42832</v>
      </c>
      <c r="H5584">
        <v>6.423</v>
      </c>
      <c r="J5584" s="2">
        <v>42839</v>
      </c>
      <c r="K5584" s="3">
        <f t="shared" si="174"/>
        <v>6.25</v>
      </c>
      <c r="L5584" s="3">
        <f t="shared" si="175"/>
        <v>6.3929999999999998</v>
      </c>
    </row>
    <row r="5585" spans="1:12" x14ac:dyDescent="0.3">
      <c r="A5585" s="2">
        <v>42102</v>
      </c>
      <c r="B5585" t="s">
        <v>13</v>
      </c>
      <c r="D5585" s="2">
        <v>42833</v>
      </c>
      <c r="E5585">
        <v>6.25</v>
      </c>
      <c r="G5585" s="2">
        <v>42833</v>
      </c>
      <c r="H5585">
        <v>6.423</v>
      </c>
      <c r="J5585" s="2">
        <v>42840</v>
      </c>
      <c r="K5585" s="3">
        <f t="shared" si="174"/>
        <v>6.25</v>
      </c>
      <c r="L5585" s="3">
        <f t="shared" si="175"/>
        <v>6.3929999999999998</v>
      </c>
    </row>
    <row r="5586" spans="1:12" x14ac:dyDescent="0.3">
      <c r="A5586" s="2">
        <v>42103</v>
      </c>
      <c r="B5586" t="s">
        <v>13</v>
      </c>
      <c r="D5586" s="2">
        <v>42834</v>
      </c>
      <c r="E5586">
        <v>6.25</v>
      </c>
      <c r="G5586" s="2">
        <v>42834</v>
      </c>
      <c r="H5586">
        <v>6.423</v>
      </c>
      <c r="J5586" s="2">
        <v>42841</v>
      </c>
      <c r="K5586" s="3">
        <f t="shared" si="174"/>
        <v>6.25</v>
      </c>
      <c r="L5586" s="3">
        <f t="shared" si="175"/>
        <v>6.3929999999999998</v>
      </c>
    </row>
    <row r="5587" spans="1:12" x14ac:dyDescent="0.3">
      <c r="A5587" s="2">
        <v>42104</v>
      </c>
      <c r="B5587" t="s">
        <v>13</v>
      </c>
      <c r="D5587" s="2">
        <v>42835</v>
      </c>
      <c r="E5587">
        <v>6.25</v>
      </c>
      <c r="G5587" s="2">
        <v>42835</v>
      </c>
      <c r="H5587">
        <v>6.3849999999999998</v>
      </c>
      <c r="J5587" s="2">
        <v>42842</v>
      </c>
      <c r="K5587" s="3">
        <f t="shared" si="174"/>
        <v>6.25</v>
      </c>
      <c r="L5587" s="3">
        <f t="shared" si="175"/>
        <v>6.4169999999999998</v>
      </c>
    </row>
    <row r="5588" spans="1:12" x14ac:dyDescent="0.3">
      <c r="A5588" s="2">
        <v>42105</v>
      </c>
      <c r="B5588" t="s">
        <v>13</v>
      </c>
      <c r="D5588" s="2">
        <v>42836</v>
      </c>
      <c r="E5588">
        <v>6.25</v>
      </c>
      <c r="G5588" s="2">
        <v>42836</v>
      </c>
      <c r="H5588">
        <v>6.3849999999999998</v>
      </c>
      <c r="J5588" s="2">
        <v>42843</v>
      </c>
      <c r="K5588" s="3">
        <f t="shared" si="174"/>
        <v>6.25</v>
      </c>
      <c r="L5588" s="3">
        <f t="shared" si="175"/>
        <v>6.48</v>
      </c>
    </row>
    <row r="5589" spans="1:12" x14ac:dyDescent="0.3">
      <c r="A5589" s="2">
        <v>42106</v>
      </c>
      <c r="B5589" t="s">
        <v>13</v>
      </c>
      <c r="D5589" s="2">
        <v>42837</v>
      </c>
      <c r="E5589">
        <v>6.25</v>
      </c>
      <c r="G5589" s="2">
        <v>42837</v>
      </c>
      <c r="H5589">
        <v>6.4050000000000002</v>
      </c>
      <c r="J5589" s="2">
        <v>42844</v>
      </c>
      <c r="K5589" s="3">
        <f t="shared" si="174"/>
        <v>6.25</v>
      </c>
      <c r="L5589" s="3">
        <f t="shared" si="175"/>
        <v>6.4</v>
      </c>
    </row>
    <row r="5590" spans="1:12" x14ac:dyDescent="0.3">
      <c r="A5590" s="2">
        <v>42107</v>
      </c>
      <c r="B5590" t="s">
        <v>13</v>
      </c>
      <c r="D5590" s="2">
        <v>42838</v>
      </c>
      <c r="E5590">
        <v>6.25</v>
      </c>
      <c r="G5590" s="2">
        <v>42838</v>
      </c>
      <c r="H5590">
        <v>6.3929999999999998</v>
      </c>
      <c r="J5590" s="2">
        <v>42845</v>
      </c>
      <c r="K5590" s="3">
        <f t="shared" si="174"/>
        <v>6.25</v>
      </c>
      <c r="L5590" s="3">
        <f t="shared" si="175"/>
        <v>6.3940000000000001</v>
      </c>
    </row>
    <row r="5591" spans="1:12" x14ac:dyDescent="0.3">
      <c r="A5591" s="2">
        <v>42108</v>
      </c>
      <c r="B5591" t="s">
        <v>13</v>
      </c>
      <c r="D5591" s="2">
        <v>42839</v>
      </c>
      <c r="E5591">
        <v>6.25</v>
      </c>
      <c r="G5591" s="2">
        <v>42839</v>
      </c>
      <c r="H5591">
        <v>6.3929999999999998</v>
      </c>
      <c r="J5591" s="2">
        <v>42846</v>
      </c>
      <c r="K5591" s="3">
        <f t="shared" si="174"/>
        <v>6.25</v>
      </c>
      <c r="L5591" s="3">
        <f t="shared" si="175"/>
        <v>6.4450000000000003</v>
      </c>
    </row>
    <row r="5592" spans="1:12" x14ac:dyDescent="0.3">
      <c r="A5592" s="2">
        <v>42109</v>
      </c>
      <c r="B5592" t="s">
        <v>13</v>
      </c>
      <c r="D5592" s="2">
        <v>42840</v>
      </c>
      <c r="E5592">
        <v>6.25</v>
      </c>
      <c r="G5592" s="2">
        <v>42840</v>
      </c>
      <c r="H5592">
        <v>6.3929999999999998</v>
      </c>
      <c r="J5592" s="2">
        <v>42847</v>
      </c>
      <c r="K5592" s="3">
        <f t="shared" si="174"/>
        <v>6.25</v>
      </c>
      <c r="L5592" s="3">
        <f t="shared" si="175"/>
        <v>6.4450000000000003</v>
      </c>
    </row>
    <row r="5593" spans="1:12" x14ac:dyDescent="0.3">
      <c r="A5593" s="2">
        <v>42110</v>
      </c>
      <c r="B5593" t="s">
        <v>13</v>
      </c>
      <c r="D5593" s="2">
        <v>42841</v>
      </c>
      <c r="E5593">
        <v>6.25</v>
      </c>
      <c r="G5593" s="2">
        <v>42841</v>
      </c>
      <c r="H5593">
        <v>6.3929999999999998</v>
      </c>
      <c r="J5593" s="2">
        <v>42848</v>
      </c>
      <c r="K5593" s="3">
        <f t="shared" si="174"/>
        <v>6.25</v>
      </c>
      <c r="L5593" s="3">
        <f t="shared" si="175"/>
        <v>6.4450000000000003</v>
      </c>
    </row>
    <row r="5594" spans="1:12" x14ac:dyDescent="0.3">
      <c r="A5594" s="2">
        <v>42111</v>
      </c>
      <c r="B5594" t="s">
        <v>13</v>
      </c>
      <c r="D5594" s="2">
        <v>42842</v>
      </c>
      <c r="E5594">
        <v>6.25</v>
      </c>
      <c r="G5594" s="2">
        <v>42842</v>
      </c>
      <c r="H5594">
        <v>6.4169999999999998</v>
      </c>
      <c r="J5594" s="2">
        <v>42849</v>
      </c>
      <c r="K5594" s="3">
        <f t="shared" si="174"/>
        <v>6.25</v>
      </c>
      <c r="L5594" s="3">
        <f t="shared" si="175"/>
        <v>6.431</v>
      </c>
    </row>
    <row r="5595" spans="1:12" x14ac:dyDescent="0.3">
      <c r="A5595" s="2">
        <v>42112</v>
      </c>
      <c r="B5595" t="s">
        <v>13</v>
      </c>
      <c r="D5595" s="2">
        <v>42843</v>
      </c>
      <c r="E5595">
        <v>6.25</v>
      </c>
      <c r="G5595" s="2">
        <v>42843</v>
      </c>
      <c r="H5595">
        <v>6.48</v>
      </c>
      <c r="J5595" s="2">
        <v>42850</v>
      </c>
      <c r="K5595" s="3">
        <f t="shared" si="174"/>
        <v>6.25</v>
      </c>
      <c r="L5595" s="3">
        <f t="shared" si="175"/>
        <v>6.4589999999999996</v>
      </c>
    </row>
    <row r="5596" spans="1:12" x14ac:dyDescent="0.3">
      <c r="A5596" s="2">
        <v>42113</v>
      </c>
      <c r="B5596" t="s">
        <v>13</v>
      </c>
      <c r="D5596" s="2">
        <v>42844</v>
      </c>
      <c r="E5596">
        <v>6.25</v>
      </c>
      <c r="G5596" s="2">
        <v>42844</v>
      </c>
      <c r="H5596">
        <v>6.4</v>
      </c>
      <c r="J5596" s="2">
        <v>42851</v>
      </c>
      <c r="K5596" s="3">
        <f t="shared" si="174"/>
        <v>6.25</v>
      </c>
      <c r="L5596" s="3">
        <f t="shared" si="175"/>
        <v>6.5270000000000001</v>
      </c>
    </row>
    <row r="5597" spans="1:12" x14ac:dyDescent="0.3">
      <c r="A5597" s="2">
        <v>42114</v>
      </c>
      <c r="B5597" t="s">
        <v>13</v>
      </c>
      <c r="D5597" s="2">
        <v>42845</v>
      </c>
      <c r="E5597">
        <v>6.25</v>
      </c>
      <c r="G5597" s="2">
        <v>42845</v>
      </c>
      <c r="H5597">
        <v>6.3940000000000001</v>
      </c>
      <c r="J5597" s="2">
        <v>42852</v>
      </c>
      <c r="K5597" s="3">
        <f t="shared" si="174"/>
        <v>6.25</v>
      </c>
      <c r="L5597" s="3">
        <f t="shared" si="175"/>
        <v>6.5529999999999999</v>
      </c>
    </row>
    <row r="5598" spans="1:12" x14ac:dyDescent="0.3">
      <c r="A5598" s="2">
        <v>42115</v>
      </c>
      <c r="B5598" t="s">
        <v>13</v>
      </c>
      <c r="D5598" s="2">
        <v>42846</v>
      </c>
      <c r="E5598">
        <v>6.25</v>
      </c>
      <c r="G5598" s="2">
        <v>42846</v>
      </c>
      <c r="H5598">
        <v>6.4450000000000003</v>
      </c>
      <c r="J5598" s="2">
        <v>42853</v>
      </c>
      <c r="K5598" s="3">
        <f t="shared" si="174"/>
        <v>6.25</v>
      </c>
      <c r="L5598" s="3">
        <f t="shared" si="175"/>
        <v>6.5419999999999998</v>
      </c>
    </row>
    <row r="5599" spans="1:12" x14ac:dyDescent="0.3">
      <c r="A5599" s="2">
        <v>42116</v>
      </c>
      <c r="B5599" t="s">
        <v>13</v>
      </c>
      <c r="D5599" s="2">
        <v>42847</v>
      </c>
      <c r="E5599">
        <v>6.25</v>
      </c>
      <c r="G5599" s="2">
        <v>42847</v>
      </c>
      <c r="H5599">
        <v>6.4450000000000003</v>
      </c>
      <c r="J5599" s="2">
        <v>42854</v>
      </c>
      <c r="K5599" s="3">
        <f t="shared" si="174"/>
        <v>6.25</v>
      </c>
      <c r="L5599" s="3">
        <f t="shared" si="175"/>
        <v>6.5419999999999998</v>
      </c>
    </row>
    <row r="5600" spans="1:12" x14ac:dyDescent="0.3">
      <c r="A5600" s="2">
        <v>42117</v>
      </c>
      <c r="B5600" t="s">
        <v>13</v>
      </c>
      <c r="D5600" s="2">
        <v>42848</v>
      </c>
      <c r="E5600">
        <v>6.25</v>
      </c>
      <c r="G5600" s="2">
        <v>42848</v>
      </c>
      <c r="H5600">
        <v>6.4450000000000003</v>
      </c>
      <c r="J5600" s="2">
        <v>42855</v>
      </c>
      <c r="K5600" s="3">
        <f t="shared" si="174"/>
        <v>6.25</v>
      </c>
      <c r="L5600" s="3">
        <f t="shared" si="175"/>
        <v>6.5419999999999998</v>
      </c>
    </row>
    <row r="5601" spans="1:12" x14ac:dyDescent="0.3">
      <c r="A5601" s="2">
        <v>42118</v>
      </c>
      <c r="B5601" t="s">
        <v>13</v>
      </c>
      <c r="D5601" s="2">
        <v>42849</v>
      </c>
      <c r="E5601">
        <v>6.25</v>
      </c>
      <c r="G5601" s="2">
        <v>42849</v>
      </c>
      <c r="H5601">
        <v>6.431</v>
      </c>
      <c r="J5601" s="2">
        <v>42856</v>
      </c>
      <c r="K5601" s="3">
        <f t="shared" si="174"/>
        <v>6.25</v>
      </c>
      <c r="L5601" s="3">
        <f t="shared" si="175"/>
        <v>6.5419999999999998</v>
      </c>
    </row>
    <row r="5602" spans="1:12" x14ac:dyDescent="0.3">
      <c r="A5602" s="2">
        <v>42119</v>
      </c>
      <c r="B5602" t="s">
        <v>13</v>
      </c>
      <c r="D5602" s="2">
        <v>42850</v>
      </c>
      <c r="E5602">
        <v>6.25</v>
      </c>
      <c r="G5602" s="2">
        <v>42850</v>
      </c>
      <c r="H5602">
        <v>6.4589999999999996</v>
      </c>
      <c r="J5602" s="2">
        <v>42857</v>
      </c>
      <c r="K5602" s="3">
        <f t="shared" si="174"/>
        <v>6.25</v>
      </c>
      <c r="L5602" s="3">
        <f t="shared" si="175"/>
        <v>6.5209999999999999</v>
      </c>
    </row>
    <row r="5603" spans="1:12" x14ac:dyDescent="0.3">
      <c r="A5603" s="2">
        <v>42120</v>
      </c>
      <c r="B5603" t="s">
        <v>13</v>
      </c>
      <c r="D5603" s="2">
        <v>42851</v>
      </c>
      <c r="E5603">
        <v>6.25</v>
      </c>
      <c r="G5603" s="2">
        <v>42851</v>
      </c>
      <c r="H5603">
        <v>6.5270000000000001</v>
      </c>
      <c r="J5603" s="2">
        <v>42858</v>
      </c>
      <c r="K5603" s="3">
        <f t="shared" si="174"/>
        <v>6.25</v>
      </c>
      <c r="L5603" s="3">
        <f t="shared" si="175"/>
        <v>6.5659999999999998</v>
      </c>
    </row>
    <row r="5604" spans="1:12" x14ac:dyDescent="0.3">
      <c r="A5604" s="2">
        <v>42121</v>
      </c>
      <c r="B5604" t="s">
        <v>13</v>
      </c>
      <c r="D5604" s="2">
        <v>42852</v>
      </c>
      <c r="E5604">
        <v>6.25</v>
      </c>
      <c r="G5604" s="2">
        <v>42852</v>
      </c>
      <c r="H5604">
        <v>6.5529999999999999</v>
      </c>
      <c r="J5604" s="2">
        <v>42859</v>
      </c>
      <c r="K5604" s="3">
        <f t="shared" si="174"/>
        <v>6.25</v>
      </c>
      <c r="L5604" s="3">
        <f t="shared" si="175"/>
        <v>6.55</v>
      </c>
    </row>
    <row r="5605" spans="1:12" x14ac:dyDescent="0.3">
      <c r="A5605" s="2">
        <v>42122</v>
      </c>
      <c r="B5605" t="s">
        <v>13</v>
      </c>
      <c r="D5605" s="2">
        <v>42853</v>
      </c>
      <c r="E5605">
        <v>6.25</v>
      </c>
      <c r="G5605" s="2">
        <v>42853</v>
      </c>
      <c r="H5605">
        <v>6.5419999999999998</v>
      </c>
      <c r="J5605" s="2">
        <v>42860</v>
      </c>
      <c r="K5605" s="3">
        <f t="shared" si="174"/>
        <v>6.25</v>
      </c>
      <c r="L5605" s="3">
        <f t="shared" si="175"/>
        <v>6.5229999999999997</v>
      </c>
    </row>
    <row r="5606" spans="1:12" x14ac:dyDescent="0.3">
      <c r="A5606" s="2">
        <v>42123</v>
      </c>
      <c r="B5606" t="s">
        <v>13</v>
      </c>
      <c r="D5606" s="2">
        <v>42854</v>
      </c>
      <c r="E5606">
        <v>6.25</v>
      </c>
      <c r="G5606" s="2">
        <v>42854</v>
      </c>
      <c r="H5606">
        <v>6.5419999999999998</v>
      </c>
      <c r="J5606" s="2">
        <v>42861</v>
      </c>
      <c r="K5606" s="3">
        <f t="shared" si="174"/>
        <v>6.25</v>
      </c>
      <c r="L5606" s="3">
        <f t="shared" si="175"/>
        <v>6.5229999999999997</v>
      </c>
    </row>
    <row r="5607" spans="1:12" x14ac:dyDescent="0.3">
      <c r="A5607" s="2">
        <v>42124</v>
      </c>
      <c r="B5607" t="s">
        <v>13</v>
      </c>
      <c r="D5607" s="2">
        <v>42855</v>
      </c>
      <c r="E5607">
        <v>6.25</v>
      </c>
      <c r="G5607" s="2">
        <v>42855</v>
      </c>
      <c r="H5607">
        <v>6.5419999999999998</v>
      </c>
      <c r="J5607" s="2">
        <v>42862</v>
      </c>
      <c r="K5607" s="3">
        <f t="shared" si="174"/>
        <v>6.25</v>
      </c>
      <c r="L5607" s="3">
        <f t="shared" si="175"/>
        <v>6.5229999999999997</v>
      </c>
    </row>
    <row r="5608" spans="1:12" x14ac:dyDescent="0.3">
      <c r="A5608" s="2">
        <v>42125</v>
      </c>
      <c r="B5608" t="s">
        <v>13</v>
      </c>
      <c r="D5608" s="2">
        <v>42856</v>
      </c>
      <c r="E5608">
        <v>6.25</v>
      </c>
      <c r="G5608" s="2">
        <v>42856</v>
      </c>
      <c r="H5608">
        <v>6.5419999999999998</v>
      </c>
      <c r="J5608" s="2">
        <v>42863</v>
      </c>
      <c r="K5608" s="3">
        <f t="shared" si="174"/>
        <v>6.25</v>
      </c>
      <c r="L5608" s="3">
        <f t="shared" si="175"/>
        <v>6.5659999999999998</v>
      </c>
    </row>
    <row r="5609" spans="1:12" x14ac:dyDescent="0.3">
      <c r="A5609" s="2">
        <v>42126</v>
      </c>
      <c r="B5609" t="s">
        <v>13</v>
      </c>
      <c r="D5609" s="2">
        <v>42857</v>
      </c>
      <c r="E5609">
        <v>6.25</v>
      </c>
      <c r="G5609" s="2">
        <v>42857</v>
      </c>
      <c r="H5609">
        <v>6.5209999999999999</v>
      </c>
      <c r="J5609" s="2">
        <v>42864</v>
      </c>
      <c r="K5609" s="3">
        <f t="shared" si="174"/>
        <v>6.25</v>
      </c>
      <c r="L5609" s="3">
        <f t="shared" si="175"/>
        <v>6.5270000000000001</v>
      </c>
    </row>
    <row r="5610" spans="1:12" x14ac:dyDescent="0.3">
      <c r="A5610" s="2">
        <v>42127</v>
      </c>
      <c r="B5610" t="s">
        <v>13</v>
      </c>
      <c r="D5610" s="2">
        <v>42858</v>
      </c>
      <c r="E5610">
        <v>6.25</v>
      </c>
      <c r="G5610" s="2">
        <v>42858</v>
      </c>
      <c r="H5610">
        <v>6.5659999999999998</v>
      </c>
      <c r="J5610" s="2">
        <v>42865</v>
      </c>
      <c r="K5610" s="3">
        <f t="shared" si="174"/>
        <v>6.25</v>
      </c>
      <c r="L5610" s="3">
        <f t="shared" si="175"/>
        <v>6.5270000000000001</v>
      </c>
    </row>
    <row r="5611" spans="1:12" x14ac:dyDescent="0.3">
      <c r="A5611" s="2">
        <v>42128</v>
      </c>
      <c r="B5611" t="s">
        <v>13</v>
      </c>
      <c r="D5611" s="2">
        <v>42859</v>
      </c>
      <c r="E5611">
        <v>6.25</v>
      </c>
      <c r="G5611" s="2">
        <v>42859</v>
      </c>
      <c r="H5611">
        <v>6.55</v>
      </c>
      <c r="J5611" s="2">
        <v>42866</v>
      </c>
      <c r="K5611" s="3">
        <f t="shared" si="174"/>
        <v>6.25</v>
      </c>
      <c r="L5611" s="3">
        <f t="shared" si="175"/>
        <v>6.4470000000000001</v>
      </c>
    </row>
    <row r="5612" spans="1:12" x14ac:dyDescent="0.3">
      <c r="A5612" s="2">
        <v>42129</v>
      </c>
      <c r="B5612" t="s">
        <v>13</v>
      </c>
      <c r="D5612" s="2">
        <v>42860</v>
      </c>
      <c r="E5612">
        <v>6.25</v>
      </c>
      <c r="G5612" s="2">
        <v>42860</v>
      </c>
      <c r="H5612">
        <v>6.5229999999999997</v>
      </c>
      <c r="J5612" s="2">
        <v>42867</v>
      </c>
      <c r="K5612" s="3">
        <f t="shared" si="174"/>
        <v>6.25</v>
      </c>
      <c r="L5612" s="3">
        <f t="shared" si="175"/>
        <v>6.4950000000000001</v>
      </c>
    </row>
    <row r="5613" spans="1:12" x14ac:dyDescent="0.3">
      <c r="A5613" s="2">
        <v>42130</v>
      </c>
      <c r="B5613" t="s">
        <v>13</v>
      </c>
      <c r="D5613" s="2">
        <v>42861</v>
      </c>
      <c r="E5613">
        <v>6.25</v>
      </c>
      <c r="G5613" s="2">
        <v>42861</v>
      </c>
      <c r="H5613">
        <v>6.5229999999999997</v>
      </c>
      <c r="J5613" s="2">
        <v>42868</v>
      </c>
      <c r="K5613" s="3">
        <f t="shared" si="174"/>
        <v>6.25</v>
      </c>
      <c r="L5613" s="3">
        <f t="shared" si="175"/>
        <v>6.4950000000000001</v>
      </c>
    </row>
    <row r="5614" spans="1:12" x14ac:dyDescent="0.3">
      <c r="A5614" s="2">
        <v>42131</v>
      </c>
      <c r="B5614" t="s">
        <v>13</v>
      </c>
      <c r="D5614" s="2">
        <v>42862</v>
      </c>
      <c r="E5614">
        <v>6.25</v>
      </c>
      <c r="G5614" s="2">
        <v>42862</v>
      </c>
      <c r="H5614">
        <v>6.5229999999999997</v>
      </c>
      <c r="J5614" s="2">
        <v>42869</v>
      </c>
      <c r="K5614" s="3">
        <f t="shared" si="174"/>
        <v>6.25</v>
      </c>
      <c r="L5614" s="3">
        <f t="shared" si="175"/>
        <v>6.4950000000000001</v>
      </c>
    </row>
    <row r="5615" spans="1:12" x14ac:dyDescent="0.3">
      <c r="A5615" s="2">
        <v>42132</v>
      </c>
      <c r="B5615" t="s">
        <v>13</v>
      </c>
      <c r="D5615" s="2">
        <v>42863</v>
      </c>
      <c r="E5615">
        <v>6.25</v>
      </c>
      <c r="G5615" s="2">
        <v>42863</v>
      </c>
      <c r="H5615">
        <v>6.5659999999999998</v>
      </c>
      <c r="J5615" s="2">
        <v>42870</v>
      </c>
      <c r="K5615" s="3">
        <f t="shared" si="174"/>
        <v>6.25</v>
      </c>
      <c r="L5615" s="3">
        <f t="shared" si="175"/>
        <v>6.4359999999999999</v>
      </c>
    </row>
    <row r="5616" spans="1:12" x14ac:dyDescent="0.3">
      <c r="A5616" s="2">
        <v>42133</v>
      </c>
      <c r="B5616" t="s">
        <v>13</v>
      </c>
      <c r="D5616" s="2">
        <v>42864</v>
      </c>
      <c r="E5616">
        <v>6.25</v>
      </c>
      <c r="G5616" s="2">
        <v>42864</v>
      </c>
      <c r="H5616">
        <v>6.5270000000000001</v>
      </c>
      <c r="J5616" s="2">
        <v>42871</v>
      </c>
      <c r="K5616" s="3">
        <f t="shared" si="174"/>
        <v>6.25</v>
      </c>
      <c r="L5616" s="3">
        <f t="shared" si="175"/>
        <v>6.4290000000000003</v>
      </c>
    </row>
    <row r="5617" spans="1:12" x14ac:dyDescent="0.3">
      <c r="A5617" s="2">
        <v>42134</v>
      </c>
      <c r="B5617" t="s">
        <v>13</v>
      </c>
      <c r="D5617" s="2">
        <v>42865</v>
      </c>
      <c r="E5617">
        <v>6.25</v>
      </c>
      <c r="G5617" s="2">
        <v>42865</v>
      </c>
      <c r="H5617">
        <v>6.5270000000000001</v>
      </c>
      <c r="J5617" s="2">
        <v>42872</v>
      </c>
      <c r="K5617" s="3">
        <f t="shared" si="174"/>
        <v>6.25</v>
      </c>
      <c r="L5617" s="3">
        <f t="shared" si="175"/>
        <v>6.4779999999999998</v>
      </c>
    </row>
    <row r="5618" spans="1:12" x14ac:dyDescent="0.3">
      <c r="A5618" s="2">
        <v>42135</v>
      </c>
      <c r="B5618" t="s">
        <v>13</v>
      </c>
      <c r="D5618" s="2">
        <v>42866</v>
      </c>
      <c r="E5618">
        <v>6.25</v>
      </c>
      <c r="G5618" s="2">
        <v>42866</v>
      </c>
      <c r="H5618">
        <v>6.4470000000000001</v>
      </c>
      <c r="J5618" s="2">
        <v>42873</v>
      </c>
      <c r="K5618" s="3">
        <f t="shared" si="174"/>
        <v>6.25</v>
      </c>
      <c r="L5618" s="3">
        <f t="shared" si="175"/>
        <v>6.5289999999999999</v>
      </c>
    </row>
    <row r="5619" spans="1:12" x14ac:dyDescent="0.3">
      <c r="A5619" s="2">
        <v>42136</v>
      </c>
      <c r="B5619" t="s">
        <v>13</v>
      </c>
      <c r="D5619" s="2">
        <v>42867</v>
      </c>
      <c r="E5619">
        <v>6.25</v>
      </c>
      <c r="G5619" s="2">
        <v>42867</v>
      </c>
      <c r="H5619">
        <v>6.4950000000000001</v>
      </c>
      <c r="J5619" s="2">
        <v>42874</v>
      </c>
      <c r="K5619" s="3">
        <f t="shared" si="174"/>
        <v>6.25</v>
      </c>
      <c r="L5619" s="3">
        <f t="shared" si="175"/>
        <v>6.52</v>
      </c>
    </row>
    <row r="5620" spans="1:12" x14ac:dyDescent="0.3">
      <c r="A5620" s="2">
        <v>42137</v>
      </c>
      <c r="B5620" t="s">
        <v>13</v>
      </c>
      <c r="D5620" s="2">
        <v>42868</v>
      </c>
      <c r="E5620">
        <v>6.25</v>
      </c>
      <c r="G5620" s="2">
        <v>42868</v>
      </c>
      <c r="H5620">
        <v>6.4950000000000001</v>
      </c>
      <c r="J5620" s="2">
        <v>42875</v>
      </c>
      <c r="K5620" s="3">
        <f t="shared" si="174"/>
        <v>6.25</v>
      </c>
      <c r="L5620" s="3">
        <f t="shared" si="175"/>
        <v>6.52</v>
      </c>
    </row>
    <row r="5621" spans="1:12" x14ac:dyDescent="0.3">
      <c r="A5621" s="2">
        <v>42138</v>
      </c>
      <c r="B5621" t="s">
        <v>13</v>
      </c>
      <c r="D5621" s="2">
        <v>42869</v>
      </c>
      <c r="E5621">
        <v>6.25</v>
      </c>
      <c r="G5621" s="2">
        <v>42869</v>
      </c>
      <c r="H5621">
        <v>6.4950000000000001</v>
      </c>
      <c r="J5621" s="2">
        <v>42876</v>
      </c>
      <c r="K5621" s="3">
        <f t="shared" si="174"/>
        <v>6.25</v>
      </c>
      <c r="L5621" s="3">
        <f t="shared" si="175"/>
        <v>6.52</v>
      </c>
    </row>
    <row r="5622" spans="1:12" x14ac:dyDescent="0.3">
      <c r="A5622" s="2">
        <v>42139</v>
      </c>
      <c r="B5622" t="s">
        <v>13</v>
      </c>
      <c r="D5622" s="2">
        <v>42870</v>
      </c>
      <c r="E5622">
        <v>6.25</v>
      </c>
      <c r="G5622" s="2">
        <v>42870</v>
      </c>
      <c r="H5622">
        <v>6.4359999999999999</v>
      </c>
      <c r="J5622" s="2">
        <v>42877</v>
      </c>
      <c r="K5622" s="3">
        <f t="shared" si="174"/>
        <v>6.25</v>
      </c>
      <c r="L5622" s="3">
        <f t="shared" si="175"/>
        <v>6.5149999999999997</v>
      </c>
    </row>
    <row r="5623" spans="1:12" x14ac:dyDescent="0.3">
      <c r="A5623" s="2">
        <v>42140</v>
      </c>
      <c r="B5623" t="s">
        <v>13</v>
      </c>
      <c r="D5623" s="2">
        <v>42871</v>
      </c>
      <c r="E5623">
        <v>6.25</v>
      </c>
      <c r="G5623" s="2">
        <v>42871</v>
      </c>
      <c r="H5623">
        <v>6.4290000000000003</v>
      </c>
      <c r="J5623" s="2">
        <v>42878</v>
      </c>
      <c r="K5623" s="3">
        <f t="shared" si="174"/>
        <v>6.25</v>
      </c>
      <c r="L5623" s="3">
        <f t="shared" si="175"/>
        <v>6.51</v>
      </c>
    </row>
    <row r="5624" spans="1:12" x14ac:dyDescent="0.3">
      <c r="A5624" s="2">
        <v>42141</v>
      </c>
      <c r="B5624" t="s">
        <v>13</v>
      </c>
      <c r="D5624" s="2">
        <v>42872</v>
      </c>
      <c r="E5624">
        <v>6.25</v>
      </c>
      <c r="G5624" s="2">
        <v>42872</v>
      </c>
      <c r="H5624">
        <v>6.4779999999999998</v>
      </c>
      <c r="J5624" s="2">
        <v>42879</v>
      </c>
      <c r="K5624" s="3">
        <f t="shared" si="174"/>
        <v>6.25</v>
      </c>
      <c r="L5624" s="3">
        <f t="shared" si="175"/>
        <v>6.4649999999999999</v>
      </c>
    </row>
    <row r="5625" spans="1:12" x14ac:dyDescent="0.3">
      <c r="A5625" s="2">
        <v>42142</v>
      </c>
      <c r="B5625" t="s">
        <v>13</v>
      </c>
      <c r="D5625" s="2">
        <v>42873</v>
      </c>
      <c r="E5625">
        <v>6.25</v>
      </c>
      <c r="G5625" s="2">
        <v>42873</v>
      </c>
      <c r="H5625">
        <v>6.5289999999999999</v>
      </c>
      <c r="J5625" s="2">
        <v>42880</v>
      </c>
      <c r="K5625" s="3">
        <f t="shared" si="174"/>
        <v>6.25</v>
      </c>
      <c r="L5625" s="3">
        <f t="shared" si="175"/>
        <v>6.4829999999999997</v>
      </c>
    </row>
    <row r="5626" spans="1:12" x14ac:dyDescent="0.3">
      <c r="A5626" s="2">
        <v>42143</v>
      </c>
      <c r="B5626" t="s">
        <v>13</v>
      </c>
      <c r="D5626" s="2">
        <v>42874</v>
      </c>
      <c r="E5626">
        <v>6.25</v>
      </c>
      <c r="G5626" s="2">
        <v>42874</v>
      </c>
      <c r="H5626">
        <v>6.52</v>
      </c>
      <c r="J5626" s="2">
        <v>42881</v>
      </c>
      <c r="K5626" s="3">
        <f t="shared" si="174"/>
        <v>6.25</v>
      </c>
      <c r="L5626" s="3">
        <f t="shared" si="175"/>
        <v>6.4969999999999999</v>
      </c>
    </row>
    <row r="5627" spans="1:12" x14ac:dyDescent="0.3">
      <c r="A5627" s="2">
        <v>42144</v>
      </c>
      <c r="B5627" t="s">
        <v>13</v>
      </c>
      <c r="D5627" s="2">
        <v>42875</v>
      </c>
      <c r="E5627">
        <v>6.25</v>
      </c>
      <c r="G5627" s="2">
        <v>42875</v>
      </c>
      <c r="H5627">
        <v>6.52</v>
      </c>
      <c r="J5627" s="2">
        <v>42882</v>
      </c>
      <c r="K5627" s="3">
        <f t="shared" si="174"/>
        <v>6.25</v>
      </c>
      <c r="L5627" s="3">
        <f t="shared" si="175"/>
        <v>6.4969999999999999</v>
      </c>
    </row>
    <row r="5628" spans="1:12" x14ac:dyDescent="0.3">
      <c r="A5628" s="2">
        <v>42145</v>
      </c>
      <c r="B5628" t="s">
        <v>13</v>
      </c>
      <c r="D5628" s="2">
        <v>42876</v>
      </c>
      <c r="E5628">
        <v>6.25</v>
      </c>
      <c r="G5628" s="2">
        <v>42876</v>
      </c>
      <c r="H5628">
        <v>6.52</v>
      </c>
      <c r="J5628" s="2">
        <v>42883</v>
      </c>
      <c r="K5628" s="3">
        <f t="shared" si="174"/>
        <v>6.25</v>
      </c>
      <c r="L5628" s="3">
        <f t="shared" si="175"/>
        <v>6.4969999999999999</v>
      </c>
    </row>
    <row r="5629" spans="1:12" x14ac:dyDescent="0.3">
      <c r="A5629" s="2">
        <v>42146</v>
      </c>
      <c r="B5629" t="s">
        <v>13</v>
      </c>
      <c r="D5629" s="2">
        <v>42877</v>
      </c>
      <c r="E5629">
        <v>6.25</v>
      </c>
      <c r="G5629" s="2">
        <v>42877</v>
      </c>
      <c r="H5629">
        <v>6.5149999999999997</v>
      </c>
      <c r="J5629" s="2">
        <v>42884</v>
      </c>
      <c r="K5629" s="3">
        <f t="shared" si="174"/>
        <v>6.25</v>
      </c>
      <c r="L5629" s="3">
        <f t="shared" si="175"/>
        <v>6.556</v>
      </c>
    </row>
    <row r="5630" spans="1:12" x14ac:dyDescent="0.3">
      <c r="A5630" s="2">
        <v>42147</v>
      </c>
      <c r="B5630" t="s">
        <v>13</v>
      </c>
      <c r="D5630" s="2">
        <v>42878</v>
      </c>
      <c r="E5630">
        <v>6.25</v>
      </c>
      <c r="G5630" s="2">
        <v>42878</v>
      </c>
      <c r="H5630">
        <v>6.51</v>
      </c>
      <c r="J5630" s="2">
        <v>42885</v>
      </c>
      <c r="K5630" s="3">
        <f t="shared" si="174"/>
        <v>6.25</v>
      </c>
      <c r="L5630" s="3">
        <f t="shared" si="175"/>
        <v>6.5460000000000003</v>
      </c>
    </row>
    <row r="5631" spans="1:12" x14ac:dyDescent="0.3">
      <c r="A5631" s="2">
        <v>42148</v>
      </c>
      <c r="B5631" t="s">
        <v>13</v>
      </c>
      <c r="D5631" s="2">
        <v>42879</v>
      </c>
      <c r="E5631">
        <v>6.25</v>
      </c>
      <c r="G5631" s="2">
        <v>42879</v>
      </c>
      <c r="H5631">
        <v>6.4649999999999999</v>
      </c>
      <c r="J5631" s="2">
        <v>42886</v>
      </c>
      <c r="K5631" s="3">
        <f t="shared" si="174"/>
        <v>6.25</v>
      </c>
      <c r="L5631" s="3">
        <f t="shared" si="175"/>
        <v>6.5289999999999999</v>
      </c>
    </row>
    <row r="5632" spans="1:12" x14ac:dyDescent="0.3">
      <c r="A5632" s="2">
        <v>42149</v>
      </c>
      <c r="B5632" t="s">
        <v>13</v>
      </c>
      <c r="D5632" s="2">
        <v>42880</v>
      </c>
      <c r="E5632">
        <v>6.25</v>
      </c>
      <c r="G5632" s="2">
        <v>42880</v>
      </c>
      <c r="H5632">
        <v>6.4829999999999997</v>
      </c>
      <c r="J5632" s="2">
        <v>42887</v>
      </c>
      <c r="K5632" s="3">
        <f t="shared" si="174"/>
        <v>6.25</v>
      </c>
      <c r="L5632" s="3">
        <f t="shared" si="175"/>
        <v>6.51</v>
      </c>
    </row>
    <row r="5633" spans="1:12" x14ac:dyDescent="0.3">
      <c r="A5633" s="2">
        <v>42150</v>
      </c>
      <c r="B5633" t="s">
        <v>13</v>
      </c>
      <c r="D5633" s="2">
        <v>42881</v>
      </c>
      <c r="E5633">
        <v>6.25</v>
      </c>
      <c r="G5633" s="2">
        <v>42881</v>
      </c>
      <c r="H5633">
        <v>6.4969999999999999</v>
      </c>
      <c r="J5633" s="2">
        <v>42888</v>
      </c>
      <c r="K5633" s="3">
        <f t="shared" si="174"/>
        <v>6.25</v>
      </c>
      <c r="L5633" s="3">
        <f t="shared" si="175"/>
        <v>6.5430000000000001</v>
      </c>
    </row>
    <row r="5634" spans="1:12" x14ac:dyDescent="0.3">
      <c r="A5634" s="2">
        <v>42151</v>
      </c>
      <c r="B5634" t="s">
        <v>13</v>
      </c>
      <c r="D5634" s="2">
        <v>42882</v>
      </c>
      <c r="E5634">
        <v>6.25</v>
      </c>
      <c r="G5634" s="2">
        <v>42882</v>
      </c>
      <c r="H5634">
        <v>6.4969999999999999</v>
      </c>
      <c r="J5634" s="2">
        <v>42889</v>
      </c>
      <c r="K5634" s="3">
        <f t="shared" si="174"/>
        <v>6.25</v>
      </c>
      <c r="L5634" s="3">
        <f t="shared" si="175"/>
        <v>6.5430000000000001</v>
      </c>
    </row>
    <row r="5635" spans="1:12" x14ac:dyDescent="0.3">
      <c r="A5635" s="2">
        <v>42152</v>
      </c>
      <c r="B5635" t="s">
        <v>13</v>
      </c>
      <c r="D5635" s="2">
        <v>42883</v>
      </c>
      <c r="E5635">
        <v>6.25</v>
      </c>
      <c r="G5635" s="2">
        <v>42883</v>
      </c>
      <c r="H5635">
        <v>6.4969999999999999</v>
      </c>
      <c r="J5635" s="2">
        <v>42890</v>
      </c>
      <c r="K5635" s="3">
        <f t="shared" ref="K5635:K5698" si="176">E5642</f>
        <v>6.25</v>
      </c>
      <c r="L5635" s="3">
        <f t="shared" ref="L5635:L5698" si="177">H5642</f>
        <v>6.5430000000000001</v>
      </c>
    </row>
    <row r="5636" spans="1:12" x14ac:dyDescent="0.3">
      <c r="A5636" s="2">
        <v>42153</v>
      </c>
      <c r="B5636" t="s">
        <v>13</v>
      </c>
      <c r="D5636" s="2">
        <v>42884</v>
      </c>
      <c r="E5636">
        <v>6.25</v>
      </c>
      <c r="G5636" s="2">
        <v>42884</v>
      </c>
      <c r="H5636">
        <v>6.556</v>
      </c>
      <c r="J5636" s="2">
        <v>42891</v>
      </c>
      <c r="K5636" s="3">
        <f t="shared" si="176"/>
        <v>6.25</v>
      </c>
      <c r="L5636" s="3">
        <f t="shared" si="177"/>
        <v>6.52</v>
      </c>
    </row>
    <row r="5637" spans="1:12" x14ac:dyDescent="0.3">
      <c r="A5637" s="2">
        <v>42154</v>
      </c>
      <c r="B5637" t="s">
        <v>13</v>
      </c>
      <c r="D5637" s="2">
        <v>42885</v>
      </c>
      <c r="E5637">
        <v>6.25</v>
      </c>
      <c r="G5637" s="2">
        <v>42885</v>
      </c>
      <c r="H5637">
        <v>6.5460000000000003</v>
      </c>
      <c r="J5637" s="2">
        <v>42892</v>
      </c>
      <c r="K5637" s="3">
        <f t="shared" si="176"/>
        <v>6.25</v>
      </c>
      <c r="L5637" s="3">
        <f t="shared" si="177"/>
        <v>6.5140000000000002</v>
      </c>
    </row>
    <row r="5638" spans="1:12" x14ac:dyDescent="0.3">
      <c r="A5638" s="2">
        <v>42155</v>
      </c>
      <c r="B5638" t="s">
        <v>13</v>
      </c>
      <c r="D5638" s="2">
        <v>42886</v>
      </c>
      <c r="E5638">
        <v>6.25</v>
      </c>
      <c r="G5638" s="2">
        <v>42886</v>
      </c>
      <c r="H5638">
        <v>6.5289999999999999</v>
      </c>
      <c r="J5638" s="2">
        <v>42893</v>
      </c>
      <c r="K5638" s="3">
        <f t="shared" si="176"/>
        <v>6.25</v>
      </c>
      <c r="L5638" s="3">
        <f t="shared" si="177"/>
        <v>6.4530000000000003</v>
      </c>
    </row>
    <row r="5639" spans="1:12" x14ac:dyDescent="0.3">
      <c r="A5639" s="2">
        <v>42156</v>
      </c>
      <c r="B5639" t="s">
        <v>13</v>
      </c>
      <c r="D5639" s="2">
        <v>42887</v>
      </c>
      <c r="E5639">
        <v>6.25</v>
      </c>
      <c r="G5639" s="2">
        <v>42887</v>
      </c>
      <c r="H5639">
        <v>6.51</v>
      </c>
      <c r="J5639" s="2">
        <v>42894</v>
      </c>
      <c r="K5639" s="3">
        <f t="shared" si="176"/>
        <v>6.25</v>
      </c>
      <c r="L5639" s="3">
        <f t="shared" si="177"/>
        <v>6.4109999999999996</v>
      </c>
    </row>
    <row r="5640" spans="1:12" x14ac:dyDescent="0.3">
      <c r="A5640" s="2">
        <v>42157</v>
      </c>
      <c r="B5640" t="s">
        <v>13</v>
      </c>
      <c r="D5640" s="2">
        <v>42888</v>
      </c>
      <c r="E5640">
        <v>6.25</v>
      </c>
      <c r="G5640" s="2">
        <v>42888</v>
      </c>
      <c r="H5640">
        <v>6.5430000000000001</v>
      </c>
      <c r="J5640" s="2">
        <v>42895</v>
      </c>
      <c r="K5640" s="3">
        <f t="shared" si="176"/>
        <v>6.25</v>
      </c>
      <c r="L5640" s="3">
        <f t="shared" si="177"/>
        <v>6.4290000000000003</v>
      </c>
    </row>
    <row r="5641" spans="1:12" x14ac:dyDescent="0.3">
      <c r="A5641" s="2">
        <v>42158</v>
      </c>
      <c r="B5641" t="s">
        <v>13</v>
      </c>
      <c r="D5641" s="2">
        <v>42889</v>
      </c>
      <c r="E5641">
        <v>6.25</v>
      </c>
      <c r="G5641" s="2">
        <v>42889</v>
      </c>
      <c r="H5641">
        <v>6.5430000000000001</v>
      </c>
      <c r="J5641" s="2">
        <v>42896</v>
      </c>
      <c r="K5641" s="3">
        <f t="shared" si="176"/>
        <v>6.25</v>
      </c>
      <c r="L5641" s="3">
        <f t="shared" si="177"/>
        <v>6.4290000000000003</v>
      </c>
    </row>
    <row r="5642" spans="1:12" x14ac:dyDescent="0.3">
      <c r="A5642" s="2">
        <v>42159</v>
      </c>
      <c r="B5642" t="s">
        <v>13</v>
      </c>
      <c r="D5642" s="2">
        <v>42890</v>
      </c>
      <c r="E5642">
        <v>6.25</v>
      </c>
      <c r="G5642" s="2">
        <v>42890</v>
      </c>
      <c r="H5642">
        <v>6.5430000000000001</v>
      </c>
      <c r="J5642" s="2">
        <v>42897</v>
      </c>
      <c r="K5642" s="3">
        <f t="shared" si="176"/>
        <v>6.25</v>
      </c>
      <c r="L5642" s="3">
        <f t="shared" si="177"/>
        <v>6.4290000000000003</v>
      </c>
    </row>
    <row r="5643" spans="1:12" x14ac:dyDescent="0.3">
      <c r="A5643" s="2">
        <v>42160</v>
      </c>
      <c r="B5643" t="s">
        <v>13</v>
      </c>
      <c r="D5643" s="2">
        <v>42891</v>
      </c>
      <c r="E5643">
        <v>6.25</v>
      </c>
      <c r="G5643" s="2">
        <v>42891</v>
      </c>
      <c r="H5643">
        <v>6.52</v>
      </c>
      <c r="J5643" s="2">
        <v>42898</v>
      </c>
      <c r="K5643" s="3">
        <f t="shared" si="176"/>
        <v>6.25</v>
      </c>
      <c r="L5643" s="3">
        <f t="shared" si="177"/>
        <v>6.4039999999999999</v>
      </c>
    </row>
    <row r="5644" spans="1:12" x14ac:dyDescent="0.3">
      <c r="A5644" s="2">
        <v>42161</v>
      </c>
      <c r="B5644" t="s">
        <v>13</v>
      </c>
      <c r="D5644" s="2">
        <v>42892</v>
      </c>
      <c r="E5644">
        <v>6.25</v>
      </c>
      <c r="G5644" s="2">
        <v>42892</v>
      </c>
      <c r="H5644">
        <v>6.5140000000000002</v>
      </c>
      <c r="J5644" s="2">
        <v>42899</v>
      </c>
      <c r="K5644" s="3">
        <f t="shared" si="176"/>
        <v>6.25</v>
      </c>
      <c r="L5644" s="3">
        <f t="shared" si="177"/>
        <v>6.3929999999999998</v>
      </c>
    </row>
    <row r="5645" spans="1:12" x14ac:dyDescent="0.3">
      <c r="A5645" s="2">
        <v>42162</v>
      </c>
      <c r="B5645" t="s">
        <v>13</v>
      </c>
      <c r="D5645" s="2">
        <v>42893</v>
      </c>
      <c r="E5645">
        <v>6.25</v>
      </c>
      <c r="G5645" s="2">
        <v>42893</v>
      </c>
      <c r="H5645">
        <v>6.4530000000000003</v>
      </c>
      <c r="J5645" s="2">
        <v>42900</v>
      </c>
      <c r="K5645" s="3">
        <f t="shared" si="176"/>
        <v>6.25</v>
      </c>
      <c r="L5645" s="3">
        <f t="shared" si="177"/>
        <v>6.3970000000000002</v>
      </c>
    </row>
    <row r="5646" spans="1:12" x14ac:dyDescent="0.3">
      <c r="A5646" s="2">
        <v>42163</v>
      </c>
      <c r="B5646" t="s">
        <v>13</v>
      </c>
      <c r="D5646" s="2">
        <v>42894</v>
      </c>
      <c r="E5646">
        <v>6.25</v>
      </c>
      <c r="G5646" s="2">
        <v>42894</v>
      </c>
      <c r="H5646">
        <v>6.4109999999999996</v>
      </c>
      <c r="J5646" s="2">
        <v>42901</v>
      </c>
      <c r="K5646" s="3">
        <f t="shared" si="176"/>
        <v>6.25</v>
      </c>
      <c r="L5646" s="3">
        <f t="shared" si="177"/>
        <v>6.3970000000000002</v>
      </c>
    </row>
    <row r="5647" spans="1:12" x14ac:dyDescent="0.3">
      <c r="A5647" s="2">
        <v>42164</v>
      </c>
      <c r="B5647" t="s">
        <v>13</v>
      </c>
      <c r="D5647" s="2">
        <v>42895</v>
      </c>
      <c r="E5647">
        <v>6.25</v>
      </c>
      <c r="G5647" s="2">
        <v>42895</v>
      </c>
      <c r="H5647">
        <v>6.4290000000000003</v>
      </c>
      <c r="J5647" s="2">
        <v>42902</v>
      </c>
      <c r="K5647" s="3">
        <f t="shared" si="176"/>
        <v>6.25</v>
      </c>
      <c r="L5647" s="3">
        <f t="shared" si="177"/>
        <v>6.3860000000000001</v>
      </c>
    </row>
    <row r="5648" spans="1:12" x14ac:dyDescent="0.3">
      <c r="A5648" s="2">
        <v>42165</v>
      </c>
      <c r="B5648" t="s">
        <v>13</v>
      </c>
      <c r="D5648" s="2">
        <v>42896</v>
      </c>
      <c r="E5648">
        <v>6.25</v>
      </c>
      <c r="G5648" s="2">
        <v>42896</v>
      </c>
      <c r="H5648">
        <v>6.4290000000000003</v>
      </c>
      <c r="J5648" s="2">
        <v>42903</v>
      </c>
      <c r="K5648" s="3">
        <f t="shared" si="176"/>
        <v>6.25</v>
      </c>
      <c r="L5648" s="3">
        <f t="shared" si="177"/>
        <v>6.3860000000000001</v>
      </c>
    </row>
    <row r="5649" spans="1:12" x14ac:dyDescent="0.3">
      <c r="A5649" s="2">
        <v>42166</v>
      </c>
      <c r="B5649" t="s">
        <v>13</v>
      </c>
      <c r="D5649" s="2">
        <v>42897</v>
      </c>
      <c r="E5649">
        <v>6.25</v>
      </c>
      <c r="G5649" s="2">
        <v>42897</v>
      </c>
      <c r="H5649">
        <v>6.4290000000000003</v>
      </c>
      <c r="J5649" s="2">
        <v>42904</v>
      </c>
      <c r="K5649" s="3">
        <f t="shared" si="176"/>
        <v>6.25</v>
      </c>
      <c r="L5649" s="3">
        <f t="shared" si="177"/>
        <v>6.3860000000000001</v>
      </c>
    </row>
    <row r="5650" spans="1:12" x14ac:dyDescent="0.3">
      <c r="A5650" s="2">
        <v>42167</v>
      </c>
      <c r="B5650" t="s">
        <v>13</v>
      </c>
      <c r="D5650" s="2">
        <v>42898</v>
      </c>
      <c r="E5650">
        <v>6.25</v>
      </c>
      <c r="G5650" s="2">
        <v>42898</v>
      </c>
      <c r="H5650">
        <v>6.4039999999999999</v>
      </c>
      <c r="J5650" s="2">
        <v>42905</v>
      </c>
      <c r="K5650" s="3">
        <f t="shared" si="176"/>
        <v>6.25</v>
      </c>
      <c r="L5650" s="3">
        <f t="shared" si="177"/>
        <v>6.39</v>
      </c>
    </row>
    <row r="5651" spans="1:12" x14ac:dyDescent="0.3">
      <c r="A5651" s="2">
        <v>42168</v>
      </c>
      <c r="B5651" t="s">
        <v>13</v>
      </c>
      <c r="D5651" s="2">
        <v>42899</v>
      </c>
      <c r="E5651">
        <v>6.25</v>
      </c>
      <c r="G5651" s="2">
        <v>42899</v>
      </c>
      <c r="H5651">
        <v>6.3929999999999998</v>
      </c>
      <c r="J5651" s="2">
        <v>42906</v>
      </c>
      <c r="K5651" s="3">
        <f t="shared" si="176"/>
        <v>6.25</v>
      </c>
      <c r="L5651" s="3">
        <f t="shared" si="177"/>
        <v>6.3789999999999996</v>
      </c>
    </row>
    <row r="5652" spans="1:12" x14ac:dyDescent="0.3">
      <c r="A5652" s="2">
        <v>42169</v>
      </c>
      <c r="B5652" t="s">
        <v>13</v>
      </c>
      <c r="D5652" s="2">
        <v>42900</v>
      </c>
      <c r="E5652">
        <v>6.25</v>
      </c>
      <c r="G5652" s="2">
        <v>42900</v>
      </c>
      <c r="H5652">
        <v>6.3970000000000002</v>
      </c>
      <c r="J5652" s="2">
        <v>42907</v>
      </c>
      <c r="K5652" s="3">
        <f t="shared" si="176"/>
        <v>6.25</v>
      </c>
      <c r="L5652" s="3">
        <f t="shared" si="177"/>
        <v>6.3940000000000001</v>
      </c>
    </row>
    <row r="5653" spans="1:12" x14ac:dyDescent="0.3">
      <c r="A5653" s="2">
        <v>42170</v>
      </c>
      <c r="B5653" t="s">
        <v>13</v>
      </c>
      <c r="D5653" s="2">
        <v>42901</v>
      </c>
      <c r="E5653">
        <v>6.25</v>
      </c>
      <c r="G5653" s="2">
        <v>42901</v>
      </c>
      <c r="H5653">
        <v>6.3970000000000002</v>
      </c>
      <c r="J5653" s="2">
        <v>42908</v>
      </c>
      <c r="K5653" s="3">
        <f t="shared" si="176"/>
        <v>6.25</v>
      </c>
      <c r="L5653" s="3">
        <f t="shared" si="177"/>
        <v>6.4</v>
      </c>
    </row>
    <row r="5654" spans="1:12" x14ac:dyDescent="0.3">
      <c r="A5654" s="2">
        <v>42171</v>
      </c>
      <c r="B5654" t="s">
        <v>13</v>
      </c>
      <c r="D5654" s="2">
        <v>42902</v>
      </c>
      <c r="E5654">
        <v>6.25</v>
      </c>
      <c r="G5654" s="2">
        <v>42902</v>
      </c>
      <c r="H5654">
        <v>6.3860000000000001</v>
      </c>
      <c r="J5654" s="2">
        <v>42909</v>
      </c>
      <c r="K5654" s="3">
        <f t="shared" si="176"/>
        <v>6.25</v>
      </c>
      <c r="L5654" s="3">
        <f t="shared" si="177"/>
        <v>6.4009999999999998</v>
      </c>
    </row>
    <row r="5655" spans="1:12" x14ac:dyDescent="0.3">
      <c r="A5655" s="2">
        <v>42172</v>
      </c>
      <c r="B5655" t="s">
        <v>13</v>
      </c>
      <c r="D5655" s="2">
        <v>42903</v>
      </c>
      <c r="E5655">
        <v>6.25</v>
      </c>
      <c r="G5655" s="2">
        <v>42903</v>
      </c>
      <c r="H5655">
        <v>6.3860000000000001</v>
      </c>
      <c r="J5655" s="2">
        <v>42910</v>
      </c>
      <c r="K5655" s="3">
        <f t="shared" si="176"/>
        <v>6.25</v>
      </c>
      <c r="L5655" s="3">
        <f t="shared" si="177"/>
        <v>6.4009999999999998</v>
      </c>
    </row>
    <row r="5656" spans="1:12" x14ac:dyDescent="0.3">
      <c r="A5656" s="2">
        <v>42173</v>
      </c>
      <c r="B5656" t="s">
        <v>13</v>
      </c>
      <c r="D5656" s="2">
        <v>42904</v>
      </c>
      <c r="E5656">
        <v>6.25</v>
      </c>
      <c r="G5656" s="2">
        <v>42904</v>
      </c>
      <c r="H5656">
        <v>6.3860000000000001</v>
      </c>
      <c r="J5656" s="2">
        <v>42911</v>
      </c>
      <c r="K5656" s="3">
        <f t="shared" si="176"/>
        <v>6.25</v>
      </c>
      <c r="L5656" s="3">
        <f t="shared" si="177"/>
        <v>6.4009999999999998</v>
      </c>
    </row>
    <row r="5657" spans="1:12" x14ac:dyDescent="0.3">
      <c r="A5657" s="2">
        <v>42174</v>
      </c>
      <c r="B5657" t="s">
        <v>13</v>
      </c>
      <c r="D5657" s="2">
        <v>42905</v>
      </c>
      <c r="E5657">
        <v>6.25</v>
      </c>
      <c r="G5657" s="2">
        <v>42905</v>
      </c>
      <c r="H5657">
        <v>6.39</v>
      </c>
      <c r="J5657" s="2">
        <v>42912</v>
      </c>
      <c r="K5657" s="3">
        <f t="shared" si="176"/>
        <v>6.25</v>
      </c>
      <c r="L5657" s="3">
        <f t="shared" si="177"/>
        <v>6.4009999999999998</v>
      </c>
    </row>
    <row r="5658" spans="1:12" x14ac:dyDescent="0.3">
      <c r="A5658" s="2">
        <v>42175</v>
      </c>
      <c r="B5658" t="s">
        <v>13</v>
      </c>
      <c r="D5658" s="2">
        <v>42906</v>
      </c>
      <c r="E5658">
        <v>6.25</v>
      </c>
      <c r="G5658" s="2">
        <v>42906</v>
      </c>
      <c r="H5658">
        <v>6.3789999999999996</v>
      </c>
      <c r="J5658" s="2">
        <v>42913</v>
      </c>
      <c r="K5658" s="3">
        <f t="shared" si="176"/>
        <v>6.25</v>
      </c>
      <c r="L5658" s="3">
        <f t="shared" si="177"/>
        <v>6.4050000000000002</v>
      </c>
    </row>
    <row r="5659" spans="1:12" x14ac:dyDescent="0.3">
      <c r="A5659" s="2">
        <v>42176</v>
      </c>
      <c r="B5659" t="s">
        <v>13</v>
      </c>
      <c r="D5659" s="2">
        <v>42907</v>
      </c>
      <c r="E5659">
        <v>6.25</v>
      </c>
      <c r="G5659" s="2">
        <v>42907</v>
      </c>
      <c r="H5659">
        <v>6.3940000000000001</v>
      </c>
      <c r="J5659" s="2">
        <v>42914</v>
      </c>
      <c r="K5659" s="3">
        <f t="shared" si="176"/>
        <v>6.25</v>
      </c>
      <c r="L5659" s="3">
        <f t="shared" si="177"/>
        <v>6.415</v>
      </c>
    </row>
    <row r="5660" spans="1:12" x14ac:dyDescent="0.3">
      <c r="A5660" s="2">
        <v>42177</v>
      </c>
      <c r="B5660" t="s">
        <v>13</v>
      </c>
      <c r="D5660" s="2">
        <v>42908</v>
      </c>
      <c r="E5660">
        <v>6.25</v>
      </c>
      <c r="G5660" s="2">
        <v>42908</v>
      </c>
      <c r="H5660">
        <v>6.4</v>
      </c>
      <c r="J5660" s="2">
        <v>42915</v>
      </c>
      <c r="K5660" s="3">
        <f t="shared" si="176"/>
        <v>6.25</v>
      </c>
      <c r="L5660" s="3">
        <f t="shared" si="177"/>
        <v>6.4219999999999997</v>
      </c>
    </row>
    <row r="5661" spans="1:12" x14ac:dyDescent="0.3">
      <c r="A5661" s="2">
        <v>42178</v>
      </c>
      <c r="B5661" t="s">
        <v>13</v>
      </c>
      <c r="D5661" s="2">
        <v>42909</v>
      </c>
      <c r="E5661">
        <v>6.25</v>
      </c>
      <c r="G5661" s="2">
        <v>42909</v>
      </c>
      <c r="H5661">
        <v>6.4009999999999998</v>
      </c>
      <c r="J5661" s="2">
        <v>42916</v>
      </c>
      <c r="K5661" s="3">
        <f t="shared" si="176"/>
        <v>6.25</v>
      </c>
      <c r="L5661" s="3">
        <f t="shared" si="177"/>
        <v>6.4219999999999997</v>
      </c>
    </row>
    <row r="5662" spans="1:12" x14ac:dyDescent="0.3">
      <c r="A5662" s="2">
        <v>42179</v>
      </c>
      <c r="B5662" t="s">
        <v>13</v>
      </c>
      <c r="D5662" s="2">
        <v>42910</v>
      </c>
      <c r="E5662">
        <v>6.25</v>
      </c>
      <c r="G5662" s="2">
        <v>42910</v>
      </c>
      <c r="H5662">
        <v>6.4009999999999998</v>
      </c>
      <c r="J5662" s="2">
        <v>42917</v>
      </c>
      <c r="K5662" s="3">
        <f t="shared" si="176"/>
        <v>6.25</v>
      </c>
      <c r="L5662" s="3">
        <f t="shared" si="177"/>
        <v>6.4219999999999997</v>
      </c>
    </row>
    <row r="5663" spans="1:12" x14ac:dyDescent="0.3">
      <c r="A5663" s="2">
        <v>42180</v>
      </c>
      <c r="B5663" t="s">
        <v>13</v>
      </c>
      <c r="D5663" s="2">
        <v>42911</v>
      </c>
      <c r="E5663">
        <v>6.25</v>
      </c>
      <c r="G5663" s="2">
        <v>42911</v>
      </c>
      <c r="H5663">
        <v>6.4009999999999998</v>
      </c>
      <c r="J5663" s="2">
        <v>42918</v>
      </c>
      <c r="K5663" s="3">
        <f t="shared" si="176"/>
        <v>6.25</v>
      </c>
      <c r="L5663" s="3">
        <f t="shared" si="177"/>
        <v>6.4219999999999997</v>
      </c>
    </row>
    <row r="5664" spans="1:12" x14ac:dyDescent="0.3">
      <c r="A5664" s="2">
        <v>42181</v>
      </c>
      <c r="B5664" t="s">
        <v>13</v>
      </c>
      <c r="D5664" s="2">
        <v>42912</v>
      </c>
      <c r="E5664">
        <v>6.25</v>
      </c>
      <c r="G5664" s="2">
        <v>42912</v>
      </c>
      <c r="H5664">
        <v>6.4009999999999998</v>
      </c>
      <c r="J5664" s="2">
        <v>42919</v>
      </c>
      <c r="K5664" s="3">
        <f t="shared" si="176"/>
        <v>6.25</v>
      </c>
      <c r="L5664" s="3">
        <f t="shared" si="177"/>
        <v>6.4169999999999998</v>
      </c>
    </row>
    <row r="5665" spans="1:12" x14ac:dyDescent="0.3">
      <c r="A5665" s="2">
        <v>42182</v>
      </c>
      <c r="B5665" t="s">
        <v>13</v>
      </c>
      <c r="D5665" s="2">
        <v>42913</v>
      </c>
      <c r="E5665">
        <v>6.25</v>
      </c>
      <c r="G5665" s="2">
        <v>42913</v>
      </c>
      <c r="H5665">
        <v>6.4050000000000002</v>
      </c>
      <c r="J5665" s="2">
        <v>42920</v>
      </c>
      <c r="K5665" s="3">
        <f t="shared" si="176"/>
        <v>6.25</v>
      </c>
      <c r="L5665" s="3">
        <f t="shared" si="177"/>
        <v>6.4240000000000004</v>
      </c>
    </row>
    <row r="5666" spans="1:12" x14ac:dyDescent="0.3">
      <c r="A5666" s="2">
        <v>42183</v>
      </c>
      <c r="B5666" t="s">
        <v>13</v>
      </c>
      <c r="D5666" s="2">
        <v>42914</v>
      </c>
      <c r="E5666">
        <v>6.25</v>
      </c>
      <c r="G5666" s="2">
        <v>42914</v>
      </c>
      <c r="H5666">
        <v>6.415</v>
      </c>
      <c r="J5666" s="2">
        <v>42921</v>
      </c>
      <c r="K5666" s="3">
        <f t="shared" si="176"/>
        <v>6.25</v>
      </c>
      <c r="L5666" s="3">
        <f t="shared" si="177"/>
        <v>6.4210000000000003</v>
      </c>
    </row>
    <row r="5667" spans="1:12" x14ac:dyDescent="0.3">
      <c r="A5667" s="2">
        <v>42184</v>
      </c>
      <c r="B5667" t="s">
        <v>13</v>
      </c>
      <c r="D5667" s="2">
        <v>42915</v>
      </c>
      <c r="E5667">
        <v>6.25</v>
      </c>
      <c r="G5667" s="2">
        <v>42915</v>
      </c>
      <c r="H5667">
        <v>6.4219999999999997</v>
      </c>
      <c r="J5667" s="2">
        <v>42922</v>
      </c>
      <c r="K5667" s="3">
        <f t="shared" si="176"/>
        <v>6.25</v>
      </c>
      <c r="L5667" s="3">
        <f t="shared" si="177"/>
        <v>6.415</v>
      </c>
    </row>
    <row r="5668" spans="1:12" x14ac:dyDescent="0.3">
      <c r="A5668" s="2">
        <v>42185</v>
      </c>
      <c r="B5668" t="s">
        <v>13</v>
      </c>
      <c r="D5668" s="2">
        <v>42916</v>
      </c>
      <c r="E5668">
        <v>6.25</v>
      </c>
      <c r="G5668" s="2">
        <v>42916</v>
      </c>
      <c r="H5668">
        <v>6.4219999999999997</v>
      </c>
      <c r="J5668" s="2">
        <v>42923</v>
      </c>
      <c r="K5668" s="3">
        <f t="shared" si="176"/>
        <v>6.25</v>
      </c>
      <c r="L5668" s="3">
        <f t="shared" si="177"/>
        <v>6.4329999999999998</v>
      </c>
    </row>
    <row r="5669" spans="1:12" x14ac:dyDescent="0.3">
      <c r="A5669" s="2">
        <v>42186</v>
      </c>
      <c r="B5669" t="s">
        <v>13</v>
      </c>
      <c r="D5669" s="2">
        <v>42917</v>
      </c>
      <c r="E5669">
        <v>6.25</v>
      </c>
      <c r="G5669" s="2">
        <v>42917</v>
      </c>
      <c r="H5669">
        <v>6.4219999999999997</v>
      </c>
      <c r="J5669" s="2">
        <v>42924</v>
      </c>
      <c r="K5669" s="3">
        <f t="shared" si="176"/>
        <v>6.25</v>
      </c>
      <c r="L5669" s="3">
        <f t="shared" si="177"/>
        <v>6.4329999999999998</v>
      </c>
    </row>
    <row r="5670" spans="1:12" x14ac:dyDescent="0.3">
      <c r="A5670" s="2">
        <v>42187</v>
      </c>
      <c r="B5670" t="s">
        <v>13</v>
      </c>
      <c r="D5670" s="2">
        <v>42918</v>
      </c>
      <c r="E5670">
        <v>6.25</v>
      </c>
      <c r="G5670" s="2">
        <v>42918</v>
      </c>
      <c r="H5670">
        <v>6.4219999999999997</v>
      </c>
      <c r="J5670" s="2">
        <v>42925</v>
      </c>
      <c r="K5670" s="3">
        <f t="shared" si="176"/>
        <v>6.25</v>
      </c>
      <c r="L5670" s="3">
        <f t="shared" si="177"/>
        <v>6.4329999999999998</v>
      </c>
    </row>
    <row r="5671" spans="1:12" x14ac:dyDescent="0.3">
      <c r="A5671" s="2">
        <v>42188</v>
      </c>
      <c r="B5671" t="s">
        <v>13</v>
      </c>
      <c r="D5671" s="2">
        <v>42919</v>
      </c>
      <c r="E5671">
        <v>6.25</v>
      </c>
      <c r="G5671" s="2">
        <v>42919</v>
      </c>
      <c r="H5671">
        <v>6.4169999999999998</v>
      </c>
      <c r="J5671" s="2">
        <v>42926</v>
      </c>
      <c r="K5671" s="3">
        <f t="shared" si="176"/>
        <v>6.25</v>
      </c>
      <c r="L5671" s="3">
        <f t="shared" si="177"/>
        <v>6.4210000000000003</v>
      </c>
    </row>
    <row r="5672" spans="1:12" x14ac:dyDescent="0.3">
      <c r="A5672" s="2">
        <v>42189</v>
      </c>
      <c r="B5672" t="s">
        <v>13</v>
      </c>
      <c r="D5672" s="2">
        <v>42920</v>
      </c>
      <c r="E5672">
        <v>6.25</v>
      </c>
      <c r="G5672" s="2">
        <v>42920</v>
      </c>
      <c r="H5672">
        <v>6.4240000000000004</v>
      </c>
      <c r="J5672" s="2">
        <v>42927</v>
      </c>
      <c r="K5672" s="3">
        <f t="shared" si="176"/>
        <v>6.25</v>
      </c>
      <c r="L5672" s="3">
        <f t="shared" si="177"/>
        <v>6.391</v>
      </c>
    </row>
    <row r="5673" spans="1:12" x14ac:dyDescent="0.3">
      <c r="A5673" s="2">
        <v>42190</v>
      </c>
      <c r="B5673" t="s">
        <v>13</v>
      </c>
      <c r="D5673" s="2">
        <v>42921</v>
      </c>
      <c r="E5673">
        <v>6.25</v>
      </c>
      <c r="G5673" s="2">
        <v>42921</v>
      </c>
      <c r="H5673">
        <v>6.4210000000000003</v>
      </c>
      <c r="J5673" s="2">
        <v>42928</v>
      </c>
      <c r="K5673" s="3">
        <f t="shared" si="176"/>
        <v>6.25</v>
      </c>
      <c r="L5673" s="3">
        <f t="shared" si="177"/>
        <v>6.4329999999999998</v>
      </c>
    </row>
    <row r="5674" spans="1:12" x14ac:dyDescent="0.3">
      <c r="A5674" s="2">
        <v>42191</v>
      </c>
      <c r="B5674" t="s">
        <v>13</v>
      </c>
      <c r="D5674" s="2">
        <v>42922</v>
      </c>
      <c r="E5674">
        <v>6.25</v>
      </c>
      <c r="G5674" s="2">
        <v>42922</v>
      </c>
      <c r="H5674">
        <v>6.415</v>
      </c>
      <c r="J5674" s="2">
        <v>42929</v>
      </c>
      <c r="K5674" s="3">
        <f t="shared" si="176"/>
        <v>6.25</v>
      </c>
      <c r="L5674" s="3">
        <f t="shared" si="177"/>
        <v>6.42</v>
      </c>
    </row>
    <row r="5675" spans="1:12" x14ac:dyDescent="0.3">
      <c r="A5675" s="2">
        <v>42192</v>
      </c>
      <c r="B5675" t="s">
        <v>13</v>
      </c>
      <c r="D5675" s="2">
        <v>42923</v>
      </c>
      <c r="E5675">
        <v>6.25</v>
      </c>
      <c r="G5675" s="2">
        <v>42923</v>
      </c>
      <c r="H5675">
        <v>6.4329999999999998</v>
      </c>
      <c r="J5675" s="2">
        <v>42930</v>
      </c>
      <c r="K5675" s="3">
        <f t="shared" si="176"/>
        <v>6.25</v>
      </c>
      <c r="L5675" s="3">
        <f t="shared" si="177"/>
        <v>6.4180000000000001</v>
      </c>
    </row>
    <row r="5676" spans="1:12" x14ac:dyDescent="0.3">
      <c r="A5676" s="2">
        <v>42193</v>
      </c>
      <c r="B5676" t="s">
        <v>13</v>
      </c>
      <c r="D5676" s="2">
        <v>42924</v>
      </c>
      <c r="E5676">
        <v>6.25</v>
      </c>
      <c r="G5676" s="2">
        <v>42924</v>
      </c>
      <c r="H5676">
        <v>6.4329999999999998</v>
      </c>
      <c r="J5676" s="2">
        <v>42931</v>
      </c>
      <c r="K5676" s="3">
        <f t="shared" si="176"/>
        <v>6.25</v>
      </c>
      <c r="L5676" s="3">
        <f t="shared" si="177"/>
        <v>6.4180000000000001</v>
      </c>
    </row>
    <row r="5677" spans="1:12" x14ac:dyDescent="0.3">
      <c r="A5677" s="2">
        <v>42194</v>
      </c>
      <c r="B5677" t="s">
        <v>13</v>
      </c>
      <c r="D5677" s="2">
        <v>42925</v>
      </c>
      <c r="E5677">
        <v>6.25</v>
      </c>
      <c r="G5677" s="2">
        <v>42925</v>
      </c>
      <c r="H5677">
        <v>6.4329999999999998</v>
      </c>
      <c r="J5677" s="2">
        <v>42932</v>
      </c>
      <c r="K5677" s="3">
        <f t="shared" si="176"/>
        <v>6.25</v>
      </c>
      <c r="L5677" s="3">
        <f t="shared" si="177"/>
        <v>6.4180000000000001</v>
      </c>
    </row>
    <row r="5678" spans="1:12" x14ac:dyDescent="0.3">
      <c r="A5678" s="2">
        <v>42195</v>
      </c>
      <c r="B5678" t="s">
        <v>13</v>
      </c>
      <c r="D5678" s="2">
        <v>42926</v>
      </c>
      <c r="E5678">
        <v>6.25</v>
      </c>
      <c r="G5678" s="2">
        <v>42926</v>
      </c>
      <c r="H5678">
        <v>6.4210000000000003</v>
      </c>
      <c r="J5678" s="2">
        <v>42933</v>
      </c>
      <c r="K5678" s="3">
        <f t="shared" si="176"/>
        <v>6.25</v>
      </c>
      <c r="L5678" s="3">
        <f t="shared" si="177"/>
        <v>6.4550000000000001</v>
      </c>
    </row>
    <row r="5679" spans="1:12" x14ac:dyDescent="0.3">
      <c r="A5679" s="2">
        <v>42196</v>
      </c>
      <c r="B5679" t="s">
        <v>13</v>
      </c>
      <c r="D5679" s="2">
        <v>42927</v>
      </c>
      <c r="E5679">
        <v>6.25</v>
      </c>
      <c r="G5679" s="2">
        <v>42927</v>
      </c>
      <c r="H5679">
        <v>6.391</v>
      </c>
      <c r="J5679" s="2">
        <v>42934</v>
      </c>
      <c r="K5679" s="3">
        <f t="shared" si="176"/>
        <v>6.25</v>
      </c>
      <c r="L5679" s="3">
        <f t="shared" si="177"/>
        <v>6.4359999999999999</v>
      </c>
    </row>
    <row r="5680" spans="1:12" x14ac:dyDescent="0.3">
      <c r="A5680" s="2">
        <v>42197</v>
      </c>
      <c r="B5680" t="s">
        <v>13</v>
      </c>
      <c r="D5680" s="2">
        <v>42928</v>
      </c>
      <c r="E5680">
        <v>6.25</v>
      </c>
      <c r="G5680" s="2">
        <v>42928</v>
      </c>
      <c r="H5680">
        <v>6.4329999999999998</v>
      </c>
      <c r="J5680" s="2">
        <v>42935</v>
      </c>
      <c r="K5680" s="3">
        <f t="shared" si="176"/>
        <v>6.25</v>
      </c>
      <c r="L5680" s="3">
        <f t="shared" si="177"/>
        <v>6.3769999999999998</v>
      </c>
    </row>
    <row r="5681" spans="1:12" x14ac:dyDescent="0.3">
      <c r="A5681" s="2">
        <v>42198</v>
      </c>
      <c r="B5681" t="s">
        <v>13</v>
      </c>
      <c r="D5681" s="2">
        <v>42929</v>
      </c>
      <c r="E5681">
        <v>6.25</v>
      </c>
      <c r="G5681" s="2">
        <v>42929</v>
      </c>
      <c r="H5681">
        <v>6.42</v>
      </c>
      <c r="J5681" s="2">
        <v>42936</v>
      </c>
      <c r="K5681" s="3">
        <f t="shared" si="176"/>
        <v>6.25</v>
      </c>
      <c r="L5681" s="3">
        <f t="shared" si="177"/>
        <v>6.3810000000000002</v>
      </c>
    </row>
    <row r="5682" spans="1:12" x14ac:dyDescent="0.3">
      <c r="A5682" s="2">
        <v>42199</v>
      </c>
      <c r="B5682" t="s">
        <v>13</v>
      </c>
      <c r="D5682" s="2">
        <v>42930</v>
      </c>
      <c r="E5682">
        <v>6.25</v>
      </c>
      <c r="G5682" s="2">
        <v>42930</v>
      </c>
      <c r="H5682">
        <v>6.4180000000000001</v>
      </c>
      <c r="J5682" s="2">
        <v>42937</v>
      </c>
      <c r="K5682" s="3">
        <f t="shared" si="176"/>
        <v>6.25</v>
      </c>
      <c r="L5682" s="3">
        <f t="shared" si="177"/>
        <v>6.34</v>
      </c>
    </row>
    <row r="5683" spans="1:12" x14ac:dyDescent="0.3">
      <c r="A5683" s="2">
        <v>42200</v>
      </c>
      <c r="B5683" t="s">
        <v>13</v>
      </c>
      <c r="D5683" s="2">
        <v>42931</v>
      </c>
      <c r="E5683">
        <v>6.25</v>
      </c>
      <c r="G5683" s="2">
        <v>42931</v>
      </c>
      <c r="H5683">
        <v>6.4180000000000001</v>
      </c>
      <c r="J5683" s="2">
        <v>42938</v>
      </c>
      <c r="K5683" s="3">
        <f t="shared" si="176"/>
        <v>6.25</v>
      </c>
      <c r="L5683" s="3">
        <f t="shared" si="177"/>
        <v>6.34</v>
      </c>
    </row>
    <row r="5684" spans="1:12" x14ac:dyDescent="0.3">
      <c r="A5684" s="2">
        <v>42201</v>
      </c>
      <c r="B5684" t="s">
        <v>13</v>
      </c>
      <c r="D5684" s="2">
        <v>42932</v>
      </c>
      <c r="E5684">
        <v>6.25</v>
      </c>
      <c r="G5684" s="2">
        <v>42932</v>
      </c>
      <c r="H5684">
        <v>6.4180000000000001</v>
      </c>
      <c r="J5684" s="2">
        <v>42939</v>
      </c>
      <c r="K5684" s="3">
        <f t="shared" si="176"/>
        <v>6.25</v>
      </c>
      <c r="L5684" s="3">
        <f t="shared" si="177"/>
        <v>6.34</v>
      </c>
    </row>
    <row r="5685" spans="1:12" x14ac:dyDescent="0.3">
      <c r="A5685" s="2">
        <v>42202</v>
      </c>
      <c r="B5685" t="s">
        <v>13</v>
      </c>
      <c r="D5685" s="2">
        <v>42933</v>
      </c>
      <c r="E5685">
        <v>6.25</v>
      </c>
      <c r="G5685" s="2">
        <v>42933</v>
      </c>
      <c r="H5685">
        <v>6.4550000000000001</v>
      </c>
      <c r="J5685" s="2">
        <v>42940</v>
      </c>
      <c r="K5685" s="3">
        <f t="shared" si="176"/>
        <v>6.25</v>
      </c>
      <c r="L5685" s="3">
        <f t="shared" si="177"/>
        <v>6.3380000000000001</v>
      </c>
    </row>
    <row r="5686" spans="1:12" x14ac:dyDescent="0.3">
      <c r="A5686" s="2">
        <v>42203</v>
      </c>
      <c r="B5686" t="s">
        <v>13</v>
      </c>
      <c r="D5686" s="2">
        <v>42934</v>
      </c>
      <c r="E5686">
        <v>6.25</v>
      </c>
      <c r="G5686" s="2">
        <v>42934</v>
      </c>
      <c r="H5686">
        <v>6.4359999999999999</v>
      </c>
      <c r="J5686" s="2">
        <v>42941</v>
      </c>
      <c r="K5686" s="3">
        <f t="shared" si="176"/>
        <v>6.25</v>
      </c>
      <c r="L5686" s="3">
        <f t="shared" si="177"/>
        <v>6.33</v>
      </c>
    </row>
    <row r="5687" spans="1:12" x14ac:dyDescent="0.3">
      <c r="A5687" s="2">
        <v>42204</v>
      </c>
      <c r="B5687" t="s">
        <v>13</v>
      </c>
      <c r="D5687" s="2">
        <v>42935</v>
      </c>
      <c r="E5687">
        <v>6.25</v>
      </c>
      <c r="G5687" s="2">
        <v>42935</v>
      </c>
      <c r="H5687">
        <v>6.3769999999999998</v>
      </c>
      <c r="J5687" s="2">
        <v>42942</v>
      </c>
      <c r="K5687" s="3">
        <f t="shared" si="176"/>
        <v>6.25</v>
      </c>
      <c r="L5687" s="3">
        <f t="shared" si="177"/>
        <v>6.3289999999999997</v>
      </c>
    </row>
    <row r="5688" spans="1:12" x14ac:dyDescent="0.3">
      <c r="A5688" s="2">
        <v>42205</v>
      </c>
      <c r="B5688" t="s">
        <v>13</v>
      </c>
      <c r="D5688" s="2">
        <v>42936</v>
      </c>
      <c r="E5688">
        <v>6.25</v>
      </c>
      <c r="G5688" s="2">
        <v>42936</v>
      </c>
      <c r="H5688">
        <v>6.3810000000000002</v>
      </c>
      <c r="J5688" s="2">
        <v>42943</v>
      </c>
      <c r="K5688" s="3">
        <f t="shared" si="176"/>
        <v>6.25</v>
      </c>
      <c r="L5688" s="3">
        <f t="shared" si="177"/>
        <v>6.3019999999999996</v>
      </c>
    </row>
    <row r="5689" spans="1:12" x14ac:dyDescent="0.3">
      <c r="A5689" s="2">
        <v>42206</v>
      </c>
      <c r="B5689" t="s">
        <v>13</v>
      </c>
      <c r="D5689" s="2">
        <v>42937</v>
      </c>
      <c r="E5689">
        <v>6.25</v>
      </c>
      <c r="G5689" s="2">
        <v>42937</v>
      </c>
      <c r="H5689">
        <v>6.34</v>
      </c>
      <c r="J5689" s="2">
        <v>42944</v>
      </c>
      <c r="K5689" s="3">
        <f t="shared" si="176"/>
        <v>6.25</v>
      </c>
      <c r="L5689" s="3">
        <f t="shared" si="177"/>
        <v>6.29</v>
      </c>
    </row>
    <row r="5690" spans="1:12" x14ac:dyDescent="0.3">
      <c r="A5690" s="2">
        <v>42207</v>
      </c>
      <c r="B5690" t="s">
        <v>13</v>
      </c>
      <c r="D5690" s="2">
        <v>42938</v>
      </c>
      <c r="E5690">
        <v>6.25</v>
      </c>
      <c r="G5690" s="2">
        <v>42938</v>
      </c>
      <c r="H5690">
        <v>6.34</v>
      </c>
      <c r="J5690" s="2">
        <v>42945</v>
      </c>
      <c r="K5690" s="3">
        <f t="shared" si="176"/>
        <v>6.25</v>
      </c>
      <c r="L5690" s="3">
        <f t="shared" si="177"/>
        <v>6.29</v>
      </c>
    </row>
    <row r="5691" spans="1:12" x14ac:dyDescent="0.3">
      <c r="A5691" s="2">
        <v>42208</v>
      </c>
      <c r="B5691" t="s">
        <v>13</v>
      </c>
      <c r="D5691" s="2">
        <v>42939</v>
      </c>
      <c r="E5691">
        <v>6.25</v>
      </c>
      <c r="G5691" s="2">
        <v>42939</v>
      </c>
      <c r="H5691">
        <v>6.34</v>
      </c>
      <c r="J5691" s="2">
        <v>42946</v>
      </c>
      <c r="K5691" s="3">
        <f t="shared" si="176"/>
        <v>6.25</v>
      </c>
      <c r="L5691" s="3">
        <f t="shared" si="177"/>
        <v>6.29</v>
      </c>
    </row>
    <row r="5692" spans="1:12" x14ac:dyDescent="0.3">
      <c r="A5692" s="2">
        <v>42209</v>
      </c>
      <c r="B5692" t="s">
        <v>13</v>
      </c>
      <c r="D5692" s="2">
        <v>42940</v>
      </c>
      <c r="E5692">
        <v>6.25</v>
      </c>
      <c r="G5692" s="2">
        <v>42940</v>
      </c>
      <c r="H5692">
        <v>6.3380000000000001</v>
      </c>
      <c r="J5692" s="2">
        <v>42947</v>
      </c>
      <c r="K5692" s="3">
        <f t="shared" si="176"/>
        <v>6.25</v>
      </c>
      <c r="L5692" s="3">
        <f t="shared" si="177"/>
        <v>6.2949999999999999</v>
      </c>
    </row>
    <row r="5693" spans="1:12" x14ac:dyDescent="0.3">
      <c r="A5693" s="2">
        <v>42210</v>
      </c>
      <c r="B5693" t="s">
        <v>13</v>
      </c>
      <c r="D5693" s="2">
        <v>42941</v>
      </c>
      <c r="E5693">
        <v>6.25</v>
      </c>
      <c r="G5693" s="2">
        <v>42941</v>
      </c>
      <c r="H5693">
        <v>6.33</v>
      </c>
      <c r="J5693" s="2">
        <v>42948</v>
      </c>
      <c r="K5693" s="3">
        <f t="shared" si="176"/>
        <v>6.25</v>
      </c>
      <c r="L5693" s="3">
        <f t="shared" si="177"/>
        <v>6.2839999999999998</v>
      </c>
    </row>
    <row r="5694" spans="1:12" x14ac:dyDescent="0.3">
      <c r="A5694" s="2">
        <v>42211</v>
      </c>
      <c r="B5694" t="s">
        <v>13</v>
      </c>
      <c r="D5694" s="2">
        <v>42942</v>
      </c>
      <c r="E5694">
        <v>6.25</v>
      </c>
      <c r="G5694" s="2">
        <v>42942</v>
      </c>
      <c r="H5694">
        <v>6.3289999999999997</v>
      </c>
      <c r="J5694" s="2">
        <v>42949</v>
      </c>
      <c r="K5694" s="3">
        <f t="shared" si="176"/>
        <v>6</v>
      </c>
      <c r="L5694" s="3">
        <f t="shared" si="177"/>
        <v>6.2619999999999996</v>
      </c>
    </row>
    <row r="5695" spans="1:12" x14ac:dyDescent="0.3">
      <c r="A5695" s="2">
        <v>42212</v>
      </c>
      <c r="B5695" t="s">
        <v>13</v>
      </c>
      <c r="D5695" s="2">
        <v>42943</v>
      </c>
      <c r="E5695">
        <v>6.25</v>
      </c>
      <c r="G5695" s="2">
        <v>42943</v>
      </c>
      <c r="H5695">
        <v>6.3019999999999996</v>
      </c>
      <c r="J5695" s="2">
        <v>42950</v>
      </c>
      <c r="K5695" s="3">
        <f t="shared" si="176"/>
        <v>6</v>
      </c>
      <c r="L5695" s="3">
        <f t="shared" si="177"/>
        <v>6.2759999999999998</v>
      </c>
    </row>
    <row r="5696" spans="1:12" x14ac:dyDescent="0.3">
      <c r="A5696" s="2">
        <v>42213</v>
      </c>
      <c r="B5696" t="s">
        <v>13</v>
      </c>
      <c r="D5696" s="2">
        <v>42944</v>
      </c>
      <c r="E5696">
        <v>6.25</v>
      </c>
      <c r="G5696" s="2">
        <v>42944</v>
      </c>
      <c r="H5696">
        <v>6.29</v>
      </c>
      <c r="J5696" s="2">
        <v>42951</v>
      </c>
      <c r="K5696" s="3">
        <f t="shared" si="176"/>
        <v>6</v>
      </c>
      <c r="L5696" s="3">
        <f t="shared" si="177"/>
        <v>6.1849999999999996</v>
      </c>
    </row>
    <row r="5697" spans="1:12" x14ac:dyDescent="0.3">
      <c r="A5697" s="2">
        <v>42214</v>
      </c>
      <c r="B5697" t="s">
        <v>13</v>
      </c>
      <c r="D5697" s="2">
        <v>42945</v>
      </c>
      <c r="E5697">
        <v>6.25</v>
      </c>
      <c r="G5697" s="2">
        <v>42945</v>
      </c>
      <c r="H5697">
        <v>6.29</v>
      </c>
      <c r="J5697" s="2">
        <v>42952</v>
      </c>
      <c r="K5697" s="3">
        <f t="shared" si="176"/>
        <v>6</v>
      </c>
      <c r="L5697" s="3">
        <f t="shared" si="177"/>
        <v>6.1849999999999996</v>
      </c>
    </row>
    <row r="5698" spans="1:12" x14ac:dyDescent="0.3">
      <c r="A5698" s="2">
        <v>42215</v>
      </c>
      <c r="B5698" t="s">
        <v>13</v>
      </c>
      <c r="D5698" s="2">
        <v>42946</v>
      </c>
      <c r="E5698">
        <v>6.25</v>
      </c>
      <c r="G5698" s="2">
        <v>42946</v>
      </c>
      <c r="H5698">
        <v>6.29</v>
      </c>
      <c r="J5698" s="2">
        <v>42953</v>
      </c>
      <c r="K5698" s="3">
        <f t="shared" si="176"/>
        <v>6</v>
      </c>
      <c r="L5698" s="3">
        <f t="shared" si="177"/>
        <v>6.1849999999999996</v>
      </c>
    </row>
    <row r="5699" spans="1:12" x14ac:dyDescent="0.3">
      <c r="A5699" s="2">
        <v>42216</v>
      </c>
      <c r="B5699" t="s">
        <v>13</v>
      </c>
      <c r="D5699" s="2">
        <v>42947</v>
      </c>
      <c r="E5699">
        <v>6.25</v>
      </c>
      <c r="G5699" s="2">
        <v>42947</v>
      </c>
      <c r="H5699">
        <v>6.2949999999999999</v>
      </c>
      <c r="J5699" s="2">
        <v>42954</v>
      </c>
      <c r="K5699" s="3">
        <f t="shared" ref="K5699:K5762" si="178">E5706</f>
        <v>6</v>
      </c>
      <c r="L5699" s="3">
        <f t="shared" ref="L5699:L5762" si="179">H5706</f>
        <v>6.1849999999999996</v>
      </c>
    </row>
    <row r="5700" spans="1:12" x14ac:dyDescent="0.3">
      <c r="A5700" s="2">
        <v>42217</v>
      </c>
      <c r="B5700" t="s">
        <v>13</v>
      </c>
      <c r="D5700" s="2">
        <v>42948</v>
      </c>
      <c r="E5700">
        <v>6.25</v>
      </c>
      <c r="G5700" s="2">
        <v>42948</v>
      </c>
      <c r="H5700">
        <v>6.2839999999999998</v>
      </c>
      <c r="J5700" s="2">
        <v>42955</v>
      </c>
      <c r="K5700" s="3">
        <f t="shared" si="178"/>
        <v>6</v>
      </c>
      <c r="L5700" s="3">
        <f t="shared" si="179"/>
        <v>6.2569999999999997</v>
      </c>
    </row>
    <row r="5701" spans="1:12" x14ac:dyDescent="0.3">
      <c r="A5701" s="2">
        <v>42218</v>
      </c>
      <c r="B5701" t="s">
        <v>13</v>
      </c>
      <c r="D5701" s="2">
        <v>42949</v>
      </c>
      <c r="E5701">
        <v>6</v>
      </c>
      <c r="G5701" s="2">
        <v>42949</v>
      </c>
      <c r="H5701">
        <v>6.2619999999999996</v>
      </c>
      <c r="J5701" s="2">
        <v>42956</v>
      </c>
      <c r="K5701" s="3">
        <f t="shared" si="178"/>
        <v>6</v>
      </c>
      <c r="L5701" s="3">
        <f t="shared" si="179"/>
        <v>6.2450000000000001</v>
      </c>
    </row>
    <row r="5702" spans="1:12" x14ac:dyDescent="0.3">
      <c r="A5702" s="2">
        <v>42219</v>
      </c>
      <c r="B5702" t="s">
        <v>13</v>
      </c>
      <c r="D5702" s="2">
        <v>42950</v>
      </c>
      <c r="E5702">
        <v>6</v>
      </c>
      <c r="G5702" s="2">
        <v>42950</v>
      </c>
      <c r="H5702">
        <v>6.2759999999999998</v>
      </c>
      <c r="J5702" s="2">
        <v>42957</v>
      </c>
      <c r="K5702" s="3">
        <f t="shared" si="178"/>
        <v>6</v>
      </c>
      <c r="L5702" s="3">
        <f t="shared" si="179"/>
        <v>6.2460000000000004</v>
      </c>
    </row>
    <row r="5703" spans="1:12" x14ac:dyDescent="0.3">
      <c r="A5703" s="2">
        <v>42220</v>
      </c>
      <c r="B5703" t="s">
        <v>13</v>
      </c>
      <c r="D5703" s="2">
        <v>42951</v>
      </c>
      <c r="E5703">
        <v>6</v>
      </c>
      <c r="G5703" s="2">
        <v>42951</v>
      </c>
      <c r="H5703">
        <v>6.1849999999999996</v>
      </c>
      <c r="J5703" s="2">
        <v>42958</v>
      </c>
      <c r="K5703" s="3">
        <f t="shared" si="178"/>
        <v>6</v>
      </c>
      <c r="L5703" s="3">
        <f t="shared" si="179"/>
        <v>6.2910000000000004</v>
      </c>
    </row>
    <row r="5704" spans="1:12" x14ac:dyDescent="0.3">
      <c r="A5704" s="2">
        <v>42221</v>
      </c>
      <c r="B5704" t="s">
        <v>13</v>
      </c>
      <c r="D5704" s="2">
        <v>42952</v>
      </c>
      <c r="E5704">
        <v>6</v>
      </c>
      <c r="G5704" s="2">
        <v>42952</v>
      </c>
      <c r="H5704">
        <v>6.1849999999999996</v>
      </c>
      <c r="J5704" s="2">
        <v>42959</v>
      </c>
      <c r="K5704" s="3">
        <f t="shared" si="178"/>
        <v>6</v>
      </c>
      <c r="L5704" s="3">
        <f t="shared" si="179"/>
        <v>6.2910000000000004</v>
      </c>
    </row>
    <row r="5705" spans="1:12" x14ac:dyDescent="0.3">
      <c r="A5705" s="2">
        <v>42222</v>
      </c>
      <c r="B5705" t="s">
        <v>13</v>
      </c>
      <c r="D5705" s="2">
        <v>42953</v>
      </c>
      <c r="E5705">
        <v>6</v>
      </c>
      <c r="G5705" s="2">
        <v>42953</v>
      </c>
      <c r="H5705">
        <v>6.1849999999999996</v>
      </c>
      <c r="J5705" s="2">
        <v>42960</v>
      </c>
      <c r="K5705" s="3">
        <f t="shared" si="178"/>
        <v>6</v>
      </c>
      <c r="L5705" s="3">
        <f t="shared" si="179"/>
        <v>6.2910000000000004</v>
      </c>
    </row>
    <row r="5706" spans="1:12" x14ac:dyDescent="0.3">
      <c r="A5706" s="2">
        <v>42223</v>
      </c>
      <c r="B5706" t="s">
        <v>13</v>
      </c>
      <c r="D5706" s="2">
        <v>42954</v>
      </c>
      <c r="E5706">
        <v>6</v>
      </c>
      <c r="G5706" s="2">
        <v>42954</v>
      </c>
      <c r="H5706">
        <v>6.1849999999999996</v>
      </c>
      <c r="J5706" s="2">
        <v>42961</v>
      </c>
      <c r="K5706" s="3">
        <f t="shared" si="178"/>
        <v>6</v>
      </c>
      <c r="L5706" s="3">
        <f t="shared" si="179"/>
        <v>6.2539999999999996</v>
      </c>
    </row>
    <row r="5707" spans="1:12" x14ac:dyDescent="0.3">
      <c r="A5707" s="2">
        <v>42224</v>
      </c>
      <c r="B5707" t="s">
        <v>13</v>
      </c>
      <c r="D5707" s="2">
        <v>42955</v>
      </c>
      <c r="E5707">
        <v>6</v>
      </c>
      <c r="G5707" s="2">
        <v>42955</v>
      </c>
      <c r="H5707">
        <v>6.2569999999999997</v>
      </c>
      <c r="J5707" s="2">
        <v>42962</v>
      </c>
      <c r="K5707" s="3">
        <f t="shared" si="178"/>
        <v>6</v>
      </c>
      <c r="L5707" s="3">
        <f t="shared" si="179"/>
        <v>6.2539999999999996</v>
      </c>
    </row>
    <row r="5708" spans="1:12" x14ac:dyDescent="0.3">
      <c r="A5708" s="2">
        <v>42225</v>
      </c>
      <c r="B5708" t="s">
        <v>13</v>
      </c>
      <c r="D5708" s="2">
        <v>42956</v>
      </c>
      <c r="E5708">
        <v>6</v>
      </c>
      <c r="G5708" s="2">
        <v>42956</v>
      </c>
      <c r="H5708">
        <v>6.2450000000000001</v>
      </c>
      <c r="J5708" s="2">
        <v>42963</v>
      </c>
      <c r="K5708" s="3">
        <f t="shared" si="178"/>
        <v>6</v>
      </c>
      <c r="L5708" s="3">
        <f t="shared" si="179"/>
        <v>6.28</v>
      </c>
    </row>
    <row r="5709" spans="1:12" x14ac:dyDescent="0.3">
      <c r="A5709" s="2">
        <v>42226</v>
      </c>
      <c r="B5709" t="s">
        <v>13</v>
      </c>
      <c r="D5709" s="2">
        <v>42957</v>
      </c>
      <c r="E5709">
        <v>6</v>
      </c>
      <c r="G5709" s="2">
        <v>42957</v>
      </c>
      <c r="H5709">
        <v>6.2460000000000004</v>
      </c>
      <c r="J5709" s="2">
        <v>42964</v>
      </c>
      <c r="K5709" s="3">
        <f t="shared" si="178"/>
        <v>6</v>
      </c>
      <c r="L5709" s="3">
        <f t="shared" si="179"/>
        <v>6.28</v>
      </c>
    </row>
    <row r="5710" spans="1:12" x14ac:dyDescent="0.3">
      <c r="A5710" s="2">
        <v>42227</v>
      </c>
      <c r="B5710" t="s">
        <v>13</v>
      </c>
      <c r="D5710" s="2">
        <v>42958</v>
      </c>
      <c r="E5710">
        <v>6</v>
      </c>
      <c r="G5710" s="2">
        <v>42958</v>
      </c>
      <c r="H5710">
        <v>6.2910000000000004</v>
      </c>
      <c r="J5710" s="2">
        <v>42965</v>
      </c>
      <c r="K5710" s="3">
        <f t="shared" si="178"/>
        <v>6</v>
      </c>
      <c r="L5710" s="3">
        <f t="shared" si="179"/>
        <v>6.28</v>
      </c>
    </row>
    <row r="5711" spans="1:12" x14ac:dyDescent="0.3">
      <c r="A5711" s="2">
        <v>42228</v>
      </c>
      <c r="B5711" t="s">
        <v>13</v>
      </c>
      <c r="D5711" s="2">
        <v>42959</v>
      </c>
      <c r="E5711">
        <v>6</v>
      </c>
      <c r="G5711" s="2">
        <v>42959</v>
      </c>
      <c r="H5711">
        <v>6.2910000000000004</v>
      </c>
      <c r="J5711" s="2">
        <v>42966</v>
      </c>
      <c r="K5711" s="3">
        <f t="shared" si="178"/>
        <v>6</v>
      </c>
      <c r="L5711" s="3">
        <f t="shared" si="179"/>
        <v>6.28</v>
      </c>
    </row>
    <row r="5712" spans="1:12" x14ac:dyDescent="0.3">
      <c r="A5712" s="2">
        <v>42229</v>
      </c>
      <c r="B5712" t="s">
        <v>13</v>
      </c>
      <c r="D5712" s="2">
        <v>42960</v>
      </c>
      <c r="E5712">
        <v>6</v>
      </c>
      <c r="G5712" s="2">
        <v>42960</v>
      </c>
      <c r="H5712">
        <v>6.2910000000000004</v>
      </c>
      <c r="J5712" s="2">
        <v>42967</v>
      </c>
      <c r="K5712" s="3">
        <f t="shared" si="178"/>
        <v>6</v>
      </c>
      <c r="L5712" s="3">
        <f t="shared" si="179"/>
        <v>6.28</v>
      </c>
    </row>
    <row r="5713" spans="1:12" x14ac:dyDescent="0.3">
      <c r="A5713" s="2">
        <v>42230</v>
      </c>
      <c r="B5713" t="s">
        <v>13</v>
      </c>
      <c r="D5713" s="2">
        <v>42961</v>
      </c>
      <c r="E5713">
        <v>6</v>
      </c>
      <c r="G5713" s="2">
        <v>42961</v>
      </c>
      <c r="H5713">
        <v>6.2539999999999996</v>
      </c>
      <c r="J5713" s="2">
        <v>42968</v>
      </c>
      <c r="K5713" s="3">
        <f t="shared" si="178"/>
        <v>6</v>
      </c>
      <c r="L5713" s="3">
        <f t="shared" si="179"/>
        <v>6.28</v>
      </c>
    </row>
    <row r="5714" spans="1:12" x14ac:dyDescent="0.3">
      <c r="A5714" s="2">
        <v>42231</v>
      </c>
      <c r="B5714" t="s">
        <v>13</v>
      </c>
      <c r="D5714" s="2">
        <v>42962</v>
      </c>
      <c r="E5714">
        <v>6</v>
      </c>
      <c r="G5714" s="2">
        <v>42962</v>
      </c>
      <c r="H5714">
        <v>6.2539999999999996</v>
      </c>
      <c r="J5714" s="2">
        <v>42969</v>
      </c>
      <c r="K5714" s="3">
        <f t="shared" si="178"/>
        <v>6</v>
      </c>
      <c r="L5714" s="3">
        <f t="shared" si="179"/>
        <v>6.2619999999999996</v>
      </c>
    </row>
    <row r="5715" spans="1:12" x14ac:dyDescent="0.3">
      <c r="A5715" s="2">
        <v>42232</v>
      </c>
      <c r="B5715" t="s">
        <v>13</v>
      </c>
      <c r="D5715" s="2">
        <v>42963</v>
      </c>
      <c r="E5715">
        <v>6</v>
      </c>
      <c r="G5715" s="2">
        <v>42963</v>
      </c>
      <c r="H5715">
        <v>6.28</v>
      </c>
      <c r="J5715" s="2">
        <v>42970</v>
      </c>
      <c r="K5715" s="3">
        <f t="shared" si="178"/>
        <v>6</v>
      </c>
      <c r="L5715" s="3">
        <f t="shared" si="179"/>
        <v>6.2619999999999996</v>
      </c>
    </row>
    <row r="5716" spans="1:12" x14ac:dyDescent="0.3">
      <c r="A5716" s="2">
        <v>42233</v>
      </c>
      <c r="B5716" t="s">
        <v>13</v>
      </c>
      <c r="D5716" s="2">
        <v>42964</v>
      </c>
      <c r="E5716">
        <v>6</v>
      </c>
      <c r="G5716" s="2">
        <v>42964</v>
      </c>
      <c r="H5716">
        <v>6.28</v>
      </c>
      <c r="J5716" s="2">
        <v>42971</v>
      </c>
      <c r="K5716" s="3">
        <f t="shared" si="178"/>
        <v>6</v>
      </c>
      <c r="L5716" s="3">
        <f t="shared" si="179"/>
        <v>6.1749999999999998</v>
      </c>
    </row>
    <row r="5717" spans="1:12" x14ac:dyDescent="0.3">
      <c r="A5717" s="2">
        <v>42234</v>
      </c>
      <c r="B5717" t="s">
        <v>13</v>
      </c>
      <c r="D5717" s="2">
        <v>42965</v>
      </c>
      <c r="E5717">
        <v>6</v>
      </c>
      <c r="G5717" s="2">
        <v>42965</v>
      </c>
      <c r="H5717">
        <v>6.28</v>
      </c>
      <c r="J5717" s="2">
        <v>42972</v>
      </c>
      <c r="K5717" s="3">
        <f t="shared" si="178"/>
        <v>6</v>
      </c>
      <c r="L5717" s="3">
        <f t="shared" si="179"/>
        <v>6.1749999999999998</v>
      </c>
    </row>
    <row r="5718" spans="1:12" x14ac:dyDescent="0.3">
      <c r="A5718" s="2">
        <v>42235</v>
      </c>
      <c r="B5718" t="s">
        <v>13</v>
      </c>
      <c r="D5718" s="2">
        <v>42966</v>
      </c>
      <c r="E5718">
        <v>6</v>
      </c>
      <c r="G5718" s="2">
        <v>42966</v>
      </c>
      <c r="H5718">
        <v>6.28</v>
      </c>
      <c r="J5718" s="2">
        <v>42973</v>
      </c>
      <c r="K5718" s="3">
        <f t="shared" si="178"/>
        <v>6</v>
      </c>
      <c r="L5718" s="3">
        <f t="shared" si="179"/>
        <v>6.1749999999999998</v>
      </c>
    </row>
    <row r="5719" spans="1:12" x14ac:dyDescent="0.3">
      <c r="A5719" s="2">
        <v>42236</v>
      </c>
      <c r="B5719" t="s">
        <v>13</v>
      </c>
      <c r="D5719" s="2">
        <v>42967</v>
      </c>
      <c r="E5719">
        <v>6</v>
      </c>
      <c r="G5719" s="2">
        <v>42967</v>
      </c>
      <c r="H5719">
        <v>6.28</v>
      </c>
      <c r="J5719" s="2">
        <v>42974</v>
      </c>
      <c r="K5719" s="3">
        <f t="shared" si="178"/>
        <v>6</v>
      </c>
      <c r="L5719" s="3">
        <f t="shared" si="179"/>
        <v>6.1749999999999998</v>
      </c>
    </row>
    <row r="5720" spans="1:12" x14ac:dyDescent="0.3">
      <c r="A5720" s="2">
        <v>42237</v>
      </c>
      <c r="B5720" t="s">
        <v>13</v>
      </c>
      <c r="D5720" s="2">
        <v>42968</v>
      </c>
      <c r="E5720">
        <v>6</v>
      </c>
      <c r="G5720" s="2">
        <v>42968</v>
      </c>
      <c r="H5720">
        <v>6.28</v>
      </c>
      <c r="J5720" s="2">
        <v>42975</v>
      </c>
      <c r="K5720" s="3">
        <f t="shared" si="178"/>
        <v>6</v>
      </c>
      <c r="L5720" s="3">
        <f t="shared" si="179"/>
        <v>6.1349999999999998</v>
      </c>
    </row>
    <row r="5721" spans="1:12" x14ac:dyDescent="0.3">
      <c r="A5721" s="2">
        <v>42238</v>
      </c>
      <c r="B5721" t="s">
        <v>13</v>
      </c>
      <c r="D5721" s="2">
        <v>42969</v>
      </c>
      <c r="E5721">
        <v>6</v>
      </c>
      <c r="G5721" s="2">
        <v>42969</v>
      </c>
      <c r="H5721">
        <v>6.2619999999999996</v>
      </c>
      <c r="J5721" s="2">
        <v>42976</v>
      </c>
      <c r="K5721" s="3">
        <f t="shared" si="178"/>
        <v>6</v>
      </c>
      <c r="L5721" s="3">
        <f t="shared" si="179"/>
        <v>6.1349999999999998</v>
      </c>
    </row>
    <row r="5722" spans="1:12" x14ac:dyDescent="0.3">
      <c r="A5722" s="2">
        <v>42239</v>
      </c>
      <c r="B5722" t="s">
        <v>13</v>
      </c>
      <c r="D5722" s="2">
        <v>42970</v>
      </c>
      <c r="E5722">
        <v>6</v>
      </c>
      <c r="G5722" s="2">
        <v>42970</v>
      </c>
      <c r="H5722">
        <v>6.2619999999999996</v>
      </c>
      <c r="J5722" s="2">
        <v>42977</v>
      </c>
      <c r="K5722" s="3">
        <f t="shared" si="178"/>
        <v>6</v>
      </c>
      <c r="L5722" s="3">
        <f t="shared" si="179"/>
        <v>6.1210000000000004</v>
      </c>
    </row>
    <row r="5723" spans="1:12" x14ac:dyDescent="0.3">
      <c r="A5723" s="2">
        <v>42240</v>
      </c>
      <c r="B5723" t="s">
        <v>13</v>
      </c>
      <c r="D5723" s="2">
        <v>42971</v>
      </c>
      <c r="E5723">
        <v>6</v>
      </c>
      <c r="G5723" s="2">
        <v>42971</v>
      </c>
      <c r="H5723">
        <v>6.1749999999999998</v>
      </c>
      <c r="J5723" s="2">
        <v>42978</v>
      </c>
      <c r="K5723" s="3">
        <f t="shared" si="178"/>
        <v>6</v>
      </c>
      <c r="L5723" s="3">
        <f t="shared" si="179"/>
        <v>6.1420000000000003</v>
      </c>
    </row>
    <row r="5724" spans="1:12" x14ac:dyDescent="0.3">
      <c r="A5724" s="2">
        <v>42241</v>
      </c>
      <c r="B5724" t="s">
        <v>13</v>
      </c>
      <c r="D5724" s="2">
        <v>42972</v>
      </c>
      <c r="E5724">
        <v>6</v>
      </c>
      <c r="G5724" s="2">
        <v>42972</v>
      </c>
      <c r="H5724">
        <v>6.1749999999999998</v>
      </c>
      <c r="J5724" s="2">
        <v>42979</v>
      </c>
      <c r="K5724" s="3">
        <f t="shared" si="178"/>
        <v>6</v>
      </c>
      <c r="L5724" s="3">
        <f t="shared" si="179"/>
        <v>6.1210000000000004</v>
      </c>
    </row>
    <row r="5725" spans="1:12" x14ac:dyDescent="0.3">
      <c r="A5725" s="2">
        <v>42242</v>
      </c>
      <c r="B5725" t="s">
        <v>13</v>
      </c>
      <c r="D5725" s="2">
        <v>42973</v>
      </c>
      <c r="E5725">
        <v>6</v>
      </c>
      <c r="G5725" s="2">
        <v>42973</v>
      </c>
      <c r="H5725">
        <v>6.1749999999999998</v>
      </c>
      <c r="J5725" s="2">
        <v>42980</v>
      </c>
      <c r="K5725" s="3">
        <f t="shared" si="178"/>
        <v>6</v>
      </c>
      <c r="L5725" s="3">
        <f t="shared" si="179"/>
        <v>6.1210000000000004</v>
      </c>
    </row>
    <row r="5726" spans="1:12" x14ac:dyDescent="0.3">
      <c r="A5726" s="2">
        <v>42243</v>
      </c>
      <c r="B5726" t="s">
        <v>13</v>
      </c>
      <c r="D5726" s="2">
        <v>42974</v>
      </c>
      <c r="E5726">
        <v>6</v>
      </c>
      <c r="G5726" s="2">
        <v>42974</v>
      </c>
      <c r="H5726">
        <v>6.1749999999999998</v>
      </c>
      <c r="J5726" s="2">
        <v>42981</v>
      </c>
      <c r="K5726" s="3">
        <f t="shared" si="178"/>
        <v>6</v>
      </c>
      <c r="L5726" s="3">
        <f t="shared" si="179"/>
        <v>6.1210000000000004</v>
      </c>
    </row>
    <row r="5727" spans="1:12" x14ac:dyDescent="0.3">
      <c r="A5727" s="2">
        <v>42244</v>
      </c>
      <c r="B5727" t="s">
        <v>13</v>
      </c>
      <c r="D5727" s="2">
        <v>42975</v>
      </c>
      <c r="E5727">
        <v>6</v>
      </c>
      <c r="G5727" s="2">
        <v>42975</v>
      </c>
      <c r="H5727">
        <v>6.1349999999999998</v>
      </c>
      <c r="J5727" s="2">
        <v>42982</v>
      </c>
      <c r="K5727" s="3">
        <f t="shared" si="178"/>
        <v>6</v>
      </c>
      <c r="L5727" s="3">
        <f t="shared" si="179"/>
        <v>6.133</v>
      </c>
    </row>
    <row r="5728" spans="1:12" x14ac:dyDescent="0.3">
      <c r="A5728" s="2">
        <v>42245</v>
      </c>
      <c r="B5728" t="s">
        <v>13</v>
      </c>
      <c r="D5728" s="2">
        <v>42976</v>
      </c>
      <c r="E5728">
        <v>6</v>
      </c>
      <c r="G5728" s="2">
        <v>42976</v>
      </c>
      <c r="H5728">
        <v>6.1349999999999998</v>
      </c>
      <c r="J5728" s="2">
        <v>42983</v>
      </c>
      <c r="K5728" s="3">
        <f t="shared" si="178"/>
        <v>6</v>
      </c>
      <c r="L5728" s="3">
        <f t="shared" si="179"/>
        <v>6.1539999999999999</v>
      </c>
    </row>
    <row r="5729" spans="1:12" x14ac:dyDescent="0.3">
      <c r="A5729" s="2">
        <v>42246</v>
      </c>
      <c r="B5729" t="s">
        <v>13</v>
      </c>
      <c r="D5729" s="2">
        <v>42977</v>
      </c>
      <c r="E5729">
        <v>6</v>
      </c>
      <c r="G5729" s="2">
        <v>42977</v>
      </c>
      <c r="H5729">
        <v>6.1210000000000004</v>
      </c>
      <c r="J5729" s="2">
        <v>42984</v>
      </c>
      <c r="K5729" s="3">
        <f t="shared" si="178"/>
        <v>6</v>
      </c>
      <c r="L5729" s="3">
        <f t="shared" si="179"/>
        <v>6.1050000000000004</v>
      </c>
    </row>
    <row r="5730" spans="1:12" x14ac:dyDescent="0.3">
      <c r="A5730" s="2">
        <v>42247</v>
      </c>
      <c r="B5730" t="s">
        <v>13</v>
      </c>
      <c r="D5730" s="2">
        <v>42978</v>
      </c>
      <c r="E5730">
        <v>6</v>
      </c>
      <c r="G5730" s="2">
        <v>42978</v>
      </c>
      <c r="H5730">
        <v>6.1420000000000003</v>
      </c>
      <c r="J5730" s="2">
        <v>42985</v>
      </c>
      <c r="K5730" s="3">
        <f t="shared" si="178"/>
        <v>6</v>
      </c>
      <c r="L5730" s="3">
        <f t="shared" si="179"/>
        <v>6.2240000000000002</v>
      </c>
    </row>
    <row r="5731" spans="1:12" x14ac:dyDescent="0.3">
      <c r="A5731" s="2">
        <v>42248</v>
      </c>
      <c r="B5731" t="s">
        <v>13</v>
      </c>
      <c r="D5731" s="2">
        <v>42979</v>
      </c>
      <c r="E5731">
        <v>6</v>
      </c>
      <c r="G5731" s="2">
        <v>42979</v>
      </c>
      <c r="H5731">
        <v>6.1210000000000004</v>
      </c>
      <c r="J5731" s="2">
        <v>42986</v>
      </c>
      <c r="K5731" s="3">
        <f t="shared" si="178"/>
        <v>6</v>
      </c>
      <c r="L5731" s="3">
        <f t="shared" si="179"/>
        <v>6.2240000000000002</v>
      </c>
    </row>
    <row r="5732" spans="1:12" x14ac:dyDescent="0.3">
      <c r="A5732" s="2">
        <v>42249</v>
      </c>
      <c r="B5732" t="s">
        <v>13</v>
      </c>
      <c r="D5732" s="2">
        <v>42980</v>
      </c>
      <c r="E5732">
        <v>6</v>
      </c>
      <c r="G5732" s="2">
        <v>42980</v>
      </c>
      <c r="H5732">
        <v>6.1210000000000004</v>
      </c>
      <c r="J5732" s="2">
        <v>42987</v>
      </c>
      <c r="K5732" s="3">
        <f t="shared" si="178"/>
        <v>6</v>
      </c>
      <c r="L5732" s="3">
        <f t="shared" si="179"/>
        <v>6.2240000000000002</v>
      </c>
    </row>
    <row r="5733" spans="1:12" x14ac:dyDescent="0.3">
      <c r="A5733" s="2">
        <v>42250</v>
      </c>
      <c r="B5733" t="s">
        <v>13</v>
      </c>
      <c r="D5733" s="2">
        <v>42981</v>
      </c>
      <c r="E5733">
        <v>6</v>
      </c>
      <c r="G5733" s="2">
        <v>42981</v>
      </c>
      <c r="H5733">
        <v>6.1210000000000004</v>
      </c>
      <c r="J5733" s="2">
        <v>42988</v>
      </c>
      <c r="K5733" s="3">
        <f t="shared" si="178"/>
        <v>6</v>
      </c>
      <c r="L5733" s="3">
        <f t="shared" si="179"/>
        <v>6.2240000000000002</v>
      </c>
    </row>
    <row r="5734" spans="1:12" x14ac:dyDescent="0.3">
      <c r="A5734" s="2">
        <v>42251</v>
      </c>
      <c r="B5734" t="s">
        <v>13</v>
      </c>
      <c r="D5734" s="2">
        <v>42982</v>
      </c>
      <c r="E5734">
        <v>6</v>
      </c>
      <c r="G5734" s="2">
        <v>42982</v>
      </c>
      <c r="H5734">
        <v>6.133</v>
      </c>
      <c r="J5734" s="2">
        <v>42989</v>
      </c>
      <c r="K5734" s="3">
        <f t="shared" si="178"/>
        <v>6</v>
      </c>
      <c r="L5734" s="3">
        <f t="shared" si="179"/>
        <v>6.2309999999999999</v>
      </c>
    </row>
    <row r="5735" spans="1:12" x14ac:dyDescent="0.3">
      <c r="A5735" s="2">
        <v>42252</v>
      </c>
      <c r="B5735" t="s">
        <v>13</v>
      </c>
      <c r="D5735" s="2">
        <v>42983</v>
      </c>
      <c r="E5735">
        <v>6</v>
      </c>
      <c r="G5735" s="2">
        <v>42983</v>
      </c>
      <c r="H5735">
        <v>6.1539999999999999</v>
      </c>
      <c r="J5735" s="2">
        <v>42990</v>
      </c>
      <c r="K5735" s="3">
        <f t="shared" si="178"/>
        <v>6</v>
      </c>
      <c r="L5735" s="3">
        <f t="shared" si="179"/>
        <v>6.2409999999999997</v>
      </c>
    </row>
    <row r="5736" spans="1:12" x14ac:dyDescent="0.3">
      <c r="A5736" s="2">
        <v>42253</v>
      </c>
      <c r="B5736" t="s">
        <v>13</v>
      </c>
      <c r="D5736" s="2">
        <v>42984</v>
      </c>
      <c r="E5736">
        <v>6</v>
      </c>
      <c r="G5736" s="2">
        <v>42984</v>
      </c>
      <c r="H5736">
        <v>6.1050000000000004</v>
      </c>
      <c r="J5736" s="2">
        <v>42991</v>
      </c>
      <c r="K5736" s="3">
        <f t="shared" si="178"/>
        <v>6</v>
      </c>
      <c r="L5736" s="3">
        <f t="shared" si="179"/>
        <v>6.2160000000000002</v>
      </c>
    </row>
    <row r="5737" spans="1:12" x14ac:dyDescent="0.3">
      <c r="A5737" s="2">
        <v>42254</v>
      </c>
      <c r="B5737" t="s">
        <v>13</v>
      </c>
      <c r="D5737" s="2">
        <v>42985</v>
      </c>
      <c r="E5737">
        <v>6</v>
      </c>
      <c r="G5737" s="2">
        <v>42985</v>
      </c>
      <c r="H5737">
        <v>6.2240000000000002</v>
      </c>
      <c r="J5737" s="2">
        <v>42992</v>
      </c>
      <c r="K5737" s="3">
        <f t="shared" si="178"/>
        <v>6</v>
      </c>
      <c r="L5737" s="3">
        <f t="shared" si="179"/>
        <v>6.2160000000000002</v>
      </c>
    </row>
    <row r="5738" spans="1:12" x14ac:dyDescent="0.3">
      <c r="A5738" s="2">
        <v>42255</v>
      </c>
      <c r="B5738" t="s">
        <v>13</v>
      </c>
      <c r="D5738" s="2">
        <v>42986</v>
      </c>
      <c r="E5738">
        <v>6</v>
      </c>
      <c r="G5738" s="2">
        <v>42986</v>
      </c>
      <c r="H5738">
        <v>6.2240000000000002</v>
      </c>
      <c r="J5738" s="2">
        <v>42993</v>
      </c>
      <c r="K5738" s="3">
        <f t="shared" si="178"/>
        <v>6</v>
      </c>
      <c r="L5738" s="3">
        <f t="shared" si="179"/>
        <v>6.2160000000000002</v>
      </c>
    </row>
    <row r="5739" spans="1:12" x14ac:dyDescent="0.3">
      <c r="A5739" s="2">
        <v>42256</v>
      </c>
      <c r="B5739" t="s">
        <v>13</v>
      </c>
      <c r="D5739" s="2">
        <v>42987</v>
      </c>
      <c r="E5739">
        <v>6</v>
      </c>
      <c r="G5739" s="2">
        <v>42987</v>
      </c>
      <c r="H5739">
        <v>6.2240000000000002</v>
      </c>
      <c r="J5739" s="2">
        <v>42994</v>
      </c>
      <c r="K5739" s="3">
        <f t="shared" si="178"/>
        <v>6</v>
      </c>
      <c r="L5739" s="3">
        <f t="shared" si="179"/>
        <v>6.2160000000000002</v>
      </c>
    </row>
    <row r="5740" spans="1:12" x14ac:dyDescent="0.3">
      <c r="A5740" s="2">
        <v>42257</v>
      </c>
      <c r="B5740" t="s">
        <v>13</v>
      </c>
      <c r="D5740" s="2">
        <v>42988</v>
      </c>
      <c r="E5740">
        <v>6</v>
      </c>
      <c r="G5740" s="2">
        <v>42988</v>
      </c>
      <c r="H5740">
        <v>6.2240000000000002</v>
      </c>
      <c r="J5740" s="2">
        <v>42995</v>
      </c>
      <c r="K5740" s="3">
        <f t="shared" si="178"/>
        <v>6</v>
      </c>
      <c r="L5740" s="3">
        <f t="shared" si="179"/>
        <v>6.2160000000000002</v>
      </c>
    </row>
    <row r="5741" spans="1:12" x14ac:dyDescent="0.3">
      <c r="A5741" s="2">
        <v>42258</v>
      </c>
      <c r="B5741" t="s">
        <v>13</v>
      </c>
      <c r="D5741" s="2">
        <v>42989</v>
      </c>
      <c r="E5741">
        <v>6</v>
      </c>
      <c r="G5741" s="2">
        <v>42989</v>
      </c>
      <c r="H5741">
        <v>6.2309999999999999</v>
      </c>
      <c r="J5741" s="2">
        <v>42996</v>
      </c>
      <c r="K5741" s="3">
        <f t="shared" si="178"/>
        <v>6</v>
      </c>
      <c r="L5741" s="3">
        <f t="shared" si="179"/>
        <v>6.226</v>
      </c>
    </row>
    <row r="5742" spans="1:12" x14ac:dyDescent="0.3">
      <c r="A5742" s="2">
        <v>42259</v>
      </c>
      <c r="B5742" t="s">
        <v>13</v>
      </c>
      <c r="D5742" s="2">
        <v>42990</v>
      </c>
      <c r="E5742">
        <v>6</v>
      </c>
      <c r="G5742" s="2">
        <v>42990</v>
      </c>
      <c r="H5742">
        <v>6.2409999999999997</v>
      </c>
      <c r="J5742" s="2">
        <v>42997</v>
      </c>
      <c r="K5742" s="3">
        <f t="shared" si="178"/>
        <v>6</v>
      </c>
      <c r="L5742" s="3">
        <f t="shared" si="179"/>
        <v>6.2359999999999998</v>
      </c>
    </row>
    <row r="5743" spans="1:12" x14ac:dyDescent="0.3">
      <c r="A5743" s="2">
        <v>42260</v>
      </c>
      <c r="B5743" t="s">
        <v>13</v>
      </c>
      <c r="D5743" s="2">
        <v>42991</v>
      </c>
      <c r="E5743">
        <v>6</v>
      </c>
      <c r="G5743" s="2">
        <v>42991</v>
      </c>
      <c r="H5743">
        <v>6.2160000000000002</v>
      </c>
      <c r="J5743" s="2">
        <v>42998</v>
      </c>
      <c r="K5743" s="3">
        <f t="shared" si="178"/>
        <v>6</v>
      </c>
      <c r="L5743" s="3">
        <f t="shared" si="179"/>
        <v>6.2110000000000003</v>
      </c>
    </row>
    <row r="5744" spans="1:12" x14ac:dyDescent="0.3">
      <c r="A5744" s="2">
        <v>42261</v>
      </c>
      <c r="B5744" t="s">
        <v>13</v>
      </c>
      <c r="D5744" s="2">
        <v>42992</v>
      </c>
      <c r="E5744">
        <v>6</v>
      </c>
      <c r="G5744" s="2">
        <v>42992</v>
      </c>
      <c r="H5744">
        <v>6.2160000000000002</v>
      </c>
      <c r="J5744" s="2">
        <v>42999</v>
      </c>
      <c r="K5744" s="3">
        <f t="shared" si="178"/>
        <v>6</v>
      </c>
      <c r="L5744" s="3">
        <f t="shared" si="179"/>
        <v>6.2679999999999998</v>
      </c>
    </row>
    <row r="5745" spans="1:12" x14ac:dyDescent="0.3">
      <c r="A5745" s="2">
        <v>42262</v>
      </c>
      <c r="B5745" t="s">
        <v>13</v>
      </c>
      <c r="D5745" s="2">
        <v>42993</v>
      </c>
      <c r="E5745">
        <v>6</v>
      </c>
      <c r="G5745" s="2">
        <v>42993</v>
      </c>
      <c r="H5745">
        <v>6.2160000000000002</v>
      </c>
      <c r="J5745" s="2">
        <v>43000</v>
      </c>
      <c r="K5745" s="3">
        <f t="shared" si="178"/>
        <v>6</v>
      </c>
      <c r="L5745" s="3">
        <f t="shared" si="179"/>
        <v>6.2679999999999998</v>
      </c>
    </row>
    <row r="5746" spans="1:12" x14ac:dyDescent="0.3">
      <c r="A5746" s="2">
        <v>42263</v>
      </c>
      <c r="B5746" t="s">
        <v>13</v>
      </c>
      <c r="D5746" s="2">
        <v>42994</v>
      </c>
      <c r="E5746">
        <v>6</v>
      </c>
      <c r="G5746" s="2">
        <v>42994</v>
      </c>
      <c r="H5746">
        <v>6.2160000000000002</v>
      </c>
      <c r="J5746" s="2">
        <v>43001</v>
      </c>
      <c r="K5746" s="3">
        <f t="shared" si="178"/>
        <v>6</v>
      </c>
      <c r="L5746" s="3">
        <f t="shared" si="179"/>
        <v>6.2679999999999998</v>
      </c>
    </row>
    <row r="5747" spans="1:12" x14ac:dyDescent="0.3">
      <c r="A5747" s="2">
        <v>42264</v>
      </c>
      <c r="B5747" t="s">
        <v>13</v>
      </c>
      <c r="D5747" s="2">
        <v>42995</v>
      </c>
      <c r="E5747">
        <v>6</v>
      </c>
      <c r="G5747" s="2">
        <v>42995</v>
      </c>
      <c r="H5747">
        <v>6.2160000000000002</v>
      </c>
      <c r="J5747" s="2">
        <v>43002</v>
      </c>
      <c r="K5747" s="3">
        <f t="shared" si="178"/>
        <v>6</v>
      </c>
      <c r="L5747" s="3">
        <f t="shared" si="179"/>
        <v>6.2679999999999998</v>
      </c>
    </row>
    <row r="5748" spans="1:12" x14ac:dyDescent="0.3">
      <c r="A5748" s="2">
        <v>42265</v>
      </c>
      <c r="B5748" t="s">
        <v>13</v>
      </c>
      <c r="D5748" s="2">
        <v>42996</v>
      </c>
      <c r="E5748">
        <v>6</v>
      </c>
      <c r="G5748" s="2">
        <v>42996</v>
      </c>
      <c r="H5748">
        <v>6.226</v>
      </c>
      <c r="J5748" s="2">
        <v>43003</v>
      </c>
      <c r="K5748" s="3">
        <f t="shared" si="178"/>
        <v>6</v>
      </c>
      <c r="L5748" s="3">
        <f t="shared" si="179"/>
        <v>6.2770000000000001</v>
      </c>
    </row>
    <row r="5749" spans="1:12" x14ac:dyDescent="0.3">
      <c r="A5749" s="2">
        <v>42266</v>
      </c>
      <c r="B5749" t="s">
        <v>13</v>
      </c>
      <c r="D5749" s="2">
        <v>42997</v>
      </c>
      <c r="E5749">
        <v>6</v>
      </c>
      <c r="G5749" s="2">
        <v>42997</v>
      </c>
      <c r="H5749">
        <v>6.2359999999999998</v>
      </c>
      <c r="J5749" s="2">
        <v>43004</v>
      </c>
      <c r="K5749" s="3">
        <f t="shared" si="178"/>
        <v>6</v>
      </c>
      <c r="L5749" s="3">
        <f t="shared" si="179"/>
        <v>6.2770000000000001</v>
      </c>
    </row>
    <row r="5750" spans="1:12" x14ac:dyDescent="0.3">
      <c r="A5750" s="2">
        <v>42267</v>
      </c>
      <c r="B5750" t="s">
        <v>13</v>
      </c>
      <c r="D5750" s="2">
        <v>42998</v>
      </c>
      <c r="E5750">
        <v>6</v>
      </c>
      <c r="G5750" s="2">
        <v>42998</v>
      </c>
      <c r="H5750">
        <v>6.2110000000000003</v>
      </c>
      <c r="J5750" s="2">
        <v>43005</v>
      </c>
      <c r="K5750" s="3">
        <f t="shared" si="178"/>
        <v>6</v>
      </c>
      <c r="L5750" s="3">
        <f t="shared" si="179"/>
        <v>6.2770000000000001</v>
      </c>
    </row>
    <row r="5751" spans="1:12" x14ac:dyDescent="0.3">
      <c r="A5751" s="2">
        <v>42268</v>
      </c>
      <c r="B5751" t="s">
        <v>13</v>
      </c>
      <c r="D5751" s="2">
        <v>42999</v>
      </c>
      <c r="E5751">
        <v>6</v>
      </c>
      <c r="G5751" s="2">
        <v>42999</v>
      </c>
      <c r="H5751">
        <v>6.2679999999999998</v>
      </c>
      <c r="J5751" s="2">
        <v>43006</v>
      </c>
      <c r="K5751" s="3">
        <f t="shared" si="178"/>
        <v>6</v>
      </c>
      <c r="L5751" s="3">
        <f t="shared" si="179"/>
        <v>6.2770000000000001</v>
      </c>
    </row>
    <row r="5752" spans="1:12" x14ac:dyDescent="0.3">
      <c r="A5752" s="2">
        <v>42269</v>
      </c>
      <c r="B5752" t="s">
        <v>13</v>
      </c>
      <c r="D5752" s="2">
        <v>43000</v>
      </c>
      <c r="E5752">
        <v>6</v>
      </c>
      <c r="G5752" s="2">
        <v>43000</v>
      </c>
      <c r="H5752">
        <v>6.2679999999999998</v>
      </c>
      <c r="J5752" s="2">
        <v>43007</v>
      </c>
      <c r="K5752" s="3">
        <f t="shared" si="178"/>
        <v>6</v>
      </c>
      <c r="L5752" s="3">
        <f t="shared" si="179"/>
        <v>6.2770000000000001</v>
      </c>
    </row>
    <row r="5753" spans="1:12" x14ac:dyDescent="0.3">
      <c r="A5753" s="2">
        <v>42270</v>
      </c>
      <c r="B5753" t="s">
        <v>13</v>
      </c>
      <c r="D5753" s="2">
        <v>43001</v>
      </c>
      <c r="E5753">
        <v>6</v>
      </c>
      <c r="G5753" s="2">
        <v>43001</v>
      </c>
      <c r="H5753">
        <v>6.2679999999999998</v>
      </c>
      <c r="J5753" s="2">
        <v>43008</v>
      </c>
      <c r="K5753" s="3">
        <f t="shared" si="178"/>
        <v>6</v>
      </c>
      <c r="L5753" s="3">
        <f t="shared" si="179"/>
        <v>6.2770000000000001</v>
      </c>
    </row>
    <row r="5754" spans="1:12" x14ac:dyDescent="0.3">
      <c r="A5754" s="2">
        <v>42271</v>
      </c>
      <c r="B5754" t="s">
        <v>13</v>
      </c>
      <c r="D5754" s="2">
        <v>43002</v>
      </c>
      <c r="E5754">
        <v>6</v>
      </c>
      <c r="G5754" s="2">
        <v>43002</v>
      </c>
      <c r="H5754">
        <v>6.2679999999999998</v>
      </c>
      <c r="J5754" s="2">
        <v>43009</v>
      </c>
      <c r="K5754" s="3">
        <f t="shared" si="178"/>
        <v>6</v>
      </c>
      <c r="L5754" s="3">
        <f t="shared" si="179"/>
        <v>6.2770000000000001</v>
      </c>
    </row>
    <row r="5755" spans="1:12" x14ac:dyDescent="0.3">
      <c r="A5755" s="2">
        <v>42272</v>
      </c>
      <c r="B5755" t="s">
        <v>13</v>
      </c>
      <c r="D5755" s="2">
        <v>43003</v>
      </c>
      <c r="E5755">
        <v>6</v>
      </c>
      <c r="G5755" s="2">
        <v>43003</v>
      </c>
      <c r="H5755">
        <v>6.2770000000000001</v>
      </c>
      <c r="J5755" s="2">
        <v>43010</v>
      </c>
      <c r="K5755" s="3">
        <f t="shared" si="178"/>
        <v>6</v>
      </c>
      <c r="L5755" s="3">
        <f t="shared" si="179"/>
        <v>6.2770000000000001</v>
      </c>
    </row>
    <row r="5756" spans="1:12" x14ac:dyDescent="0.3">
      <c r="A5756" s="2">
        <v>42273</v>
      </c>
      <c r="B5756" t="s">
        <v>13</v>
      </c>
      <c r="D5756" s="2">
        <v>43004</v>
      </c>
      <c r="E5756">
        <v>6</v>
      </c>
      <c r="G5756" s="2">
        <v>43004</v>
      </c>
      <c r="H5756">
        <v>6.2770000000000001</v>
      </c>
      <c r="J5756" s="2">
        <v>43011</v>
      </c>
      <c r="K5756" s="3">
        <f t="shared" si="178"/>
        <v>6</v>
      </c>
      <c r="L5756" s="3">
        <f t="shared" si="179"/>
        <v>6.2759999999999998</v>
      </c>
    </row>
    <row r="5757" spans="1:12" x14ac:dyDescent="0.3">
      <c r="A5757" s="2">
        <v>42274</v>
      </c>
      <c r="B5757" t="s">
        <v>13</v>
      </c>
      <c r="D5757" s="2">
        <v>43005</v>
      </c>
      <c r="E5757">
        <v>6</v>
      </c>
      <c r="G5757" s="2">
        <v>43005</v>
      </c>
      <c r="H5757">
        <v>6.2770000000000001</v>
      </c>
      <c r="J5757" s="2">
        <v>43012</v>
      </c>
      <c r="K5757" s="3">
        <f t="shared" si="178"/>
        <v>6</v>
      </c>
      <c r="L5757" s="3">
        <f t="shared" si="179"/>
        <v>6.2759999999999998</v>
      </c>
    </row>
    <row r="5758" spans="1:12" x14ac:dyDescent="0.3">
      <c r="A5758" s="2">
        <v>42275</v>
      </c>
      <c r="B5758" t="s">
        <v>13</v>
      </c>
      <c r="D5758" s="2">
        <v>43006</v>
      </c>
      <c r="E5758">
        <v>6</v>
      </c>
      <c r="G5758" s="2">
        <v>43006</v>
      </c>
      <c r="H5758">
        <v>6.2770000000000001</v>
      </c>
      <c r="J5758" s="2">
        <v>43013</v>
      </c>
      <c r="K5758" s="3">
        <f t="shared" si="178"/>
        <v>6</v>
      </c>
      <c r="L5758" s="3">
        <f t="shared" si="179"/>
        <v>6.173</v>
      </c>
    </row>
    <row r="5759" spans="1:12" x14ac:dyDescent="0.3">
      <c r="A5759" s="2">
        <v>42276</v>
      </c>
      <c r="B5759" t="s">
        <v>13</v>
      </c>
      <c r="D5759" s="2">
        <v>43007</v>
      </c>
      <c r="E5759">
        <v>6</v>
      </c>
      <c r="G5759" s="2">
        <v>43007</v>
      </c>
      <c r="H5759">
        <v>6.2770000000000001</v>
      </c>
      <c r="J5759" s="2">
        <v>43014</v>
      </c>
      <c r="K5759" s="3">
        <f t="shared" si="178"/>
        <v>6</v>
      </c>
      <c r="L5759" s="3">
        <f t="shared" si="179"/>
        <v>6.1539999999999999</v>
      </c>
    </row>
    <row r="5760" spans="1:12" x14ac:dyDescent="0.3">
      <c r="A5760" s="2">
        <v>42277</v>
      </c>
      <c r="B5760" t="s">
        <v>13</v>
      </c>
      <c r="D5760" s="2">
        <v>43008</v>
      </c>
      <c r="E5760">
        <v>6</v>
      </c>
      <c r="G5760" s="2">
        <v>43008</v>
      </c>
      <c r="H5760">
        <v>6.2770000000000001</v>
      </c>
      <c r="J5760" s="2">
        <v>43015</v>
      </c>
      <c r="K5760" s="3">
        <f t="shared" si="178"/>
        <v>6</v>
      </c>
      <c r="L5760" s="3">
        <f t="shared" si="179"/>
        <v>6.1539999999999999</v>
      </c>
    </row>
    <row r="5761" spans="1:12" x14ac:dyDescent="0.3">
      <c r="A5761" s="2">
        <v>42278</v>
      </c>
      <c r="B5761" t="s">
        <v>13</v>
      </c>
      <c r="D5761" s="2">
        <v>43009</v>
      </c>
      <c r="E5761">
        <v>6</v>
      </c>
      <c r="G5761" s="2">
        <v>43009</v>
      </c>
      <c r="H5761">
        <v>6.2770000000000001</v>
      </c>
      <c r="J5761" s="2">
        <v>43016</v>
      </c>
      <c r="K5761" s="3">
        <f t="shared" si="178"/>
        <v>6</v>
      </c>
      <c r="L5761" s="3">
        <f t="shared" si="179"/>
        <v>6.1539999999999999</v>
      </c>
    </row>
    <row r="5762" spans="1:12" x14ac:dyDescent="0.3">
      <c r="A5762" s="2">
        <v>42279</v>
      </c>
      <c r="B5762" t="s">
        <v>13</v>
      </c>
      <c r="D5762" s="2">
        <v>43010</v>
      </c>
      <c r="E5762">
        <v>6</v>
      </c>
      <c r="G5762" s="2">
        <v>43010</v>
      </c>
      <c r="H5762">
        <v>6.2770000000000001</v>
      </c>
      <c r="J5762" s="2">
        <v>43017</v>
      </c>
      <c r="K5762" s="3">
        <f t="shared" si="178"/>
        <v>6</v>
      </c>
      <c r="L5762" s="3">
        <f t="shared" si="179"/>
        <v>6.2</v>
      </c>
    </row>
    <row r="5763" spans="1:12" x14ac:dyDescent="0.3">
      <c r="A5763" s="2">
        <v>42280</v>
      </c>
      <c r="B5763" t="s">
        <v>13</v>
      </c>
      <c r="D5763" s="2">
        <v>43011</v>
      </c>
      <c r="E5763">
        <v>6</v>
      </c>
      <c r="G5763" s="2">
        <v>43011</v>
      </c>
      <c r="H5763">
        <v>6.2759999999999998</v>
      </c>
      <c r="J5763" s="2">
        <v>43018</v>
      </c>
      <c r="K5763" s="3">
        <f t="shared" ref="K5763:K5826" si="180">E5770</f>
        <v>6</v>
      </c>
      <c r="L5763" s="3">
        <f t="shared" ref="L5763:L5826" si="181">H5770</f>
        <v>6.1559999999999997</v>
      </c>
    </row>
    <row r="5764" spans="1:12" x14ac:dyDescent="0.3">
      <c r="A5764" s="2">
        <v>42281</v>
      </c>
      <c r="B5764" t="s">
        <v>13</v>
      </c>
      <c r="D5764" s="2">
        <v>43012</v>
      </c>
      <c r="E5764">
        <v>6</v>
      </c>
      <c r="G5764" s="2">
        <v>43012</v>
      </c>
      <c r="H5764">
        <v>6.2759999999999998</v>
      </c>
      <c r="J5764" s="2">
        <v>43019</v>
      </c>
      <c r="K5764" s="3">
        <f t="shared" si="180"/>
        <v>6</v>
      </c>
      <c r="L5764" s="3">
        <f t="shared" si="181"/>
        <v>6.1470000000000002</v>
      </c>
    </row>
    <row r="5765" spans="1:12" x14ac:dyDescent="0.3">
      <c r="A5765" s="2">
        <v>42282</v>
      </c>
      <c r="B5765" t="s">
        <v>13</v>
      </c>
      <c r="D5765" s="2">
        <v>43013</v>
      </c>
      <c r="E5765">
        <v>6</v>
      </c>
      <c r="G5765" s="2">
        <v>43013</v>
      </c>
      <c r="H5765">
        <v>6.173</v>
      </c>
      <c r="J5765" s="2">
        <v>43020</v>
      </c>
      <c r="K5765" s="3">
        <f t="shared" si="180"/>
        <v>6</v>
      </c>
      <c r="L5765" s="3">
        <f t="shared" si="181"/>
        <v>6.1260000000000003</v>
      </c>
    </row>
    <row r="5766" spans="1:12" x14ac:dyDescent="0.3">
      <c r="A5766" s="2">
        <v>42283</v>
      </c>
      <c r="B5766" t="s">
        <v>13</v>
      </c>
      <c r="D5766" s="2">
        <v>43014</v>
      </c>
      <c r="E5766">
        <v>6</v>
      </c>
      <c r="G5766" s="2">
        <v>43014</v>
      </c>
      <c r="H5766">
        <v>6.1539999999999999</v>
      </c>
      <c r="J5766" s="2">
        <v>43021</v>
      </c>
      <c r="K5766" s="3">
        <f t="shared" si="180"/>
        <v>6</v>
      </c>
      <c r="L5766" s="3">
        <f t="shared" si="181"/>
        <v>6.14</v>
      </c>
    </row>
    <row r="5767" spans="1:12" x14ac:dyDescent="0.3">
      <c r="A5767" s="2">
        <v>42284</v>
      </c>
      <c r="B5767" t="s">
        <v>13</v>
      </c>
      <c r="D5767" s="2">
        <v>43015</v>
      </c>
      <c r="E5767">
        <v>6</v>
      </c>
      <c r="G5767" s="2">
        <v>43015</v>
      </c>
      <c r="H5767">
        <v>6.1539999999999999</v>
      </c>
      <c r="J5767" s="2">
        <v>43022</v>
      </c>
      <c r="K5767" s="3">
        <f t="shared" si="180"/>
        <v>6</v>
      </c>
      <c r="L5767" s="3">
        <f t="shared" si="181"/>
        <v>6.14</v>
      </c>
    </row>
    <row r="5768" spans="1:12" x14ac:dyDescent="0.3">
      <c r="A5768" s="2">
        <v>42285</v>
      </c>
      <c r="B5768" t="s">
        <v>13</v>
      </c>
      <c r="D5768" s="2">
        <v>43016</v>
      </c>
      <c r="E5768">
        <v>6</v>
      </c>
      <c r="G5768" s="2">
        <v>43016</v>
      </c>
      <c r="H5768">
        <v>6.1539999999999999</v>
      </c>
      <c r="J5768" s="2">
        <v>43023</v>
      </c>
      <c r="K5768" s="3">
        <f t="shared" si="180"/>
        <v>6</v>
      </c>
      <c r="L5768" s="3">
        <f t="shared" si="181"/>
        <v>6.14</v>
      </c>
    </row>
    <row r="5769" spans="1:12" x14ac:dyDescent="0.3">
      <c r="A5769" s="2">
        <v>42286</v>
      </c>
      <c r="B5769" t="s">
        <v>13</v>
      </c>
      <c r="D5769" s="2">
        <v>43017</v>
      </c>
      <c r="E5769">
        <v>6</v>
      </c>
      <c r="G5769" s="2">
        <v>43017</v>
      </c>
      <c r="H5769">
        <v>6.2</v>
      </c>
      <c r="J5769" s="2">
        <v>43024</v>
      </c>
      <c r="K5769" s="3">
        <f t="shared" si="180"/>
        <v>6</v>
      </c>
      <c r="L5769" s="3">
        <f t="shared" si="181"/>
        <v>6.141</v>
      </c>
    </row>
    <row r="5770" spans="1:12" x14ac:dyDescent="0.3">
      <c r="A5770" s="2">
        <v>42287</v>
      </c>
      <c r="B5770" t="s">
        <v>13</v>
      </c>
      <c r="D5770" s="2">
        <v>43018</v>
      </c>
      <c r="E5770">
        <v>6</v>
      </c>
      <c r="G5770" s="2">
        <v>43018</v>
      </c>
      <c r="H5770">
        <v>6.1559999999999997</v>
      </c>
      <c r="J5770" s="2">
        <v>43025</v>
      </c>
      <c r="K5770" s="3">
        <f t="shared" si="180"/>
        <v>6</v>
      </c>
      <c r="L5770" s="3">
        <f t="shared" si="181"/>
        <v>6.1420000000000003</v>
      </c>
    </row>
    <row r="5771" spans="1:12" x14ac:dyDescent="0.3">
      <c r="A5771" s="2">
        <v>42288</v>
      </c>
      <c r="B5771" t="s">
        <v>13</v>
      </c>
      <c r="D5771" s="2">
        <v>43019</v>
      </c>
      <c r="E5771">
        <v>6</v>
      </c>
      <c r="G5771" s="2">
        <v>43019</v>
      </c>
      <c r="H5771">
        <v>6.1470000000000002</v>
      </c>
      <c r="J5771" s="2">
        <v>43026</v>
      </c>
      <c r="K5771" s="3">
        <f t="shared" si="180"/>
        <v>6</v>
      </c>
      <c r="L5771" s="3">
        <f t="shared" si="181"/>
        <v>6.1420000000000003</v>
      </c>
    </row>
    <row r="5772" spans="1:12" x14ac:dyDescent="0.3">
      <c r="A5772" s="2">
        <v>42289</v>
      </c>
      <c r="B5772" t="s">
        <v>13</v>
      </c>
      <c r="D5772" s="2">
        <v>43020</v>
      </c>
      <c r="E5772">
        <v>6</v>
      </c>
      <c r="G5772" s="2">
        <v>43020</v>
      </c>
      <c r="H5772">
        <v>6.1260000000000003</v>
      </c>
      <c r="J5772" s="2">
        <v>43027</v>
      </c>
      <c r="K5772" s="3">
        <f t="shared" si="180"/>
        <v>6</v>
      </c>
      <c r="L5772" s="3">
        <f t="shared" si="181"/>
        <v>6.1420000000000003</v>
      </c>
    </row>
    <row r="5773" spans="1:12" x14ac:dyDescent="0.3">
      <c r="A5773" s="2">
        <v>42290</v>
      </c>
      <c r="B5773" t="s">
        <v>13</v>
      </c>
      <c r="D5773" s="2">
        <v>43021</v>
      </c>
      <c r="E5773">
        <v>6</v>
      </c>
      <c r="G5773" s="2">
        <v>43021</v>
      </c>
      <c r="H5773">
        <v>6.14</v>
      </c>
      <c r="J5773" s="2">
        <v>43028</v>
      </c>
      <c r="K5773" s="3">
        <f t="shared" si="180"/>
        <v>6</v>
      </c>
      <c r="L5773" s="3">
        <f t="shared" si="181"/>
        <v>6.1420000000000003</v>
      </c>
    </row>
    <row r="5774" spans="1:12" x14ac:dyDescent="0.3">
      <c r="A5774" s="2">
        <v>42291</v>
      </c>
      <c r="B5774" t="s">
        <v>13</v>
      </c>
      <c r="D5774" s="2">
        <v>43022</v>
      </c>
      <c r="E5774">
        <v>6</v>
      </c>
      <c r="G5774" s="2">
        <v>43022</v>
      </c>
      <c r="H5774">
        <v>6.14</v>
      </c>
      <c r="J5774" s="2">
        <v>43029</v>
      </c>
      <c r="K5774" s="3">
        <f t="shared" si="180"/>
        <v>6</v>
      </c>
      <c r="L5774" s="3">
        <f t="shared" si="181"/>
        <v>6.1420000000000003</v>
      </c>
    </row>
    <row r="5775" spans="1:12" x14ac:dyDescent="0.3">
      <c r="A5775" s="2">
        <v>42292</v>
      </c>
      <c r="B5775" t="s">
        <v>13</v>
      </c>
      <c r="D5775" s="2">
        <v>43023</v>
      </c>
      <c r="E5775">
        <v>6</v>
      </c>
      <c r="G5775" s="2">
        <v>43023</v>
      </c>
      <c r="H5775">
        <v>6.14</v>
      </c>
      <c r="J5775" s="2">
        <v>43030</v>
      </c>
      <c r="K5775" s="3">
        <f t="shared" si="180"/>
        <v>6</v>
      </c>
      <c r="L5775" s="3">
        <f t="shared" si="181"/>
        <v>6.1420000000000003</v>
      </c>
    </row>
    <row r="5776" spans="1:12" x14ac:dyDescent="0.3">
      <c r="A5776" s="2">
        <v>42293</v>
      </c>
      <c r="B5776" t="s">
        <v>13</v>
      </c>
      <c r="D5776" s="2">
        <v>43024</v>
      </c>
      <c r="E5776">
        <v>6</v>
      </c>
      <c r="G5776" s="2">
        <v>43024</v>
      </c>
      <c r="H5776">
        <v>6.141</v>
      </c>
      <c r="J5776" s="2">
        <v>43031</v>
      </c>
      <c r="K5776" s="3">
        <f t="shared" si="180"/>
        <v>6</v>
      </c>
      <c r="L5776" s="3">
        <f t="shared" si="181"/>
        <v>6.1829999999999998</v>
      </c>
    </row>
    <row r="5777" spans="1:12" x14ac:dyDescent="0.3">
      <c r="A5777" s="2">
        <v>42294</v>
      </c>
      <c r="B5777" t="s">
        <v>13</v>
      </c>
      <c r="D5777" s="2">
        <v>43025</v>
      </c>
      <c r="E5777">
        <v>6</v>
      </c>
      <c r="G5777" s="2">
        <v>43025</v>
      </c>
      <c r="H5777">
        <v>6.1420000000000003</v>
      </c>
      <c r="J5777" s="2">
        <v>43032</v>
      </c>
      <c r="K5777" s="3">
        <f t="shared" si="180"/>
        <v>6</v>
      </c>
      <c r="L5777" s="3">
        <f t="shared" si="181"/>
        <v>6.1609999999999996</v>
      </c>
    </row>
    <row r="5778" spans="1:12" x14ac:dyDescent="0.3">
      <c r="A5778" s="2">
        <v>42295</v>
      </c>
      <c r="B5778" t="s">
        <v>13</v>
      </c>
      <c r="D5778" s="2">
        <v>43026</v>
      </c>
      <c r="E5778">
        <v>6</v>
      </c>
      <c r="G5778" s="2">
        <v>43026</v>
      </c>
      <c r="H5778">
        <v>6.1420000000000003</v>
      </c>
      <c r="J5778" s="2">
        <v>43033</v>
      </c>
      <c r="K5778" s="3">
        <f t="shared" si="180"/>
        <v>6</v>
      </c>
      <c r="L5778" s="3">
        <f t="shared" si="181"/>
        <v>6.1509999999999998</v>
      </c>
    </row>
    <row r="5779" spans="1:12" x14ac:dyDescent="0.3">
      <c r="A5779" s="2">
        <v>42296</v>
      </c>
      <c r="B5779" t="s">
        <v>13</v>
      </c>
      <c r="D5779" s="2">
        <v>43027</v>
      </c>
      <c r="E5779">
        <v>6</v>
      </c>
      <c r="G5779" s="2">
        <v>43027</v>
      </c>
      <c r="H5779">
        <v>6.1420000000000003</v>
      </c>
      <c r="J5779" s="2">
        <v>43034</v>
      </c>
      <c r="K5779" s="3">
        <f t="shared" si="180"/>
        <v>6</v>
      </c>
      <c r="L5779" s="3">
        <f t="shared" si="181"/>
        <v>6.17</v>
      </c>
    </row>
    <row r="5780" spans="1:12" x14ac:dyDescent="0.3">
      <c r="A5780" s="2">
        <v>42297</v>
      </c>
      <c r="B5780" t="s">
        <v>13</v>
      </c>
      <c r="D5780" s="2">
        <v>43028</v>
      </c>
      <c r="E5780">
        <v>6</v>
      </c>
      <c r="G5780" s="2">
        <v>43028</v>
      </c>
      <c r="H5780">
        <v>6.1420000000000003</v>
      </c>
      <c r="J5780" s="2">
        <v>43035</v>
      </c>
      <c r="K5780" s="3">
        <f t="shared" si="180"/>
        <v>6</v>
      </c>
      <c r="L5780" s="3">
        <f t="shared" si="181"/>
        <v>6.1680000000000001</v>
      </c>
    </row>
    <row r="5781" spans="1:12" x14ac:dyDescent="0.3">
      <c r="A5781" s="2">
        <v>42298</v>
      </c>
      <c r="B5781" t="s">
        <v>13</v>
      </c>
      <c r="D5781" s="2">
        <v>43029</v>
      </c>
      <c r="E5781">
        <v>6</v>
      </c>
      <c r="G5781" s="2">
        <v>43029</v>
      </c>
      <c r="H5781">
        <v>6.1420000000000003</v>
      </c>
      <c r="J5781" s="2">
        <v>43036</v>
      </c>
      <c r="K5781" s="3">
        <f t="shared" si="180"/>
        <v>6</v>
      </c>
      <c r="L5781" s="3">
        <f t="shared" si="181"/>
        <v>6.1680000000000001</v>
      </c>
    </row>
    <row r="5782" spans="1:12" x14ac:dyDescent="0.3">
      <c r="A5782" s="2">
        <v>42299</v>
      </c>
      <c r="B5782" t="s">
        <v>13</v>
      </c>
      <c r="D5782" s="2">
        <v>43030</v>
      </c>
      <c r="E5782">
        <v>6</v>
      </c>
      <c r="G5782" s="2">
        <v>43030</v>
      </c>
      <c r="H5782">
        <v>6.1420000000000003</v>
      </c>
      <c r="J5782" s="2">
        <v>43037</v>
      </c>
      <c r="K5782" s="3">
        <f t="shared" si="180"/>
        <v>6</v>
      </c>
      <c r="L5782" s="3">
        <f t="shared" si="181"/>
        <v>6.1680000000000001</v>
      </c>
    </row>
    <row r="5783" spans="1:12" x14ac:dyDescent="0.3">
      <c r="A5783" s="2">
        <v>42300</v>
      </c>
      <c r="B5783" t="s">
        <v>13</v>
      </c>
      <c r="D5783" s="2">
        <v>43031</v>
      </c>
      <c r="E5783">
        <v>6</v>
      </c>
      <c r="G5783" s="2">
        <v>43031</v>
      </c>
      <c r="H5783">
        <v>6.1829999999999998</v>
      </c>
      <c r="J5783" s="2">
        <v>43038</v>
      </c>
      <c r="K5783" s="3">
        <f t="shared" si="180"/>
        <v>6</v>
      </c>
      <c r="L5783" s="3">
        <f t="shared" si="181"/>
        <v>6.1609999999999996</v>
      </c>
    </row>
    <row r="5784" spans="1:12" x14ac:dyDescent="0.3">
      <c r="A5784" s="2">
        <v>42301</v>
      </c>
      <c r="B5784" t="s">
        <v>13</v>
      </c>
      <c r="D5784" s="2">
        <v>43032</v>
      </c>
      <c r="E5784">
        <v>6</v>
      </c>
      <c r="G5784" s="2">
        <v>43032</v>
      </c>
      <c r="H5784">
        <v>6.1609999999999996</v>
      </c>
      <c r="J5784" s="2">
        <v>43039</v>
      </c>
      <c r="K5784" s="3">
        <f t="shared" si="180"/>
        <v>6</v>
      </c>
      <c r="L5784" s="3">
        <f t="shared" si="181"/>
        <v>6.1680000000000001</v>
      </c>
    </row>
    <row r="5785" spans="1:12" x14ac:dyDescent="0.3">
      <c r="A5785" s="2">
        <v>42302</v>
      </c>
      <c r="B5785" t="s">
        <v>13</v>
      </c>
      <c r="D5785" s="2">
        <v>43033</v>
      </c>
      <c r="E5785">
        <v>6</v>
      </c>
      <c r="G5785" s="2">
        <v>43033</v>
      </c>
      <c r="H5785">
        <v>6.1509999999999998</v>
      </c>
      <c r="J5785" s="2">
        <v>43040</v>
      </c>
      <c r="K5785" s="3">
        <f t="shared" si="180"/>
        <v>6</v>
      </c>
      <c r="L5785" s="3">
        <f t="shared" si="181"/>
        <v>6.17</v>
      </c>
    </row>
    <row r="5786" spans="1:12" x14ac:dyDescent="0.3">
      <c r="A5786" s="2">
        <v>42303</v>
      </c>
      <c r="B5786" t="s">
        <v>13</v>
      </c>
      <c r="D5786" s="2">
        <v>43034</v>
      </c>
      <c r="E5786">
        <v>6</v>
      </c>
      <c r="G5786" s="2">
        <v>43034</v>
      </c>
      <c r="H5786">
        <v>6.17</v>
      </c>
      <c r="J5786" s="2">
        <v>43041</v>
      </c>
      <c r="K5786" s="3">
        <f t="shared" si="180"/>
        <v>6</v>
      </c>
      <c r="L5786" s="3">
        <f t="shared" si="181"/>
        <v>6.17</v>
      </c>
    </row>
    <row r="5787" spans="1:12" x14ac:dyDescent="0.3">
      <c r="A5787" s="2">
        <v>42304</v>
      </c>
      <c r="B5787" t="s">
        <v>13</v>
      </c>
      <c r="D5787" s="2">
        <v>43035</v>
      </c>
      <c r="E5787">
        <v>6</v>
      </c>
      <c r="G5787" s="2">
        <v>43035</v>
      </c>
      <c r="H5787">
        <v>6.1680000000000001</v>
      </c>
      <c r="J5787" s="2">
        <v>43042</v>
      </c>
      <c r="K5787" s="3">
        <f t="shared" si="180"/>
        <v>6</v>
      </c>
      <c r="L5787" s="3">
        <f t="shared" si="181"/>
        <v>6.173</v>
      </c>
    </row>
    <row r="5788" spans="1:12" x14ac:dyDescent="0.3">
      <c r="A5788" s="2">
        <v>42305</v>
      </c>
      <c r="B5788" t="s">
        <v>13</v>
      </c>
      <c r="D5788" s="2">
        <v>43036</v>
      </c>
      <c r="E5788">
        <v>6</v>
      </c>
      <c r="G5788" s="2">
        <v>43036</v>
      </c>
      <c r="H5788">
        <v>6.1680000000000001</v>
      </c>
      <c r="J5788" s="2">
        <v>43043</v>
      </c>
      <c r="K5788" s="3">
        <f t="shared" si="180"/>
        <v>6</v>
      </c>
      <c r="L5788" s="3">
        <f t="shared" si="181"/>
        <v>6.173</v>
      </c>
    </row>
    <row r="5789" spans="1:12" x14ac:dyDescent="0.3">
      <c r="A5789" s="2">
        <v>42306</v>
      </c>
      <c r="B5789" t="s">
        <v>13</v>
      </c>
      <c r="D5789" s="2">
        <v>43037</v>
      </c>
      <c r="E5789">
        <v>6</v>
      </c>
      <c r="G5789" s="2">
        <v>43037</v>
      </c>
      <c r="H5789">
        <v>6.1680000000000001</v>
      </c>
      <c r="J5789" s="2">
        <v>43044</v>
      </c>
      <c r="K5789" s="3">
        <f t="shared" si="180"/>
        <v>6</v>
      </c>
      <c r="L5789" s="3">
        <f t="shared" si="181"/>
        <v>6.173</v>
      </c>
    </row>
    <row r="5790" spans="1:12" x14ac:dyDescent="0.3">
      <c r="A5790" s="2">
        <v>42307</v>
      </c>
      <c r="B5790" t="s">
        <v>13</v>
      </c>
      <c r="D5790" s="2">
        <v>43038</v>
      </c>
      <c r="E5790">
        <v>6</v>
      </c>
      <c r="G5790" s="2">
        <v>43038</v>
      </c>
      <c r="H5790">
        <v>6.1609999999999996</v>
      </c>
      <c r="J5790" s="2">
        <v>43045</v>
      </c>
      <c r="K5790" s="3">
        <f t="shared" si="180"/>
        <v>6</v>
      </c>
      <c r="L5790" s="3">
        <f t="shared" si="181"/>
        <v>6.1890000000000001</v>
      </c>
    </row>
    <row r="5791" spans="1:12" x14ac:dyDescent="0.3">
      <c r="A5791" s="2">
        <v>42308</v>
      </c>
      <c r="B5791" t="s">
        <v>13</v>
      </c>
      <c r="D5791" s="2">
        <v>43039</v>
      </c>
      <c r="E5791">
        <v>6</v>
      </c>
      <c r="G5791" s="2">
        <v>43039</v>
      </c>
      <c r="H5791">
        <v>6.1680000000000001</v>
      </c>
      <c r="J5791" s="2">
        <v>43046</v>
      </c>
      <c r="K5791" s="3">
        <f t="shared" si="180"/>
        <v>6</v>
      </c>
      <c r="L5791" s="3">
        <f t="shared" si="181"/>
        <v>6.1890000000000001</v>
      </c>
    </row>
    <row r="5792" spans="1:12" x14ac:dyDescent="0.3">
      <c r="A5792" s="2">
        <v>42309</v>
      </c>
      <c r="B5792" t="s">
        <v>13</v>
      </c>
      <c r="D5792" s="2">
        <v>43040</v>
      </c>
      <c r="E5792">
        <v>6</v>
      </c>
      <c r="G5792" s="2">
        <v>43040</v>
      </c>
      <c r="H5792">
        <v>6.17</v>
      </c>
      <c r="J5792" s="2">
        <v>43047</v>
      </c>
      <c r="K5792" s="3">
        <f t="shared" si="180"/>
        <v>6</v>
      </c>
      <c r="L5792" s="3">
        <f t="shared" si="181"/>
        <v>6.18</v>
      </c>
    </row>
    <row r="5793" spans="1:12" x14ac:dyDescent="0.3">
      <c r="A5793" s="2">
        <v>42310</v>
      </c>
      <c r="B5793" t="s">
        <v>13</v>
      </c>
      <c r="D5793" s="2">
        <v>43041</v>
      </c>
      <c r="E5793">
        <v>6</v>
      </c>
      <c r="G5793" s="2">
        <v>43041</v>
      </c>
      <c r="H5793">
        <v>6.17</v>
      </c>
      <c r="J5793" s="2">
        <v>43048</v>
      </c>
      <c r="K5793" s="3">
        <f t="shared" si="180"/>
        <v>6</v>
      </c>
      <c r="L5793" s="3">
        <f t="shared" si="181"/>
        <v>6.18</v>
      </c>
    </row>
    <row r="5794" spans="1:12" x14ac:dyDescent="0.3">
      <c r="A5794" s="2">
        <v>42311</v>
      </c>
      <c r="B5794" t="s">
        <v>13</v>
      </c>
      <c r="D5794" s="2">
        <v>43042</v>
      </c>
      <c r="E5794">
        <v>6</v>
      </c>
      <c r="G5794" s="2">
        <v>43042</v>
      </c>
      <c r="H5794">
        <v>6.173</v>
      </c>
      <c r="J5794" s="2">
        <v>43049</v>
      </c>
      <c r="K5794" s="3">
        <f t="shared" si="180"/>
        <v>6</v>
      </c>
      <c r="L5794" s="3">
        <f t="shared" si="181"/>
        <v>6.2149999999999999</v>
      </c>
    </row>
    <row r="5795" spans="1:12" x14ac:dyDescent="0.3">
      <c r="A5795" s="2">
        <v>42312</v>
      </c>
      <c r="B5795" t="s">
        <v>13</v>
      </c>
      <c r="D5795" s="2">
        <v>43043</v>
      </c>
      <c r="E5795">
        <v>6</v>
      </c>
      <c r="G5795" s="2">
        <v>43043</v>
      </c>
      <c r="H5795">
        <v>6.173</v>
      </c>
      <c r="J5795" s="2">
        <v>43050</v>
      </c>
      <c r="K5795" s="3">
        <f t="shared" si="180"/>
        <v>6</v>
      </c>
      <c r="L5795" s="3">
        <f t="shared" si="181"/>
        <v>6.2149999999999999</v>
      </c>
    </row>
    <row r="5796" spans="1:12" x14ac:dyDescent="0.3">
      <c r="A5796" s="2">
        <v>42313</v>
      </c>
      <c r="B5796" t="s">
        <v>13</v>
      </c>
      <c r="D5796" s="2">
        <v>43044</v>
      </c>
      <c r="E5796">
        <v>6</v>
      </c>
      <c r="G5796" s="2">
        <v>43044</v>
      </c>
      <c r="H5796">
        <v>6.173</v>
      </c>
      <c r="J5796" s="2">
        <v>43051</v>
      </c>
      <c r="K5796" s="3">
        <f t="shared" si="180"/>
        <v>6</v>
      </c>
      <c r="L5796" s="3">
        <f t="shared" si="181"/>
        <v>6.2149999999999999</v>
      </c>
    </row>
    <row r="5797" spans="1:12" x14ac:dyDescent="0.3">
      <c r="A5797" s="2">
        <v>42314</v>
      </c>
      <c r="B5797" t="s">
        <v>13</v>
      </c>
      <c r="D5797" s="2">
        <v>43045</v>
      </c>
      <c r="E5797">
        <v>6</v>
      </c>
      <c r="G5797" s="2">
        <v>43045</v>
      </c>
      <c r="H5797">
        <v>6.1890000000000001</v>
      </c>
      <c r="J5797" s="2">
        <v>43052</v>
      </c>
      <c r="K5797" s="3">
        <f t="shared" si="180"/>
        <v>6</v>
      </c>
      <c r="L5797" s="3">
        <f t="shared" si="181"/>
        <v>6.2149999999999999</v>
      </c>
    </row>
    <row r="5798" spans="1:12" x14ac:dyDescent="0.3">
      <c r="A5798" s="2">
        <v>42315</v>
      </c>
      <c r="B5798" t="s">
        <v>13</v>
      </c>
      <c r="D5798" s="2">
        <v>43046</v>
      </c>
      <c r="E5798">
        <v>6</v>
      </c>
      <c r="G5798" s="2">
        <v>43046</v>
      </c>
      <c r="H5798">
        <v>6.1890000000000001</v>
      </c>
      <c r="J5798" s="2">
        <v>43053</v>
      </c>
      <c r="K5798" s="3">
        <f t="shared" si="180"/>
        <v>6</v>
      </c>
      <c r="L5798" s="3">
        <f t="shared" si="181"/>
        <v>6.2</v>
      </c>
    </row>
    <row r="5799" spans="1:12" x14ac:dyDescent="0.3">
      <c r="A5799" s="2">
        <v>42316</v>
      </c>
      <c r="B5799" t="s">
        <v>13</v>
      </c>
      <c r="D5799" s="2">
        <v>43047</v>
      </c>
      <c r="E5799">
        <v>6</v>
      </c>
      <c r="G5799" s="2">
        <v>43047</v>
      </c>
      <c r="H5799">
        <v>6.18</v>
      </c>
      <c r="J5799" s="2">
        <v>43054</v>
      </c>
      <c r="K5799" s="3">
        <f t="shared" si="180"/>
        <v>6</v>
      </c>
      <c r="L5799" s="3">
        <f t="shared" si="181"/>
        <v>6.2</v>
      </c>
    </row>
    <row r="5800" spans="1:12" x14ac:dyDescent="0.3">
      <c r="A5800" s="2">
        <v>42317</v>
      </c>
      <c r="B5800" t="s">
        <v>13</v>
      </c>
      <c r="D5800" s="2">
        <v>43048</v>
      </c>
      <c r="E5800">
        <v>6</v>
      </c>
      <c r="G5800" s="2">
        <v>43048</v>
      </c>
      <c r="H5800">
        <v>6.18</v>
      </c>
      <c r="J5800" s="2">
        <v>43055</v>
      </c>
      <c r="K5800" s="3">
        <f t="shared" si="180"/>
        <v>6</v>
      </c>
      <c r="L5800" s="3">
        <f t="shared" si="181"/>
        <v>6.1849999999999996</v>
      </c>
    </row>
    <row r="5801" spans="1:12" x14ac:dyDescent="0.3">
      <c r="A5801" s="2">
        <v>42318</v>
      </c>
      <c r="B5801" t="s">
        <v>13</v>
      </c>
      <c r="D5801" s="2">
        <v>43049</v>
      </c>
      <c r="E5801">
        <v>6</v>
      </c>
      <c r="G5801" s="2">
        <v>43049</v>
      </c>
      <c r="H5801">
        <v>6.2149999999999999</v>
      </c>
      <c r="J5801" s="2">
        <v>43056</v>
      </c>
      <c r="K5801" s="3">
        <f t="shared" si="180"/>
        <v>6</v>
      </c>
      <c r="L5801" s="3">
        <f t="shared" si="181"/>
        <v>6.1849999999999996</v>
      </c>
    </row>
    <row r="5802" spans="1:12" x14ac:dyDescent="0.3">
      <c r="A5802" s="2">
        <v>42319</v>
      </c>
      <c r="B5802" t="s">
        <v>13</v>
      </c>
      <c r="D5802" s="2">
        <v>43050</v>
      </c>
      <c r="E5802">
        <v>6</v>
      </c>
      <c r="G5802" s="2">
        <v>43050</v>
      </c>
      <c r="H5802">
        <v>6.2149999999999999</v>
      </c>
      <c r="J5802" s="2">
        <v>43057</v>
      </c>
      <c r="K5802" s="3">
        <f t="shared" si="180"/>
        <v>6</v>
      </c>
      <c r="L5802" s="3">
        <f t="shared" si="181"/>
        <v>6.1849999999999996</v>
      </c>
    </row>
    <row r="5803" spans="1:12" x14ac:dyDescent="0.3">
      <c r="A5803" s="2">
        <v>42320</v>
      </c>
      <c r="B5803" t="s">
        <v>13</v>
      </c>
      <c r="D5803" s="2">
        <v>43051</v>
      </c>
      <c r="E5803">
        <v>6</v>
      </c>
      <c r="G5803" s="2">
        <v>43051</v>
      </c>
      <c r="H5803">
        <v>6.2149999999999999</v>
      </c>
      <c r="J5803" s="2">
        <v>43058</v>
      </c>
      <c r="K5803" s="3">
        <f t="shared" si="180"/>
        <v>6</v>
      </c>
      <c r="L5803" s="3">
        <f t="shared" si="181"/>
        <v>6.1849999999999996</v>
      </c>
    </row>
    <row r="5804" spans="1:12" x14ac:dyDescent="0.3">
      <c r="A5804" s="2">
        <v>42321</v>
      </c>
      <c r="B5804" t="s">
        <v>13</v>
      </c>
      <c r="D5804" s="2">
        <v>43052</v>
      </c>
      <c r="E5804">
        <v>6</v>
      </c>
      <c r="G5804" s="2">
        <v>43052</v>
      </c>
      <c r="H5804">
        <v>6.2149999999999999</v>
      </c>
      <c r="J5804" s="2">
        <v>43059</v>
      </c>
      <c r="K5804" s="3">
        <f t="shared" si="180"/>
        <v>6</v>
      </c>
      <c r="L5804" s="3">
        <f t="shared" si="181"/>
        <v>6.1840000000000002</v>
      </c>
    </row>
    <row r="5805" spans="1:12" x14ac:dyDescent="0.3">
      <c r="A5805" s="2">
        <v>42322</v>
      </c>
      <c r="B5805" t="s">
        <v>13</v>
      </c>
      <c r="D5805" s="2">
        <v>43053</v>
      </c>
      <c r="E5805">
        <v>6</v>
      </c>
      <c r="G5805" s="2">
        <v>43053</v>
      </c>
      <c r="H5805">
        <v>6.2</v>
      </c>
      <c r="J5805" s="2">
        <v>43060</v>
      </c>
      <c r="K5805" s="3">
        <f t="shared" si="180"/>
        <v>6</v>
      </c>
      <c r="L5805" s="3">
        <f t="shared" si="181"/>
        <v>6.2729999999999997</v>
      </c>
    </row>
    <row r="5806" spans="1:12" x14ac:dyDescent="0.3">
      <c r="A5806" s="2">
        <v>42323</v>
      </c>
      <c r="B5806" t="s">
        <v>13</v>
      </c>
      <c r="D5806" s="2">
        <v>43054</v>
      </c>
      <c r="E5806">
        <v>6</v>
      </c>
      <c r="G5806" s="2">
        <v>43054</v>
      </c>
      <c r="H5806">
        <v>6.2</v>
      </c>
      <c r="J5806" s="2">
        <v>43061</v>
      </c>
      <c r="K5806" s="3">
        <f t="shared" si="180"/>
        <v>6</v>
      </c>
      <c r="L5806" s="3">
        <f t="shared" si="181"/>
        <v>6.2729999999999997</v>
      </c>
    </row>
    <row r="5807" spans="1:12" x14ac:dyDescent="0.3">
      <c r="A5807" s="2">
        <v>42324</v>
      </c>
      <c r="B5807" t="s">
        <v>13</v>
      </c>
      <c r="D5807" s="2">
        <v>43055</v>
      </c>
      <c r="E5807">
        <v>6</v>
      </c>
      <c r="G5807" s="2">
        <v>43055</v>
      </c>
      <c r="H5807">
        <v>6.1849999999999996</v>
      </c>
      <c r="J5807" s="2">
        <v>43062</v>
      </c>
      <c r="K5807" s="3">
        <f t="shared" si="180"/>
        <v>6</v>
      </c>
      <c r="L5807" s="3">
        <f t="shared" si="181"/>
        <v>6.2009999999999996</v>
      </c>
    </row>
    <row r="5808" spans="1:12" x14ac:dyDescent="0.3">
      <c r="A5808" s="2">
        <v>42325</v>
      </c>
      <c r="B5808" t="s">
        <v>13</v>
      </c>
      <c r="D5808" s="2">
        <v>43056</v>
      </c>
      <c r="E5808">
        <v>6</v>
      </c>
      <c r="G5808" s="2">
        <v>43056</v>
      </c>
      <c r="H5808">
        <v>6.1849999999999996</v>
      </c>
      <c r="J5808" s="2">
        <v>43063</v>
      </c>
      <c r="K5808" s="3">
        <f t="shared" si="180"/>
        <v>6</v>
      </c>
      <c r="L5808" s="3">
        <f t="shared" si="181"/>
        <v>6.2</v>
      </c>
    </row>
    <row r="5809" spans="1:12" x14ac:dyDescent="0.3">
      <c r="A5809" s="2">
        <v>42326</v>
      </c>
      <c r="B5809" t="s">
        <v>13</v>
      </c>
      <c r="D5809" s="2">
        <v>43057</v>
      </c>
      <c r="E5809">
        <v>6</v>
      </c>
      <c r="G5809" s="2">
        <v>43057</v>
      </c>
      <c r="H5809">
        <v>6.1849999999999996</v>
      </c>
      <c r="J5809" s="2">
        <v>43064</v>
      </c>
      <c r="K5809" s="3">
        <f t="shared" si="180"/>
        <v>6</v>
      </c>
      <c r="L5809" s="3">
        <f t="shared" si="181"/>
        <v>6.2</v>
      </c>
    </row>
    <row r="5810" spans="1:12" x14ac:dyDescent="0.3">
      <c r="A5810" s="2">
        <v>42327</v>
      </c>
      <c r="B5810" t="s">
        <v>13</v>
      </c>
      <c r="D5810" s="2">
        <v>43058</v>
      </c>
      <c r="E5810">
        <v>6</v>
      </c>
      <c r="G5810" s="2">
        <v>43058</v>
      </c>
      <c r="H5810">
        <v>6.1849999999999996</v>
      </c>
      <c r="J5810" s="2">
        <v>43065</v>
      </c>
      <c r="K5810" s="3">
        <f t="shared" si="180"/>
        <v>6</v>
      </c>
      <c r="L5810" s="3">
        <f t="shared" si="181"/>
        <v>6.2</v>
      </c>
    </row>
    <row r="5811" spans="1:12" x14ac:dyDescent="0.3">
      <c r="A5811" s="2">
        <v>42328</v>
      </c>
      <c r="B5811" t="s">
        <v>13</v>
      </c>
      <c r="D5811" s="2">
        <v>43059</v>
      </c>
      <c r="E5811">
        <v>6</v>
      </c>
      <c r="G5811" s="2">
        <v>43059</v>
      </c>
      <c r="H5811">
        <v>6.1840000000000002</v>
      </c>
      <c r="J5811" s="2">
        <v>43066</v>
      </c>
      <c r="K5811" s="3">
        <f t="shared" si="180"/>
        <v>6</v>
      </c>
      <c r="L5811" s="3">
        <f t="shared" si="181"/>
        <v>6.2</v>
      </c>
    </row>
    <row r="5812" spans="1:12" x14ac:dyDescent="0.3">
      <c r="A5812" s="2">
        <v>42329</v>
      </c>
      <c r="B5812" t="s">
        <v>13</v>
      </c>
      <c r="D5812" s="2">
        <v>43060</v>
      </c>
      <c r="E5812">
        <v>6</v>
      </c>
      <c r="G5812" s="2">
        <v>43060</v>
      </c>
      <c r="H5812">
        <v>6.2729999999999997</v>
      </c>
      <c r="J5812" s="2">
        <v>43067</v>
      </c>
      <c r="K5812" s="3">
        <f t="shared" si="180"/>
        <v>6</v>
      </c>
      <c r="L5812" s="3">
        <f t="shared" si="181"/>
        <v>6.1970000000000001</v>
      </c>
    </row>
    <row r="5813" spans="1:12" x14ac:dyDescent="0.3">
      <c r="A5813" s="2">
        <v>42330</v>
      </c>
      <c r="B5813" t="s">
        <v>13</v>
      </c>
      <c r="D5813" s="2">
        <v>43061</v>
      </c>
      <c r="E5813">
        <v>6</v>
      </c>
      <c r="G5813" s="2">
        <v>43061</v>
      </c>
      <c r="H5813">
        <v>6.2729999999999997</v>
      </c>
      <c r="J5813" s="2">
        <v>43068</v>
      </c>
      <c r="K5813" s="3">
        <f t="shared" si="180"/>
        <v>6</v>
      </c>
      <c r="L5813" s="3">
        <f t="shared" si="181"/>
        <v>6.1970000000000001</v>
      </c>
    </row>
    <row r="5814" spans="1:12" x14ac:dyDescent="0.3">
      <c r="A5814" s="2">
        <v>42331</v>
      </c>
      <c r="B5814" t="s">
        <v>13</v>
      </c>
      <c r="D5814" s="2">
        <v>43062</v>
      </c>
      <c r="E5814">
        <v>6</v>
      </c>
      <c r="G5814" s="2">
        <v>43062</v>
      </c>
      <c r="H5814">
        <v>6.2009999999999996</v>
      </c>
      <c r="J5814" s="2">
        <v>43069</v>
      </c>
      <c r="K5814" s="3">
        <f t="shared" si="180"/>
        <v>6</v>
      </c>
      <c r="L5814" s="3">
        <f t="shared" si="181"/>
        <v>6.1970000000000001</v>
      </c>
    </row>
    <row r="5815" spans="1:12" x14ac:dyDescent="0.3">
      <c r="A5815" s="2">
        <v>42332</v>
      </c>
      <c r="B5815" t="s">
        <v>13</v>
      </c>
      <c r="D5815" s="2">
        <v>43063</v>
      </c>
      <c r="E5815">
        <v>6</v>
      </c>
      <c r="G5815" s="2">
        <v>43063</v>
      </c>
      <c r="H5815">
        <v>6.2</v>
      </c>
      <c r="J5815" s="2">
        <v>43070</v>
      </c>
      <c r="K5815" s="3">
        <f t="shared" si="180"/>
        <v>6</v>
      </c>
      <c r="L5815" s="3">
        <f t="shared" si="181"/>
        <v>6.1970000000000001</v>
      </c>
    </row>
    <row r="5816" spans="1:12" x14ac:dyDescent="0.3">
      <c r="A5816" s="2">
        <v>42333</v>
      </c>
      <c r="B5816" t="s">
        <v>13</v>
      </c>
      <c r="D5816" s="2">
        <v>43064</v>
      </c>
      <c r="E5816">
        <v>6</v>
      </c>
      <c r="G5816" s="2">
        <v>43064</v>
      </c>
      <c r="H5816">
        <v>6.2</v>
      </c>
      <c r="J5816" s="2">
        <v>43071</v>
      </c>
      <c r="K5816" s="3">
        <f t="shared" si="180"/>
        <v>6</v>
      </c>
      <c r="L5816" s="3">
        <f t="shared" si="181"/>
        <v>6.1970000000000001</v>
      </c>
    </row>
    <row r="5817" spans="1:12" x14ac:dyDescent="0.3">
      <c r="A5817" s="2">
        <v>42334</v>
      </c>
      <c r="B5817" t="s">
        <v>13</v>
      </c>
      <c r="D5817" s="2">
        <v>43065</v>
      </c>
      <c r="E5817">
        <v>6</v>
      </c>
      <c r="G5817" s="2">
        <v>43065</v>
      </c>
      <c r="H5817">
        <v>6.2</v>
      </c>
      <c r="J5817" s="2">
        <v>43072</v>
      </c>
      <c r="K5817" s="3">
        <f t="shared" si="180"/>
        <v>6</v>
      </c>
      <c r="L5817" s="3">
        <f t="shared" si="181"/>
        <v>6.1970000000000001</v>
      </c>
    </row>
    <row r="5818" spans="1:12" x14ac:dyDescent="0.3">
      <c r="A5818" s="2">
        <v>42335</v>
      </c>
      <c r="B5818" t="s">
        <v>13</v>
      </c>
      <c r="D5818" s="2">
        <v>43066</v>
      </c>
      <c r="E5818">
        <v>6</v>
      </c>
      <c r="G5818" s="2">
        <v>43066</v>
      </c>
      <c r="H5818">
        <v>6.2</v>
      </c>
      <c r="J5818" s="2">
        <v>43073</v>
      </c>
      <c r="K5818" s="3">
        <f t="shared" si="180"/>
        <v>6</v>
      </c>
      <c r="L5818" s="3">
        <f t="shared" si="181"/>
        <v>6.2649999999999997</v>
      </c>
    </row>
    <row r="5819" spans="1:12" x14ac:dyDescent="0.3">
      <c r="A5819" s="2">
        <v>42336</v>
      </c>
      <c r="B5819" t="s">
        <v>13</v>
      </c>
      <c r="D5819" s="2">
        <v>43067</v>
      </c>
      <c r="E5819">
        <v>6</v>
      </c>
      <c r="G5819" s="2">
        <v>43067</v>
      </c>
      <c r="H5819">
        <v>6.1970000000000001</v>
      </c>
      <c r="J5819" s="2">
        <v>43074</v>
      </c>
      <c r="K5819" s="3">
        <f t="shared" si="180"/>
        <v>6</v>
      </c>
      <c r="L5819" s="3">
        <f t="shared" si="181"/>
        <v>6.2270000000000003</v>
      </c>
    </row>
    <row r="5820" spans="1:12" x14ac:dyDescent="0.3">
      <c r="A5820" s="2">
        <v>42337</v>
      </c>
      <c r="B5820" t="s">
        <v>13</v>
      </c>
      <c r="D5820" s="2">
        <v>43068</v>
      </c>
      <c r="E5820">
        <v>6</v>
      </c>
      <c r="G5820" s="2">
        <v>43068</v>
      </c>
      <c r="H5820">
        <v>6.1970000000000001</v>
      </c>
      <c r="J5820" s="2">
        <v>43075</v>
      </c>
      <c r="K5820" s="3">
        <f t="shared" si="180"/>
        <v>6</v>
      </c>
      <c r="L5820" s="3">
        <f t="shared" si="181"/>
        <v>6.3070000000000004</v>
      </c>
    </row>
    <row r="5821" spans="1:12" x14ac:dyDescent="0.3">
      <c r="A5821" s="2">
        <v>42338</v>
      </c>
      <c r="B5821" t="s">
        <v>13</v>
      </c>
      <c r="D5821" s="2">
        <v>43069</v>
      </c>
      <c r="E5821">
        <v>6</v>
      </c>
      <c r="G5821" s="2">
        <v>43069</v>
      </c>
      <c r="H5821">
        <v>6.1970000000000001</v>
      </c>
      <c r="J5821" s="2">
        <v>43076</v>
      </c>
      <c r="K5821" s="3">
        <f t="shared" si="180"/>
        <v>6</v>
      </c>
      <c r="L5821" s="3">
        <f t="shared" si="181"/>
        <v>6.2240000000000002</v>
      </c>
    </row>
    <row r="5822" spans="1:12" x14ac:dyDescent="0.3">
      <c r="A5822" s="2">
        <v>42339</v>
      </c>
      <c r="B5822" t="s">
        <v>13</v>
      </c>
      <c r="D5822" s="2">
        <v>43070</v>
      </c>
      <c r="E5822">
        <v>6</v>
      </c>
      <c r="G5822" s="2">
        <v>43070</v>
      </c>
      <c r="H5822">
        <v>6.1970000000000001</v>
      </c>
      <c r="J5822" s="2">
        <v>43077</v>
      </c>
      <c r="K5822" s="3">
        <f t="shared" si="180"/>
        <v>6</v>
      </c>
      <c r="L5822" s="3">
        <f t="shared" si="181"/>
        <v>6.2619999999999996</v>
      </c>
    </row>
    <row r="5823" spans="1:12" x14ac:dyDescent="0.3">
      <c r="A5823" s="2">
        <v>42340</v>
      </c>
      <c r="B5823" t="s">
        <v>13</v>
      </c>
      <c r="D5823" s="2">
        <v>43071</v>
      </c>
      <c r="E5823">
        <v>6</v>
      </c>
      <c r="G5823" s="2">
        <v>43071</v>
      </c>
      <c r="H5823">
        <v>6.1970000000000001</v>
      </c>
      <c r="J5823" s="2">
        <v>43078</v>
      </c>
      <c r="K5823" s="3">
        <f t="shared" si="180"/>
        <v>6</v>
      </c>
      <c r="L5823" s="3">
        <f t="shared" si="181"/>
        <v>6.2619999999999996</v>
      </c>
    </row>
    <row r="5824" spans="1:12" x14ac:dyDescent="0.3">
      <c r="A5824" s="2">
        <v>42341</v>
      </c>
      <c r="B5824" t="s">
        <v>13</v>
      </c>
      <c r="D5824" s="2">
        <v>43072</v>
      </c>
      <c r="E5824">
        <v>6</v>
      </c>
      <c r="G5824" s="2">
        <v>43072</v>
      </c>
      <c r="H5824">
        <v>6.1970000000000001</v>
      </c>
      <c r="J5824" s="2">
        <v>43079</v>
      </c>
      <c r="K5824" s="3">
        <f t="shared" si="180"/>
        <v>6</v>
      </c>
      <c r="L5824" s="3">
        <f t="shared" si="181"/>
        <v>6.2619999999999996</v>
      </c>
    </row>
    <row r="5825" spans="1:12" x14ac:dyDescent="0.3">
      <c r="A5825" s="2">
        <v>42342</v>
      </c>
      <c r="B5825" t="s">
        <v>13</v>
      </c>
      <c r="D5825" s="2">
        <v>43073</v>
      </c>
      <c r="E5825">
        <v>6</v>
      </c>
      <c r="G5825" s="2">
        <v>43073</v>
      </c>
      <c r="H5825">
        <v>6.2649999999999997</v>
      </c>
      <c r="J5825" s="2">
        <v>43080</v>
      </c>
      <c r="K5825" s="3">
        <f t="shared" si="180"/>
        <v>6</v>
      </c>
      <c r="L5825" s="3">
        <f t="shared" si="181"/>
        <v>6.2850000000000001</v>
      </c>
    </row>
    <row r="5826" spans="1:12" x14ac:dyDescent="0.3">
      <c r="A5826" s="2">
        <v>42343</v>
      </c>
      <c r="B5826" t="s">
        <v>13</v>
      </c>
      <c r="D5826" s="2">
        <v>43074</v>
      </c>
      <c r="E5826">
        <v>6</v>
      </c>
      <c r="G5826" s="2">
        <v>43074</v>
      </c>
      <c r="H5826">
        <v>6.2270000000000003</v>
      </c>
      <c r="J5826" s="2">
        <v>43081</v>
      </c>
      <c r="K5826" s="3">
        <f t="shared" si="180"/>
        <v>6</v>
      </c>
      <c r="L5826" s="3">
        <f t="shared" si="181"/>
        <v>6.2930000000000001</v>
      </c>
    </row>
    <row r="5827" spans="1:12" x14ac:dyDescent="0.3">
      <c r="A5827" s="2">
        <v>42344</v>
      </c>
      <c r="B5827" t="s">
        <v>13</v>
      </c>
      <c r="D5827" s="2">
        <v>43075</v>
      </c>
      <c r="E5827">
        <v>6</v>
      </c>
      <c r="G5827" s="2">
        <v>43075</v>
      </c>
      <c r="H5827">
        <v>6.3070000000000004</v>
      </c>
      <c r="J5827" s="2">
        <v>43082</v>
      </c>
      <c r="K5827" s="3">
        <f t="shared" ref="K5827:K5890" si="182">E5834</f>
        <v>6</v>
      </c>
      <c r="L5827" s="3">
        <f t="shared" ref="L5827:L5890" si="183">H5834</f>
        <v>6.2750000000000004</v>
      </c>
    </row>
    <row r="5828" spans="1:12" x14ac:dyDescent="0.3">
      <c r="A5828" s="2">
        <v>42345</v>
      </c>
      <c r="B5828" t="s">
        <v>13</v>
      </c>
      <c r="D5828" s="2">
        <v>43076</v>
      </c>
      <c r="E5828">
        <v>6</v>
      </c>
      <c r="G5828" s="2">
        <v>43076</v>
      </c>
      <c r="H5828">
        <v>6.2240000000000002</v>
      </c>
      <c r="J5828" s="2">
        <v>43083</v>
      </c>
      <c r="K5828" s="3">
        <f t="shared" si="182"/>
        <v>6</v>
      </c>
      <c r="L5828" s="3">
        <f t="shared" si="183"/>
        <v>6.2750000000000004</v>
      </c>
    </row>
    <row r="5829" spans="1:12" x14ac:dyDescent="0.3">
      <c r="A5829" s="2">
        <v>42346</v>
      </c>
      <c r="B5829" t="s">
        <v>13</v>
      </c>
      <c r="D5829" s="2">
        <v>43077</v>
      </c>
      <c r="E5829">
        <v>6</v>
      </c>
      <c r="G5829" s="2">
        <v>43077</v>
      </c>
      <c r="H5829">
        <v>6.2619999999999996</v>
      </c>
      <c r="J5829" s="2">
        <v>43084</v>
      </c>
      <c r="K5829" s="3">
        <f t="shared" si="182"/>
        <v>6</v>
      </c>
      <c r="L5829" s="3">
        <f t="shared" si="183"/>
        <v>6.2750000000000004</v>
      </c>
    </row>
    <row r="5830" spans="1:12" x14ac:dyDescent="0.3">
      <c r="A5830" s="2">
        <v>42347</v>
      </c>
      <c r="B5830" t="s">
        <v>13</v>
      </c>
      <c r="D5830" s="2">
        <v>43078</v>
      </c>
      <c r="E5830">
        <v>6</v>
      </c>
      <c r="G5830" s="2">
        <v>43078</v>
      </c>
      <c r="H5830">
        <v>6.2619999999999996</v>
      </c>
      <c r="J5830" s="2">
        <v>43085</v>
      </c>
      <c r="K5830" s="3">
        <f t="shared" si="182"/>
        <v>6</v>
      </c>
      <c r="L5830" s="3">
        <f t="shared" si="183"/>
        <v>6.2750000000000004</v>
      </c>
    </row>
    <row r="5831" spans="1:12" x14ac:dyDescent="0.3">
      <c r="A5831" s="2">
        <v>42348</v>
      </c>
      <c r="B5831" t="s">
        <v>13</v>
      </c>
      <c r="D5831" s="2">
        <v>43079</v>
      </c>
      <c r="E5831">
        <v>6</v>
      </c>
      <c r="G5831" s="2">
        <v>43079</v>
      </c>
      <c r="H5831">
        <v>6.2619999999999996</v>
      </c>
      <c r="J5831" s="2">
        <v>43086</v>
      </c>
      <c r="K5831" s="3">
        <f t="shared" si="182"/>
        <v>6</v>
      </c>
      <c r="L5831" s="3">
        <f t="shared" si="183"/>
        <v>6.2750000000000004</v>
      </c>
    </row>
    <row r="5832" spans="1:12" x14ac:dyDescent="0.3">
      <c r="A5832" s="2">
        <v>42349</v>
      </c>
      <c r="B5832" t="s">
        <v>13</v>
      </c>
      <c r="D5832" s="2">
        <v>43080</v>
      </c>
      <c r="E5832">
        <v>6</v>
      </c>
      <c r="G5832" s="2">
        <v>43080</v>
      </c>
      <c r="H5832">
        <v>6.2850000000000001</v>
      </c>
      <c r="J5832" s="2">
        <v>43087</v>
      </c>
      <c r="K5832" s="3">
        <f t="shared" si="182"/>
        <v>6</v>
      </c>
      <c r="L5832" s="3">
        <f t="shared" si="183"/>
        <v>6.2859999999999996</v>
      </c>
    </row>
    <row r="5833" spans="1:12" x14ac:dyDescent="0.3">
      <c r="A5833" s="2">
        <v>42350</v>
      </c>
      <c r="B5833" t="s">
        <v>13</v>
      </c>
      <c r="D5833" s="2">
        <v>43081</v>
      </c>
      <c r="E5833">
        <v>6</v>
      </c>
      <c r="G5833" s="2">
        <v>43081</v>
      </c>
      <c r="H5833">
        <v>6.2930000000000001</v>
      </c>
      <c r="J5833" s="2">
        <v>43088</v>
      </c>
      <c r="K5833" s="3">
        <f t="shared" si="182"/>
        <v>6</v>
      </c>
      <c r="L5833" s="3">
        <f t="shared" si="183"/>
        <v>6.2859999999999996</v>
      </c>
    </row>
    <row r="5834" spans="1:12" x14ac:dyDescent="0.3">
      <c r="A5834" s="2">
        <v>42351</v>
      </c>
      <c r="B5834" t="s">
        <v>13</v>
      </c>
      <c r="D5834" s="2">
        <v>43082</v>
      </c>
      <c r="E5834">
        <v>6</v>
      </c>
      <c r="G5834" s="2">
        <v>43082</v>
      </c>
      <c r="H5834">
        <v>6.2750000000000004</v>
      </c>
      <c r="J5834" s="2">
        <v>43089</v>
      </c>
      <c r="K5834" s="3">
        <f t="shared" si="182"/>
        <v>6</v>
      </c>
      <c r="L5834" s="3">
        <f t="shared" si="183"/>
        <v>6.2859999999999996</v>
      </c>
    </row>
    <row r="5835" spans="1:12" x14ac:dyDescent="0.3">
      <c r="A5835" s="2">
        <v>42352</v>
      </c>
      <c r="B5835" t="s">
        <v>13</v>
      </c>
      <c r="D5835" s="2">
        <v>43083</v>
      </c>
      <c r="E5835">
        <v>6</v>
      </c>
      <c r="G5835" s="2">
        <v>43083</v>
      </c>
      <c r="H5835">
        <v>6.2750000000000004</v>
      </c>
      <c r="J5835" s="2">
        <v>43090</v>
      </c>
      <c r="K5835" s="3">
        <f t="shared" si="182"/>
        <v>6</v>
      </c>
      <c r="L5835" s="3">
        <f t="shared" si="183"/>
        <v>6.2229999999999999</v>
      </c>
    </row>
    <row r="5836" spans="1:12" x14ac:dyDescent="0.3">
      <c r="A5836" s="2">
        <v>42353</v>
      </c>
      <c r="B5836" t="s">
        <v>13</v>
      </c>
      <c r="D5836" s="2">
        <v>43084</v>
      </c>
      <c r="E5836">
        <v>6</v>
      </c>
      <c r="G5836" s="2">
        <v>43084</v>
      </c>
      <c r="H5836">
        <v>6.2750000000000004</v>
      </c>
      <c r="J5836" s="2">
        <v>43091</v>
      </c>
      <c r="K5836" s="3">
        <f t="shared" si="182"/>
        <v>6</v>
      </c>
      <c r="L5836" s="3">
        <f t="shared" si="183"/>
        <v>6.2729999999999997</v>
      </c>
    </row>
    <row r="5837" spans="1:12" x14ac:dyDescent="0.3">
      <c r="A5837" s="2">
        <v>42354</v>
      </c>
      <c r="B5837" t="s">
        <v>13</v>
      </c>
      <c r="D5837" s="2">
        <v>43085</v>
      </c>
      <c r="E5837">
        <v>6</v>
      </c>
      <c r="G5837" s="2">
        <v>43085</v>
      </c>
      <c r="H5837">
        <v>6.2750000000000004</v>
      </c>
      <c r="J5837" s="2">
        <v>43092</v>
      </c>
      <c r="K5837" s="3">
        <f t="shared" si="182"/>
        <v>6</v>
      </c>
      <c r="L5837" s="3">
        <f t="shared" si="183"/>
        <v>6.2729999999999997</v>
      </c>
    </row>
    <row r="5838" spans="1:12" x14ac:dyDescent="0.3">
      <c r="A5838" s="2">
        <v>42355</v>
      </c>
      <c r="B5838" t="s">
        <v>13</v>
      </c>
      <c r="D5838" s="2">
        <v>43086</v>
      </c>
      <c r="E5838">
        <v>6</v>
      </c>
      <c r="G5838" s="2">
        <v>43086</v>
      </c>
      <c r="H5838">
        <v>6.2750000000000004</v>
      </c>
      <c r="J5838" s="2">
        <v>43093</v>
      </c>
      <c r="K5838" s="3">
        <f t="shared" si="182"/>
        <v>6</v>
      </c>
      <c r="L5838" s="3">
        <f t="shared" si="183"/>
        <v>6.2729999999999997</v>
      </c>
    </row>
    <row r="5839" spans="1:12" x14ac:dyDescent="0.3">
      <c r="A5839" s="2">
        <v>42356</v>
      </c>
      <c r="B5839" t="s">
        <v>13</v>
      </c>
      <c r="D5839" s="2">
        <v>43087</v>
      </c>
      <c r="E5839">
        <v>6</v>
      </c>
      <c r="G5839" s="2">
        <v>43087</v>
      </c>
      <c r="H5839">
        <v>6.2859999999999996</v>
      </c>
      <c r="J5839" s="2">
        <v>43094</v>
      </c>
      <c r="K5839" s="3">
        <f t="shared" si="182"/>
        <v>6</v>
      </c>
      <c r="L5839" s="3">
        <f t="shared" si="183"/>
        <v>6.2729999999999997</v>
      </c>
    </row>
    <row r="5840" spans="1:12" x14ac:dyDescent="0.3">
      <c r="A5840" s="2">
        <v>42357</v>
      </c>
      <c r="B5840" t="s">
        <v>13</v>
      </c>
      <c r="D5840" s="2">
        <v>43088</v>
      </c>
      <c r="E5840">
        <v>6</v>
      </c>
      <c r="G5840" s="2">
        <v>43088</v>
      </c>
      <c r="H5840">
        <v>6.2859999999999996</v>
      </c>
      <c r="J5840" s="2">
        <v>43095</v>
      </c>
      <c r="K5840" s="3">
        <f t="shared" si="182"/>
        <v>6</v>
      </c>
      <c r="L5840" s="3">
        <f t="shared" si="183"/>
        <v>6.2729999999999997</v>
      </c>
    </row>
    <row r="5841" spans="1:12" x14ac:dyDescent="0.3">
      <c r="A5841" s="2">
        <v>42358</v>
      </c>
      <c r="B5841" t="s">
        <v>13</v>
      </c>
      <c r="D5841" s="2">
        <v>43089</v>
      </c>
      <c r="E5841">
        <v>6</v>
      </c>
      <c r="G5841" s="2">
        <v>43089</v>
      </c>
      <c r="H5841">
        <v>6.2859999999999996</v>
      </c>
      <c r="J5841" s="2">
        <v>43096</v>
      </c>
      <c r="K5841" s="3">
        <f t="shared" si="182"/>
        <v>6</v>
      </c>
      <c r="L5841" s="3">
        <f t="shared" si="183"/>
        <v>6.3049999999999997</v>
      </c>
    </row>
    <row r="5842" spans="1:12" x14ac:dyDescent="0.3">
      <c r="A5842" s="2">
        <v>42359</v>
      </c>
      <c r="B5842" t="s">
        <v>13</v>
      </c>
      <c r="D5842" s="2">
        <v>43090</v>
      </c>
      <c r="E5842">
        <v>6</v>
      </c>
      <c r="G5842" s="2">
        <v>43090</v>
      </c>
      <c r="H5842">
        <v>6.2229999999999999</v>
      </c>
      <c r="J5842" s="2">
        <v>43097</v>
      </c>
      <c r="K5842" s="3">
        <f t="shared" si="182"/>
        <v>6</v>
      </c>
      <c r="L5842" s="3">
        <f t="shared" si="183"/>
        <v>6.343</v>
      </c>
    </row>
    <row r="5843" spans="1:12" x14ac:dyDescent="0.3">
      <c r="A5843" s="2">
        <v>42360</v>
      </c>
      <c r="B5843" t="s">
        <v>13</v>
      </c>
      <c r="D5843" s="2">
        <v>43091</v>
      </c>
      <c r="E5843">
        <v>6</v>
      </c>
      <c r="G5843" s="2">
        <v>43091</v>
      </c>
      <c r="H5843">
        <v>6.2729999999999997</v>
      </c>
      <c r="J5843" s="2">
        <v>43098</v>
      </c>
      <c r="K5843" s="3">
        <f t="shared" si="182"/>
        <v>6</v>
      </c>
      <c r="L5843" s="3">
        <f t="shared" si="183"/>
        <v>6.2770000000000001</v>
      </c>
    </row>
    <row r="5844" spans="1:12" x14ac:dyDescent="0.3">
      <c r="A5844" s="2">
        <v>42361</v>
      </c>
      <c r="B5844" t="s">
        <v>13</v>
      </c>
      <c r="D5844" s="2">
        <v>43092</v>
      </c>
      <c r="E5844">
        <v>6</v>
      </c>
      <c r="G5844" s="2">
        <v>43092</v>
      </c>
      <c r="H5844">
        <v>6.2729999999999997</v>
      </c>
      <c r="J5844" s="2">
        <v>43099</v>
      </c>
      <c r="K5844" s="3">
        <f t="shared" si="182"/>
        <v>6</v>
      </c>
      <c r="L5844" s="3">
        <f t="shared" si="183"/>
        <v>6.2770000000000001</v>
      </c>
    </row>
    <row r="5845" spans="1:12" x14ac:dyDescent="0.3">
      <c r="A5845" s="2">
        <v>42362</v>
      </c>
      <c r="B5845" t="s">
        <v>13</v>
      </c>
      <c r="D5845" s="2">
        <v>43093</v>
      </c>
      <c r="E5845">
        <v>6</v>
      </c>
      <c r="G5845" s="2">
        <v>43093</v>
      </c>
      <c r="H5845">
        <v>6.2729999999999997</v>
      </c>
      <c r="J5845" s="2">
        <v>43100</v>
      </c>
      <c r="K5845" s="3">
        <f t="shared" si="182"/>
        <v>6</v>
      </c>
      <c r="L5845" s="3">
        <f t="shared" si="183"/>
        <v>6.2770000000000001</v>
      </c>
    </row>
    <row r="5846" spans="1:12" x14ac:dyDescent="0.3">
      <c r="A5846" s="2">
        <v>42363</v>
      </c>
      <c r="B5846" t="s">
        <v>13</v>
      </c>
      <c r="D5846" s="2">
        <v>43094</v>
      </c>
      <c r="E5846">
        <v>6</v>
      </c>
      <c r="G5846" s="2">
        <v>43094</v>
      </c>
      <c r="H5846">
        <v>6.2729999999999997</v>
      </c>
      <c r="J5846" s="2">
        <v>43101</v>
      </c>
      <c r="K5846" s="3">
        <f t="shared" si="182"/>
        <v>6</v>
      </c>
      <c r="L5846" s="3">
        <f t="shared" si="183"/>
        <v>6.3140000000000001</v>
      </c>
    </row>
    <row r="5847" spans="1:12" x14ac:dyDescent="0.3">
      <c r="A5847" s="2">
        <v>42364</v>
      </c>
      <c r="B5847" t="s">
        <v>13</v>
      </c>
      <c r="D5847" s="2">
        <v>43095</v>
      </c>
      <c r="E5847">
        <v>6</v>
      </c>
      <c r="G5847" s="2">
        <v>43095</v>
      </c>
      <c r="H5847">
        <v>6.2729999999999997</v>
      </c>
      <c r="J5847" s="2">
        <v>43102</v>
      </c>
      <c r="K5847" s="3">
        <f t="shared" si="182"/>
        <v>6</v>
      </c>
      <c r="L5847" s="3">
        <f t="shared" si="183"/>
        <v>6.3959999999999999</v>
      </c>
    </row>
    <row r="5848" spans="1:12" x14ac:dyDescent="0.3">
      <c r="A5848" s="2">
        <v>42365</v>
      </c>
      <c r="B5848" t="s">
        <v>13</v>
      </c>
      <c r="D5848" s="2">
        <v>43096</v>
      </c>
      <c r="E5848">
        <v>6</v>
      </c>
      <c r="G5848" s="2">
        <v>43096</v>
      </c>
      <c r="H5848">
        <v>6.3049999999999997</v>
      </c>
      <c r="J5848" s="2">
        <v>43103</v>
      </c>
      <c r="K5848" s="3">
        <f t="shared" si="182"/>
        <v>6</v>
      </c>
      <c r="L5848" s="3">
        <f t="shared" si="183"/>
        <v>6.391</v>
      </c>
    </row>
    <row r="5849" spans="1:12" x14ac:dyDescent="0.3">
      <c r="A5849" s="2">
        <v>42366</v>
      </c>
      <c r="B5849" t="s">
        <v>13</v>
      </c>
      <c r="D5849" s="2">
        <v>43097</v>
      </c>
      <c r="E5849">
        <v>6</v>
      </c>
      <c r="G5849" s="2">
        <v>43097</v>
      </c>
      <c r="H5849">
        <v>6.343</v>
      </c>
      <c r="J5849" s="2">
        <v>43104</v>
      </c>
      <c r="K5849" s="3">
        <f t="shared" si="182"/>
        <v>6</v>
      </c>
      <c r="L5849" s="3">
        <f t="shared" si="183"/>
        <v>6.3650000000000002</v>
      </c>
    </row>
    <row r="5850" spans="1:12" x14ac:dyDescent="0.3">
      <c r="A5850" s="2">
        <v>42367</v>
      </c>
      <c r="B5850" t="s">
        <v>13</v>
      </c>
      <c r="D5850" s="2">
        <v>43098</v>
      </c>
      <c r="E5850">
        <v>6</v>
      </c>
      <c r="G5850" s="2">
        <v>43098</v>
      </c>
      <c r="H5850">
        <v>6.2770000000000001</v>
      </c>
      <c r="J5850" s="2">
        <v>43105</v>
      </c>
      <c r="K5850" s="3">
        <f t="shared" si="182"/>
        <v>6</v>
      </c>
      <c r="L5850" s="3">
        <f t="shared" si="183"/>
        <v>6.351</v>
      </c>
    </row>
    <row r="5851" spans="1:12" x14ac:dyDescent="0.3">
      <c r="A5851" s="2">
        <v>42368</v>
      </c>
      <c r="B5851" t="s">
        <v>13</v>
      </c>
      <c r="D5851" s="2">
        <v>43099</v>
      </c>
      <c r="E5851">
        <v>6</v>
      </c>
      <c r="G5851" s="2">
        <v>43099</v>
      </c>
      <c r="H5851">
        <v>6.2770000000000001</v>
      </c>
      <c r="J5851" s="2">
        <v>43106</v>
      </c>
      <c r="K5851" s="3">
        <f t="shared" si="182"/>
        <v>6</v>
      </c>
      <c r="L5851" s="3">
        <f t="shared" si="183"/>
        <v>6.351</v>
      </c>
    </row>
    <row r="5852" spans="1:12" x14ac:dyDescent="0.3">
      <c r="A5852" s="2">
        <v>42369</v>
      </c>
      <c r="B5852" t="s">
        <v>13</v>
      </c>
      <c r="D5852" s="2">
        <v>43100</v>
      </c>
      <c r="E5852">
        <v>6</v>
      </c>
      <c r="G5852" s="2">
        <v>43100</v>
      </c>
      <c r="H5852">
        <v>6.2770000000000001</v>
      </c>
      <c r="J5852" s="2">
        <v>43107</v>
      </c>
      <c r="K5852" s="3">
        <f t="shared" si="182"/>
        <v>6</v>
      </c>
      <c r="L5852" s="3">
        <f t="shared" si="183"/>
        <v>6.351</v>
      </c>
    </row>
    <row r="5853" spans="1:12" x14ac:dyDescent="0.3">
      <c r="A5853" s="2">
        <v>42370</v>
      </c>
      <c r="B5853" t="s">
        <v>13</v>
      </c>
      <c r="D5853" s="2">
        <v>43101</v>
      </c>
      <c r="E5853">
        <v>6</v>
      </c>
      <c r="G5853" s="2">
        <v>43101</v>
      </c>
      <c r="H5853">
        <v>6.3140000000000001</v>
      </c>
      <c r="J5853" s="2">
        <v>43108</v>
      </c>
      <c r="K5853" s="3">
        <f t="shared" si="182"/>
        <v>6</v>
      </c>
      <c r="L5853" s="3">
        <f t="shared" si="183"/>
        <v>6.351</v>
      </c>
    </row>
    <row r="5854" spans="1:12" x14ac:dyDescent="0.3">
      <c r="A5854" s="2">
        <v>42371</v>
      </c>
      <c r="B5854" t="s">
        <v>13</v>
      </c>
      <c r="D5854" s="2">
        <v>43102</v>
      </c>
      <c r="E5854">
        <v>6</v>
      </c>
      <c r="G5854" s="2">
        <v>43102</v>
      </c>
      <c r="H5854">
        <v>6.3959999999999999</v>
      </c>
      <c r="J5854" s="2">
        <v>43109</v>
      </c>
      <c r="K5854" s="3">
        <f t="shared" si="182"/>
        <v>6</v>
      </c>
      <c r="L5854" s="3">
        <f t="shared" si="183"/>
        <v>6.3780000000000001</v>
      </c>
    </row>
    <row r="5855" spans="1:12" x14ac:dyDescent="0.3">
      <c r="A5855" s="2">
        <v>42372</v>
      </c>
      <c r="B5855" t="s">
        <v>13</v>
      </c>
      <c r="D5855" s="2">
        <v>43103</v>
      </c>
      <c r="E5855">
        <v>6</v>
      </c>
      <c r="G5855" s="2">
        <v>43103</v>
      </c>
      <c r="H5855">
        <v>6.391</v>
      </c>
      <c r="J5855" s="2">
        <v>43110</v>
      </c>
      <c r="K5855" s="3">
        <f t="shared" si="182"/>
        <v>6</v>
      </c>
      <c r="L5855" s="3">
        <f t="shared" si="183"/>
        <v>6.6769999999999996</v>
      </c>
    </row>
    <row r="5856" spans="1:12" x14ac:dyDescent="0.3">
      <c r="A5856" s="2">
        <v>42373</v>
      </c>
      <c r="B5856" t="s">
        <v>13</v>
      </c>
      <c r="D5856" s="2">
        <v>43104</v>
      </c>
      <c r="E5856">
        <v>6</v>
      </c>
      <c r="G5856" s="2">
        <v>43104</v>
      </c>
      <c r="H5856">
        <v>6.3650000000000002</v>
      </c>
      <c r="J5856" s="2">
        <v>43111</v>
      </c>
      <c r="K5856" s="3">
        <f t="shared" si="182"/>
        <v>6</v>
      </c>
      <c r="L5856" s="3">
        <f t="shared" si="183"/>
        <v>6.6079999999999997</v>
      </c>
    </row>
    <row r="5857" spans="1:12" x14ac:dyDescent="0.3">
      <c r="A5857" s="2">
        <v>42374</v>
      </c>
      <c r="B5857" t="s">
        <v>13</v>
      </c>
      <c r="D5857" s="2">
        <v>43105</v>
      </c>
      <c r="E5857">
        <v>6</v>
      </c>
      <c r="G5857" s="2">
        <v>43105</v>
      </c>
      <c r="H5857">
        <v>6.351</v>
      </c>
      <c r="J5857" s="2">
        <v>43112</v>
      </c>
      <c r="K5857" s="3">
        <f t="shared" si="182"/>
        <v>6</v>
      </c>
      <c r="L5857" s="3">
        <f t="shared" si="183"/>
        <v>6.6109999999999998</v>
      </c>
    </row>
    <row r="5858" spans="1:12" x14ac:dyDescent="0.3">
      <c r="A5858" s="2">
        <v>42375</v>
      </c>
      <c r="B5858" t="s">
        <v>13</v>
      </c>
      <c r="D5858" s="2">
        <v>43106</v>
      </c>
      <c r="E5858">
        <v>6</v>
      </c>
      <c r="G5858" s="2">
        <v>43106</v>
      </c>
      <c r="H5858">
        <v>6.351</v>
      </c>
      <c r="J5858" s="2">
        <v>43113</v>
      </c>
      <c r="K5858" s="3">
        <f t="shared" si="182"/>
        <v>6</v>
      </c>
      <c r="L5858" s="3">
        <f t="shared" si="183"/>
        <v>6.6109999999999998</v>
      </c>
    </row>
    <row r="5859" spans="1:12" x14ac:dyDescent="0.3">
      <c r="A5859" s="2">
        <v>42376</v>
      </c>
      <c r="B5859" t="s">
        <v>13</v>
      </c>
      <c r="D5859" s="2">
        <v>43107</v>
      </c>
      <c r="E5859">
        <v>6</v>
      </c>
      <c r="G5859" s="2">
        <v>43107</v>
      </c>
      <c r="H5859">
        <v>6.351</v>
      </c>
      <c r="J5859" s="2">
        <v>43114</v>
      </c>
      <c r="K5859" s="3">
        <f t="shared" si="182"/>
        <v>6</v>
      </c>
      <c r="L5859" s="3">
        <f t="shared" si="183"/>
        <v>6.6109999999999998</v>
      </c>
    </row>
    <row r="5860" spans="1:12" x14ac:dyDescent="0.3">
      <c r="A5860" s="2">
        <v>42377</v>
      </c>
      <c r="B5860" t="s">
        <v>13</v>
      </c>
      <c r="D5860" s="2">
        <v>43108</v>
      </c>
      <c r="E5860">
        <v>6</v>
      </c>
      <c r="G5860" s="2">
        <v>43108</v>
      </c>
      <c r="H5860">
        <v>6.351</v>
      </c>
      <c r="J5860" s="2">
        <v>43115</v>
      </c>
      <c r="K5860" s="3">
        <f t="shared" si="182"/>
        <v>6</v>
      </c>
      <c r="L5860" s="3">
        <f t="shared" si="183"/>
        <v>6.61</v>
      </c>
    </row>
    <row r="5861" spans="1:12" x14ac:dyDescent="0.3">
      <c r="A5861" s="2">
        <v>42378</v>
      </c>
      <c r="B5861" t="s">
        <v>13</v>
      </c>
      <c r="D5861" s="2">
        <v>43109</v>
      </c>
      <c r="E5861">
        <v>6</v>
      </c>
      <c r="G5861" s="2">
        <v>43109</v>
      </c>
      <c r="H5861">
        <v>6.3780000000000001</v>
      </c>
      <c r="J5861" s="2">
        <v>43116</v>
      </c>
      <c r="K5861" s="3">
        <f t="shared" si="182"/>
        <v>6</v>
      </c>
      <c r="L5861" s="3">
        <f t="shared" si="183"/>
        <v>6.6239999999999997</v>
      </c>
    </row>
    <row r="5862" spans="1:12" x14ac:dyDescent="0.3">
      <c r="A5862" s="2">
        <v>42379</v>
      </c>
      <c r="B5862" t="s">
        <v>13</v>
      </c>
      <c r="D5862" s="2">
        <v>43110</v>
      </c>
      <c r="E5862">
        <v>6</v>
      </c>
      <c r="G5862" s="2">
        <v>43110</v>
      </c>
      <c r="H5862">
        <v>6.6769999999999996</v>
      </c>
      <c r="J5862" s="2">
        <v>43117</v>
      </c>
      <c r="K5862" s="3">
        <f t="shared" si="182"/>
        <v>6</v>
      </c>
      <c r="L5862" s="3">
        <f t="shared" si="183"/>
        <v>6.6239999999999997</v>
      </c>
    </row>
    <row r="5863" spans="1:12" x14ac:dyDescent="0.3">
      <c r="A5863" s="2">
        <v>42380</v>
      </c>
      <c r="B5863" t="s">
        <v>13</v>
      </c>
      <c r="D5863" s="2">
        <v>43111</v>
      </c>
      <c r="E5863">
        <v>6</v>
      </c>
      <c r="G5863" s="2">
        <v>43111</v>
      </c>
      <c r="H5863">
        <v>6.6079999999999997</v>
      </c>
      <c r="J5863" s="2">
        <v>43118</v>
      </c>
      <c r="K5863" s="3">
        <f t="shared" si="182"/>
        <v>6</v>
      </c>
      <c r="L5863" s="3">
        <f t="shared" si="183"/>
        <v>6.59</v>
      </c>
    </row>
    <row r="5864" spans="1:12" x14ac:dyDescent="0.3">
      <c r="A5864" s="2">
        <v>42381</v>
      </c>
      <c r="B5864" t="s">
        <v>13</v>
      </c>
      <c r="D5864" s="2">
        <v>43112</v>
      </c>
      <c r="E5864">
        <v>6</v>
      </c>
      <c r="G5864" s="2">
        <v>43112</v>
      </c>
      <c r="H5864">
        <v>6.6109999999999998</v>
      </c>
      <c r="J5864" s="2">
        <v>43119</v>
      </c>
      <c r="K5864" s="3">
        <f t="shared" si="182"/>
        <v>6</v>
      </c>
      <c r="L5864" s="3">
        <f t="shared" si="183"/>
        <v>6.593</v>
      </c>
    </row>
    <row r="5865" spans="1:12" x14ac:dyDescent="0.3">
      <c r="A5865" s="2">
        <v>42382</v>
      </c>
      <c r="B5865" t="s">
        <v>13</v>
      </c>
      <c r="D5865" s="2">
        <v>43113</v>
      </c>
      <c r="E5865">
        <v>6</v>
      </c>
      <c r="G5865" s="2">
        <v>43113</v>
      </c>
      <c r="H5865">
        <v>6.6109999999999998</v>
      </c>
      <c r="J5865" s="2">
        <v>43120</v>
      </c>
      <c r="K5865" s="3">
        <f t="shared" si="182"/>
        <v>6</v>
      </c>
      <c r="L5865" s="3">
        <f t="shared" si="183"/>
        <v>6.593</v>
      </c>
    </row>
    <row r="5866" spans="1:12" x14ac:dyDescent="0.3">
      <c r="A5866" s="2">
        <v>42383</v>
      </c>
      <c r="B5866" t="s">
        <v>13</v>
      </c>
      <c r="D5866" s="2">
        <v>43114</v>
      </c>
      <c r="E5866">
        <v>6</v>
      </c>
      <c r="G5866" s="2">
        <v>43114</v>
      </c>
      <c r="H5866">
        <v>6.6109999999999998</v>
      </c>
      <c r="J5866" s="2">
        <v>43121</v>
      </c>
      <c r="K5866" s="3">
        <f t="shared" si="182"/>
        <v>6</v>
      </c>
      <c r="L5866" s="3">
        <f t="shared" si="183"/>
        <v>6.593</v>
      </c>
    </row>
    <row r="5867" spans="1:12" x14ac:dyDescent="0.3">
      <c r="A5867" s="2">
        <v>42384</v>
      </c>
      <c r="B5867" t="s">
        <v>13</v>
      </c>
      <c r="D5867" s="2">
        <v>43115</v>
      </c>
      <c r="E5867">
        <v>6</v>
      </c>
      <c r="G5867" s="2">
        <v>43115</v>
      </c>
      <c r="H5867">
        <v>6.61</v>
      </c>
      <c r="J5867" s="2">
        <v>43122</v>
      </c>
      <c r="K5867" s="3">
        <f t="shared" si="182"/>
        <v>6</v>
      </c>
      <c r="L5867" s="3">
        <f t="shared" si="183"/>
        <v>6.6150000000000002</v>
      </c>
    </row>
    <row r="5868" spans="1:12" x14ac:dyDescent="0.3">
      <c r="A5868" s="2">
        <v>42385</v>
      </c>
      <c r="B5868" t="s">
        <v>13</v>
      </c>
      <c r="D5868" s="2">
        <v>43116</v>
      </c>
      <c r="E5868">
        <v>6</v>
      </c>
      <c r="G5868" s="2">
        <v>43116</v>
      </c>
      <c r="H5868">
        <v>6.6239999999999997</v>
      </c>
      <c r="J5868" s="2">
        <v>43123</v>
      </c>
      <c r="K5868" s="3">
        <f t="shared" si="182"/>
        <v>6</v>
      </c>
      <c r="L5868" s="3">
        <f t="shared" si="183"/>
        <v>6.5839999999999996</v>
      </c>
    </row>
    <row r="5869" spans="1:12" x14ac:dyDescent="0.3">
      <c r="A5869" s="2">
        <v>42386</v>
      </c>
      <c r="B5869" t="s">
        <v>13</v>
      </c>
      <c r="D5869" s="2">
        <v>43117</v>
      </c>
      <c r="E5869">
        <v>6</v>
      </c>
      <c r="G5869" s="2">
        <v>43117</v>
      </c>
      <c r="H5869">
        <v>6.6239999999999997</v>
      </c>
      <c r="J5869" s="2">
        <v>43124</v>
      </c>
      <c r="K5869" s="3">
        <f t="shared" si="182"/>
        <v>6</v>
      </c>
      <c r="L5869" s="3">
        <f t="shared" si="183"/>
        <v>6.609</v>
      </c>
    </row>
    <row r="5870" spans="1:12" x14ac:dyDescent="0.3">
      <c r="A5870" s="2">
        <v>42387</v>
      </c>
      <c r="B5870" t="s">
        <v>13</v>
      </c>
      <c r="D5870" s="2">
        <v>43118</v>
      </c>
      <c r="E5870">
        <v>6</v>
      </c>
      <c r="G5870" s="2">
        <v>43118</v>
      </c>
      <c r="H5870">
        <v>6.59</v>
      </c>
      <c r="J5870" s="2">
        <v>43125</v>
      </c>
      <c r="K5870" s="3">
        <f t="shared" si="182"/>
        <v>6</v>
      </c>
      <c r="L5870" s="3">
        <f t="shared" si="183"/>
        <v>6.609</v>
      </c>
    </row>
    <row r="5871" spans="1:12" x14ac:dyDescent="0.3">
      <c r="A5871" s="2">
        <v>42388</v>
      </c>
      <c r="B5871" t="s">
        <v>13</v>
      </c>
      <c r="D5871" s="2">
        <v>43119</v>
      </c>
      <c r="E5871">
        <v>6</v>
      </c>
      <c r="G5871" s="2">
        <v>43119</v>
      </c>
      <c r="H5871">
        <v>6.593</v>
      </c>
      <c r="J5871" s="2">
        <v>43126</v>
      </c>
      <c r="K5871" s="3">
        <f t="shared" si="182"/>
        <v>6</v>
      </c>
      <c r="L5871" s="3">
        <f t="shared" si="183"/>
        <v>6.609</v>
      </c>
    </row>
    <row r="5872" spans="1:12" x14ac:dyDescent="0.3">
      <c r="A5872" s="2">
        <v>42389</v>
      </c>
      <c r="B5872" t="s">
        <v>13</v>
      </c>
      <c r="D5872" s="2">
        <v>43120</v>
      </c>
      <c r="E5872">
        <v>6</v>
      </c>
      <c r="G5872" s="2">
        <v>43120</v>
      </c>
      <c r="H5872">
        <v>6.593</v>
      </c>
      <c r="J5872" s="2">
        <v>43127</v>
      </c>
      <c r="K5872" s="3">
        <f t="shared" si="182"/>
        <v>6</v>
      </c>
      <c r="L5872" s="3">
        <f t="shared" si="183"/>
        <v>6.609</v>
      </c>
    </row>
    <row r="5873" spans="1:12" x14ac:dyDescent="0.3">
      <c r="A5873" s="2">
        <v>42390</v>
      </c>
      <c r="B5873" t="s">
        <v>13</v>
      </c>
      <c r="D5873" s="2">
        <v>43121</v>
      </c>
      <c r="E5873">
        <v>6</v>
      </c>
      <c r="G5873" s="2">
        <v>43121</v>
      </c>
      <c r="H5873">
        <v>6.593</v>
      </c>
      <c r="J5873" s="2">
        <v>43128</v>
      </c>
      <c r="K5873" s="3">
        <f t="shared" si="182"/>
        <v>6</v>
      </c>
      <c r="L5873" s="3">
        <f t="shared" si="183"/>
        <v>6.609</v>
      </c>
    </row>
    <row r="5874" spans="1:12" x14ac:dyDescent="0.3">
      <c r="A5874" s="2">
        <v>42391</v>
      </c>
      <c r="B5874" t="s">
        <v>13</v>
      </c>
      <c r="D5874" s="2">
        <v>43122</v>
      </c>
      <c r="E5874">
        <v>6</v>
      </c>
      <c r="G5874" s="2">
        <v>43122</v>
      </c>
      <c r="H5874">
        <v>6.6150000000000002</v>
      </c>
      <c r="J5874" s="2">
        <v>43129</v>
      </c>
      <c r="K5874" s="3">
        <f t="shared" si="182"/>
        <v>6</v>
      </c>
      <c r="L5874" s="3">
        <f t="shared" si="183"/>
        <v>6.7590000000000003</v>
      </c>
    </row>
    <row r="5875" spans="1:12" x14ac:dyDescent="0.3">
      <c r="A5875" s="2">
        <v>42392</v>
      </c>
      <c r="B5875" t="s">
        <v>13</v>
      </c>
      <c r="D5875" s="2">
        <v>43123</v>
      </c>
      <c r="E5875">
        <v>6</v>
      </c>
      <c r="G5875" s="2">
        <v>43123</v>
      </c>
      <c r="H5875">
        <v>6.5839999999999996</v>
      </c>
      <c r="J5875" s="2">
        <v>43130</v>
      </c>
      <c r="K5875" s="3">
        <f t="shared" si="182"/>
        <v>6</v>
      </c>
      <c r="L5875" s="3">
        <f t="shared" si="183"/>
        <v>6.6840000000000002</v>
      </c>
    </row>
    <row r="5876" spans="1:12" x14ac:dyDescent="0.3">
      <c r="A5876" s="2">
        <v>42393</v>
      </c>
      <c r="B5876" t="s">
        <v>13</v>
      </c>
      <c r="D5876" s="2">
        <v>43124</v>
      </c>
      <c r="E5876">
        <v>6</v>
      </c>
      <c r="G5876" s="2">
        <v>43124</v>
      </c>
      <c r="H5876">
        <v>6.609</v>
      </c>
      <c r="J5876" s="2">
        <v>43131</v>
      </c>
      <c r="K5876" s="3">
        <f t="shared" si="182"/>
        <v>6</v>
      </c>
      <c r="L5876" s="3">
        <f t="shared" si="183"/>
        <v>6.6669999999999998</v>
      </c>
    </row>
    <row r="5877" spans="1:12" x14ac:dyDescent="0.3">
      <c r="A5877" s="2">
        <v>42394</v>
      </c>
      <c r="B5877" t="s">
        <v>13</v>
      </c>
      <c r="D5877" s="2">
        <v>43125</v>
      </c>
      <c r="E5877">
        <v>6</v>
      </c>
      <c r="G5877" s="2">
        <v>43125</v>
      </c>
      <c r="H5877">
        <v>6.609</v>
      </c>
      <c r="J5877" s="2">
        <v>43132</v>
      </c>
      <c r="K5877" s="3">
        <f t="shared" si="182"/>
        <v>6</v>
      </c>
      <c r="L5877" s="3">
        <f t="shared" si="183"/>
        <v>6.6029999999999998</v>
      </c>
    </row>
    <row r="5878" spans="1:12" x14ac:dyDescent="0.3">
      <c r="A5878" s="2">
        <v>42395</v>
      </c>
      <c r="B5878" t="s">
        <v>13</v>
      </c>
      <c r="D5878" s="2">
        <v>43126</v>
      </c>
      <c r="E5878">
        <v>6</v>
      </c>
      <c r="G5878" s="2">
        <v>43126</v>
      </c>
      <c r="H5878">
        <v>6.609</v>
      </c>
      <c r="J5878" s="2">
        <v>43133</v>
      </c>
      <c r="K5878" s="3">
        <f t="shared" si="182"/>
        <v>6</v>
      </c>
      <c r="L5878" s="3">
        <f t="shared" si="183"/>
        <v>6.67</v>
      </c>
    </row>
    <row r="5879" spans="1:12" x14ac:dyDescent="0.3">
      <c r="A5879" s="2">
        <v>42396</v>
      </c>
      <c r="B5879" t="s">
        <v>13</v>
      </c>
      <c r="D5879" s="2">
        <v>43127</v>
      </c>
      <c r="E5879">
        <v>6</v>
      </c>
      <c r="G5879" s="2">
        <v>43127</v>
      </c>
      <c r="H5879">
        <v>6.609</v>
      </c>
      <c r="J5879" s="2">
        <v>43134</v>
      </c>
      <c r="K5879" s="3">
        <f t="shared" si="182"/>
        <v>6</v>
      </c>
      <c r="L5879" s="3">
        <f t="shared" si="183"/>
        <v>6.67</v>
      </c>
    </row>
    <row r="5880" spans="1:12" x14ac:dyDescent="0.3">
      <c r="A5880" s="2">
        <v>42397</v>
      </c>
      <c r="B5880" t="s">
        <v>13</v>
      </c>
      <c r="D5880" s="2">
        <v>43128</v>
      </c>
      <c r="E5880">
        <v>6</v>
      </c>
      <c r="G5880" s="2">
        <v>43128</v>
      </c>
      <c r="H5880">
        <v>6.609</v>
      </c>
      <c r="J5880" s="2">
        <v>43135</v>
      </c>
      <c r="K5880" s="3">
        <f t="shared" si="182"/>
        <v>6</v>
      </c>
      <c r="L5880" s="3">
        <f t="shared" si="183"/>
        <v>6.67</v>
      </c>
    </row>
    <row r="5881" spans="1:12" x14ac:dyDescent="0.3">
      <c r="A5881" s="2">
        <v>42398</v>
      </c>
      <c r="B5881" t="s">
        <v>13</v>
      </c>
      <c r="D5881" s="2">
        <v>43129</v>
      </c>
      <c r="E5881">
        <v>6</v>
      </c>
      <c r="G5881" s="2">
        <v>43129</v>
      </c>
      <c r="H5881">
        <v>6.7590000000000003</v>
      </c>
      <c r="J5881" s="2">
        <v>43136</v>
      </c>
      <c r="K5881" s="3">
        <f t="shared" si="182"/>
        <v>6</v>
      </c>
      <c r="L5881" s="3">
        <f t="shared" si="183"/>
        <v>6.7389999999999999</v>
      </c>
    </row>
    <row r="5882" spans="1:12" x14ac:dyDescent="0.3">
      <c r="A5882" s="2">
        <v>42399</v>
      </c>
      <c r="B5882" t="s">
        <v>13</v>
      </c>
      <c r="D5882" s="2">
        <v>43130</v>
      </c>
      <c r="E5882">
        <v>6</v>
      </c>
      <c r="G5882" s="2">
        <v>43130</v>
      </c>
      <c r="H5882">
        <v>6.6840000000000002</v>
      </c>
      <c r="J5882" s="2">
        <v>43137</v>
      </c>
      <c r="K5882" s="3">
        <f t="shared" si="182"/>
        <v>6</v>
      </c>
      <c r="L5882" s="3">
        <f t="shared" si="183"/>
        <v>6.6929999999999996</v>
      </c>
    </row>
    <row r="5883" spans="1:12" x14ac:dyDescent="0.3">
      <c r="A5883" s="2">
        <v>42400</v>
      </c>
      <c r="B5883" t="s">
        <v>13</v>
      </c>
      <c r="D5883" s="2">
        <v>43131</v>
      </c>
      <c r="E5883">
        <v>6</v>
      </c>
      <c r="G5883" s="2">
        <v>43131</v>
      </c>
      <c r="H5883">
        <v>6.6669999999999998</v>
      </c>
      <c r="J5883" s="2">
        <v>43138</v>
      </c>
      <c r="K5883" s="3">
        <f t="shared" si="182"/>
        <v>6</v>
      </c>
      <c r="L5883" s="3">
        <f t="shared" si="183"/>
        <v>6.657</v>
      </c>
    </row>
    <row r="5884" spans="1:12" x14ac:dyDescent="0.3">
      <c r="A5884" s="2">
        <v>42401</v>
      </c>
      <c r="B5884" t="s">
        <v>13</v>
      </c>
      <c r="D5884" s="2">
        <v>43132</v>
      </c>
      <c r="E5884">
        <v>6</v>
      </c>
      <c r="G5884" s="2">
        <v>43132</v>
      </c>
      <c r="H5884">
        <v>6.6029999999999998</v>
      </c>
      <c r="J5884" s="2">
        <v>43139</v>
      </c>
      <c r="K5884" s="3">
        <f t="shared" si="182"/>
        <v>6</v>
      </c>
      <c r="L5884" s="3">
        <f t="shared" si="183"/>
        <v>6.6150000000000002</v>
      </c>
    </row>
    <row r="5885" spans="1:12" x14ac:dyDescent="0.3">
      <c r="A5885" s="2">
        <v>42402</v>
      </c>
      <c r="B5885" t="s">
        <v>13</v>
      </c>
      <c r="D5885" s="2">
        <v>43133</v>
      </c>
      <c r="E5885">
        <v>6</v>
      </c>
      <c r="G5885" s="2">
        <v>43133</v>
      </c>
      <c r="H5885">
        <v>6.67</v>
      </c>
      <c r="J5885" s="2">
        <v>43140</v>
      </c>
      <c r="K5885" s="3">
        <f t="shared" si="182"/>
        <v>6</v>
      </c>
      <c r="L5885" s="3">
        <f t="shared" si="183"/>
        <v>6.641</v>
      </c>
    </row>
    <row r="5886" spans="1:12" x14ac:dyDescent="0.3">
      <c r="A5886" s="2">
        <v>42403</v>
      </c>
      <c r="B5886" t="s">
        <v>13</v>
      </c>
      <c r="D5886" s="2">
        <v>43134</v>
      </c>
      <c r="E5886">
        <v>6</v>
      </c>
      <c r="G5886" s="2">
        <v>43134</v>
      </c>
      <c r="H5886">
        <v>6.67</v>
      </c>
      <c r="J5886" s="2">
        <v>43141</v>
      </c>
      <c r="K5886" s="3">
        <f t="shared" si="182"/>
        <v>6</v>
      </c>
      <c r="L5886" s="3">
        <f t="shared" si="183"/>
        <v>6.641</v>
      </c>
    </row>
    <row r="5887" spans="1:12" x14ac:dyDescent="0.3">
      <c r="A5887" s="2">
        <v>42404</v>
      </c>
      <c r="B5887" t="s">
        <v>13</v>
      </c>
      <c r="D5887" s="2">
        <v>43135</v>
      </c>
      <c r="E5887">
        <v>6</v>
      </c>
      <c r="G5887" s="2">
        <v>43135</v>
      </c>
      <c r="H5887">
        <v>6.67</v>
      </c>
      <c r="J5887" s="2">
        <v>43142</v>
      </c>
      <c r="K5887" s="3">
        <f t="shared" si="182"/>
        <v>6</v>
      </c>
      <c r="L5887" s="3">
        <f t="shared" si="183"/>
        <v>6.641</v>
      </c>
    </row>
    <row r="5888" spans="1:12" x14ac:dyDescent="0.3">
      <c r="A5888" s="2">
        <v>42405</v>
      </c>
      <c r="B5888" t="s">
        <v>13</v>
      </c>
      <c r="D5888" s="2">
        <v>43136</v>
      </c>
      <c r="E5888">
        <v>6</v>
      </c>
      <c r="G5888" s="2">
        <v>43136</v>
      </c>
      <c r="H5888">
        <v>6.7389999999999999</v>
      </c>
      <c r="J5888" s="2">
        <v>43143</v>
      </c>
      <c r="K5888" s="3">
        <f t="shared" si="182"/>
        <v>6</v>
      </c>
      <c r="L5888" s="3">
        <f t="shared" si="183"/>
        <v>6.6</v>
      </c>
    </row>
    <row r="5889" spans="1:12" x14ac:dyDescent="0.3">
      <c r="A5889" s="2">
        <v>42406</v>
      </c>
      <c r="B5889" t="s">
        <v>13</v>
      </c>
      <c r="D5889" s="2">
        <v>43137</v>
      </c>
      <c r="E5889">
        <v>6</v>
      </c>
      <c r="G5889" s="2">
        <v>43137</v>
      </c>
      <c r="H5889">
        <v>6.6929999999999996</v>
      </c>
      <c r="J5889" s="2">
        <v>43144</v>
      </c>
      <c r="K5889" s="3">
        <f t="shared" si="182"/>
        <v>6</v>
      </c>
      <c r="L5889" s="3">
        <f t="shared" si="183"/>
        <v>6.6</v>
      </c>
    </row>
    <row r="5890" spans="1:12" x14ac:dyDescent="0.3">
      <c r="A5890" s="2">
        <v>42407</v>
      </c>
      <c r="B5890" t="s">
        <v>13</v>
      </c>
      <c r="D5890" s="2">
        <v>43138</v>
      </c>
      <c r="E5890">
        <v>6</v>
      </c>
      <c r="G5890" s="2">
        <v>43138</v>
      </c>
      <c r="H5890">
        <v>6.657</v>
      </c>
      <c r="J5890" s="2">
        <v>43145</v>
      </c>
      <c r="K5890" s="3">
        <f t="shared" si="182"/>
        <v>6</v>
      </c>
      <c r="L5890" s="3">
        <f t="shared" si="183"/>
        <v>6.5819999999999999</v>
      </c>
    </row>
    <row r="5891" spans="1:12" x14ac:dyDescent="0.3">
      <c r="A5891" s="2">
        <v>42408</v>
      </c>
      <c r="B5891" t="s">
        <v>13</v>
      </c>
      <c r="D5891" s="2">
        <v>43139</v>
      </c>
      <c r="E5891">
        <v>6</v>
      </c>
      <c r="G5891" s="2">
        <v>43139</v>
      </c>
      <c r="H5891">
        <v>6.6150000000000002</v>
      </c>
      <c r="J5891" s="2">
        <v>43146</v>
      </c>
      <c r="K5891" s="3">
        <f t="shared" ref="K5891:K5954" si="184">E5898</f>
        <v>6</v>
      </c>
      <c r="L5891" s="3">
        <f t="shared" ref="L5891:L5954" si="185">H5898</f>
        <v>6.5970000000000004</v>
      </c>
    </row>
    <row r="5892" spans="1:12" x14ac:dyDescent="0.3">
      <c r="A5892" s="2">
        <v>42409</v>
      </c>
      <c r="B5892" t="s">
        <v>13</v>
      </c>
      <c r="D5892" s="2">
        <v>43140</v>
      </c>
      <c r="E5892">
        <v>6</v>
      </c>
      <c r="G5892" s="2">
        <v>43140</v>
      </c>
      <c r="H5892">
        <v>6.641</v>
      </c>
      <c r="J5892" s="2">
        <v>43147</v>
      </c>
      <c r="K5892" s="3">
        <f t="shared" si="184"/>
        <v>6</v>
      </c>
      <c r="L5892" s="3">
        <f t="shared" si="185"/>
        <v>6.6130000000000004</v>
      </c>
    </row>
    <row r="5893" spans="1:12" x14ac:dyDescent="0.3">
      <c r="A5893" s="2">
        <v>42410</v>
      </c>
      <c r="B5893" t="s">
        <v>13</v>
      </c>
      <c r="D5893" s="2">
        <v>43141</v>
      </c>
      <c r="E5893">
        <v>6</v>
      </c>
      <c r="G5893" s="2">
        <v>43141</v>
      </c>
      <c r="H5893">
        <v>6.641</v>
      </c>
      <c r="J5893" s="2">
        <v>43148</v>
      </c>
      <c r="K5893" s="3">
        <f t="shared" si="184"/>
        <v>6</v>
      </c>
      <c r="L5893" s="3">
        <f t="shared" si="185"/>
        <v>6.6130000000000004</v>
      </c>
    </row>
    <row r="5894" spans="1:12" x14ac:dyDescent="0.3">
      <c r="A5894" s="2">
        <v>42411</v>
      </c>
      <c r="B5894" t="s">
        <v>13</v>
      </c>
      <c r="D5894" s="2">
        <v>43142</v>
      </c>
      <c r="E5894">
        <v>6</v>
      </c>
      <c r="G5894" s="2">
        <v>43142</v>
      </c>
      <c r="H5894">
        <v>6.641</v>
      </c>
      <c r="J5894" s="2">
        <v>43149</v>
      </c>
      <c r="K5894" s="3">
        <f t="shared" si="184"/>
        <v>6</v>
      </c>
      <c r="L5894" s="3">
        <f t="shared" si="185"/>
        <v>6.6130000000000004</v>
      </c>
    </row>
    <row r="5895" spans="1:12" x14ac:dyDescent="0.3">
      <c r="A5895" s="2">
        <v>42412</v>
      </c>
      <c r="B5895" t="s">
        <v>13</v>
      </c>
      <c r="D5895" s="2">
        <v>43143</v>
      </c>
      <c r="E5895">
        <v>6</v>
      </c>
      <c r="G5895" s="2">
        <v>43143</v>
      </c>
      <c r="H5895">
        <v>6.6</v>
      </c>
      <c r="J5895" s="2">
        <v>43150</v>
      </c>
      <c r="K5895" s="3">
        <f t="shared" si="184"/>
        <v>6</v>
      </c>
      <c r="L5895" s="3">
        <f t="shared" si="185"/>
        <v>6.6130000000000004</v>
      </c>
    </row>
    <row r="5896" spans="1:12" x14ac:dyDescent="0.3">
      <c r="A5896" s="2">
        <v>42413</v>
      </c>
      <c r="B5896" t="s">
        <v>13</v>
      </c>
      <c r="D5896" s="2">
        <v>43144</v>
      </c>
      <c r="E5896">
        <v>6</v>
      </c>
      <c r="G5896" s="2">
        <v>43144</v>
      </c>
      <c r="H5896">
        <v>6.6</v>
      </c>
      <c r="J5896" s="2">
        <v>43151</v>
      </c>
      <c r="K5896" s="3">
        <f t="shared" si="184"/>
        <v>6</v>
      </c>
      <c r="L5896" s="3">
        <f t="shared" si="185"/>
        <v>6.6479999999999997</v>
      </c>
    </row>
    <row r="5897" spans="1:12" x14ac:dyDescent="0.3">
      <c r="A5897" s="2">
        <v>42414</v>
      </c>
      <c r="B5897" t="s">
        <v>13</v>
      </c>
      <c r="D5897" s="2">
        <v>43145</v>
      </c>
      <c r="E5897">
        <v>6</v>
      </c>
      <c r="G5897" s="2">
        <v>43145</v>
      </c>
      <c r="H5897">
        <v>6.5819999999999999</v>
      </c>
      <c r="J5897" s="2">
        <v>43152</v>
      </c>
      <c r="K5897" s="3">
        <f t="shared" si="184"/>
        <v>6</v>
      </c>
      <c r="L5897" s="3">
        <f t="shared" si="185"/>
        <v>6.6550000000000002</v>
      </c>
    </row>
    <row r="5898" spans="1:12" x14ac:dyDescent="0.3">
      <c r="A5898" s="2">
        <v>42415</v>
      </c>
      <c r="B5898" t="s">
        <v>13</v>
      </c>
      <c r="D5898" s="2">
        <v>43146</v>
      </c>
      <c r="E5898">
        <v>6</v>
      </c>
      <c r="G5898" s="2">
        <v>43146</v>
      </c>
      <c r="H5898">
        <v>6.5970000000000004</v>
      </c>
      <c r="J5898" s="2">
        <v>43153</v>
      </c>
      <c r="K5898" s="3">
        <f t="shared" si="184"/>
        <v>6</v>
      </c>
      <c r="L5898" s="3">
        <f t="shared" si="185"/>
        <v>6.657</v>
      </c>
    </row>
    <row r="5899" spans="1:12" x14ac:dyDescent="0.3">
      <c r="A5899" s="2">
        <v>42416</v>
      </c>
      <c r="B5899" t="s">
        <v>13</v>
      </c>
      <c r="D5899" s="2">
        <v>43147</v>
      </c>
      <c r="E5899">
        <v>6</v>
      </c>
      <c r="G5899" s="2">
        <v>43147</v>
      </c>
      <c r="H5899">
        <v>6.6130000000000004</v>
      </c>
      <c r="J5899" s="2">
        <v>43154</v>
      </c>
      <c r="K5899" s="3">
        <f t="shared" si="184"/>
        <v>6</v>
      </c>
      <c r="L5899" s="3">
        <f t="shared" si="185"/>
        <v>6.6609999999999996</v>
      </c>
    </row>
    <row r="5900" spans="1:12" x14ac:dyDescent="0.3">
      <c r="A5900" s="2">
        <v>42417</v>
      </c>
      <c r="B5900" t="s">
        <v>13</v>
      </c>
      <c r="D5900" s="2">
        <v>43148</v>
      </c>
      <c r="E5900">
        <v>6</v>
      </c>
      <c r="G5900" s="2">
        <v>43148</v>
      </c>
      <c r="H5900">
        <v>6.6130000000000004</v>
      </c>
      <c r="J5900" s="2">
        <v>43155</v>
      </c>
      <c r="K5900" s="3">
        <f t="shared" si="184"/>
        <v>6</v>
      </c>
      <c r="L5900" s="3">
        <f t="shared" si="185"/>
        <v>6.6609999999999996</v>
      </c>
    </row>
    <row r="5901" spans="1:12" x14ac:dyDescent="0.3">
      <c r="A5901" s="2">
        <v>42418</v>
      </c>
      <c r="B5901" t="s">
        <v>13</v>
      </c>
      <c r="D5901" s="2">
        <v>43149</v>
      </c>
      <c r="E5901">
        <v>6</v>
      </c>
      <c r="G5901" s="2">
        <v>43149</v>
      </c>
      <c r="H5901">
        <v>6.6130000000000004</v>
      </c>
      <c r="J5901" s="2">
        <v>43156</v>
      </c>
      <c r="K5901" s="3">
        <f t="shared" si="184"/>
        <v>6</v>
      </c>
      <c r="L5901" s="3">
        <f t="shared" si="185"/>
        <v>6.6609999999999996</v>
      </c>
    </row>
    <row r="5902" spans="1:12" x14ac:dyDescent="0.3">
      <c r="A5902" s="2">
        <v>42419</v>
      </c>
      <c r="B5902" t="s">
        <v>13</v>
      </c>
      <c r="D5902" s="2">
        <v>43150</v>
      </c>
      <c r="E5902">
        <v>6</v>
      </c>
      <c r="G5902" s="2">
        <v>43150</v>
      </c>
      <c r="H5902">
        <v>6.6130000000000004</v>
      </c>
      <c r="J5902" s="2">
        <v>43157</v>
      </c>
      <c r="K5902" s="3">
        <f t="shared" si="184"/>
        <v>6</v>
      </c>
      <c r="L5902" s="3">
        <f t="shared" si="185"/>
        <v>6.6769999999999996</v>
      </c>
    </row>
    <row r="5903" spans="1:12" x14ac:dyDescent="0.3">
      <c r="A5903" s="2">
        <v>42420</v>
      </c>
      <c r="B5903" t="s">
        <v>13</v>
      </c>
      <c r="D5903" s="2">
        <v>43151</v>
      </c>
      <c r="E5903">
        <v>6</v>
      </c>
      <c r="G5903" s="2">
        <v>43151</v>
      </c>
      <c r="H5903">
        <v>6.6479999999999997</v>
      </c>
      <c r="J5903" s="2">
        <v>43158</v>
      </c>
      <c r="K5903" s="3">
        <f t="shared" si="184"/>
        <v>6</v>
      </c>
      <c r="L5903" s="3">
        <f t="shared" si="185"/>
        <v>6.6589999999999998</v>
      </c>
    </row>
    <row r="5904" spans="1:12" x14ac:dyDescent="0.3">
      <c r="A5904" s="2">
        <v>42421</v>
      </c>
      <c r="B5904" t="s">
        <v>13</v>
      </c>
      <c r="D5904" s="2">
        <v>43152</v>
      </c>
      <c r="E5904">
        <v>6</v>
      </c>
      <c r="G5904" s="2">
        <v>43152</v>
      </c>
      <c r="H5904">
        <v>6.6550000000000002</v>
      </c>
      <c r="J5904" s="2">
        <v>43159</v>
      </c>
      <c r="K5904" s="3">
        <f t="shared" si="184"/>
        <v>6</v>
      </c>
      <c r="L5904" s="3">
        <f t="shared" si="185"/>
        <v>6.6829999999999998</v>
      </c>
    </row>
    <row r="5905" spans="1:12" x14ac:dyDescent="0.3">
      <c r="A5905" s="2">
        <v>42422</v>
      </c>
      <c r="B5905" t="s">
        <v>13</v>
      </c>
      <c r="D5905" s="2">
        <v>43153</v>
      </c>
      <c r="E5905">
        <v>6</v>
      </c>
      <c r="G5905" s="2">
        <v>43153</v>
      </c>
      <c r="H5905">
        <v>6.657</v>
      </c>
      <c r="J5905" s="2">
        <v>43160</v>
      </c>
      <c r="K5905" s="3">
        <f t="shared" si="184"/>
        <v>6</v>
      </c>
      <c r="L5905" s="3">
        <f t="shared" si="185"/>
        <v>6.7130000000000001</v>
      </c>
    </row>
    <row r="5906" spans="1:12" x14ac:dyDescent="0.3">
      <c r="A5906" s="2">
        <v>42423</v>
      </c>
      <c r="B5906" t="s">
        <v>13</v>
      </c>
      <c r="D5906" s="2">
        <v>43154</v>
      </c>
      <c r="E5906">
        <v>6</v>
      </c>
      <c r="G5906" s="2">
        <v>43154</v>
      </c>
      <c r="H5906">
        <v>6.6609999999999996</v>
      </c>
      <c r="J5906" s="2">
        <v>43161</v>
      </c>
      <c r="K5906" s="3">
        <f t="shared" si="184"/>
        <v>6</v>
      </c>
      <c r="L5906" s="3">
        <f t="shared" si="185"/>
        <v>6.7130000000000001</v>
      </c>
    </row>
    <row r="5907" spans="1:12" x14ac:dyDescent="0.3">
      <c r="A5907" s="2">
        <v>42424</v>
      </c>
      <c r="B5907" t="s">
        <v>13</v>
      </c>
      <c r="D5907" s="2">
        <v>43155</v>
      </c>
      <c r="E5907">
        <v>6</v>
      </c>
      <c r="G5907" s="2">
        <v>43155</v>
      </c>
      <c r="H5907">
        <v>6.6609999999999996</v>
      </c>
      <c r="J5907" s="2">
        <v>43162</v>
      </c>
      <c r="K5907" s="3">
        <f t="shared" si="184"/>
        <v>6</v>
      </c>
      <c r="L5907" s="3">
        <f t="shared" si="185"/>
        <v>6.7130000000000001</v>
      </c>
    </row>
    <row r="5908" spans="1:12" x14ac:dyDescent="0.3">
      <c r="A5908" s="2">
        <v>42425</v>
      </c>
      <c r="B5908" t="s">
        <v>13</v>
      </c>
      <c r="D5908" s="2">
        <v>43156</v>
      </c>
      <c r="E5908">
        <v>6</v>
      </c>
      <c r="G5908" s="2">
        <v>43156</v>
      </c>
      <c r="H5908">
        <v>6.6609999999999996</v>
      </c>
      <c r="J5908" s="2">
        <v>43163</v>
      </c>
      <c r="K5908" s="3">
        <f t="shared" si="184"/>
        <v>6</v>
      </c>
      <c r="L5908" s="3">
        <f t="shared" si="185"/>
        <v>6.7130000000000001</v>
      </c>
    </row>
    <row r="5909" spans="1:12" x14ac:dyDescent="0.3">
      <c r="A5909" s="2">
        <v>42426</v>
      </c>
      <c r="B5909" t="s">
        <v>13</v>
      </c>
      <c r="D5909" s="2">
        <v>43157</v>
      </c>
      <c r="E5909">
        <v>6</v>
      </c>
      <c r="G5909" s="2">
        <v>43157</v>
      </c>
      <c r="H5909">
        <v>6.6769999999999996</v>
      </c>
      <c r="J5909" s="2">
        <v>43164</v>
      </c>
      <c r="K5909" s="3">
        <f t="shared" si="184"/>
        <v>6</v>
      </c>
      <c r="L5909" s="3">
        <f t="shared" si="185"/>
        <v>6.6870000000000003</v>
      </c>
    </row>
    <row r="5910" spans="1:12" x14ac:dyDescent="0.3">
      <c r="A5910" s="2">
        <v>42427</v>
      </c>
      <c r="B5910" t="s">
        <v>13</v>
      </c>
      <c r="D5910" s="2">
        <v>43158</v>
      </c>
      <c r="E5910">
        <v>6</v>
      </c>
      <c r="G5910" s="2">
        <v>43158</v>
      </c>
      <c r="H5910">
        <v>6.6589999999999998</v>
      </c>
      <c r="J5910" s="2">
        <v>43165</v>
      </c>
      <c r="K5910" s="3">
        <f t="shared" si="184"/>
        <v>6</v>
      </c>
      <c r="L5910" s="3">
        <f t="shared" si="185"/>
        <v>6.7140000000000004</v>
      </c>
    </row>
    <row r="5911" spans="1:12" x14ac:dyDescent="0.3">
      <c r="A5911" s="2">
        <v>42428</v>
      </c>
      <c r="B5911" t="s">
        <v>13</v>
      </c>
      <c r="D5911" s="2">
        <v>43159</v>
      </c>
      <c r="E5911">
        <v>6</v>
      </c>
      <c r="G5911" s="2">
        <v>43159</v>
      </c>
      <c r="H5911">
        <v>6.6829999999999998</v>
      </c>
      <c r="J5911" s="2">
        <v>43166</v>
      </c>
      <c r="K5911" s="3">
        <f t="shared" si="184"/>
        <v>6</v>
      </c>
      <c r="L5911" s="3">
        <f t="shared" si="185"/>
        <v>6.6950000000000003</v>
      </c>
    </row>
    <row r="5912" spans="1:12" x14ac:dyDescent="0.3">
      <c r="A5912" s="2">
        <v>42429</v>
      </c>
      <c r="B5912" t="s">
        <v>13</v>
      </c>
      <c r="D5912" s="2">
        <v>43160</v>
      </c>
      <c r="E5912">
        <v>6</v>
      </c>
      <c r="G5912" s="2">
        <v>43160</v>
      </c>
      <c r="H5912">
        <v>6.7130000000000001</v>
      </c>
      <c r="J5912" s="2">
        <v>43167</v>
      </c>
      <c r="K5912" s="3">
        <f t="shared" si="184"/>
        <v>6</v>
      </c>
      <c r="L5912" s="3">
        <f t="shared" si="185"/>
        <v>6.6849999999999996</v>
      </c>
    </row>
    <row r="5913" spans="1:12" x14ac:dyDescent="0.3">
      <c r="A5913" s="2">
        <v>42430</v>
      </c>
      <c r="B5913" t="s">
        <v>13</v>
      </c>
      <c r="D5913" s="2">
        <v>43161</v>
      </c>
      <c r="E5913">
        <v>6</v>
      </c>
      <c r="G5913" s="2">
        <v>43161</v>
      </c>
      <c r="H5913">
        <v>6.7130000000000001</v>
      </c>
      <c r="J5913" s="2">
        <v>43168</v>
      </c>
      <c r="K5913" s="3">
        <f t="shared" si="184"/>
        <v>6</v>
      </c>
      <c r="L5913" s="3">
        <f t="shared" si="185"/>
        <v>6.6879999999999997</v>
      </c>
    </row>
    <row r="5914" spans="1:12" x14ac:dyDescent="0.3">
      <c r="A5914" s="2">
        <v>42431</v>
      </c>
      <c r="B5914" t="s">
        <v>13</v>
      </c>
      <c r="D5914" s="2">
        <v>43162</v>
      </c>
      <c r="E5914">
        <v>6</v>
      </c>
      <c r="G5914" s="2">
        <v>43162</v>
      </c>
      <c r="H5914">
        <v>6.7130000000000001</v>
      </c>
      <c r="J5914" s="2">
        <v>43169</v>
      </c>
      <c r="K5914" s="3">
        <f t="shared" si="184"/>
        <v>6</v>
      </c>
      <c r="L5914" s="3">
        <f t="shared" si="185"/>
        <v>6.6879999999999997</v>
      </c>
    </row>
    <row r="5915" spans="1:12" x14ac:dyDescent="0.3">
      <c r="A5915" s="2">
        <v>42432</v>
      </c>
      <c r="B5915" t="s">
        <v>13</v>
      </c>
      <c r="D5915" s="2">
        <v>43163</v>
      </c>
      <c r="E5915">
        <v>6</v>
      </c>
      <c r="G5915" s="2">
        <v>43163</v>
      </c>
      <c r="H5915">
        <v>6.7130000000000001</v>
      </c>
      <c r="J5915" s="2">
        <v>43170</v>
      </c>
      <c r="K5915" s="3">
        <f t="shared" si="184"/>
        <v>6</v>
      </c>
      <c r="L5915" s="3">
        <f t="shared" si="185"/>
        <v>6.6879999999999997</v>
      </c>
    </row>
    <row r="5916" spans="1:12" x14ac:dyDescent="0.3">
      <c r="A5916" s="2">
        <v>42433</v>
      </c>
      <c r="B5916" t="s">
        <v>13</v>
      </c>
      <c r="D5916" s="2">
        <v>43164</v>
      </c>
      <c r="E5916">
        <v>6</v>
      </c>
      <c r="G5916" s="2">
        <v>43164</v>
      </c>
      <c r="H5916">
        <v>6.6870000000000003</v>
      </c>
      <c r="J5916" s="2">
        <v>43171</v>
      </c>
      <c r="K5916" s="3">
        <f t="shared" si="184"/>
        <v>6</v>
      </c>
      <c r="L5916" s="3">
        <f t="shared" si="185"/>
        <v>6.63</v>
      </c>
    </row>
    <row r="5917" spans="1:12" x14ac:dyDescent="0.3">
      <c r="A5917" s="2">
        <v>42434</v>
      </c>
      <c r="B5917" t="s">
        <v>13</v>
      </c>
      <c r="D5917" s="2">
        <v>43165</v>
      </c>
      <c r="E5917">
        <v>6</v>
      </c>
      <c r="G5917" s="2">
        <v>43165</v>
      </c>
      <c r="H5917">
        <v>6.7140000000000004</v>
      </c>
      <c r="J5917" s="2">
        <v>43172</v>
      </c>
      <c r="K5917" s="3">
        <f t="shared" si="184"/>
        <v>6</v>
      </c>
      <c r="L5917" s="3">
        <f t="shared" si="185"/>
        <v>6.6319999999999997</v>
      </c>
    </row>
    <row r="5918" spans="1:12" x14ac:dyDescent="0.3">
      <c r="A5918" s="2">
        <v>42435</v>
      </c>
      <c r="B5918" t="s">
        <v>13</v>
      </c>
      <c r="D5918" s="2">
        <v>43166</v>
      </c>
      <c r="E5918">
        <v>6</v>
      </c>
      <c r="G5918" s="2">
        <v>43166</v>
      </c>
      <c r="H5918">
        <v>6.6950000000000003</v>
      </c>
      <c r="J5918" s="2">
        <v>43173</v>
      </c>
      <c r="K5918" s="3">
        <f t="shared" si="184"/>
        <v>6</v>
      </c>
      <c r="L5918" s="3">
        <f t="shared" si="185"/>
        <v>6.6239999999999997</v>
      </c>
    </row>
    <row r="5919" spans="1:12" x14ac:dyDescent="0.3">
      <c r="A5919" s="2">
        <v>42436</v>
      </c>
      <c r="B5919" t="s">
        <v>13</v>
      </c>
      <c r="D5919" s="2">
        <v>43167</v>
      </c>
      <c r="E5919">
        <v>6</v>
      </c>
      <c r="G5919" s="2">
        <v>43167</v>
      </c>
      <c r="H5919">
        <v>6.6849999999999996</v>
      </c>
      <c r="J5919" s="2">
        <v>43174</v>
      </c>
      <c r="K5919" s="3">
        <f t="shared" si="184"/>
        <v>6</v>
      </c>
      <c r="L5919" s="3">
        <f t="shared" si="185"/>
        <v>6.516</v>
      </c>
    </row>
    <row r="5920" spans="1:12" x14ac:dyDescent="0.3">
      <c r="A5920" s="2">
        <v>42437</v>
      </c>
      <c r="B5920" t="s">
        <v>13</v>
      </c>
      <c r="D5920" s="2">
        <v>43168</v>
      </c>
      <c r="E5920">
        <v>6</v>
      </c>
      <c r="G5920" s="2">
        <v>43168</v>
      </c>
      <c r="H5920">
        <v>6.6879999999999997</v>
      </c>
      <c r="J5920" s="2">
        <v>43175</v>
      </c>
      <c r="K5920" s="3">
        <f t="shared" si="184"/>
        <v>6</v>
      </c>
      <c r="L5920" s="3">
        <f t="shared" si="185"/>
        <v>6.6040000000000001</v>
      </c>
    </row>
    <row r="5921" spans="1:12" x14ac:dyDescent="0.3">
      <c r="A5921" s="2">
        <v>42438</v>
      </c>
      <c r="B5921" t="s">
        <v>13</v>
      </c>
      <c r="D5921" s="2">
        <v>43169</v>
      </c>
      <c r="E5921">
        <v>6</v>
      </c>
      <c r="G5921" s="2">
        <v>43169</v>
      </c>
      <c r="H5921">
        <v>6.6879999999999997</v>
      </c>
      <c r="J5921" s="2">
        <v>43176</v>
      </c>
      <c r="K5921" s="3">
        <f t="shared" si="184"/>
        <v>6</v>
      </c>
      <c r="L5921" s="3">
        <f t="shared" si="185"/>
        <v>6.6040000000000001</v>
      </c>
    </row>
    <row r="5922" spans="1:12" x14ac:dyDescent="0.3">
      <c r="A5922" s="2">
        <v>42439</v>
      </c>
      <c r="B5922" t="s">
        <v>13</v>
      </c>
      <c r="D5922" s="2">
        <v>43170</v>
      </c>
      <c r="E5922">
        <v>6</v>
      </c>
      <c r="G5922" s="2">
        <v>43170</v>
      </c>
      <c r="H5922">
        <v>6.6879999999999997</v>
      </c>
      <c r="J5922" s="2">
        <v>43177</v>
      </c>
      <c r="K5922" s="3">
        <f t="shared" si="184"/>
        <v>6</v>
      </c>
      <c r="L5922" s="3">
        <f t="shared" si="185"/>
        <v>6.6040000000000001</v>
      </c>
    </row>
    <row r="5923" spans="1:12" x14ac:dyDescent="0.3">
      <c r="A5923" s="2">
        <v>42440</v>
      </c>
      <c r="B5923" t="s">
        <v>13</v>
      </c>
      <c r="D5923" s="2">
        <v>43171</v>
      </c>
      <c r="E5923">
        <v>6</v>
      </c>
      <c r="G5923" s="2">
        <v>43171</v>
      </c>
      <c r="H5923">
        <v>6.63</v>
      </c>
      <c r="J5923" s="2">
        <v>43178</v>
      </c>
      <c r="K5923" s="3">
        <f t="shared" si="184"/>
        <v>6</v>
      </c>
      <c r="L5923" s="3">
        <f t="shared" si="185"/>
        <v>6.524</v>
      </c>
    </row>
    <row r="5924" spans="1:12" x14ac:dyDescent="0.3">
      <c r="A5924" s="2">
        <v>42441</v>
      </c>
      <c r="B5924" t="s">
        <v>13</v>
      </c>
      <c r="D5924" s="2">
        <v>43172</v>
      </c>
      <c r="E5924">
        <v>6</v>
      </c>
      <c r="G5924" s="2">
        <v>43172</v>
      </c>
      <c r="H5924">
        <v>6.6319999999999997</v>
      </c>
      <c r="J5924" s="2">
        <v>43179</v>
      </c>
      <c r="K5924" s="3">
        <f t="shared" si="184"/>
        <v>6</v>
      </c>
      <c r="L5924" s="3">
        <f t="shared" si="185"/>
        <v>6.5250000000000004</v>
      </c>
    </row>
    <row r="5925" spans="1:12" x14ac:dyDescent="0.3">
      <c r="A5925" s="2">
        <v>42442</v>
      </c>
      <c r="B5925" t="s">
        <v>13</v>
      </c>
      <c r="D5925" s="2">
        <v>43173</v>
      </c>
      <c r="E5925">
        <v>6</v>
      </c>
      <c r="G5925" s="2">
        <v>43173</v>
      </c>
      <c r="H5925">
        <v>6.6239999999999997</v>
      </c>
      <c r="J5925" s="2">
        <v>43180</v>
      </c>
      <c r="K5925" s="3">
        <f t="shared" si="184"/>
        <v>6</v>
      </c>
      <c r="L5925" s="3">
        <f t="shared" si="185"/>
        <v>6.5759999999999996</v>
      </c>
    </row>
    <row r="5926" spans="1:12" x14ac:dyDescent="0.3">
      <c r="A5926" s="2">
        <v>42443</v>
      </c>
      <c r="B5926" t="s">
        <v>13</v>
      </c>
      <c r="D5926" s="2">
        <v>43174</v>
      </c>
      <c r="E5926">
        <v>6</v>
      </c>
      <c r="G5926" s="2">
        <v>43174</v>
      </c>
      <c r="H5926">
        <v>6.516</v>
      </c>
      <c r="J5926" s="2">
        <v>43181</v>
      </c>
      <c r="K5926" s="3">
        <f t="shared" si="184"/>
        <v>6</v>
      </c>
      <c r="L5926" s="3">
        <f t="shared" si="185"/>
        <v>6.5739999999999998</v>
      </c>
    </row>
    <row r="5927" spans="1:12" x14ac:dyDescent="0.3">
      <c r="A5927" s="2">
        <v>42444</v>
      </c>
      <c r="B5927" t="s">
        <v>13</v>
      </c>
      <c r="D5927" s="2">
        <v>43175</v>
      </c>
      <c r="E5927">
        <v>6</v>
      </c>
      <c r="G5927" s="2">
        <v>43175</v>
      </c>
      <c r="H5927">
        <v>6.6040000000000001</v>
      </c>
      <c r="J5927" s="2">
        <v>43182</v>
      </c>
      <c r="K5927" s="3">
        <f t="shared" si="184"/>
        <v>6</v>
      </c>
      <c r="L5927" s="3">
        <f t="shared" si="185"/>
        <v>6.5410000000000004</v>
      </c>
    </row>
    <row r="5928" spans="1:12" x14ac:dyDescent="0.3">
      <c r="A5928" s="2">
        <v>42445</v>
      </c>
      <c r="B5928" t="s">
        <v>13</v>
      </c>
      <c r="D5928" s="2">
        <v>43176</v>
      </c>
      <c r="E5928">
        <v>6</v>
      </c>
      <c r="G5928" s="2">
        <v>43176</v>
      </c>
      <c r="H5928">
        <v>6.6040000000000001</v>
      </c>
      <c r="J5928" s="2">
        <v>43183</v>
      </c>
      <c r="K5928" s="3">
        <f t="shared" si="184"/>
        <v>6</v>
      </c>
      <c r="L5928" s="3">
        <f t="shared" si="185"/>
        <v>6.5410000000000004</v>
      </c>
    </row>
    <row r="5929" spans="1:12" x14ac:dyDescent="0.3">
      <c r="A5929" s="2">
        <v>42446</v>
      </c>
      <c r="B5929" t="s">
        <v>13</v>
      </c>
      <c r="D5929" s="2">
        <v>43177</v>
      </c>
      <c r="E5929">
        <v>6</v>
      </c>
      <c r="G5929" s="2">
        <v>43177</v>
      </c>
      <c r="H5929">
        <v>6.6040000000000001</v>
      </c>
      <c r="J5929" s="2">
        <v>43184</v>
      </c>
      <c r="K5929" s="3">
        <f t="shared" si="184"/>
        <v>6</v>
      </c>
      <c r="L5929" s="3">
        <f t="shared" si="185"/>
        <v>6.5410000000000004</v>
      </c>
    </row>
    <row r="5930" spans="1:12" x14ac:dyDescent="0.3">
      <c r="A5930" s="2">
        <v>42447</v>
      </c>
      <c r="B5930" t="s">
        <v>13</v>
      </c>
      <c r="D5930" s="2">
        <v>43178</v>
      </c>
      <c r="E5930">
        <v>6</v>
      </c>
      <c r="G5930" s="2">
        <v>43178</v>
      </c>
      <c r="H5930">
        <v>6.524</v>
      </c>
      <c r="J5930" s="2">
        <v>43185</v>
      </c>
      <c r="K5930" s="3">
        <f t="shared" si="184"/>
        <v>6</v>
      </c>
      <c r="L5930" s="3">
        <f t="shared" si="185"/>
        <v>6.5460000000000003</v>
      </c>
    </row>
    <row r="5931" spans="1:12" x14ac:dyDescent="0.3">
      <c r="A5931" s="2">
        <v>42448</v>
      </c>
      <c r="B5931" t="s">
        <v>13</v>
      </c>
      <c r="D5931" s="2">
        <v>43179</v>
      </c>
      <c r="E5931">
        <v>6</v>
      </c>
      <c r="G5931" s="2">
        <v>43179</v>
      </c>
      <c r="H5931">
        <v>6.5250000000000004</v>
      </c>
      <c r="J5931" s="2">
        <v>43186</v>
      </c>
      <c r="K5931" s="3">
        <f t="shared" si="184"/>
        <v>6</v>
      </c>
      <c r="L5931" s="3">
        <f t="shared" si="185"/>
        <v>6.4729999999999999</v>
      </c>
    </row>
    <row r="5932" spans="1:12" x14ac:dyDescent="0.3">
      <c r="A5932" s="2">
        <v>42449</v>
      </c>
      <c r="B5932" t="s">
        <v>13</v>
      </c>
      <c r="D5932" s="2">
        <v>43180</v>
      </c>
      <c r="E5932">
        <v>6</v>
      </c>
      <c r="G5932" s="2">
        <v>43180</v>
      </c>
      <c r="H5932">
        <v>6.5759999999999996</v>
      </c>
      <c r="J5932" s="2">
        <v>43187</v>
      </c>
      <c r="K5932" s="3">
        <f t="shared" si="184"/>
        <v>6</v>
      </c>
      <c r="L5932" s="3">
        <f t="shared" si="185"/>
        <v>6.4480000000000004</v>
      </c>
    </row>
    <row r="5933" spans="1:12" x14ac:dyDescent="0.3">
      <c r="A5933" s="2">
        <v>42450</v>
      </c>
      <c r="B5933" t="s">
        <v>13</v>
      </c>
      <c r="D5933" s="2">
        <v>43181</v>
      </c>
      <c r="E5933">
        <v>6</v>
      </c>
      <c r="G5933" s="2">
        <v>43181</v>
      </c>
      <c r="H5933">
        <v>6.5739999999999998</v>
      </c>
      <c r="J5933" s="2">
        <v>43188</v>
      </c>
      <c r="K5933" s="3">
        <f t="shared" si="184"/>
        <v>6</v>
      </c>
      <c r="L5933" s="3">
        <f t="shared" si="185"/>
        <v>6.4480000000000004</v>
      </c>
    </row>
    <row r="5934" spans="1:12" x14ac:dyDescent="0.3">
      <c r="A5934" s="2">
        <v>42451</v>
      </c>
      <c r="B5934" t="s">
        <v>13</v>
      </c>
      <c r="D5934" s="2">
        <v>43182</v>
      </c>
      <c r="E5934">
        <v>6</v>
      </c>
      <c r="G5934" s="2">
        <v>43182</v>
      </c>
      <c r="H5934">
        <v>6.5410000000000004</v>
      </c>
      <c r="J5934" s="2">
        <v>43189</v>
      </c>
      <c r="K5934" s="3">
        <f t="shared" si="184"/>
        <v>6</v>
      </c>
      <c r="L5934" s="3">
        <f t="shared" si="185"/>
        <v>6.4480000000000004</v>
      </c>
    </row>
    <row r="5935" spans="1:12" x14ac:dyDescent="0.3">
      <c r="A5935" s="2">
        <v>42452</v>
      </c>
      <c r="B5935" t="s">
        <v>13</v>
      </c>
      <c r="D5935" s="2">
        <v>43183</v>
      </c>
      <c r="E5935">
        <v>6</v>
      </c>
      <c r="G5935" s="2">
        <v>43183</v>
      </c>
      <c r="H5935">
        <v>6.5410000000000004</v>
      </c>
      <c r="J5935" s="2">
        <v>43190</v>
      </c>
      <c r="K5935" s="3">
        <f t="shared" si="184"/>
        <v>6</v>
      </c>
      <c r="L5935" s="3">
        <f t="shared" si="185"/>
        <v>6.4480000000000004</v>
      </c>
    </row>
    <row r="5936" spans="1:12" x14ac:dyDescent="0.3">
      <c r="A5936" s="2">
        <v>42453</v>
      </c>
      <c r="B5936" t="s">
        <v>13</v>
      </c>
      <c r="D5936" s="2">
        <v>43184</v>
      </c>
      <c r="E5936">
        <v>6</v>
      </c>
      <c r="G5936" s="2">
        <v>43184</v>
      </c>
      <c r="H5936">
        <v>6.5410000000000004</v>
      </c>
      <c r="J5936" s="2">
        <v>43191</v>
      </c>
      <c r="K5936" s="3">
        <f t="shared" si="184"/>
        <v>6</v>
      </c>
      <c r="L5936" s="3">
        <f t="shared" si="185"/>
        <v>6.4480000000000004</v>
      </c>
    </row>
    <row r="5937" spans="1:12" x14ac:dyDescent="0.3">
      <c r="A5937" s="2">
        <v>42454</v>
      </c>
      <c r="B5937" t="s">
        <v>13</v>
      </c>
      <c r="D5937" s="2">
        <v>43185</v>
      </c>
      <c r="E5937">
        <v>6</v>
      </c>
      <c r="G5937" s="2">
        <v>43185</v>
      </c>
      <c r="H5937">
        <v>6.5460000000000003</v>
      </c>
      <c r="J5937" s="2">
        <v>43192</v>
      </c>
      <c r="K5937" s="3">
        <f t="shared" si="184"/>
        <v>6</v>
      </c>
      <c r="L5937" s="3">
        <f t="shared" si="185"/>
        <v>6.4480000000000004</v>
      </c>
    </row>
    <row r="5938" spans="1:12" x14ac:dyDescent="0.3">
      <c r="A5938" s="2">
        <v>42455</v>
      </c>
      <c r="B5938" t="s">
        <v>13</v>
      </c>
      <c r="D5938" s="2">
        <v>43186</v>
      </c>
      <c r="E5938">
        <v>6</v>
      </c>
      <c r="G5938" s="2">
        <v>43186</v>
      </c>
      <c r="H5938">
        <v>6.4729999999999999</v>
      </c>
      <c r="J5938" s="2">
        <v>43193</v>
      </c>
      <c r="K5938" s="3">
        <f t="shared" si="184"/>
        <v>6</v>
      </c>
      <c r="L5938" s="3">
        <f t="shared" si="185"/>
        <v>6.44</v>
      </c>
    </row>
    <row r="5939" spans="1:12" x14ac:dyDescent="0.3">
      <c r="A5939" s="2">
        <v>42456</v>
      </c>
      <c r="B5939" t="s">
        <v>13</v>
      </c>
      <c r="D5939" s="2">
        <v>43187</v>
      </c>
      <c r="E5939">
        <v>6</v>
      </c>
      <c r="G5939" s="2">
        <v>43187</v>
      </c>
      <c r="H5939">
        <v>6.4480000000000004</v>
      </c>
      <c r="J5939" s="2">
        <v>43194</v>
      </c>
      <c r="K5939" s="3">
        <f t="shared" si="184"/>
        <v>6</v>
      </c>
      <c r="L5939" s="3">
        <f t="shared" si="185"/>
        <v>6.431</v>
      </c>
    </row>
    <row r="5940" spans="1:12" x14ac:dyDescent="0.3">
      <c r="A5940" s="2">
        <v>42457</v>
      </c>
      <c r="B5940" t="s">
        <v>13</v>
      </c>
      <c r="D5940" s="2">
        <v>43188</v>
      </c>
      <c r="E5940">
        <v>6</v>
      </c>
      <c r="G5940" s="2">
        <v>43188</v>
      </c>
      <c r="H5940">
        <v>6.4480000000000004</v>
      </c>
      <c r="J5940" s="2">
        <v>43195</v>
      </c>
      <c r="K5940" s="3">
        <f t="shared" si="184"/>
        <v>6</v>
      </c>
      <c r="L5940" s="3">
        <f t="shared" si="185"/>
        <v>6.391</v>
      </c>
    </row>
    <row r="5941" spans="1:12" x14ac:dyDescent="0.3">
      <c r="A5941" s="2">
        <v>42458</v>
      </c>
      <c r="B5941" t="s">
        <v>13</v>
      </c>
      <c r="D5941" s="2">
        <v>43189</v>
      </c>
      <c r="E5941">
        <v>6</v>
      </c>
      <c r="G5941" s="2">
        <v>43189</v>
      </c>
      <c r="H5941">
        <v>6.4480000000000004</v>
      </c>
      <c r="J5941" s="2">
        <v>43196</v>
      </c>
      <c r="K5941" s="3">
        <f t="shared" si="184"/>
        <v>6</v>
      </c>
      <c r="L5941" s="3">
        <f t="shared" si="185"/>
        <v>6.4169999999999998</v>
      </c>
    </row>
    <row r="5942" spans="1:12" x14ac:dyDescent="0.3">
      <c r="A5942" s="2">
        <v>42459</v>
      </c>
      <c r="B5942" t="s">
        <v>13</v>
      </c>
      <c r="D5942" s="2">
        <v>43190</v>
      </c>
      <c r="E5942">
        <v>6</v>
      </c>
      <c r="G5942" s="2">
        <v>43190</v>
      </c>
      <c r="H5942">
        <v>6.4480000000000004</v>
      </c>
      <c r="J5942" s="2">
        <v>43197</v>
      </c>
      <c r="K5942" s="3">
        <f t="shared" si="184"/>
        <v>6</v>
      </c>
      <c r="L5942" s="3">
        <f t="shared" si="185"/>
        <v>6.4169999999999998</v>
      </c>
    </row>
    <row r="5943" spans="1:12" x14ac:dyDescent="0.3">
      <c r="A5943" s="2">
        <v>42460</v>
      </c>
      <c r="B5943" t="s">
        <v>13</v>
      </c>
      <c r="D5943" s="2">
        <v>43191</v>
      </c>
      <c r="E5943">
        <v>6</v>
      </c>
      <c r="G5943" s="2">
        <v>43191</v>
      </c>
      <c r="H5943">
        <v>6.4480000000000004</v>
      </c>
      <c r="J5943" s="2">
        <v>43198</v>
      </c>
      <c r="K5943" s="3">
        <f t="shared" si="184"/>
        <v>6</v>
      </c>
      <c r="L5943" s="3">
        <f t="shared" si="185"/>
        <v>6.4169999999999998</v>
      </c>
    </row>
    <row r="5944" spans="1:12" x14ac:dyDescent="0.3">
      <c r="A5944" s="2">
        <v>42461</v>
      </c>
      <c r="B5944" t="s">
        <v>13</v>
      </c>
      <c r="D5944" s="2">
        <v>43192</v>
      </c>
      <c r="E5944">
        <v>6</v>
      </c>
      <c r="G5944" s="2">
        <v>43192</v>
      </c>
      <c r="H5944">
        <v>6.4480000000000004</v>
      </c>
      <c r="J5944" s="2">
        <v>43199</v>
      </c>
      <c r="K5944" s="3">
        <f t="shared" si="184"/>
        <v>6</v>
      </c>
      <c r="L5944" s="3">
        <f t="shared" si="185"/>
        <v>6.4210000000000003</v>
      </c>
    </row>
    <row r="5945" spans="1:12" x14ac:dyDescent="0.3">
      <c r="A5945" s="2">
        <v>42462</v>
      </c>
      <c r="B5945" t="s">
        <v>13</v>
      </c>
      <c r="D5945" s="2">
        <v>43193</v>
      </c>
      <c r="E5945">
        <v>6</v>
      </c>
      <c r="G5945" s="2">
        <v>43193</v>
      </c>
      <c r="H5945">
        <v>6.44</v>
      </c>
      <c r="J5945" s="2">
        <v>43200</v>
      </c>
      <c r="K5945" s="3">
        <f t="shared" si="184"/>
        <v>6</v>
      </c>
      <c r="L5945" s="3">
        <f t="shared" si="185"/>
        <v>6.4219999999999997</v>
      </c>
    </row>
    <row r="5946" spans="1:12" x14ac:dyDescent="0.3">
      <c r="A5946" s="2">
        <v>42463</v>
      </c>
      <c r="B5946" t="s">
        <v>13</v>
      </c>
      <c r="D5946" s="2">
        <v>43194</v>
      </c>
      <c r="E5946">
        <v>6</v>
      </c>
      <c r="G5946" s="2">
        <v>43194</v>
      </c>
      <c r="H5946">
        <v>6.431</v>
      </c>
      <c r="J5946" s="2">
        <v>43201</v>
      </c>
      <c r="K5946" s="3">
        <f t="shared" si="184"/>
        <v>6</v>
      </c>
      <c r="L5946" s="3">
        <f t="shared" si="185"/>
        <v>6.5010000000000003</v>
      </c>
    </row>
    <row r="5947" spans="1:12" x14ac:dyDescent="0.3">
      <c r="A5947" s="2">
        <v>42464</v>
      </c>
      <c r="B5947" t="s">
        <v>13</v>
      </c>
      <c r="D5947" s="2">
        <v>43195</v>
      </c>
      <c r="E5947">
        <v>6</v>
      </c>
      <c r="G5947" s="2">
        <v>43195</v>
      </c>
      <c r="H5947">
        <v>6.391</v>
      </c>
      <c r="J5947" s="2">
        <v>43202</v>
      </c>
      <c r="K5947" s="3">
        <f t="shared" si="184"/>
        <v>6</v>
      </c>
      <c r="L5947" s="3">
        <f t="shared" si="185"/>
        <v>6.4509999999999996</v>
      </c>
    </row>
    <row r="5948" spans="1:12" x14ac:dyDescent="0.3">
      <c r="A5948" s="2">
        <v>42465</v>
      </c>
      <c r="B5948" t="s">
        <v>13</v>
      </c>
      <c r="D5948" s="2">
        <v>43196</v>
      </c>
      <c r="E5948">
        <v>6</v>
      </c>
      <c r="G5948" s="2">
        <v>43196</v>
      </c>
      <c r="H5948">
        <v>6.4169999999999998</v>
      </c>
      <c r="J5948" s="2">
        <v>43203</v>
      </c>
      <c r="K5948" s="3">
        <f t="shared" si="184"/>
        <v>6</v>
      </c>
      <c r="L5948" s="3">
        <f t="shared" si="185"/>
        <v>6.5</v>
      </c>
    </row>
    <row r="5949" spans="1:12" x14ac:dyDescent="0.3">
      <c r="A5949" s="2">
        <v>42466</v>
      </c>
      <c r="B5949" t="s">
        <v>13</v>
      </c>
      <c r="D5949" s="2">
        <v>43197</v>
      </c>
      <c r="E5949">
        <v>6</v>
      </c>
      <c r="G5949" s="2">
        <v>43197</v>
      </c>
      <c r="H5949">
        <v>6.4169999999999998</v>
      </c>
      <c r="J5949" s="2">
        <v>43204</v>
      </c>
      <c r="K5949" s="3">
        <f t="shared" si="184"/>
        <v>6</v>
      </c>
      <c r="L5949" s="3">
        <f t="shared" si="185"/>
        <v>6.5</v>
      </c>
    </row>
    <row r="5950" spans="1:12" x14ac:dyDescent="0.3">
      <c r="A5950" s="2">
        <v>42467</v>
      </c>
      <c r="B5950" t="s">
        <v>13</v>
      </c>
      <c r="D5950" s="2">
        <v>43198</v>
      </c>
      <c r="E5950">
        <v>6</v>
      </c>
      <c r="G5950" s="2">
        <v>43198</v>
      </c>
      <c r="H5950">
        <v>6.4169999999999998</v>
      </c>
      <c r="J5950" s="2">
        <v>43205</v>
      </c>
      <c r="K5950" s="3">
        <f t="shared" si="184"/>
        <v>6</v>
      </c>
      <c r="L5950" s="3">
        <f t="shared" si="185"/>
        <v>6.5</v>
      </c>
    </row>
    <row r="5951" spans="1:12" x14ac:dyDescent="0.3">
      <c r="A5951" s="2">
        <v>42468</v>
      </c>
      <c r="B5951" t="s">
        <v>13</v>
      </c>
      <c r="D5951" s="2">
        <v>43199</v>
      </c>
      <c r="E5951">
        <v>6</v>
      </c>
      <c r="G5951" s="2">
        <v>43199</v>
      </c>
      <c r="H5951">
        <v>6.4210000000000003</v>
      </c>
      <c r="J5951" s="2">
        <v>43206</v>
      </c>
      <c r="K5951" s="3">
        <f t="shared" si="184"/>
        <v>6</v>
      </c>
      <c r="L5951" s="3">
        <f t="shared" si="185"/>
        <v>6.4820000000000002</v>
      </c>
    </row>
    <row r="5952" spans="1:12" x14ac:dyDescent="0.3">
      <c r="A5952" s="2">
        <v>42469</v>
      </c>
      <c r="B5952" t="s">
        <v>13</v>
      </c>
      <c r="D5952" s="2">
        <v>43200</v>
      </c>
      <c r="E5952">
        <v>6</v>
      </c>
      <c r="G5952" s="2">
        <v>43200</v>
      </c>
      <c r="H5952">
        <v>6.4219999999999997</v>
      </c>
      <c r="J5952" s="2">
        <v>43207</v>
      </c>
      <c r="K5952" s="3">
        <f t="shared" si="184"/>
        <v>6</v>
      </c>
      <c r="L5952" s="3">
        <f t="shared" si="185"/>
        <v>6.5229999999999997</v>
      </c>
    </row>
    <row r="5953" spans="1:12" x14ac:dyDescent="0.3">
      <c r="A5953" s="2">
        <v>42470</v>
      </c>
      <c r="B5953" t="s">
        <v>13</v>
      </c>
      <c r="D5953" s="2">
        <v>43201</v>
      </c>
      <c r="E5953">
        <v>6</v>
      </c>
      <c r="G5953" s="2">
        <v>43201</v>
      </c>
      <c r="H5953">
        <v>6.5010000000000003</v>
      </c>
      <c r="J5953" s="2">
        <v>43208</v>
      </c>
      <c r="K5953" s="3">
        <f t="shared" si="184"/>
        <v>6</v>
      </c>
      <c r="L5953" s="3">
        <f t="shared" si="185"/>
        <v>6.5309999999999997</v>
      </c>
    </row>
    <row r="5954" spans="1:12" x14ac:dyDescent="0.3">
      <c r="A5954" s="2">
        <v>42471</v>
      </c>
      <c r="B5954" t="s">
        <v>13</v>
      </c>
      <c r="D5954" s="2">
        <v>43202</v>
      </c>
      <c r="E5954">
        <v>6</v>
      </c>
      <c r="G5954" s="2">
        <v>43202</v>
      </c>
      <c r="H5954">
        <v>6.4509999999999996</v>
      </c>
      <c r="J5954" s="2">
        <v>43209</v>
      </c>
      <c r="K5954" s="3">
        <f t="shared" si="184"/>
        <v>6</v>
      </c>
      <c r="L5954" s="3">
        <f t="shared" si="185"/>
        <v>6.6</v>
      </c>
    </row>
    <row r="5955" spans="1:12" x14ac:dyDescent="0.3">
      <c r="A5955" s="2">
        <v>42472</v>
      </c>
      <c r="B5955" t="s">
        <v>13</v>
      </c>
      <c r="D5955" s="2">
        <v>43203</v>
      </c>
      <c r="E5955">
        <v>6</v>
      </c>
      <c r="G5955" s="2">
        <v>43203</v>
      </c>
      <c r="H5955">
        <v>6.5</v>
      </c>
      <c r="J5955" s="2">
        <v>43210</v>
      </c>
      <c r="K5955" s="3">
        <f t="shared" ref="K5955:K6018" si="186">E5962</f>
        <v>6</v>
      </c>
      <c r="L5955" s="3">
        <f t="shared" ref="L5955:L6018" si="187">H5962</f>
        <v>6.6790000000000003</v>
      </c>
    </row>
    <row r="5956" spans="1:12" x14ac:dyDescent="0.3">
      <c r="A5956" s="2">
        <v>42473</v>
      </c>
      <c r="B5956" t="s">
        <v>13</v>
      </c>
      <c r="D5956" s="2">
        <v>43204</v>
      </c>
      <c r="E5956">
        <v>6</v>
      </c>
      <c r="G5956" s="2">
        <v>43204</v>
      </c>
      <c r="H5956">
        <v>6.5</v>
      </c>
      <c r="J5956" s="2">
        <v>43211</v>
      </c>
      <c r="K5956" s="3">
        <f t="shared" si="186"/>
        <v>6</v>
      </c>
      <c r="L5956" s="3">
        <f t="shared" si="187"/>
        <v>6.6790000000000003</v>
      </c>
    </row>
    <row r="5957" spans="1:12" x14ac:dyDescent="0.3">
      <c r="A5957" s="2">
        <v>42474</v>
      </c>
      <c r="B5957" t="s">
        <v>13</v>
      </c>
      <c r="D5957" s="2">
        <v>43205</v>
      </c>
      <c r="E5957">
        <v>6</v>
      </c>
      <c r="G5957" s="2">
        <v>43205</v>
      </c>
      <c r="H5957">
        <v>6.5</v>
      </c>
      <c r="J5957" s="2">
        <v>43212</v>
      </c>
      <c r="K5957" s="3">
        <f t="shared" si="186"/>
        <v>6</v>
      </c>
      <c r="L5957" s="3">
        <f t="shared" si="187"/>
        <v>6.6790000000000003</v>
      </c>
    </row>
    <row r="5958" spans="1:12" x14ac:dyDescent="0.3">
      <c r="A5958" s="2">
        <v>42475</v>
      </c>
      <c r="B5958" t="s">
        <v>13</v>
      </c>
      <c r="D5958" s="2">
        <v>43206</v>
      </c>
      <c r="E5958">
        <v>6</v>
      </c>
      <c r="G5958" s="2">
        <v>43206</v>
      </c>
      <c r="H5958">
        <v>6.4820000000000002</v>
      </c>
      <c r="J5958" s="2">
        <v>43213</v>
      </c>
      <c r="K5958" s="3">
        <f t="shared" si="186"/>
        <v>6</v>
      </c>
      <c r="L5958" s="3">
        <f t="shared" si="187"/>
        <v>6.7220000000000004</v>
      </c>
    </row>
    <row r="5959" spans="1:12" x14ac:dyDescent="0.3">
      <c r="A5959" s="2">
        <v>42476</v>
      </c>
      <c r="B5959" t="s">
        <v>13</v>
      </c>
      <c r="D5959" s="2">
        <v>43207</v>
      </c>
      <c r="E5959">
        <v>6</v>
      </c>
      <c r="G5959" s="2">
        <v>43207</v>
      </c>
      <c r="H5959">
        <v>6.5229999999999997</v>
      </c>
      <c r="J5959" s="2">
        <v>43214</v>
      </c>
      <c r="K5959" s="3">
        <f t="shared" si="186"/>
        <v>6</v>
      </c>
      <c r="L5959" s="3">
        <f t="shared" si="187"/>
        <v>6.6559999999999997</v>
      </c>
    </row>
    <row r="5960" spans="1:12" x14ac:dyDescent="0.3">
      <c r="A5960" s="2">
        <v>42477</v>
      </c>
      <c r="B5960" t="s">
        <v>13</v>
      </c>
      <c r="D5960" s="2">
        <v>43208</v>
      </c>
      <c r="E5960">
        <v>6</v>
      </c>
      <c r="G5960" s="2">
        <v>43208</v>
      </c>
      <c r="H5960">
        <v>6.5309999999999997</v>
      </c>
      <c r="J5960" s="2">
        <v>43215</v>
      </c>
      <c r="K5960" s="3">
        <f t="shared" si="186"/>
        <v>6</v>
      </c>
      <c r="L5960" s="3">
        <f t="shared" si="187"/>
        <v>6.7130000000000001</v>
      </c>
    </row>
    <row r="5961" spans="1:12" x14ac:dyDescent="0.3">
      <c r="A5961" s="2">
        <v>42478</v>
      </c>
      <c r="B5961" t="s">
        <v>13</v>
      </c>
      <c r="D5961" s="2">
        <v>43209</v>
      </c>
      <c r="E5961">
        <v>6</v>
      </c>
      <c r="G5961" s="2">
        <v>43209</v>
      </c>
      <c r="H5961">
        <v>6.6</v>
      </c>
      <c r="J5961" s="2">
        <v>43216</v>
      </c>
      <c r="K5961" s="3">
        <f t="shared" si="186"/>
        <v>6</v>
      </c>
      <c r="L5961" s="3">
        <f t="shared" si="187"/>
        <v>6.6740000000000004</v>
      </c>
    </row>
    <row r="5962" spans="1:12" x14ac:dyDescent="0.3">
      <c r="A5962" s="2">
        <v>42479</v>
      </c>
      <c r="B5962" t="s">
        <v>13</v>
      </c>
      <c r="D5962" s="2">
        <v>43210</v>
      </c>
      <c r="E5962">
        <v>6</v>
      </c>
      <c r="G5962" s="2">
        <v>43210</v>
      </c>
      <c r="H5962">
        <v>6.6790000000000003</v>
      </c>
      <c r="J5962" s="2">
        <v>43217</v>
      </c>
      <c r="K5962" s="3">
        <f t="shared" si="186"/>
        <v>6</v>
      </c>
      <c r="L5962" s="3">
        <f t="shared" si="187"/>
        <v>6.7</v>
      </c>
    </row>
    <row r="5963" spans="1:12" x14ac:dyDescent="0.3">
      <c r="A5963" s="2">
        <v>42480</v>
      </c>
      <c r="B5963" t="s">
        <v>13</v>
      </c>
      <c r="D5963" s="2">
        <v>43211</v>
      </c>
      <c r="E5963">
        <v>6</v>
      </c>
      <c r="G5963" s="2">
        <v>43211</v>
      </c>
      <c r="H5963">
        <v>6.6790000000000003</v>
      </c>
      <c r="J5963" s="2">
        <v>43218</v>
      </c>
      <c r="K5963" s="3">
        <f t="shared" si="186"/>
        <v>6</v>
      </c>
      <c r="L5963" s="3">
        <f t="shared" si="187"/>
        <v>6.7</v>
      </c>
    </row>
    <row r="5964" spans="1:12" x14ac:dyDescent="0.3">
      <c r="A5964" s="2">
        <v>42481</v>
      </c>
      <c r="B5964" t="s">
        <v>13</v>
      </c>
      <c r="D5964" s="2">
        <v>43212</v>
      </c>
      <c r="E5964">
        <v>6</v>
      </c>
      <c r="G5964" s="2">
        <v>43212</v>
      </c>
      <c r="H5964">
        <v>6.6790000000000003</v>
      </c>
      <c r="J5964" s="2">
        <v>43219</v>
      </c>
      <c r="K5964" s="3">
        <f t="shared" si="186"/>
        <v>6</v>
      </c>
      <c r="L5964" s="3">
        <f t="shared" si="187"/>
        <v>6.7</v>
      </c>
    </row>
    <row r="5965" spans="1:12" x14ac:dyDescent="0.3">
      <c r="A5965" s="2">
        <v>42482</v>
      </c>
      <c r="B5965" t="s">
        <v>13</v>
      </c>
      <c r="D5965" s="2">
        <v>43213</v>
      </c>
      <c r="E5965">
        <v>6</v>
      </c>
      <c r="G5965" s="2">
        <v>43213</v>
      </c>
      <c r="H5965">
        <v>6.7220000000000004</v>
      </c>
      <c r="J5965" s="2">
        <v>43220</v>
      </c>
      <c r="K5965" s="3">
        <f t="shared" si="186"/>
        <v>6</v>
      </c>
      <c r="L5965" s="3">
        <f t="shared" si="187"/>
        <v>6.7</v>
      </c>
    </row>
    <row r="5966" spans="1:12" x14ac:dyDescent="0.3">
      <c r="A5966" s="2">
        <v>42483</v>
      </c>
      <c r="B5966" t="s">
        <v>13</v>
      </c>
      <c r="D5966" s="2">
        <v>43214</v>
      </c>
      <c r="E5966">
        <v>6</v>
      </c>
      <c r="G5966" s="2">
        <v>43214</v>
      </c>
      <c r="H5966">
        <v>6.6559999999999997</v>
      </c>
      <c r="J5966" s="2">
        <v>43221</v>
      </c>
      <c r="K5966" s="3">
        <f t="shared" si="186"/>
        <v>6</v>
      </c>
      <c r="L5966" s="3">
        <f t="shared" si="187"/>
        <v>6.7</v>
      </c>
    </row>
    <row r="5967" spans="1:12" x14ac:dyDescent="0.3">
      <c r="A5967" s="2">
        <v>42484</v>
      </c>
      <c r="B5967" t="s">
        <v>13</v>
      </c>
      <c r="D5967" s="2">
        <v>43215</v>
      </c>
      <c r="E5967">
        <v>6</v>
      </c>
      <c r="G5967" s="2">
        <v>43215</v>
      </c>
      <c r="H5967">
        <v>6.7130000000000001</v>
      </c>
      <c r="J5967" s="2">
        <v>43222</v>
      </c>
      <c r="K5967" s="3">
        <f t="shared" si="186"/>
        <v>6</v>
      </c>
      <c r="L5967" s="3">
        <f t="shared" si="187"/>
        <v>6.7510000000000003</v>
      </c>
    </row>
    <row r="5968" spans="1:12" x14ac:dyDescent="0.3">
      <c r="A5968" s="2">
        <v>42485</v>
      </c>
      <c r="B5968" t="s">
        <v>13</v>
      </c>
      <c r="D5968" s="2">
        <v>43216</v>
      </c>
      <c r="E5968">
        <v>6</v>
      </c>
      <c r="G5968" s="2">
        <v>43216</v>
      </c>
      <c r="H5968">
        <v>6.6740000000000004</v>
      </c>
      <c r="J5968" s="2">
        <v>43223</v>
      </c>
      <c r="K5968" s="3">
        <f t="shared" si="186"/>
        <v>6</v>
      </c>
      <c r="L5968" s="3">
        <f t="shared" si="187"/>
        <v>6.774</v>
      </c>
    </row>
    <row r="5969" spans="1:12" x14ac:dyDescent="0.3">
      <c r="A5969" s="2">
        <v>42486</v>
      </c>
      <c r="B5969" t="s">
        <v>13</v>
      </c>
      <c r="D5969" s="2">
        <v>43217</v>
      </c>
      <c r="E5969">
        <v>6</v>
      </c>
      <c r="G5969" s="2">
        <v>43217</v>
      </c>
      <c r="H5969">
        <v>6.7</v>
      </c>
      <c r="J5969" s="2">
        <v>43224</v>
      </c>
      <c r="K5969" s="3">
        <f t="shared" si="186"/>
        <v>6</v>
      </c>
      <c r="L5969" s="3">
        <f t="shared" si="187"/>
        <v>6.7969999999999997</v>
      </c>
    </row>
    <row r="5970" spans="1:12" x14ac:dyDescent="0.3">
      <c r="A5970" s="2">
        <v>42487</v>
      </c>
      <c r="B5970" t="s">
        <v>13</v>
      </c>
      <c r="D5970" s="2">
        <v>43218</v>
      </c>
      <c r="E5970">
        <v>6</v>
      </c>
      <c r="G5970" s="2">
        <v>43218</v>
      </c>
      <c r="H5970">
        <v>6.7</v>
      </c>
      <c r="J5970" s="2">
        <v>43225</v>
      </c>
      <c r="K5970" s="3">
        <f t="shared" si="186"/>
        <v>6</v>
      </c>
      <c r="L5970" s="3">
        <f t="shared" si="187"/>
        <v>6.7969999999999997</v>
      </c>
    </row>
    <row r="5971" spans="1:12" x14ac:dyDescent="0.3">
      <c r="A5971" s="2">
        <v>42488</v>
      </c>
      <c r="B5971" t="s">
        <v>13</v>
      </c>
      <c r="D5971" s="2">
        <v>43219</v>
      </c>
      <c r="E5971">
        <v>6</v>
      </c>
      <c r="G5971" s="2">
        <v>43219</v>
      </c>
      <c r="H5971">
        <v>6.7</v>
      </c>
      <c r="J5971" s="2">
        <v>43226</v>
      </c>
      <c r="K5971" s="3">
        <f t="shared" si="186"/>
        <v>6</v>
      </c>
      <c r="L5971" s="3">
        <f t="shared" si="187"/>
        <v>6.7969999999999997</v>
      </c>
    </row>
    <row r="5972" spans="1:12" x14ac:dyDescent="0.3">
      <c r="A5972" s="2">
        <v>42489</v>
      </c>
      <c r="B5972" t="s">
        <v>13</v>
      </c>
      <c r="D5972" s="2">
        <v>43220</v>
      </c>
      <c r="E5972">
        <v>6</v>
      </c>
      <c r="G5972" s="2">
        <v>43220</v>
      </c>
      <c r="H5972">
        <v>6.7</v>
      </c>
      <c r="J5972" s="2">
        <v>43227</v>
      </c>
      <c r="K5972" s="3">
        <f t="shared" si="186"/>
        <v>6</v>
      </c>
      <c r="L5972" s="3">
        <f t="shared" si="187"/>
        <v>6.7430000000000003</v>
      </c>
    </row>
    <row r="5973" spans="1:12" x14ac:dyDescent="0.3">
      <c r="A5973" s="2">
        <v>42490</v>
      </c>
      <c r="B5973" t="s">
        <v>13</v>
      </c>
      <c r="D5973" s="2">
        <v>43221</v>
      </c>
      <c r="E5973">
        <v>6</v>
      </c>
      <c r="G5973" s="2">
        <v>43221</v>
      </c>
      <c r="H5973">
        <v>6.7</v>
      </c>
      <c r="J5973" s="2">
        <v>43228</v>
      </c>
      <c r="K5973" s="3">
        <f t="shared" si="186"/>
        <v>6</v>
      </c>
      <c r="L5973" s="3">
        <f t="shared" si="187"/>
        <v>6.7169999999999996</v>
      </c>
    </row>
    <row r="5974" spans="1:12" x14ac:dyDescent="0.3">
      <c r="A5974" s="2">
        <v>42491</v>
      </c>
      <c r="B5974" t="s">
        <v>13</v>
      </c>
      <c r="D5974" s="2">
        <v>43222</v>
      </c>
      <c r="E5974">
        <v>6</v>
      </c>
      <c r="G5974" s="2">
        <v>43222</v>
      </c>
      <c r="H5974">
        <v>6.7510000000000003</v>
      </c>
      <c r="J5974" s="2">
        <v>43229</v>
      </c>
      <c r="K5974" s="3">
        <f t="shared" si="186"/>
        <v>6</v>
      </c>
      <c r="L5974" s="3">
        <f t="shared" si="187"/>
        <v>6.7619999999999996</v>
      </c>
    </row>
    <row r="5975" spans="1:12" x14ac:dyDescent="0.3">
      <c r="A5975" s="2">
        <v>42492</v>
      </c>
      <c r="B5975" t="s">
        <v>13</v>
      </c>
      <c r="D5975" s="2">
        <v>43223</v>
      </c>
      <c r="E5975">
        <v>6</v>
      </c>
      <c r="G5975" s="2">
        <v>43223</v>
      </c>
      <c r="H5975">
        <v>6.774</v>
      </c>
      <c r="J5975" s="2">
        <v>43230</v>
      </c>
      <c r="K5975" s="3">
        <f t="shared" si="186"/>
        <v>6</v>
      </c>
      <c r="L5975" s="3">
        <f t="shared" si="187"/>
        <v>6.8150000000000004</v>
      </c>
    </row>
    <row r="5976" spans="1:12" x14ac:dyDescent="0.3">
      <c r="A5976" s="2">
        <v>42493</v>
      </c>
      <c r="B5976" t="s">
        <v>13</v>
      </c>
      <c r="D5976" s="2">
        <v>43224</v>
      </c>
      <c r="E5976">
        <v>6</v>
      </c>
      <c r="G5976" s="2">
        <v>43224</v>
      </c>
      <c r="H5976">
        <v>6.7969999999999997</v>
      </c>
      <c r="J5976" s="2">
        <v>43231</v>
      </c>
      <c r="K5976" s="3">
        <f t="shared" si="186"/>
        <v>6</v>
      </c>
      <c r="L5976" s="3">
        <f t="shared" si="187"/>
        <v>6.7880000000000003</v>
      </c>
    </row>
    <row r="5977" spans="1:12" x14ac:dyDescent="0.3">
      <c r="A5977" s="2">
        <v>42494</v>
      </c>
      <c r="B5977" t="s">
        <v>13</v>
      </c>
      <c r="D5977" s="2">
        <v>43225</v>
      </c>
      <c r="E5977">
        <v>6</v>
      </c>
      <c r="G5977" s="2">
        <v>43225</v>
      </c>
      <c r="H5977">
        <v>6.7969999999999997</v>
      </c>
      <c r="J5977" s="2">
        <v>43232</v>
      </c>
      <c r="K5977" s="3">
        <f t="shared" si="186"/>
        <v>6</v>
      </c>
      <c r="L5977" s="3">
        <f t="shared" si="187"/>
        <v>6.7880000000000003</v>
      </c>
    </row>
    <row r="5978" spans="1:12" x14ac:dyDescent="0.3">
      <c r="A5978" s="2">
        <v>42495</v>
      </c>
      <c r="B5978" t="s">
        <v>13</v>
      </c>
      <c r="D5978" s="2">
        <v>43226</v>
      </c>
      <c r="E5978">
        <v>6</v>
      </c>
      <c r="G5978" s="2">
        <v>43226</v>
      </c>
      <c r="H5978">
        <v>6.7969999999999997</v>
      </c>
      <c r="J5978" s="2">
        <v>43233</v>
      </c>
      <c r="K5978" s="3">
        <f t="shared" si="186"/>
        <v>6</v>
      </c>
      <c r="L5978" s="3">
        <f t="shared" si="187"/>
        <v>6.7880000000000003</v>
      </c>
    </row>
    <row r="5979" spans="1:12" x14ac:dyDescent="0.3">
      <c r="A5979" s="2">
        <v>42496</v>
      </c>
      <c r="B5979" t="s">
        <v>13</v>
      </c>
      <c r="D5979" s="2">
        <v>43227</v>
      </c>
      <c r="E5979">
        <v>6</v>
      </c>
      <c r="G5979" s="2">
        <v>43227</v>
      </c>
      <c r="H5979">
        <v>6.7430000000000003</v>
      </c>
      <c r="J5979" s="2">
        <v>43234</v>
      </c>
      <c r="K5979" s="3">
        <f t="shared" si="186"/>
        <v>6</v>
      </c>
      <c r="L5979" s="3">
        <f t="shared" si="187"/>
        <v>6.8339999999999996</v>
      </c>
    </row>
    <row r="5980" spans="1:12" x14ac:dyDescent="0.3">
      <c r="A5980" s="2">
        <v>42497</v>
      </c>
      <c r="B5980" t="s">
        <v>13</v>
      </c>
      <c r="D5980" s="2">
        <v>43228</v>
      </c>
      <c r="E5980">
        <v>6</v>
      </c>
      <c r="G5980" s="2">
        <v>43228</v>
      </c>
      <c r="H5980">
        <v>6.7169999999999996</v>
      </c>
      <c r="J5980" s="2">
        <v>43235</v>
      </c>
      <c r="K5980" s="3">
        <f t="shared" si="186"/>
        <v>6</v>
      </c>
      <c r="L5980" s="3">
        <f t="shared" si="187"/>
        <v>6.8520000000000003</v>
      </c>
    </row>
    <row r="5981" spans="1:12" x14ac:dyDescent="0.3">
      <c r="A5981" s="2">
        <v>42498</v>
      </c>
      <c r="B5981" t="s">
        <v>13</v>
      </c>
      <c r="D5981" s="2">
        <v>43229</v>
      </c>
      <c r="E5981">
        <v>6</v>
      </c>
      <c r="G5981" s="2">
        <v>43229</v>
      </c>
      <c r="H5981">
        <v>6.7619999999999996</v>
      </c>
      <c r="J5981" s="2">
        <v>43236</v>
      </c>
      <c r="K5981" s="3">
        <f t="shared" si="186"/>
        <v>6</v>
      </c>
      <c r="L5981" s="3">
        <f t="shared" si="187"/>
        <v>6.9139999999999997</v>
      </c>
    </row>
    <row r="5982" spans="1:12" x14ac:dyDescent="0.3">
      <c r="A5982" s="2">
        <v>42499</v>
      </c>
      <c r="B5982" t="s">
        <v>13</v>
      </c>
      <c r="D5982" s="2">
        <v>43230</v>
      </c>
      <c r="E5982">
        <v>6</v>
      </c>
      <c r="G5982" s="2">
        <v>43230</v>
      </c>
      <c r="H5982">
        <v>6.8150000000000004</v>
      </c>
      <c r="J5982" s="2">
        <v>43237</v>
      </c>
      <c r="K5982" s="3">
        <f t="shared" si="186"/>
        <v>6</v>
      </c>
      <c r="L5982" s="3">
        <f t="shared" si="187"/>
        <v>6.9550000000000001</v>
      </c>
    </row>
    <row r="5983" spans="1:12" x14ac:dyDescent="0.3">
      <c r="A5983" s="2">
        <v>42500</v>
      </c>
      <c r="B5983" t="s">
        <v>13</v>
      </c>
      <c r="D5983" s="2">
        <v>43231</v>
      </c>
      <c r="E5983">
        <v>6</v>
      </c>
      <c r="G5983" s="2">
        <v>43231</v>
      </c>
      <c r="H5983">
        <v>6.7880000000000003</v>
      </c>
      <c r="J5983" s="2">
        <v>43238</v>
      </c>
      <c r="K5983" s="3">
        <f t="shared" si="186"/>
        <v>6</v>
      </c>
      <c r="L5983" s="3">
        <f t="shared" si="187"/>
        <v>6.7930000000000001</v>
      </c>
    </row>
    <row r="5984" spans="1:12" x14ac:dyDescent="0.3">
      <c r="A5984" s="2">
        <v>42501</v>
      </c>
      <c r="B5984" t="s">
        <v>13</v>
      </c>
      <c r="D5984" s="2">
        <v>43232</v>
      </c>
      <c r="E5984">
        <v>6</v>
      </c>
      <c r="G5984" s="2">
        <v>43232</v>
      </c>
      <c r="H5984">
        <v>6.7880000000000003</v>
      </c>
      <c r="J5984" s="2">
        <v>43239</v>
      </c>
      <c r="K5984" s="3">
        <f t="shared" si="186"/>
        <v>6</v>
      </c>
      <c r="L5984" s="3">
        <f t="shared" si="187"/>
        <v>6.7930000000000001</v>
      </c>
    </row>
    <row r="5985" spans="1:12" x14ac:dyDescent="0.3">
      <c r="A5985" s="2">
        <v>42502</v>
      </c>
      <c r="B5985" t="s">
        <v>13</v>
      </c>
      <c r="D5985" s="2">
        <v>43233</v>
      </c>
      <c r="E5985">
        <v>6</v>
      </c>
      <c r="G5985" s="2">
        <v>43233</v>
      </c>
      <c r="H5985">
        <v>6.7880000000000003</v>
      </c>
      <c r="J5985" s="2">
        <v>43240</v>
      </c>
      <c r="K5985" s="3">
        <f t="shared" si="186"/>
        <v>6</v>
      </c>
      <c r="L5985" s="3">
        <f t="shared" si="187"/>
        <v>6.7930000000000001</v>
      </c>
    </row>
    <row r="5986" spans="1:12" x14ac:dyDescent="0.3">
      <c r="A5986" s="2">
        <v>42503</v>
      </c>
      <c r="B5986" t="s">
        <v>13</v>
      </c>
      <c r="D5986" s="2">
        <v>43234</v>
      </c>
      <c r="E5986">
        <v>6</v>
      </c>
      <c r="G5986" s="2">
        <v>43234</v>
      </c>
      <c r="H5986">
        <v>6.8339999999999996</v>
      </c>
      <c r="J5986" s="2">
        <v>43241</v>
      </c>
      <c r="K5986" s="3">
        <f t="shared" si="186"/>
        <v>6</v>
      </c>
      <c r="L5986" s="3">
        <f t="shared" si="187"/>
        <v>6.875</v>
      </c>
    </row>
    <row r="5987" spans="1:12" x14ac:dyDescent="0.3">
      <c r="A5987" s="2">
        <v>42504</v>
      </c>
      <c r="B5987" t="s">
        <v>13</v>
      </c>
      <c r="D5987" s="2">
        <v>43235</v>
      </c>
      <c r="E5987">
        <v>6</v>
      </c>
      <c r="G5987" s="2">
        <v>43235</v>
      </c>
      <c r="H5987">
        <v>6.8520000000000003</v>
      </c>
      <c r="J5987" s="2">
        <v>43242</v>
      </c>
      <c r="K5987" s="3">
        <f t="shared" si="186"/>
        <v>6</v>
      </c>
      <c r="L5987" s="3">
        <f t="shared" si="187"/>
        <v>6.9009999999999998</v>
      </c>
    </row>
    <row r="5988" spans="1:12" x14ac:dyDescent="0.3">
      <c r="A5988" s="2">
        <v>42505</v>
      </c>
      <c r="B5988" t="s">
        <v>13</v>
      </c>
      <c r="D5988" s="2">
        <v>43236</v>
      </c>
      <c r="E5988">
        <v>6</v>
      </c>
      <c r="G5988" s="2">
        <v>43236</v>
      </c>
      <c r="H5988">
        <v>6.9139999999999997</v>
      </c>
      <c r="J5988" s="2">
        <v>43243</v>
      </c>
      <c r="K5988" s="3">
        <f t="shared" si="186"/>
        <v>6</v>
      </c>
      <c r="L5988" s="3">
        <f t="shared" si="187"/>
        <v>6.9080000000000004</v>
      </c>
    </row>
    <row r="5989" spans="1:12" x14ac:dyDescent="0.3">
      <c r="A5989" s="2">
        <v>42506</v>
      </c>
      <c r="B5989" t="s">
        <v>13</v>
      </c>
      <c r="D5989" s="2">
        <v>43237</v>
      </c>
      <c r="E5989">
        <v>6</v>
      </c>
      <c r="G5989" s="2">
        <v>43237</v>
      </c>
      <c r="H5989">
        <v>6.9550000000000001</v>
      </c>
      <c r="J5989" s="2">
        <v>43244</v>
      </c>
      <c r="K5989" s="3">
        <f t="shared" si="186"/>
        <v>6</v>
      </c>
      <c r="L5989" s="3">
        <f t="shared" si="187"/>
        <v>6.9119999999999999</v>
      </c>
    </row>
    <row r="5990" spans="1:12" x14ac:dyDescent="0.3">
      <c r="A5990" s="2">
        <v>42507</v>
      </c>
      <c r="B5990" t="s">
        <v>13</v>
      </c>
      <c r="D5990" s="2">
        <v>43238</v>
      </c>
      <c r="E5990">
        <v>6</v>
      </c>
      <c r="G5990" s="2">
        <v>43238</v>
      </c>
      <c r="H5990">
        <v>6.7930000000000001</v>
      </c>
      <c r="J5990" s="2">
        <v>43245</v>
      </c>
      <c r="K5990" s="3">
        <f t="shared" si="186"/>
        <v>6</v>
      </c>
      <c r="L5990" s="3">
        <f t="shared" si="187"/>
        <v>6.88</v>
      </c>
    </row>
    <row r="5991" spans="1:12" x14ac:dyDescent="0.3">
      <c r="A5991" s="2">
        <v>42508</v>
      </c>
      <c r="B5991" t="s">
        <v>13</v>
      </c>
      <c r="D5991" s="2">
        <v>43239</v>
      </c>
      <c r="E5991">
        <v>6</v>
      </c>
      <c r="G5991" s="2">
        <v>43239</v>
      </c>
      <c r="H5991">
        <v>6.7930000000000001</v>
      </c>
      <c r="J5991" s="2">
        <v>43246</v>
      </c>
      <c r="K5991" s="3">
        <f t="shared" si="186"/>
        <v>6</v>
      </c>
      <c r="L5991" s="3">
        <f t="shared" si="187"/>
        <v>6.88</v>
      </c>
    </row>
    <row r="5992" spans="1:12" x14ac:dyDescent="0.3">
      <c r="A5992" s="2">
        <v>42509</v>
      </c>
      <c r="B5992" t="s">
        <v>13</v>
      </c>
      <c r="D5992" s="2">
        <v>43240</v>
      </c>
      <c r="E5992">
        <v>6</v>
      </c>
      <c r="G5992" s="2">
        <v>43240</v>
      </c>
      <c r="H5992">
        <v>6.7930000000000001</v>
      </c>
      <c r="J5992" s="2">
        <v>43247</v>
      </c>
      <c r="K5992" s="3">
        <f t="shared" si="186"/>
        <v>6</v>
      </c>
      <c r="L5992" s="3">
        <f t="shared" si="187"/>
        <v>6.88</v>
      </c>
    </row>
    <row r="5993" spans="1:12" x14ac:dyDescent="0.3">
      <c r="A5993" s="2">
        <v>42510</v>
      </c>
      <c r="B5993" t="s">
        <v>13</v>
      </c>
      <c r="D5993" s="2">
        <v>43241</v>
      </c>
      <c r="E5993">
        <v>6</v>
      </c>
      <c r="G5993" s="2">
        <v>43241</v>
      </c>
      <c r="H5993">
        <v>6.875</v>
      </c>
      <c r="J5993" s="2">
        <v>43248</v>
      </c>
      <c r="K5993" s="3">
        <f t="shared" si="186"/>
        <v>6</v>
      </c>
      <c r="L5993" s="3">
        <f t="shared" si="187"/>
        <v>6.915</v>
      </c>
    </row>
    <row r="5994" spans="1:12" x14ac:dyDescent="0.3">
      <c r="A5994" s="2">
        <v>42511</v>
      </c>
      <c r="B5994" t="s">
        <v>13</v>
      </c>
      <c r="D5994" s="2">
        <v>43242</v>
      </c>
      <c r="E5994">
        <v>6</v>
      </c>
      <c r="G5994" s="2">
        <v>43242</v>
      </c>
      <c r="H5994">
        <v>6.9009999999999998</v>
      </c>
      <c r="J5994" s="2">
        <v>43249</v>
      </c>
      <c r="K5994" s="3">
        <f t="shared" si="186"/>
        <v>6</v>
      </c>
      <c r="L5994" s="3">
        <f t="shared" si="187"/>
        <v>6.883</v>
      </c>
    </row>
    <row r="5995" spans="1:12" x14ac:dyDescent="0.3">
      <c r="A5995" s="2">
        <v>42512</v>
      </c>
      <c r="B5995" t="s">
        <v>13</v>
      </c>
      <c r="D5995" s="2">
        <v>43243</v>
      </c>
      <c r="E5995">
        <v>6</v>
      </c>
      <c r="G5995" s="2">
        <v>43243</v>
      </c>
      <c r="H5995">
        <v>6.9080000000000004</v>
      </c>
      <c r="J5995" s="2">
        <v>43250</v>
      </c>
      <c r="K5995" s="3">
        <f t="shared" si="186"/>
        <v>6</v>
      </c>
      <c r="L5995" s="3">
        <f t="shared" si="187"/>
        <v>6.883</v>
      </c>
    </row>
    <row r="5996" spans="1:12" x14ac:dyDescent="0.3">
      <c r="A5996" s="2">
        <v>42513</v>
      </c>
      <c r="B5996" t="s">
        <v>13</v>
      </c>
      <c r="D5996" s="2">
        <v>43244</v>
      </c>
      <c r="E5996">
        <v>6</v>
      </c>
      <c r="G5996" s="2">
        <v>43244</v>
      </c>
      <c r="H5996">
        <v>6.9119999999999999</v>
      </c>
      <c r="J5996" s="2">
        <v>43251</v>
      </c>
      <c r="K5996" s="3">
        <f t="shared" si="186"/>
        <v>6</v>
      </c>
      <c r="L5996" s="3">
        <f t="shared" si="187"/>
        <v>6.91</v>
      </c>
    </row>
    <row r="5997" spans="1:12" x14ac:dyDescent="0.3">
      <c r="A5997" s="2">
        <v>42514</v>
      </c>
      <c r="B5997" t="s">
        <v>13</v>
      </c>
      <c r="D5997" s="2">
        <v>43245</v>
      </c>
      <c r="E5997">
        <v>6</v>
      </c>
      <c r="G5997" s="2">
        <v>43245</v>
      </c>
      <c r="H5997">
        <v>6.88</v>
      </c>
      <c r="J5997" s="2">
        <v>43252</v>
      </c>
      <c r="K5997" s="3">
        <f t="shared" si="186"/>
        <v>6</v>
      </c>
      <c r="L5997" s="3">
        <f t="shared" si="187"/>
        <v>6.9130000000000003</v>
      </c>
    </row>
    <row r="5998" spans="1:12" x14ac:dyDescent="0.3">
      <c r="A5998" s="2">
        <v>42515</v>
      </c>
      <c r="B5998" t="s">
        <v>13</v>
      </c>
      <c r="D5998" s="2">
        <v>43246</v>
      </c>
      <c r="E5998">
        <v>6</v>
      </c>
      <c r="G5998" s="2">
        <v>43246</v>
      </c>
      <c r="H5998">
        <v>6.88</v>
      </c>
      <c r="J5998" s="2">
        <v>43253</v>
      </c>
      <c r="K5998" s="3">
        <f t="shared" si="186"/>
        <v>6</v>
      </c>
      <c r="L5998" s="3">
        <f t="shared" si="187"/>
        <v>6.9130000000000003</v>
      </c>
    </row>
    <row r="5999" spans="1:12" x14ac:dyDescent="0.3">
      <c r="A5999" s="2">
        <v>42516</v>
      </c>
      <c r="B5999" t="s">
        <v>13</v>
      </c>
      <c r="D5999" s="2">
        <v>43247</v>
      </c>
      <c r="E5999">
        <v>6</v>
      </c>
      <c r="G5999" s="2">
        <v>43247</v>
      </c>
      <c r="H5999">
        <v>6.88</v>
      </c>
      <c r="J5999" s="2">
        <v>43254</v>
      </c>
      <c r="K5999" s="3">
        <f t="shared" si="186"/>
        <v>6</v>
      </c>
      <c r="L5999" s="3">
        <f t="shared" si="187"/>
        <v>6.9130000000000003</v>
      </c>
    </row>
    <row r="6000" spans="1:12" x14ac:dyDescent="0.3">
      <c r="A6000" s="2">
        <v>42517</v>
      </c>
      <c r="B6000" t="s">
        <v>13</v>
      </c>
      <c r="D6000" s="2">
        <v>43248</v>
      </c>
      <c r="E6000">
        <v>6</v>
      </c>
      <c r="G6000" s="2">
        <v>43248</v>
      </c>
      <c r="H6000">
        <v>6.915</v>
      </c>
      <c r="J6000" s="2">
        <v>43255</v>
      </c>
      <c r="K6000" s="3">
        <f t="shared" si="186"/>
        <v>6</v>
      </c>
      <c r="L6000" s="3">
        <f t="shared" si="187"/>
        <v>6.9009999999999998</v>
      </c>
    </row>
    <row r="6001" spans="1:12" x14ac:dyDescent="0.3">
      <c r="A6001" s="2">
        <v>42518</v>
      </c>
      <c r="B6001" t="s">
        <v>13</v>
      </c>
      <c r="D6001" s="2">
        <v>43249</v>
      </c>
      <c r="E6001">
        <v>6</v>
      </c>
      <c r="G6001" s="2">
        <v>43249</v>
      </c>
      <c r="H6001">
        <v>6.883</v>
      </c>
      <c r="J6001" s="2">
        <v>43256</v>
      </c>
      <c r="K6001" s="3">
        <f t="shared" si="186"/>
        <v>6</v>
      </c>
      <c r="L6001" s="3">
        <f t="shared" si="187"/>
        <v>6.8810000000000002</v>
      </c>
    </row>
    <row r="6002" spans="1:12" x14ac:dyDescent="0.3">
      <c r="A6002" s="2">
        <v>42519</v>
      </c>
      <c r="B6002" t="s">
        <v>13</v>
      </c>
      <c r="D6002" s="2">
        <v>43250</v>
      </c>
      <c r="E6002">
        <v>6</v>
      </c>
      <c r="G6002" s="2">
        <v>43250</v>
      </c>
      <c r="H6002">
        <v>6.883</v>
      </c>
      <c r="J6002" s="2">
        <v>43257</v>
      </c>
      <c r="K6002" s="3">
        <f t="shared" si="186"/>
        <v>6.25</v>
      </c>
      <c r="L6002" s="3">
        <f t="shared" si="187"/>
        <v>6.8529999999999998</v>
      </c>
    </row>
    <row r="6003" spans="1:12" x14ac:dyDescent="0.3">
      <c r="A6003" s="2">
        <v>42520</v>
      </c>
      <c r="B6003" t="s">
        <v>13</v>
      </c>
      <c r="D6003" s="2">
        <v>43251</v>
      </c>
      <c r="E6003">
        <v>6</v>
      </c>
      <c r="G6003" s="2">
        <v>43251</v>
      </c>
      <c r="H6003">
        <v>6.91</v>
      </c>
      <c r="J6003" s="2">
        <v>43258</v>
      </c>
      <c r="K6003" s="3">
        <f t="shared" si="186"/>
        <v>6.25</v>
      </c>
      <c r="L6003" s="3">
        <f t="shared" si="187"/>
        <v>6.9210000000000003</v>
      </c>
    </row>
    <row r="6004" spans="1:12" x14ac:dyDescent="0.3">
      <c r="A6004" s="2">
        <v>42521</v>
      </c>
      <c r="B6004" t="s">
        <v>13</v>
      </c>
      <c r="D6004" s="2">
        <v>43252</v>
      </c>
      <c r="E6004">
        <v>6</v>
      </c>
      <c r="G6004" s="2">
        <v>43252</v>
      </c>
      <c r="H6004">
        <v>6.9130000000000003</v>
      </c>
      <c r="J6004" s="2">
        <v>43259</v>
      </c>
      <c r="K6004" s="3">
        <f t="shared" si="186"/>
        <v>6.25</v>
      </c>
      <c r="L6004" s="3">
        <f t="shared" si="187"/>
        <v>6.867</v>
      </c>
    </row>
    <row r="6005" spans="1:12" x14ac:dyDescent="0.3">
      <c r="A6005" s="2">
        <v>42522</v>
      </c>
      <c r="B6005" t="s">
        <v>13</v>
      </c>
      <c r="D6005" s="2">
        <v>43253</v>
      </c>
      <c r="E6005">
        <v>6</v>
      </c>
      <c r="G6005" s="2">
        <v>43253</v>
      </c>
      <c r="H6005">
        <v>6.9130000000000003</v>
      </c>
      <c r="J6005" s="2">
        <v>43260</v>
      </c>
      <c r="K6005" s="3">
        <f t="shared" si="186"/>
        <v>6.25</v>
      </c>
      <c r="L6005" s="3">
        <f t="shared" si="187"/>
        <v>6.867</v>
      </c>
    </row>
    <row r="6006" spans="1:12" x14ac:dyDescent="0.3">
      <c r="A6006" s="2">
        <v>42523</v>
      </c>
      <c r="B6006" t="s">
        <v>13</v>
      </c>
      <c r="D6006" s="2">
        <v>43254</v>
      </c>
      <c r="E6006">
        <v>6</v>
      </c>
      <c r="G6006" s="2">
        <v>43254</v>
      </c>
      <c r="H6006">
        <v>6.9130000000000003</v>
      </c>
      <c r="J6006" s="2">
        <v>43261</v>
      </c>
      <c r="K6006" s="3">
        <f t="shared" si="186"/>
        <v>6.25</v>
      </c>
      <c r="L6006" s="3">
        <f t="shared" si="187"/>
        <v>6.867</v>
      </c>
    </row>
    <row r="6007" spans="1:12" x14ac:dyDescent="0.3">
      <c r="A6007" s="2">
        <v>42524</v>
      </c>
      <c r="B6007" t="s">
        <v>13</v>
      </c>
      <c r="D6007" s="2">
        <v>43255</v>
      </c>
      <c r="E6007">
        <v>6</v>
      </c>
      <c r="G6007" s="2">
        <v>43255</v>
      </c>
      <c r="H6007">
        <v>6.9009999999999998</v>
      </c>
      <c r="J6007" s="2">
        <v>43262</v>
      </c>
      <c r="K6007" s="3">
        <f t="shared" si="186"/>
        <v>6.25</v>
      </c>
      <c r="L6007" s="3">
        <f t="shared" si="187"/>
        <v>6.875</v>
      </c>
    </row>
    <row r="6008" spans="1:12" x14ac:dyDescent="0.3">
      <c r="A6008" s="2">
        <v>42525</v>
      </c>
      <c r="B6008" t="s">
        <v>13</v>
      </c>
      <c r="D6008" s="2">
        <v>43256</v>
      </c>
      <c r="E6008">
        <v>6</v>
      </c>
      <c r="G6008" s="2">
        <v>43256</v>
      </c>
      <c r="H6008">
        <v>6.8810000000000002</v>
      </c>
      <c r="J6008" s="2">
        <v>43263</v>
      </c>
      <c r="K6008" s="3">
        <f t="shared" si="186"/>
        <v>6.25</v>
      </c>
      <c r="L6008" s="3">
        <f t="shared" si="187"/>
        <v>6.8710000000000004</v>
      </c>
    </row>
    <row r="6009" spans="1:12" x14ac:dyDescent="0.3">
      <c r="A6009" s="2">
        <v>42526</v>
      </c>
      <c r="B6009" t="s">
        <v>13</v>
      </c>
      <c r="D6009" s="2">
        <v>43257</v>
      </c>
      <c r="E6009">
        <v>6.25</v>
      </c>
      <c r="G6009" s="2">
        <v>43257</v>
      </c>
      <c r="H6009">
        <v>6.8529999999999998</v>
      </c>
      <c r="J6009" s="2">
        <v>43264</v>
      </c>
      <c r="K6009" s="3">
        <f t="shared" si="186"/>
        <v>6.25</v>
      </c>
      <c r="L6009" s="3">
        <f t="shared" si="187"/>
        <v>6.9029999999999996</v>
      </c>
    </row>
    <row r="6010" spans="1:12" x14ac:dyDescent="0.3">
      <c r="A6010" s="2">
        <v>42527</v>
      </c>
      <c r="B6010" t="s">
        <v>13</v>
      </c>
      <c r="D6010" s="2">
        <v>43258</v>
      </c>
      <c r="E6010">
        <v>6.25</v>
      </c>
      <c r="G6010" s="2">
        <v>43258</v>
      </c>
      <c r="H6010">
        <v>6.9210000000000003</v>
      </c>
      <c r="J6010" s="2">
        <v>43265</v>
      </c>
      <c r="K6010" s="3">
        <f t="shared" si="186"/>
        <v>6.25</v>
      </c>
      <c r="L6010" s="3">
        <f t="shared" si="187"/>
        <v>6.907</v>
      </c>
    </row>
    <row r="6011" spans="1:12" x14ac:dyDescent="0.3">
      <c r="A6011" s="2">
        <v>42528</v>
      </c>
      <c r="B6011" t="s">
        <v>13</v>
      </c>
      <c r="D6011" s="2">
        <v>43259</v>
      </c>
      <c r="E6011">
        <v>6.25</v>
      </c>
      <c r="G6011" s="2">
        <v>43259</v>
      </c>
      <c r="H6011">
        <v>6.867</v>
      </c>
      <c r="J6011" s="2">
        <v>43266</v>
      </c>
      <c r="K6011" s="3">
        <f t="shared" si="186"/>
        <v>6.25</v>
      </c>
      <c r="L6011" s="3">
        <f t="shared" si="187"/>
        <v>6.8860000000000001</v>
      </c>
    </row>
    <row r="6012" spans="1:12" x14ac:dyDescent="0.3">
      <c r="A6012" s="2">
        <v>42529</v>
      </c>
      <c r="B6012" t="s">
        <v>13</v>
      </c>
      <c r="D6012" s="2">
        <v>43260</v>
      </c>
      <c r="E6012">
        <v>6.25</v>
      </c>
      <c r="G6012" s="2">
        <v>43260</v>
      </c>
      <c r="H6012">
        <v>6.867</v>
      </c>
      <c r="J6012" s="2">
        <v>43267</v>
      </c>
      <c r="K6012" s="3">
        <f t="shared" si="186"/>
        <v>6.25</v>
      </c>
      <c r="L6012" s="3">
        <f t="shared" si="187"/>
        <v>6.8860000000000001</v>
      </c>
    </row>
    <row r="6013" spans="1:12" x14ac:dyDescent="0.3">
      <c r="A6013" s="2">
        <v>42530</v>
      </c>
      <c r="B6013" t="s">
        <v>13</v>
      </c>
      <c r="D6013" s="2">
        <v>43261</v>
      </c>
      <c r="E6013">
        <v>6.25</v>
      </c>
      <c r="G6013" s="2">
        <v>43261</v>
      </c>
      <c r="H6013">
        <v>6.867</v>
      </c>
      <c r="J6013" s="2">
        <v>43268</v>
      </c>
      <c r="K6013" s="3">
        <f t="shared" si="186"/>
        <v>6.25</v>
      </c>
      <c r="L6013" s="3">
        <f t="shared" si="187"/>
        <v>6.8860000000000001</v>
      </c>
    </row>
    <row r="6014" spans="1:12" x14ac:dyDescent="0.3">
      <c r="A6014" s="2">
        <v>42531</v>
      </c>
      <c r="B6014" t="s">
        <v>13</v>
      </c>
      <c r="D6014" s="2">
        <v>43262</v>
      </c>
      <c r="E6014">
        <v>6.25</v>
      </c>
      <c r="G6014" s="2">
        <v>43262</v>
      </c>
      <c r="H6014">
        <v>6.875</v>
      </c>
      <c r="J6014" s="2">
        <v>43269</v>
      </c>
      <c r="K6014" s="3">
        <f t="shared" si="186"/>
        <v>6.25</v>
      </c>
      <c r="L6014" s="3">
        <f t="shared" si="187"/>
        <v>6.8849999999999998</v>
      </c>
    </row>
    <row r="6015" spans="1:12" x14ac:dyDescent="0.3">
      <c r="A6015" s="2">
        <v>42532</v>
      </c>
      <c r="B6015" t="s">
        <v>13</v>
      </c>
      <c r="D6015" s="2">
        <v>43263</v>
      </c>
      <c r="E6015">
        <v>6.25</v>
      </c>
      <c r="G6015" s="2">
        <v>43263</v>
      </c>
      <c r="H6015">
        <v>6.8710000000000004</v>
      </c>
      <c r="J6015" s="2">
        <v>43270</v>
      </c>
      <c r="K6015" s="3">
        <f t="shared" si="186"/>
        <v>6.25</v>
      </c>
      <c r="L6015" s="3">
        <f t="shared" si="187"/>
        <v>6.8769999999999998</v>
      </c>
    </row>
    <row r="6016" spans="1:12" x14ac:dyDescent="0.3">
      <c r="A6016" s="2">
        <v>42533</v>
      </c>
      <c r="B6016" t="s">
        <v>13</v>
      </c>
      <c r="D6016" s="2">
        <v>43264</v>
      </c>
      <c r="E6016">
        <v>6.25</v>
      </c>
      <c r="G6016" s="2">
        <v>43264</v>
      </c>
      <c r="H6016">
        <v>6.9029999999999996</v>
      </c>
      <c r="J6016" s="2">
        <v>43271</v>
      </c>
      <c r="K6016" s="3">
        <f t="shared" si="186"/>
        <v>6.25</v>
      </c>
      <c r="L6016" s="3">
        <f t="shared" si="187"/>
        <v>6.8630000000000004</v>
      </c>
    </row>
    <row r="6017" spans="1:12" x14ac:dyDescent="0.3">
      <c r="A6017" s="2">
        <v>42534</v>
      </c>
      <c r="B6017" t="s">
        <v>13</v>
      </c>
      <c r="D6017" s="2">
        <v>43265</v>
      </c>
      <c r="E6017">
        <v>6.25</v>
      </c>
      <c r="G6017" s="2">
        <v>43265</v>
      </c>
      <c r="H6017">
        <v>6.907</v>
      </c>
      <c r="J6017" s="2">
        <v>43272</v>
      </c>
      <c r="K6017" s="3">
        <f t="shared" si="186"/>
        <v>6.25</v>
      </c>
      <c r="L6017" s="3">
        <f t="shared" si="187"/>
        <v>6.8159999999999998</v>
      </c>
    </row>
    <row r="6018" spans="1:12" x14ac:dyDescent="0.3">
      <c r="A6018" s="2">
        <v>42535</v>
      </c>
      <c r="B6018" t="s">
        <v>13</v>
      </c>
      <c r="D6018" s="2">
        <v>43266</v>
      </c>
      <c r="E6018">
        <v>6.25</v>
      </c>
      <c r="G6018" s="2">
        <v>43266</v>
      </c>
      <c r="H6018">
        <v>6.8860000000000001</v>
      </c>
      <c r="J6018" s="2">
        <v>43273</v>
      </c>
      <c r="K6018" s="3">
        <f t="shared" si="186"/>
        <v>6.25</v>
      </c>
      <c r="L6018" s="3">
        <f t="shared" si="187"/>
        <v>6.8319999999999999</v>
      </c>
    </row>
    <row r="6019" spans="1:12" x14ac:dyDescent="0.3">
      <c r="A6019" s="2">
        <v>42536</v>
      </c>
      <c r="B6019" t="s">
        <v>13</v>
      </c>
      <c r="D6019" s="2">
        <v>43267</v>
      </c>
      <c r="E6019">
        <v>6.25</v>
      </c>
      <c r="G6019" s="2">
        <v>43267</v>
      </c>
      <c r="H6019">
        <v>6.8860000000000001</v>
      </c>
      <c r="J6019" s="2">
        <v>43274</v>
      </c>
      <c r="K6019" s="3">
        <f t="shared" ref="K6019:K6082" si="188">E6026</f>
        <v>6.25</v>
      </c>
      <c r="L6019" s="3">
        <f t="shared" ref="L6019:L6082" si="189">H6026</f>
        <v>6.8319999999999999</v>
      </c>
    </row>
    <row r="6020" spans="1:12" x14ac:dyDescent="0.3">
      <c r="A6020" s="2">
        <v>42537</v>
      </c>
      <c r="B6020" t="s">
        <v>13</v>
      </c>
      <c r="D6020" s="2">
        <v>43268</v>
      </c>
      <c r="E6020">
        <v>6.25</v>
      </c>
      <c r="G6020" s="2">
        <v>43268</v>
      </c>
      <c r="H6020">
        <v>6.8860000000000001</v>
      </c>
      <c r="J6020" s="2">
        <v>43275</v>
      </c>
      <c r="K6020" s="3">
        <f t="shared" si="188"/>
        <v>6.25</v>
      </c>
      <c r="L6020" s="3">
        <f t="shared" si="189"/>
        <v>6.8319999999999999</v>
      </c>
    </row>
    <row r="6021" spans="1:12" x14ac:dyDescent="0.3">
      <c r="A6021" s="2">
        <v>42538</v>
      </c>
      <c r="B6021" t="s">
        <v>13</v>
      </c>
      <c r="D6021" s="2">
        <v>43269</v>
      </c>
      <c r="E6021">
        <v>6.25</v>
      </c>
      <c r="G6021" s="2">
        <v>43269</v>
      </c>
      <c r="H6021">
        <v>6.8849999999999998</v>
      </c>
      <c r="J6021" s="2">
        <v>43276</v>
      </c>
      <c r="K6021" s="3">
        <f t="shared" si="188"/>
        <v>6.25</v>
      </c>
      <c r="L6021" s="3">
        <f t="shared" si="189"/>
        <v>6.8959999999999999</v>
      </c>
    </row>
    <row r="6022" spans="1:12" x14ac:dyDescent="0.3">
      <c r="A6022" s="2">
        <v>42539</v>
      </c>
      <c r="B6022" t="s">
        <v>13</v>
      </c>
      <c r="D6022" s="2">
        <v>43270</v>
      </c>
      <c r="E6022">
        <v>6.25</v>
      </c>
      <c r="G6022" s="2">
        <v>43270</v>
      </c>
      <c r="H6022">
        <v>6.8769999999999998</v>
      </c>
      <c r="J6022" s="2">
        <v>43277</v>
      </c>
      <c r="K6022" s="3">
        <f t="shared" si="188"/>
        <v>6.25</v>
      </c>
      <c r="L6022" s="3">
        <f t="shared" si="189"/>
        <v>6.8440000000000003</v>
      </c>
    </row>
    <row r="6023" spans="1:12" x14ac:dyDescent="0.3">
      <c r="A6023" s="2">
        <v>42540</v>
      </c>
      <c r="B6023" t="s">
        <v>13</v>
      </c>
      <c r="D6023" s="2">
        <v>43271</v>
      </c>
      <c r="E6023">
        <v>6.25</v>
      </c>
      <c r="G6023" s="2">
        <v>43271</v>
      </c>
      <c r="H6023">
        <v>6.8630000000000004</v>
      </c>
      <c r="J6023" s="2">
        <v>43278</v>
      </c>
      <c r="K6023" s="3">
        <f t="shared" si="188"/>
        <v>6.25</v>
      </c>
      <c r="L6023" s="3">
        <f t="shared" si="189"/>
        <v>6.8789999999999996</v>
      </c>
    </row>
    <row r="6024" spans="1:12" x14ac:dyDescent="0.3">
      <c r="A6024" s="2">
        <v>42541</v>
      </c>
      <c r="B6024" t="s">
        <v>13</v>
      </c>
      <c r="D6024" s="2">
        <v>43272</v>
      </c>
      <c r="E6024">
        <v>6.25</v>
      </c>
      <c r="G6024" s="2">
        <v>43272</v>
      </c>
      <c r="H6024">
        <v>6.8159999999999998</v>
      </c>
      <c r="J6024" s="2">
        <v>43279</v>
      </c>
      <c r="K6024" s="3">
        <f t="shared" si="188"/>
        <v>6.25</v>
      </c>
      <c r="L6024" s="3">
        <f t="shared" si="189"/>
        <v>6.8959999999999999</v>
      </c>
    </row>
    <row r="6025" spans="1:12" x14ac:dyDescent="0.3">
      <c r="A6025" s="2">
        <v>42542</v>
      </c>
      <c r="B6025" t="s">
        <v>13</v>
      </c>
      <c r="D6025" s="2">
        <v>43273</v>
      </c>
      <c r="E6025">
        <v>6.25</v>
      </c>
      <c r="G6025" s="2">
        <v>43273</v>
      </c>
      <c r="H6025">
        <v>6.8319999999999999</v>
      </c>
      <c r="J6025" s="2">
        <v>43280</v>
      </c>
      <c r="K6025" s="3">
        <f t="shared" si="188"/>
        <v>6.25</v>
      </c>
      <c r="L6025" s="3">
        <f t="shared" si="189"/>
        <v>6.944</v>
      </c>
    </row>
    <row r="6026" spans="1:12" x14ac:dyDescent="0.3">
      <c r="A6026" s="2">
        <v>42543</v>
      </c>
      <c r="B6026" t="s">
        <v>13</v>
      </c>
      <c r="D6026" s="2">
        <v>43274</v>
      </c>
      <c r="E6026">
        <v>6.25</v>
      </c>
      <c r="G6026" s="2">
        <v>43274</v>
      </c>
      <c r="H6026">
        <v>6.8319999999999999</v>
      </c>
      <c r="J6026" s="2">
        <v>43281</v>
      </c>
      <c r="K6026" s="3">
        <f t="shared" si="188"/>
        <v>6.25</v>
      </c>
      <c r="L6026" s="3">
        <f t="shared" si="189"/>
        <v>6.944</v>
      </c>
    </row>
    <row r="6027" spans="1:12" x14ac:dyDescent="0.3">
      <c r="A6027" s="2">
        <v>42544</v>
      </c>
      <c r="B6027" t="s">
        <v>13</v>
      </c>
      <c r="D6027" s="2">
        <v>43275</v>
      </c>
      <c r="E6027">
        <v>6.25</v>
      </c>
      <c r="G6027" s="2">
        <v>43275</v>
      </c>
      <c r="H6027">
        <v>6.8319999999999999</v>
      </c>
      <c r="J6027" s="2">
        <v>43282</v>
      </c>
      <c r="K6027" s="3">
        <f t="shared" si="188"/>
        <v>6.25</v>
      </c>
      <c r="L6027" s="3">
        <f t="shared" si="189"/>
        <v>6.944</v>
      </c>
    </row>
    <row r="6028" spans="1:12" x14ac:dyDescent="0.3">
      <c r="A6028" s="2">
        <v>42545</v>
      </c>
      <c r="B6028" t="s">
        <v>13</v>
      </c>
      <c r="D6028" s="2">
        <v>43276</v>
      </c>
      <c r="E6028">
        <v>6.25</v>
      </c>
      <c r="G6028" s="2">
        <v>43276</v>
      </c>
      <c r="H6028">
        <v>6.8959999999999999</v>
      </c>
      <c r="J6028" s="2">
        <v>43283</v>
      </c>
      <c r="K6028" s="3">
        <f t="shared" si="188"/>
        <v>6.25</v>
      </c>
      <c r="L6028" s="3">
        <f t="shared" si="189"/>
        <v>6.9359999999999999</v>
      </c>
    </row>
    <row r="6029" spans="1:12" x14ac:dyDescent="0.3">
      <c r="A6029" s="2">
        <v>42546</v>
      </c>
      <c r="B6029" t="s">
        <v>13</v>
      </c>
      <c r="D6029" s="2">
        <v>43277</v>
      </c>
      <c r="E6029">
        <v>6.25</v>
      </c>
      <c r="G6029" s="2">
        <v>43277</v>
      </c>
      <c r="H6029">
        <v>6.8440000000000003</v>
      </c>
      <c r="J6029" s="2">
        <v>43284</v>
      </c>
      <c r="K6029" s="3">
        <f t="shared" si="188"/>
        <v>6.25</v>
      </c>
      <c r="L6029" s="3">
        <f t="shared" si="189"/>
        <v>6.9130000000000003</v>
      </c>
    </row>
    <row r="6030" spans="1:12" x14ac:dyDescent="0.3">
      <c r="A6030" s="2">
        <v>42547</v>
      </c>
      <c r="B6030" t="s">
        <v>13</v>
      </c>
      <c r="D6030" s="2">
        <v>43278</v>
      </c>
      <c r="E6030">
        <v>6.25</v>
      </c>
      <c r="G6030" s="2">
        <v>43278</v>
      </c>
      <c r="H6030">
        <v>6.8789999999999996</v>
      </c>
      <c r="J6030" s="2">
        <v>43285</v>
      </c>
      <c r="K6030" s="3">
        <f t="shared" si="188"/>
        <v>6.25</v>
      </c>
      <c r="L6030" s="3">
        <f t="shared" si="189"/>
        <v>6.9130000000000003</v>
      </c>
    </row>
    <row r="6031" spans="1:12" x14ac:dyDescent="0.3">
      <c r="A6031" s="2">
        <v>42548</v>
      </c>
      <c r="B6031" t="s">
        <v>13</v>
      </c>
      <c r="D6031" s="2">
        <v>43279</v>
      </c>
      <c r="E6031">
        <v>6.25</v>
      </c>
      <c r="G6031" s="2">
        <v>43279</v>
      </c>
      <c r="H6031">
        <v>6.8959999999999999</v>
      </c>
      <c r="J6031" s="2">
        <v>43286</v>
      </c>
      <c r="K6031" s="3">
        <f t="shared" si="188"/>
        <v>6.25</v>
      </c>
      <c r="L6031" s="3">
        <f t="shared" si="189"/>
        <v>6.9450000000000003</v>
      </c>
    </row>
    <row r="6032" spans="1:12" x14ac:dyDescent="0.3">
      <c r="A6032" s="2">
        <v>42549</v>
      </c>
      <c r="B6032" t="s">
        <v>13</v>
      </c>
      <c r="D6032" s="2">
        <v>43280</v>
      </c>
      <c r="E6032">
        <v>6.25</v>
      </c>
      <c r="G6032" s="2">
        <v>43280</v>
      </c>
      <c r="H6032">
        <v>6.944</v>
      </c>
      <c r="J6032" s="2">
        <v>43287</v>
      </c>
      <c r="K6032" s="3">
        <f t="shared" si="188"/>
        <v>6.25</v>
      </c>
      <c r="L6032" s="3">
        <f t="shared" si="189"/>
        <v>6.931</v>
      </c>
    </row>
    <row r="6033" spans="1:12" x14ac:dyDescent="0.3">
      <c r="A6033" s="2">
        <v>42550</v>
      </c>
      <c r="B6033" t="s">
        <v>13</v>
      </c>
      <c r="D6033" s="2">
        <v>43281</v>
      </c>
      <c r="E6033">
        <v>6.25</v>
      </c>
      <c r="G6033" s="2">
        <v>43281</v>
      </c>
      <c r="H6033">
        <v>6.944</v>
      </c>
      <c r="J6033" s="2">
        <v>43288</v>
      </c>
      <c r="K6033" s="3">
        <f t="shared" si="188"/>
        <v>6.25</v>
      </c>
      <c r="L6033" s="3">
        <f t="shared" si="189"/>
        <v>6.931</v>
      </c>
    </row>
    <row r="6034" spans="1:12" x14ac:dyDescent="0.3">
      <c r="A6034" s="2">
        <v>42551</v>
      </c>
      <c r="B6034" t="s">
        <v>13</v>
      </c>
      <c r="D6034" s="2">
        <v>43282</v>
      </c>
      <c r="E6034">
        <v>6.25</v>
      </c>
      <c r="G6034" s="2">
        <v>43282</v>
      </c>
      <c r="H6034">
        <v>6.944</v>
      </c>
      <c r="J6034" s="2">
        <v>43289</v>
      </c>
      <c r="K6034" s="3">
        <f t="shared" si="188"/>
        <v>6.25</v>
      </c>
      <c r="L6034" s="3">
        <f t="shared" si="189"/>
        <v>6.931</v>
      </c>
    </row>
    <row r="6035" spans="1:12" x14ac:dyDescent="0.3">
      <c r="A6035" s="2">
        <v>42552</v>
      </c>
      <c r="B6035" t="s">
        <v>13</v>
      </c>
      <c r="D6035" s="2">
        <v>43283</v>
      </c>
      <c r="E6035">
        <v>6.25</v>
      </c>
      <c r="G6035" s="2">
        <v>43283</v>
      </c>
      <c r="H6035">
        <v>6.9359999999999999</v>
      </c>
      <c r="J6035" s="2">
        <v>43290</v>
      </c>
      <c r="K6035" s="3">
        <f t="shared" si="188"/>
        <v>6.25</v>
      </c>
      <c r="L6035" s="3">
        <f t="shared" si="189"/>
        <v>6.9219999999999997</v>
      </c>
    </row>
    <row r="6036" spans="1:12" x14ac:dyDescent="0.3">
      <c r="A6036" s="2">
        <v>42553</v>
      </c>
      <c r="B6036" t="s">
        <v>13</v>
      </c>
      <c r="D6036" s="2">
        <v>43284</v>
      </c>
      <c r="E6036">
        <v>6.25</v>
      </c>
      <c r="G6036" s="2">
        <v>43284</v>
      </c>
      <c r="H6036">
        <v>6.9130000000000003</v>
      </c>
      <c r="J6036" s="2">
        <v>43291</v>
      </c>
      <c r="K6036" s="3">
        <f t="shared" si="188"/>
        <v>6.25</v>
      </c>
      <c r="L6036" s="3">
        <f t="shared" si="189"/>
        <v>6.9080000000000004</v>
      </c>
    </row>
    <row r="6037" spans="1:12" x14ac:dyDescent="0.3">
      <c r="A6037" s="2">
        <v>42554</v>
      </c>
      <c r="B6037" t="s">
        <v>13</v>
      </c>
      <c r="D6037" s="2">
        <v>43285</v>
      </c>
      <c r="E6037">
        <v>6.25</v>
      </c>
      <c r="G6037" s="2">
        <v>43285</v>
      </c>
      <c r="H6037">
        <v>6.9130000000000003</v>
      </c>
      <c r="J6037" s="2">
        <v>43292</v>
      </c>
      <c r="K6037" s="3">
        <f t="shared" si="188"/>
        <v>6.25</v>
      </c>
      <c r="L6037" s="3">
        <f t="shared" si="189"/>
        <v>6.9080000000000004</v>
      </c>
    </row>
    <row r="6038" spans="1:12" x14ac:dyDescent="0.3">
      <c r="A6038" s="2">
        <v>42555</v>
      </c>
      <c r="B6038" t="s">
        <v>13</v>
      </c>
      <c r="D6038" s="2">
        <v>43286</v>
      </c>
      <c r="E6038">
        <v>6.25</v>
      </c>
      <c r="G6038" s="2">
        <v>43286</v>
      </c>
      <c r="H6038">
        <v>6.9450000000000003</v>
      </c>
      <c r="J6038" s="2">
        <v>43293</v>
      </c>
      <c r="K6038" s="3">
        <f t="shared" si="188"/>
        <v>6.25</v>
      </c>
      <c r="L6038" s="3">
        <f t="shared" si="189"/>
        <v>6.9409999999999998</v>
      </c>
    </row>
    <row r="6039" spans="1:12" x14ac:dyDescent="0.3">
      <c r="A6039" s="2">
        <v>42556</v>
      </c>
      <c r="B6039" t="s">
        <v>13</v>
      </c>
      <c r="D6039" s="2">
        <v>43287</v>
      </c>
      <c r="E6039">
        <v>6.25</v>
      </c>
      <c r="G6039" s="2">
        <v>43287</v>
      </c>
      <c r="H6039">
        <v>6.931</v>
      </c>
      <c r="J6039" s="2">
        <v>43294</v>
      </c>
      <c r="K6039" s="3">
        <f t="shared" si="188"/>
        <v>6.25</v>
      </c>
      <c r="L6039" s="3">
        <f t="shared" si="189"/>
        <v>6.9169999999999998</v>
      </c>
    </row>
    <row r="6040" spans="1:12" x14ac:dyDescent="0.3">
      <c r="A6040" s="2">
        <v>42557</v>
      </c>
      <c r="B6040" t="s">
        <v>13</v>
      </c>
      <c r="D6040" s="2">
        <v>43288</v>
      </c>
      <c r="E6040">
        <v>6.25</v>
      </c>
      <c r="G6040" s="2">
        <v>43288</v>
      </c>
      <c r="H6040">
        <v>6.931</v>
      </c>
      <c r="J6040" s="2">
        <v>43295</v>
      </c>
      <c r="K6040" s="3">
        <f t="shared" si="188"/>
        <v>6.25</v>
      </c>
      <c r="L6040" s="3">
        <f t="shared" si="189"/>
        <v>6.9169999999999998</v>
      </c>
    </row>
    <row r="6041" spans="1:12" x14ac:dyDescent="0.3">
      <c r="A6041" s="2">
        <v>42558</v>
      </c>
      <c r="B6041" t="s">
        <v>13</v>
      </c>
      <c r="D6041" s="2">
        <v>43289</v>
      </c>
      <c r="E6041">
        <v>6.25</v>
      </c>
      <c r="G6041" s="2">
        <v>43289</v>
      </c>
      <c r="H6041">
        <v>6.931</v>
      </c>
      <c r="J6041" s="2">
        <v>43296</v>
      </c>
      <c r="K6041" s="3">
        <f t="shared" si="188"/>
        <v>6.25</v>
      </c>
      <c r="L6041" s="3">
        <f t="shared" si="189"/>
        <v>6.9169999999999998</v>
      </c>
    </row>
    <row r="6042" spans="1:12" x14ac:dyDescent="0.3">
      <c r="A6042" s="2">
        <v>42559</v>
      </c>
      <c r="B6042" t="s">
        <v>13</v>
      </c>
      <c r="D6042" s="2">
        <v>43290</v>
      </c>
      <c r="E6042">
        <v>6.25</v>
      </c>
      <c r="G6042" s="2">
        <v>43290</v>
      </c>
      <c r="H6042">
        <v>6.9219999999999997</v>
      </c>
      <c r="J6042" s="2">
        <v>43297</v>
      </c>
      <c r="K6042" s="3">
        <f t="shared" si="188"/>
        <v>6.25</v>
      </c>
      <c r="L6042" s="3">
        <f t="shared" si="189"/>
        <v>6.9420000000000002</v>
      </c>
    </row>
    <row r="6043" spans="1:12" x14ac:dyDescent="0.3">
      <c r="A6043" s="2">
        <v>42560</v>
      </c>
      <c r="B6043" t="s">
        <v>13</v>
      </c>
      <c r="D6043" s="2">
        <v>43291</v>
      </c>
      <c r="E6043">
        <v>6.25</v>
      </c>
      <c r="G6043" s="2">
        <v>43291</v>
      </c>
      <c r="H6043">
        <v>6.9080000000000004</v>
      </c>
      <c r="J6043" s="2">
        <v>43298</v>
      </c>
      <c r="K6043" s="3">
        <f t="shared" si="188"/>
        <v>6.25</v>
      </c>
      <c r="L6043" s="3">
        <f t="shared" si="189"/>
        <v>6.9370000000000003</v>
      </c>
    </row>
    <row r="6044" spans="1:12" x14ac:dyDescent="0.3">
      <c r="A6044" s="2">
        <v>42561</v>
      </c>
      <c r="B6044" t="s">
        <v>13</v>
      </c>
      <c r="D6044" s="2">
        <v>43292</v>
      </c>
      <c r="E6044">
        <v>6.25</v>
      </c>
      <c r="G6044" s="2">
        <v>43292</v>
      </c>
      <c r="H6044">
        <v>6.9080000000000004</v>
      </c>
      <c r="J6044" s="2">
        <v>43299</v>
      </c>
      <c r="K6044" s="3">
        <f t="shared" si="188"/>
        <v>6.25</v>
      </c>
      <c r="L6044" s="3">
        <f t="shared" si="189"/>
        <v>6.9320000000000004</v>
      </c>
    </row>
    <row r="6045" spans="1:12" x14ac:dyDescent="0.3">
      <c r="A6045" s="2">
        <v>42562</v>
      </c>
      <c r="B6045" t="s">
        <v>13</v>
      </c>
      <c r="D6045" s="2">
        <v>43293</v>
      </c>
      <c r="E6045">
        <v>6.25</v>
      </c>
      <c r="G6045" s="2">
        <v>43293</v>
      </c>
      <c r="H6045">
        <v>6.9409999999999998</v>
      </c>
      <c r="J6045" s="2">
        <v>43300</v>
      </c>
      <c r="K6045" s="3">
        <f t="shared" si="188"/>
        <v>6.25</v>
      </c>
      <c r="L6045" s="3">
        <f t="shared" si="189"/>
        <v>6.952</v>
      </c>
    </row>
    <row r="6046" spans="1:12" x14ac:dyDescent="0.3">
      <c r="A6046" s="2">
        <v>42563</v>
      </c>
      <c r="B6046" t="s">
        <v>13</v>
      </c>
      <c r="D6046" s="2">
        <v>43294</v>
      </c>
      <c r="E6046">
        <v>6.25</v>
      </c>
      <c r="G6046" s="2">
        <v>43294</v>
      </c>
      <c r="H6046">
        <v>6.9169999999999998</v>
      </c>
      <c r="J6046" s="2">
        <v>43301</v>
      </c>
      <c r="K6046" s="3">
        <f t="shared" si="188"/>
        <v>6.25</v>
      </c>
      <c r="L6046" s="3">
        <f t="shared" si="189"/>
        <v>6.9429999999999996</v>
      </c>
    </row>
    <row r="6047" spans="1:12" x14ac:dyDescent="0.3">
      <c r="A6047" s="2">
        <v>42564</v>
      </c>
      <c r="B6047" t="s">
        <v>13</v>
      </c>
      <c r="D6047" s="2">
        <v>43295</v>
      </c>
      <c r="E6047">
        <v>6.25</v>
      </c>
      <c r="G6047" s="2">
        <v>43295</v>
      </c>
      <c r="H6047">
        <v>6.9169999999999998</v>
      </c>
      <c r="J6047" s="2">
        <v>43302</v>
      </c>
      <c r="K6047" s="3">
        <f t="shared" si="188"/>
        <v>6.25</v>
      </c>
      <c r="L6047" s="3">
        <f t="shared" si="189"/>
        <v>6.9429999999999996</v>
      </c>
    </row>
    <row r="6048" spans="1:12" x14ac:dyDescent="0.3">
      <c r="A6048" s="2">
        <v>42565</v>
      </c>
      <c r="B6048" t="s">
        <v>13</v>
      </c>
      <c r="D6048" s="2">
        <v>43296</v>
      </c>
      <c r="E6048">
        <v>6.25</v>
      </c>
      <c r="G6048" s="2">
        <v>43296</v>
      </c>
      <c r="H6048">
        <v>6.9169999999999998</v>
      </c>
      <c r="J6048" s="2">
        <v>43303</v>
      </c>
      <c r="K6048" s="3">
        <f t="shared" si="188"/>
        <v>6.25</v>
      </c>
      <c r="L6048" s="3">
        <f t="shared" si="189"/>
        <v>6.9429999999999996</v>
      </c>
    </row>
    <row r="6049" spans="1:12" x14ac:dyDescent="0.3">
      <c r="A6049" s="2">
        <v>42566</v>
      </c>
      <c r="B6049" t="s">
        <v>13</v>
      </c>
      <c r="D6049" s="2">
        <v>43297</v>
      </c>
      <c r="E6049">
        <v>6.25</v>
      </c>
      <c r="G6049" s="2">
        <v>43297</v>
      </c>
      <c r="H6049">
        <v>6.9420000000000002</v>
      </c>
      <c r="J6049" s="2">
        <v>43304</v>
      </c>
      <c r="K6049" s="3">
        <f t="shared" si="188"/>
        <v>6.25</v>
      </c>
      <c r="L6049" s="3">
        <f t="shared" si="189"/>
        <v>6.9180000000000001</v>
      </c>
    </row>
    <row r="6050" spans="1:12" x14ac:dyDescent="0.3">
      <c r="A6050" s="2">
        <v>42567</v>
      </c>
      <c r="B6050" t="s">
        <v>13</v>
      </c>
      <c r="D6050" s="2">
        <v>43298</v>
      </c>
      <c r="E6050">
        <v>6.25</v>
      </c>
      <c r="G6050" s="2">
        <v>43298</v>
      </c>
      <c r="H6050">
        <v>6.9370000000000003</v>
      </c>
      <c r="J6050" s="2">
        <v>43305</v>
      </c>
      <c r="K6050" s="3">
        <f t="shared" si="188"/>
        <v>6.25</v>
      </c>
      <c r="L6050" s="3">
        <f t="shared" si="189"/>
        <v>6.9180000000000001</v>
      </c>
    </row>
    <row r="6051" spans="1:12" x14ac:dyDescent="0.3">
      <c r="A6051" s="2">
        <v>42568</v>
      </c>
      <c r="B6051" t="s">
        <v>13</v>
      </c>
      <c r="D6051" s="2">
        <v>43299</v>
      </c>
      <c r="E6051">
        <v>6.25</v>
      </c>
      <c r="G6051" s="2">
        <v>43299</v>
      </c>
      <c r="H6051">
        <v>6.9320000000000004</v>
      </c>
      <c r="J6051" s="2">
        <v>43306</v>
      </c>
      <c r="K6051" s="3">
        <f t="shared" si="188"/>
        <v>6.25</v>
      </c>
      <c r="L6051" s="3">
        <f t="shared" si="189"/>
        <v>6.9180000000000001</v>
      </c>
    </row>
    <row r="6052" spans="1:12" x14ac:dyDescent="0.3">
      <c r="A6052" s="2">
        <v>42569</v>
      </c>
      <c r="B6052" t="s">
        <v>13</v>
      </c>
      <c r="D6052" s="2">
        <v>43300</v>
      </c>
      <c r="E6052">
        <v>6.25</v>
      </c>
      <c r="G6052" s="2">
        <v>43300</v>
      </c>
      <c r="H6052">
        <v>6.952</v>
      </c>
      <c r="J6052" s="2">
        <v>43307</v>
      </c>
      <c r="K6052" s="3">
        <f t="shared" si="188"/>
        <v>6.25</v>
      </c>
      <c r="L6052" s="3">
        <f t="shared" si="189"/>
        <v>6.923</v>
      </c>
    </row>
    <row r="6053" spans="1:12" x14ac:dyDescent="0.3">
      <c r="A6053" s="2">
        <v>42570</v>
      </c>
      <c r="B6053" t="s">
        <v>13</v>
      </c>
      <c r="D6053" s="2">
        <v>43301</v>
      </c>
      <c r="E6053">
        <v>6.25</v>
      </c>
      <c r="G6053" s="2">
        <v>43301</v>
      </c>
      <c r="H6053">
        <v>6.9429999999999996</v>
      </c>
      <c r="J6053" s="2">
        <v>43308</v>
      </c>
      <c r="K6053" s="3">
        <f t="shared" si="188"/>
        <v>6.25</v>
      </c>
      <c r="L6053" s="3">
        <f t="shared" si="189"/>
        <v>6.95</v>
      </c>
    </row>
    <row r="6054" spans="1:12" x14ac:dyDescent="0.3">
      <c r="A6054" s="2">
        <v>42571</v>
      </c>
      <c r="B6054" t="s">
        <v>13</v>
      </c>
      <c r="D6054" s="2">
        <v>43302</v>
      </c>
      <c r="E6054">
        <v>6.25</v>
      </c>
      <c r="G6054" s="2">
        <v>43302</v>
      </c>
      <c r="H6054">
        <v>6.9429999999999996</v>
      </c>
      <c r="J6054" s="2">
        <v>43309</v>
      </c>
      <c r="K6054" s="3">
        <f t="shared" si="188"/>
        <v>6.25</v>
      </c>
      <c r="L6054" s="3">
        <f t="shared" si="189"/>
        <v>6.95</v>
      </c>
    </row>
    <row r="6055" spans="1:12" x14ac:dyDescent="0.3">
      <c r="A6055" s="2">
        <v>42572</v>
      </c>
      <c r="B6055" t="s">
        <v>13</v>
      </c>
      <c r="D6055" s="2">
        <v>43303</v>
      </c>
      <c r="E6055">
        <v>6.25</v>
      </c>
      <c r="G6055" s="2">
        <v>43303</v>
      </c>
      <c r="H6055">
        <v>6.9429999999999996</v>
      </c>
      <c r="J6055" s="2">
        <v>43310</v>
      </c>
      <c r="K6055" s="3">
        <f t="shared" si="188"/>
        <v>6.25</v>
      </c>
      <c r="L6055" s="3">
        <f t="shared" si="189"/>
        <v>6.95</v>
      </c>
    </row>
    <row r="6056" spans="1:12" x14ac:dyDescent="0.3">
      <c r="A6056" s="2">
        <v>42573</v>
      </c>
      <c r="B6056" t="s">
        <v>13</v>
      </c>
      <c r="D6056" s="2">
        <v>43304</v>
      </c>
      <c r="E6056">
        <v>6.25</v>
      </c>
      <c r="G6056" s="2">
        <v>43304</v>
      </c>
      <c r="H6056">
        <v>6.9180000000000001</v>
      </c>
      <c r="J6056" s="2">
        <v>43311</v>
      </c>
      <c r="K6056" s="3">
        <f t="shared" si="188"/>
        <v>6.25</v>
      </c>
      <c r="L6056" s="3">
        <f t="shared" si="189"/>
        <v>6.97</v>
      </c>
    </row>
    <row r="6057" spans="1:12" x14ac:dyDescent="0.3">
      <c r="A6057" s="2">
        <v>42574</v>
      </c>
      <c r="B6057" t="s">
        <v>13</v>
      </c>
      <c r="D6057" s="2">
        <v>43305</v>
      </c>
      <c r="E6057">
        <v>6.25</v>
      </c>
      <c r="G6057" s="2">
        <v>43305</v>
      </c>
      <c r="H6057">
        <v>6.9180000000000001</v>
      </c>
      <c r="J6057" s="2">
        <v>43312</v>
      </c>
      <c r="K6057" s="3">
        <f t="shared" si="188"/>
        <v>6.25</v>
      </c>
      <c r="L6057" s="3">
        <f t="shared" si="189"/>
        <v>6.9340000000000002</v>
      </c>
    </row>
    <row r="6058" spans="1:12" x14ac:dyDescent="0.3">
      <c r="A6058" s="2">
        <v>42575</v>
      </c>
      <c r="B6058" t="s">
        <v>13</v>
      </c>
      <c r="D6058" s="2">
        <v>43306</v>
      </c>
      <c r="E6058">
        <v>6.25</v>
      </c>
      <c r="G6058" s="2">
        <v>43306</v>
      </c>
      <c r="H6058">
        <v>6.9180000000000001</v>
      </c>
      <c r="J6058" s="2">
        <v>43313</v>
      </c>
      <c r="K6058" s="3">
        <f t="shared" si="188"/>
        <v>6.5</v>
      </c>
      <c r="L6058" s="3">
        <f t="shared" si="189"/>
        <v>6.94</v>
      </c>
    </row>
    <row r="6059" spans="1:12" x14ac:dyDescent="0.3">
      <c r="A6059" s="2">
        <v>42576</v>
      </c>
      <c r="B6059" t="s">
        <v>13</v>
      </c>
      <c r="D6059" s="2">
        <v>43307</v>
      </c>
      <c r="E6059">
        <v>6.25</v>
      </c>
      <c r="G6059" s="2">
        <v>43307</v>
      </c>
      <c r="H6059">
        <v>6.923</v>
      </c>
      <c r="J6059" s="2">
        <v>43314</v>
      </c>
      <c r="K6059" s="3">
        <f t="shared" si="188"/>
        <v>6.5</v>
      </c>
      <c r="L6059" s="3">
        <f t="shared" si="189"/>
        <v>6.8959999999999999</v>
      </c>
    </row>
    <row r="6060" spans="1:12" x14ac:dyDescent="0.3">
      <c r="A6060" s="2">
        <v>42577</v>
      </c>
      <c r="B6060" t="s">
        <v>13</v>
      </c>
      <c r="D6060" s="2">
        <v>43308</v>
      </c>
      <c r="E6060">
        <v>6.25</v>
      </c>
      <c r="G6060" s="2">
        <v>43308</v>
      </c>
      <c r="H6060">
        <v>6.95</v>
      </c>
      <c r="J6060" s="2">
        <v>43315</v>
      </c>
      <c r="K6060" s="3">
        <f t="shared" si="188"/>
        <v>6.5</v>
      </c>
      <c r="L6060" s="3">
        <f t="shared" si="189"/>
        <v>6.9790000000000001</v>
      </c>
    </row>
    <row r="6061" spans="1:12" x14ac:dyDescent="0.3">
      <c r="A6061" s="2">
        <v>42578</v>
      </c>
      <c r="B6061" t="s">
        <v>13</v>
      </c>
      <c r="D6061" s="2">
        <v>43309</v>
      </c>
      <c r="E6061">
        <v>6.25</v>
      </c>
      <c r="G6061" s="2">
        <v>43309</v>
      </c>
      <c r="H6061">
        <v>6.95</v>
      </c>
      <c r="J6061" s="2">
        <v>43316</v>
      </c>
      <c r="K6061" s="3">
        <f t="shared" si="188"/>
        <v>6.5</v>
      </c>
      <c r="L6061" s="3">
        <f t="shared" si="189"/>
        <v>6.9790000000000001</v>
      </c>
    </row>
    <row r="6062" spans="1:12" x14ac:dyDescent="0.3">
      <c r="A6062" s="2">
        <v>42579</v>
      </c>
      <c r="B6062" t="s">
        <v>13</v>
      </c>
      <c r="D6062" s="2">
        <v>43310</v>
      </c>
      <c r="E6062">
        <v>6.25</v>
      </c>
      <c r="G6062" s="2">
        <v>43310</v>
      </c>
      <c r="H6062">
        <v>6.95</v>
      </c>
      <c r="J6062" s="2">
        <v>43317</v>
      </c>
      <c r="K6062" s="3">
        <f t="shared" si="188"/>
        <v>6.5</v>
      </c>
      <c r="L6062" s="3">
        <f t="shared" si="189"/>
        <v>6.9790000000000001</v>
      </c>
    </row>
    <row r="6063" spans="1:12" x14ac:dyDescent="0.3">
      <c r="A6063" s="2">
        <v>42580</v>
      </c>
      <c r="B6063" t="s">
        <v>13</v>
      </c>
      <c r="D6063" s="2">
        <v>43311</v>
      </c>
      <c r="E6063">
        <v>6.25</v>
      </c>
      <c r="G6063" s="2">
        <v>43311</v>
      </c>
      <c r="H6063">
        <v>6.97</v>
      </c>
      <c r="J6063" s="2">
        <v>43318</v>
      </c>
      <c r="K6063" s="3">
        <f t="shared" si="188"/>
        <v>6.5</v>
      </c>
      <c r="L6063" s="3">
        <f t="shared" si="189"/>
        <v>6.9770000000000003</v>
      </c>
    </row>
    <row r="6064" spans="1:12" x14ac:dyDescent="0.3">
      <c r="A6064" s="2">
        <v>42581</v>
      </c>
      <c r="B6064" t="s">
        <v>13</v>
      </c>
      <c r="D6064" s="2">
        <v>43312</v>
      </c>
      <c r="E6064">
        <v>6.25</v>
      </c>
      <c r="G6064" s="2">
        <v>43312</v>
      </c>
      <c r="H6064">
        <v>6.9340000000000002</v>
      </c>
      <c r="J6064" s="2">
        <v>43319</v>
      </c>
      <c r="K6064" s="3">
        <f t="shared" si="188"/>
        <v>6.5</v>
      </c>
      <c r="L6064" s="3">
        <f t="shared" si="189"/>
        <v>7.2930000000000001</v>
      </c>
    </row>
    <row r="6065" spans="1:12" x14ac:dyDescent="0.3">
      <c r="A6065" s="2">
        <v>42582</v>
      </c>
      <c r="B6065" t="s">
        <v>13</v>
      </c>
      <c r="D6065" s="2">
        <v>43313</v>
      </c>
      <c r="E6065">
        <v>6.5</v>
      </c>
      <c r="G6065" s="2">
        <v>43313</v>
      </c>
      <c r="H6065">
        <v>6.94</v>
      </c>
      <c r="J6065" s="2">
        <v>43320</v>
      </c>
      <c r="K6065" s="3">
        <f t="shared" si="188"/>
        <v>6.5</v>
      </c>
      <c r="L6065" s="3">
        <f t="shared" si="189"/>
        <v>7.2670000000000003</v>
      </c>
    </row>
    <row r="6066" spans="1:12" x14ac:dyDescent="0.3">
      <c r="A6066" s="2">
        <v>42583</v>
      </c>
      <c r="B6066" t="s">
        <v>13</v>
      </c>
      <c r="D6066" s="2">
        <v>43314</v>
      </c>
      <c r="E6066">
        <v>6.5</v>
      </c>
      <c r="G6066" s="2">
        <v>43314</v>
      </c>
      <c r="H6066">
        <v>6.8959999999999999</v>
      </c>
      <c r="J6066" s="2">
        <v>43321</v>
      </c>
      <c r="K6066" s="3">
        <f t="shared" si="188"/>
        <v>6.5</v>
      </c>
      <c r="L6066" s="3">
        <f t="shared" si="189"/>
        <v>7.2409999999999997</v>
      </c>
    </row>
    <row r="6067" spans="1:12" x14ac:dyDescent="0.3">
      <c r="A6067" s="2">
        <v>42584</v>
      </c>
      <c r="B6067" t="s">
        <v>13</v>
      </c>
      <c r="D6067" s="2">
        <v>43315</v>
      </c>
      <c r="E6067">
        <v>6.5</v>
      </c>
      <c r="G6067" s="2">
        <v>43315</v>
      </c>
      <c r="H6067">
        <v>6.9790000000000001</v>
      </c>
      <c r="J6067" s="2">
        <v>43322</v>
      </c>
      <c r="K6067" s="3">
        <f t="shared" si="188"/>
        <v>6.5</v>
      </c>
      <c r="L6067" s="3">
        <f t="shared" si="189"/>
        <v>7.2469999999999999</v>
      </c>
    </row>
    <row r="6068" spans="1:12" x14ac:dyDescent="0.3">
      <c r="A6068" s="2">
        <v>42585</v>
      </c>
      <c r="B6068" t="s">
        <v>13</v>
      </c>
      <c r="D6068" s="2">
        <v>43316</v>
      </c>
      <c r="E6068">
        <v>6.5</v>
      </c>
      <c r="G6068" s="2">
        <v>43316</v>
      </c>
      <c r="H6068">
        <v>6.9790000000000001</v>
      </c>
      <c r="J6068" s="2">
        <v>43323</v>
      </c>
      <c r="K6068" s="3">
        <f t="shared" si="188"/>
        <v>6.5</v>
      </c>
      <c r="L6068" s="3">
        <f t="shared" si="189"/>
        <v>7.2469999999999999</v>
      </c>
    </row>
    <row r="6069" spans="1:12" x14ac:dyDescent="0.3">
      <c r="A6069" s="2">
        <v>42586</v>
      </c>
      <c r="B6069" t="s">
        <v>13</v>
      </c>
      <c r="D6069" s="2">
        <v>43317</v>
      </c>
      <c r="E6069">
        <v>6.5</v>
      </c>
      <c r="G6069" s="2">
        <v>43317</v>
      </c>
      <c r="H6069">
        <v>6.9790000000000001</v>
      </c>
      <c r="J6069" s="2">
        <v>43324</v>
      </c>
      <c r="K6069" s="3">
        <f t="shared" si="188"/>
        <v>6.5</v>
      </c>
      <c r="L6069" s="3">
        <f t="shared" si="189"/>
        <v>7.2469999999999999</v>
      </c>
    </row>
    <row r="6070" spans="1:12" x14ac:dyDescent="0.3">
      <c r="A6070" s="2">
        <v>42587</v>
      </c>
      <c r="B6070" t="s">
        <v>13</v>
      </c>
      <c r="D6070" s="2">
        <v>43318</v>
      </c>
      <c r="E6070">
        <v>6.5</v>
      </c>
      <c r="G6070" s="2">
        <v>43318</v>
      </c>
      <c r="H6070">
        <v>6.9770000000000003</v>
      </c>
      <c r="J6070" s="2">
        <v>43325</v>
      </c>
      <c r="K6070" s="3">
        <f t="shared" si="188"/>
        <v>6.5</v>
      </c>
      <c r="L6070" s="3">
        <f t="shared" si="189"/>
        <v>7.2919999999999998</v>
      </c>
    </row>
    <row r="6071" spans="1:12" x14ac:dyDescent="0.3">
      <c r="A6071" s="2">
        <v>42588</v>
      </c>
      <c r="B6071" t="s">
        <v>13</v>
      </c>
      <c r="D6071" s="2">
        <v>43319</v>
      </c>
      <c r="E6071">
        <v>6.5</v>
      </c>
      <c r="G6071" s="2">
        <v>43319</v>
      </c>
      <c r="H6071">
        <v>7.2930000000000001</v>
      </c>
      <c r="J6071" s="2">
        <v>43326</v>
      </c>
      <c r="K6071" s="3">
        <f t="shared" si="188"/>
        <v>6.5</v>
      </c>
      <c r="L6071" s="3">
        <f t="shared" si="189"/>
        <v>7.2859999999999996</v>
      </c>
    </row>
    <row r="6072" spans="1:12" x14ac:dyDescent="0.3">
      <c r="A6072" s="2">
        <v>42589</v>
      </c>
      <c r="B6072" t="s">
        <v>13</v>
      </c>
      <c r="D6072" s="2">
        <v>43320</v>
      </c>
      <c r="E6072">
        <v>6.5</v>
      </c>
      <c r="G6072" s="2">
        <v>43320</v>
      </c>
      <c r="H6072">
        <v>7.2670000000000003</v>
      </c>
      <c r="J6072" s="2">
        <v>43327</v>
      </c>
      <c r="K6072" s="3">
        <f t="shared" si="188"/>
        <v>6.5</v>
      </c>
      <c r="L6072" s="3">
        <f t="shared" si="189"/>
        <v>7.2859999999999996</v>
      </c>
    </row>
    <row r="6073" spans="1:12" x14ac:dyDescent="0.3">
      <c r="A6073" s="2">
        <v>42590</v>
      </c>
      <c r="B6073" t="s">
        <v>13</v>
      </c>
      <c r="D6073" s="2">
        <v>43321</v>
      </c>
      <c r="E6073">
        <v>6.5</v>
      </c>
      <c r="G6073" s="2">
        <v>43321</v>
      </c>
      <c r="H6073">
        <v>7.2409999999999997</v>
      </c>
      <c r="J6073" s="2">
        <v>43328</v>
      </c>
      <c r="K6073" s="3">
        <f t="shared" si="188"/>
        <v>6.5</v>
      </c>
      <c r="L6073" s="3">
        <f t="shared" si="189"/>
        <v>7.3049999999999997</v>
      </c>
    </row>
    <row r="6074" spans="1:12" x14ac:dyDescent="0.3">
      <c r="A6074" s="2">
        <v>42591</v>
      </c>
      <c r="B6074" t="s">
        <v>13</v>
      </c>
      <c r="D6074" s="2">
        <v>43322</v>
      </c>
      <c r="E6074">
        <v>6.5</v>
      </c>
      <c r="G6074" s="2">
        <v>43322</v>
      </c>
      <c r="H6074">
        <v>7.2469999999999999</v>
      </c>
      <c r="J6074" s="2">
        <v>43329</v>
      </c>
      <c r="K6074" s="3">
        <f t="shared" si="188"/>
        <v>6.5</v>
      </c>
      <c r="L6074" s="3">
        <f t="shared" si="189"/>
        <v>7.3049999999999997</v>
      </c>
    </row>
    <row r="6075" spans="1:12" x14ac:dyDescent="0.3">
      <c r="A6075" s="2">
        <v>42592</v>
      </c>
      <c r="B6075" t="s">
        <v>13</v>
      </c>
      <c r="D6075" s="2">
        <v>43323</v>
      </c>
      <c r="E6075">
        <v>6.5</v>
      </c>
      <c r="G6075" s="2">
        <v>43323</v>
      </c>
      <c r="H6075">
        <v>7.2469999999999999</v>
      </c>
      <c r="J6075" s="2">
        <v>43330</v>
      </c>
      <c r="K6075" s="3">
        <f t="shared" si="188"/>
        <v>6.5</v>
      </c>
      <c r="L6075" s="3">
        <f t="shared" si="189"/>
        <v>7.3049999999999997</v>
      </c>
    </row>
    <row r="6076" spans="1:12" x14ac:dyDescent="0.3">
      <c r="A6076" s="2">
        <v>42593</v>
      </c>
      <c r="B6076" t="s">
        <v>13</v>
      </c>
      <c r="D6076" s="2">
        <v>43324</v>
      </c>
      <c r="E6076">
        <v>6.5</v>
      </c>
      <c r="G6076" s="2">
        <v>43324</v>
      </c>
      <c r="H6076">
        <v>7.2469999999999999</v>
      </c>
      <c r="J6076" s="2">
        <v>43331</v>
      </c>
      <c r="K6076" s="3">
        <f t="shared" si="188"/>
        <v>6.5</v>
      </c>
      <c r="L6076" s="3">
        <f t="shared" si="189"/>
        <v>7.3049999999999997</v>
      </c>
    </row>
    <row r="6077" spans="1:12" x14ac:dyDescent="0.3">
      <c r="A6077" s="2">
        <v>42594</v>
      </c>
      <c r="B6077" t="s">
        <v>13</v>
      </c>
      <c r="D6077" s="2">
        <v>43325</v>
      </c>
      <c r="E6077">
        <v>6.5</v>
      </c>
      <c r="G6077" s="2">
        <v>43325</v>
      </c>
      <c r="H6077">
        <v>7.2919999999999998</v>
      </c>
      <c r="J6077" s="2">
        <v>43332</v>
      </c>
      <c r="K6077" s="3">
        <f t="shared" si="188"/>
        <v>6.5</v>
      </c>
      <c r="L6077" s="3">
        <f t="shared" si="189"/>
        <v>7.2850000000000001</v>
      </c>
    </row>
    <row r="6078" spans="1:12" x14ac:dyDescent="0.3">
      <c r="A6078" s="2">
        <v>42595</v>
      </c>
      <c r="B6078" t="s">
        <v>13</v>
      </c>
      <c r="D6078" s="2">
        <v>43326</v>
      </c>
      <c r="E6078">
        <v>6.5</v>
      </c>
      <c r="G6078" s="2">
        <v>43326</v>
      </c>
      <c r="H6078">
        <v>7.2859999999999996</v>
      </c>
      <c r="J6078" s="2">
        <v>43333</v>
      </c>
      <c r="K6078" s="3">
        <f t="shared" si="188"/>
        <v>6.5</v>
      </c>
      <c r="L6078" s="3">
        <f t="shared" si="189"/>
        <v>7.2990000000000004</v>
      </c>
    </row>
    <row r="6079" spans="1:12" x14ac:dyDescent="0.3">
      <c r="A6079" s="2">
        <v>42596</v>
      </c>
      <c r="B6079" t="s">
        <v>13</v>
      </c>
      <c r="D6079" s="2">
        <v>43327</v>
      </c>
      <c r="E6079">
        <v>6.5</v>
      </c>
      <c r="G6079" s="2">
        <v>43327</v>
      </c>
      <c r="H6079">
        <v>7.2859999999999996</v>
      </c>
      <c r="J6079" s="2">
        <v>43334</v>
      </c>
      <c r="K6079" s="3">
        <f t="shared" si="188"/>
        <v>6.5</v>
      </c>
      <c r="L6079" s="3">
        <f t="shared" si="189"/>
        <v>7.2990000000000004</v>
      </c>
    </row>
    <row r="6080" spans="1:12" x14ac:dyDescent="0.3">
      <c r="A6080" s="2">
        <v>42597</v>
      </c>
      <c r="B6080" t="s">
        <v>13</v>
      </c>
      <c r="D6080" s="2">
        <v>43328</v>
      </c>
      <c r="E6080">
        <v>6.5</v>
      </c>
      <c r="G6080" s="2">
        <v>43328</v>
      </c>
      <c r="H6080">
        <v>7.3049999999999997</v>
      </c>
      <c r="J6080" s="2">
        <v>43335</v>
      </c>
      <c r="K6080" s="3">
        <f t="shared" si="188"/>
        <v>6.5</v>
      </c>
      <c r="L6080" s="3">
        <f t="shared" si="189"/>
        <v>7.3390000000000004</v>
      </c>
    </row>
    <row r="6081" spans="1:12" x14ac:dyDescent="0.3">
      <c r="A6081" s="2">
        <v>42598</v>
      </c>
      <c r="B6081" t="s">
        <v>13</v>
      </c>
      <c r="D6081" s="2">
        <v>43329</v>
      </c>
      <c r="E6081">
        <v>6.5</v>
      </c>
      <c r="G6081" s="2">
        <v>43329</v>
      </c>
      <c r="H6081">
        <v>7.3049999999999997</v>
      </c>
      <c r="J6081" s="2">
        <v>43336</v>
      </c>
      <c r="K6081" s="3">
        <f t="shared" si="188"/>
        <v>6.5</v>
      </c>
      <c r="L6081" s="3">
        <f t="shared" si="189"/>
        <v>7.2990000000000004</v>
      </c>
    </row>
    <row r="6082" spans="1:12" x14ac:dyDescent="0.3">
      <c r="A6082" s="2">
        <v>42599</v>
      </c>
      <c r="B6082" t="s">
        <v>13</v>
      </c>
      <c r="D6082" s="2">
        <v>43330</v>
      </c>
      <c r="E6082">
        <v>6.5</v>
      </c>
      <c r="G6082" s="2">
        <v>43330</v>
      </c>
      <c r="H6082">
        <v>7.3049999999999997</v>
      </c>
      <c r="J6082" s="2">
        <v>43337</v>
      </c>
      <c r="K6082" s="3">
        <f t="shared" si="188"/>
        <v>6.5</v>
      </c>
      <c r="L6082" s="3">
        <f t="shared" si="189"/>
        <v>7.2990000000000004</v>
      </c>
    </row>
    <row r="6083" spans="1:12" x14ac:dyDescent="0.3">
      <c r="A6083" s="2">
        <v>42600</v>
      </c>
      <c r="B6083" t="s">
        <v>13</v>
      </c>
      <c r="D6083" s="2">
        <v>43331</v>
      </c>
      <c r="E6083">
        <v>6.5</v>
      </c>
      <c r="G6083" s="2">
        <v>43331</v>
      </c>
      <c r="H6083">
        <v>7.3049999999999997</v>
      </c>
      <c r="J6083" s="2">
        <v>43338</v>
      </c>
      <c r="K6083" s="3">
        <f t="shared" ref="K6083:K6146" si="190">E6090</f>
        <v>6.5</v>
      </c>
      <c r="L6083" s="3">
        <f t="shared" ref="L6083:L6146" si="191">H6090</f>
        <v>7.2990000000000004</v>
      </c>
    </row>
    <row r="6084" spans="1:12" x14ac:dyDescent="0.3">
      <c r="A6084" s="2">
        <v>42601</v>
      </c>
      <c r="B6084" t="s">
        <v>13</v>
      </c>
      <c r="D6084" s="2">
        <v>43332</v>
      </c>
      <c r="E6084">
        <v>6.5</v>
      </c>
      <c r="G6084" s="2">
        <v>43332</v>
      </c>
      <c r="H6084">
        <v>7.2850000000000001</v>
      </c>
      <c r="J6084" s="2">
        <v>43339</v>
      </c>
      <c r="K6084" s="3">
        <f t="shared" si="190"/>
        <v>6.5</v>
      </c>
      <c r="L6084" s="3">
        <f t="shared" si="191"/>
        <v>7.3259999999999996</v>
      </c>
    </row>
    <row r="6085" spans="1:12" x14ac:dyDescent="0.3">
      <c r="A6085" s="2">
        <v>42602</v>
      </c>
      <c r="B6085" t="s">
        <v>13</v>
      </c>
      <c r="D6085" s="2">
        <v>43333</v>
      </c>
      <c r="E6085">
        <v>6.5</v>
      </c>
      <c r="G6085" s="2">
        <v>43333</v>
      </c>
      <c r="H6085">
        <v>7.2990000000000004</v>
      </c>
      <c r="J6085" s="2">
        <v>43340</v>
      </c>
      <c r="K6085" s="3">
        <f t="shared" si="190"/>
        <v>6.5</v>
      </c>
      <c r="L6085" s="3">
        <f t="shared" si="191"/>
        <v>7.3330000000000002</v>
      </c>
    </row>
    <row r="6086" spans="1:12" x14ac:dyDescent="0.3">
      <c r="A6086" s="2">
        <v>42603</v>
      </c>
      <c r="B6086" t="s">
        <v>13</v>
      </c>
      <c r="D6086" s="2">
        <v>43334</v>
      </c>
      <c r="E6086">
        <v>6.5</v>
      </c>
      <c r="G6086" s="2">
        <v>43334</v>
      </c>
      <c r="H6086">
        <v>7.2990000000000004</v>
      </c>
      <c r="J6086" s="2">
        <v>43341</v>
      </c>
      <c r="K6086" s="3">
        <f t="shared" si="190"/>
        <v>6.5</v>
      </c>
      <c r="L6086" s="3">
        <f t="shared" si="191"/>
        <v>7.3330000000000002</v>
      </c>
    </row>
    <row r="6087" spans="1:12" x14ac:dyDescent="0.3">
      <c r="A6087" s="2">
        <v>42604</v>
      </c>
      <c r="B6087" t="s">
        <v>13</v>
      </c>
      <c r="D6087" s="2">
        <v>43335</v>
      </c>
      <c r="E6087">
        <v>6.5</v>
      </c>
      <c r="G6087" s="2">
        <v>43335</v>
      </c>
      <c r="H6087">
        <v>7.3390000000000004</v>
      </c>
      <c r="J6087" s="2">
        <v>43342</v>
      </c>
      <c r="K6087" s="3">
        <f t="shared" si="190"/>
        <v>6.5</v>
      </c>
      <c r="L6087" s="3">
        <f t="shared" si="191"/>
        <v>7.3259999999999996</v>
      </c>
    </row>
    <row r="6088" spans="1:12" x14ac:dyDescent="0.3">
      <c r="A6088" s="2">
        <v>42605</v>
      </c>
      <c r="B6088" t="s">
        <v>13</v>
      </c>
      <c r="D6088" s="2">
        <v>43336</v>
      </c>
      <c r="E6088">
        <v>6.5</v>
      </c>
      <c r="G6088" s="2">
        <v>43336</v>
      </c>
      <c r="H6088">
        <v>7.2990000000000004</v>
      </c>
      <c r="J6088" s="2">
        <v>43343</v>
      </c>
      <c r="K6088" s="3">
        <f t="shared" si="190"/>
        <v>6.5</v>
      </c>
      <c r="L6088" s="3">
        <f t="shared" si="191"/>
        <v>7.3440000000000003</v>
      </c>
    </row>
    <row r="6089" spans="1:12" x14ac:dyDescent="0.3">
      <c r="A6089" s="2">
        <v>42606</v>
      </c>
      <c r="B6089" t="s">
        <v>13</v>
      </c>
      <c r="D6089" s="2">
        <v>43337</v>
      </c>
      <c r="E6089">
        <v>6.5</v>
      </c>
      <c r="G6089" s="2">
        <v>43337</v>
      </c>
      <c r="H6089">
        <v>7.2990000000000004</v>
      </c>
      <c r="J6089" s="2">
        <v>43344</v>
      </c>
      <c r="K6089" s="3">
        <f t="shared" si="190"/>
        <v>6.5</v>
      </c>
      <c r="L6089" s="3">
        <f t="shared" si="191"/>
        <v>7.3440000000000003</v>
      </c>
    </row>
    <row r="6090" spans="1:12" x14ac:dyDescent="0.3">
      <c r="A6090" s="2">
        <v>42607</v>
      </c>
      <c r="B6090" t="s">
        <v>13</v>
      </c>
      <c r="D6090" s="2">
        <v>43338</v>
      </c>
      <c r="E6090">
        <v>6.5</v>
      </c>
      <c r="G6090" s="2">
        <v>43338</v>
      </c>
      <c r="H6090">
        <v>7.2990000000000004</v>
      </c>
      <c r="J6090" s="2">
        <v>43345</v>
      </c>
      <c r="K6090" s="3">
        <f t="shared" si="190"/>
        <v>6.5</v>
      </c>
      <c r="L6090" s="3">
        <f t="shared" si="191"/>
        <v>7.3440000000000003</v>
      </c>
    </row>
    <row r="6091" spans="1:12" x14ac:dyDescent="0.3">
      <c r="A6091" s="2">
        <v>42608</v>
      </c>
      <c r="B6091" t="s">
        <v>13</v>
      </c>
      <c r="D6091" s="2">
        <v>43339</v>
      </c>
      <c r="E6091">
        <v>6.5</v>
      </c>
      <c r="G6091" s="2">
        <v>43339</v>
      </c>
      <c r="H6091">
        <v>7.3259999999999996</v>
      </c>
      <c r="J6091" s="2">
        <v>43346</v>
      </c>
      <c r="K6091" s="3">
        <f t="shared" si="190"/>
        <v>6.5</v>
      </c>
      <c r="L6091" s="3">
        <f t="shared" si="191"/>
        <v>7.3410000000000002</v>
      </c>
    </row>
    <row r="6092" spans="1:12" x14ac:dyDescent="0.3">
      <c r="A6092" s="2">
        <v>42609</v>
      </c>
      <c r="B6092" t="s">
        <v>13</v>
      </c>
      <c r="D6092" s="2">
        <v>43340</v>
      </c>
      <c r="E6092">
        <v>6.5</v>
      </c>
      <c r="G6092" s="2">
        <v>43340</v>
      </c>
      <c r="H6092">
        <v>7.3330000000000002</v>
      </c>
      <c r="J6092" s="2">
        <v>43347</v>
      </c>
      <c r="K6092" s="3">
        <f t="shared" si="190"/>
        <v>6.5</v>
      </c>
      <c r="L6092" s="3">
        <f t="shared" si="191"/>
        <v>7.5309999999999997</v>
      </c>
    </row>
    <row r="6093" spans="1:12" x14ac:dyDescent="0.3">
      <c r="A6093" s="2">
        <v>42610</v>
      </c>
      <c r="B6093" t="s">
        <v>13</v>
      </c>
      <c r="D6093" s="2">
        <v>43341</v>
      </c>
      <c r="E6093">
        <v>6.5</v>
      </c>
      <c r="G6093" s="2">
        <v>43341</v>
      </c>
      <c r="H6093">
        <v>7.3330000000000002</v>
      </c>
      <c r="J6093" s="2">
        <v>43348</v>
      </c>
      <c r="K6093" s="3">
        <f t="shared" si="190"/>
        <v>6.5</v>
      </c>
      <c r="L6093" s="3">
        <f t="shared" si="191"/>
        <v>7.4630000000000001</v>
      </c>
    </row>
    <row r="6094" spans="1:12" x14ac:dyDescent="0.3">
      <c r="A6094" s="2">
        <v>42611</v>
      </c>
      <c r="B6094" t="s">
        <v>13</v>
      </c>
      <c r="D6094" s="2">
        <v>43342</v>
      </c>
      <c r="E6094">
        <v>6.5</v>
      </c>
      <c r="G6094" s="2">
        <v>43342</v>
      </c>
      <c r="H6094">
        <v>7.3259999999999996</v>
      </c>
      <c r="J6094" s="2">
        <v>43349</v>
      </c>
      <c r="K6094" s="3">
        <f t="shared" si="190"/>
        <v>6.5</v>
      </c>
      <c r="L6094" s="3">
        <f t="shared" si="191"/>
        <v>7.5019999999999998</v>
      </c>
    </row>
    <row r="6095" spans="1:12" x14ac:dyDescent="0.3">
      <c r="A6095" s="2">
        <v>42612</v>
      </c>
      <c r="B6095" t="s">
        <v>13</v>
      </c>
      <c r="D6095" s="2">
        <v>43343</v>
      </c>
      <c r="E6095">
        <v>6.5</v>
      </c>
      <c r="G6095" s="2">
        <v>43343</v>
      </c>
      <c r="H6095">
        <v>7.3440000000000003</v>
      </c>
      <c r="J6095" s="2">
        <v>43350</v>
      </c>
      <c r="K6095" s="3">
        <f t="shared" si="190"/>
        <v>6.5</v>
      </c>
      <c r="L6095" s="3">
        <f t="shared" si="191"/>
        <v>7.5069999999999997</v>
      </c>
    </row>
    <row r="6096" spans="1:12" x14ac:dyDescent="0.3">
      <c r="A6096" s="2">
        <v>42613</v>
      </c>
      <c r="B6096" t="s">
        <v>13</v>
      </c>
      <c r="D6096" s="2">
        <v>43344</v>
      </c>
      <c r="E6096">
        <v>6.5</v>
      </c>
      <c r="G6096" s="2">
        <v>43344</v>
      </c>
      <c r="H6096">
        <v>7.3440000000000003</v>
      </c>
      <c r="J6096" s="2">
        <v>43351</v>
      </c>
      <c r="K6096" s="3">
        <f t="shared" si="190"/>
        <v>6.5</v>
      </c>
      <c r="L6096" s="3">
        <f t="shared" si="191"/>
        <v>7.5069999999999997</v>
      </c>
    </row>
    <row r="6097" spans="1:12" x14ac:dyDescent="0.3">
      <c r="A6097" s="2">
        <v>42614</v>
      </c>
      <c r="B6097" t="s">
        <v>13</v>
      </c>
      <c r="D6097" s="2">
        <v>43345</v>
      </c>
      <c r="E6097">
        <v>6.5</v>
      </c>
      <c r="G6097" s="2">
        <v>43345</v>
      </c>
      <c r="H6097">
        <v>7.3440000000000003</v>
      </c>
      <c r="J6097" s="2">
        <v>43352</v>
      </c>
      <c r="K6097" s="3">
        <f t="shared" si="190"/>
        <v>6.5</v>
      </c>
      <c r="L6097" s="3">
        <f t="shared" si="191"/>
        <v>7.5069999999999997</v>
      </c>
    </row>
    <row r="6098" spans="1:12" x14ac:dyDescent="0.3">
      <c r="A6098" s="2">
        <v>42615</v>
      </c>
      <c r="B6098" t="s">
        <v>13</v>
      </c>
      <c r="D6098" s="2">
        <v>43346</v>
      </c>
      <c r="E6098">
        <v>6.5</v>
      </c>
      <c r="G6098" s="2">
        <v>43346</v>
      </c>
      <c r="H6098">
        <v>7.3410000000000002</v>
      </c>
      <c r="J6098" s="2">
        <v>43353</v>
      </c>
      <c r="K6098" s="3">
        <f t="shared" si="190"/>
        <v>6.5</v>
      </c>
      <c r="L6098" s="3">
        <f t="shared" si="191"/>
        <v>7.5149999999999997</v>
      </c>
    </row>
    <row r="6099" spans="1:12" x14ac:dyDescent="0.3">
      <c r="A6099" s="2">
        <v>42616</v>
      </c>
      <c r="B6099" t="s">
        <v>13</v>
      </c>
      <c r="D6099" s="2">
        <v>43347</v>
      </c>
      <c r="E6099">
        <v>6.5</v>
      </c>
      <c r="G6099" s="2">
        <v>43347</v>
      </c>
      <c r="H6099">
        <v>7.5309999999999997</v>
      </c>
      <c r="J6099" s="2">
        <v>43354</v>
      </c>
      <c r="K6099" s="3">
        <f t="shared" si="190"/>
        <v>6.5</v>
      </c>
      <c r="L6099" s="3">
        <f t="shared" si="191"/>
        <v>7.5229999999999997</v>
      </c>
    </row>
    <row r="6100" spans="1:12" x14ac:dyDescent="0.3">
      <c r="A6100" s="2">
        <v>42617</v>
      </c>
      <c r="B6100" t="s">
        <v>13</v>
      </c>
      <c r="D6100" s="2">
        <v>43348</v>
      </c>
      <c r="E6100">
        <v>6.5</v>
      </c>
      <c r="G6100" s="2">
        <v>43348</v>
      </c>
      <c r="H6100">
        <v>7.4630000000000001</v>
      </c>
      <c r="J6100" s="2">
        <v>43355</v>
      </c>
      <c r="K6100" s="3">
        <f t="shared" si="190"/>
        <v>6.5</v>
      </c>
      <c r="L6100" s="3">
        <f t="shared" si="191"/>
        <v>7.5229999999999997</v>
      </c>
    </row>
    <row r="6101" spans="1:12" x14ac:dyDescent="0.3">
      <c r="A6101" s="2">
        <v>42618</v>
      </c>
      <c r="B6101" t="s">
        <v>13</v>
      </c>
      <c r="D6101" s="2">
        <v>43349</v>
      </c>
      <c r="E6101">
        <v>6.5</v>
      </c>
      <c r="G6101" s="2">
        <v>43349</v>
      </c>
      <c r="H6101">
        <v>7.5019999999999998</v>
      </c>
      <c r="J6101" s="2">
        <v>43356</v>
      </c>
      <c r="K6101" s="3">
        <f t="shared" si="190"/>
        <v>6.5</v>
      </c>
      <c r="L6101" s="3">
        <f t="shared" si="191"/>
        <v>7.5229999999999997</v>
      </c>
    </row>
    <row r="6102" spans="1:12" x14ac:dyDescent="0.3">
      <c r="A6102" s="2">
        <v>42619</v>
      </c>
      <c r="B6102" t="s">
        <v>13</v>
      </c>
      <c r="D6102" s="2">
        <v>43350</v>
      </c>
      <c r="E6102">
        <v>6.5</v>
      </c>
      <c r="G6102" s="2">
        <v>43350</v>
      </c>
      <c r="H6102">
        <v>7.5069999999999997</v>
      </c>
      <c r="J6102" s="2">
        <v>43357</v>
      </c>
      <c r="K6102" s="3">
        <f t="shared" si="190"/>
        <v>6.5</v>
      </c>
      <c r="L6102" s="3">
        <f t="shared" si="191"/>
        <v>7.5229999999999997</v>
      </c>
    </row>
    <row r="6103" spans="1:12" x14ac:dyDescent="0.3">
      <c r="A6103" s="2">
        <v>42620</v>
      </c>
      <c r="B6103" t="s">
        <v>13</v>
      </c>
      <c r="D6103" s="2">
        <v>43351</v>
      </c>
      <c r="E6103">
        <v>6.5</v>
      </c>
      <c r="G6103" s="2">
        <v>43351</v>
      </c>
      <c r="H6103">
        <v>7.5069999999999997</v>
      </c>
      <c r="J6103" s="2">
        <v>43358</v>
      </c>
      <c r="K6103" s="3">
        <f t="shared" si="190"/>
        <v>6.5</v>
      </c>
      <c r="L6103" s="3">
        <f t="shared" si="191"/>
        <v>7.5229999999999997</v>
      </c>
    </row>
    <row r="6104" spans="1:12" x14ac:dyDescent="0.3">
      <c r="A6104" s="2">
        <v>42621</v>
      </c>
      <c r="B6104" t="s">
        <v>13</v>
      </c>
      <c r="D6104" s="2">
        <v>43352</v>
      </c>
      <c r="E6104">
        <v>6.5</v>
      </c>
      <c r="G6104" s="2">
        <v>43352</v>
      </c>
      <c r="H6104">
        <v>7.5069999999999997</v>
      </c>
      <c r="J6104" s="2">
        <v>43359</v>
      </c>
      <c r="K6104" s="3">
        <f t="shared" si="190"/>
        <v>6.5</v>
      </c>
      <c r="L6104" s="3">
        <f t="shared" si="191"/>
        <v>7.5229999999999997</v>
      </c>
    </row>
    <row r="6105" spans="1:12" x14ac:dyDescent="0.3">
      <c r="A6105" s="2">
        <v>42622</v>
      </c>
      <c r="B6105" t="s">
        <v>13</v>
      </c>
      <c r="D6105" s="2">
        <v>43353</v>
      </c>
      <c r="E6105">
        <v>6.5</v>
      </c>
      <c r="G6105" s="2">
        <v>43353</v>
      </c>
      <c r="H6105">
        <v>7.5149999999999997</v>
      </c>
      <c r="J6105" s="2">
        <v>43360</v>
      </c>
      <c r="K6105" s="3">
        <f t="shared" si="190"/>
        <v>6.5</v>
      </c>
      <c r="L6105" s="3">
        <f t="shared" si="191"/>
        <v>7.5229999999999997</v>
      </c>
    </row>
    <row r="6106" spans="1:12" x14ac:dyDescent="0.3">
      <c r="A6106" s="2">
        <v>42623</v>
      </c>
      <c r="B6106" t="s">
        <v>13</v>
      </c>
      <c r="D6106" s="2">
        <v>43354</v>
      </c>
      <c r="E6106">
        <v>6.5</v>
      </c>
      <c r="G6106" s="2">
        <v>43354</v>
      </c>
      <c r="H6106">
        <v>7.5229999999999997</v>
      </c>
      <c r="J6106" s="2">
        <v>43361</v>
      </c>
      <c r="K6106" s="3">
        <f t="shared" si="190"/>
        <v>6.5</v>
      </c>
      <c r="L6106" s="3">
        <f t="shared" si="191"/>
        <v>7.5490000000000004</v>
      </c>
    </row>
    <row r="6107" spans="1:12" x14ac:dyDescent="0.3">
      <c r="A6107" s="2">
        <v>42624</v>
      </c>
      <c r="B6107" t="s">
        <v>13</v>
      </c>
      <c r="D6107" s="2">
        <v>43355</v>
      </c>
      <c r="E6107">
        <v>6.5</v>
      </c>
      <c r="G6107" s="2">
        <v>43355</v>
      </c>
      <c r="H6107">
        <v>7.5229999999999997</v>
      </c>
      <c r="J6107" s="2">
        <v>43362</v>
      </c>
      <c r="K6107" s="3">
        <f t="shared" si="190"/>
        <v>6.5</v>
      </c>
      <c r="L6107" s="3">
        <f t="shared" si="191"/>
        <v>7.5490000000000004</v>
      </c>
    </row>
    <row r="6108" spans="1:12" x14ac:dyDescent="0.3">
      <c r="A6108" s="2">
        <v>42625</v>
      </c>
      <c r="B6108" t="s">
        <v>13</v>
      </c>
      <c r="D6108" s="2">
        <v>43356</v>
      </c>
      <c r="E6108">
        <v>6.5</v>
      </c>
      <c r="G6108" s="2">
        <v>43356</v>
      </c>
      <c r="H6108">
        <v>7.5229999999999997</v>
      </c>
      <c r="J6108" s="2">
        <v>43363</v>
      </c>
      <c r="K6108" s="3">
        <f t="shared" si="190"/>
        <v>6.5</v>
      </c>
      <c r="L6108" s="3">
        <f t="shared" si="191"/>
        <v>7.5490000000000004</v>
      </c>
    </row>
    <row r="6109" spans="1:12" x14ac:dyDescent="0.3">
      <c r="A6109" s="2">
        <v>42626</v>
      </c>
      <c r="B6109" t="s">
        <v>13</v>
      </c>
      <c r="D6109" s="2">
        <v>43357</v>
      </c>
      <c r="E6109">
        <v>6.5</v>
      </c>
      <c r="G6109" s="2">
        <v>43357</v>
      </c>
      <c r="H6109">
        <v>7.5229999999999997</v>
      </c>
      <c r="J6109" s="2">
        <v>43364</v>
      </c>
      <c r="K6109" s="3">
        <f t="shared" si="190"/>
        <v>6.5</v>
      </c>
      <c r="L6109" s="3">
        <f t="shared" si="191"/>
        <v>7.5490000000000004</v>
      </c>
    </row>
    <row r="6110" spans="1:12" x14ac:dyDescent="0.3">
      <c r="A6110" s="2">
        <v>42627</v>
      </c>
      <c r="B6110" t="s">
        <v>13</v>
      </c>
      <c r="D6110" s="2">
        <v>43358</v>
      </c>
      <c r="E6110">
        <v>6.5</v>
      </c>
      <c r="G6110" s="2">
        <v>43358</v>
      </c>
      <c r="H6110">
        <v>7.5229999999999997</v>
      </c>
      <c r="J6110" s="2">
        <v>43365</v>
      </c>
      <c r="K6110" s="3">
        <f t="shared" si="190"/>
        <v>6.5</v>
      </c>
      <c r="L6110" s="3">
        <f t="shared" si="191"/>
        <v>7.5490000000000004</v>
      </c>
    </row>
    <row r="6111" spans="1:12" x14ac:dyDescent="0.3">
      <c r="A6111" s="2">
        <v>42628</v>
      </c>
      <c r="B6111" t="s">
        <v>13</v>
      </c>
      <c r="D6111" s="2">
        <v>43359</v>
      </c>
      <c r="E6111">
        <v>6.5</v>
      </c>
      <c r="G6111" s="2">
        <v>43359</v>
      </c>
      <c r="H6111">
        <v>7.5229999999999997</v>
      </c>
      <c r="J6111" s="2">
        <v>43366</v>
      </c>
      <c r="K6111" s="3">
        <f t="shared" si="190"/>
        <v>6.5</v>
      </c>
      <c r="L6111" s="3">
        <f t="shared" si="191"/>
        <v>7.5490000000000004</v>
      </c>
    </row>
    <row r="6112" spans="1:12" x14ac:dyDescent="0.3">
      <c r="A6112" s="2">
        <v>42629</v>
      </c>
      <c r="B6112" t="s">
        <v>13</v>
      </c>
      <c r="D6112" s="2">
        <v>43360</v>
      </c>
      <c r="E6112">
        <v>6.5</v>
      </c>
      <c r="G6112" s="2">
        <v>43360</v>
      </c>
      <c r="H6112">
        <v>7.5229999999999997</v>
      </c>
      <c r="J6112" s="2">
        <v>43367</v>
      </c>
      <c r="K6112" s="3">
        <f t="shared" si="190"/>
        <v>6.5</v>
      </c>
      <c r="L6112" s="3">
        <f t="shared" si="191"/>
        <v>7.5490000000000004</v>
      </c>
    </row>
    <row r="6113" spans="1:12" x14ac:dyDescent="0.3">
      <c r="A6113" s="2">
        <v>42630</v>
      </c>
      <c r="B6113" t="s">
        <v>13</v>
      </c>
      <c r="D6113" s="2">
        <v>43361</v>
      </c>
      <c r="E6113">
        <v>6.5</v>
      </c>
      <c r="G6113" s="2">
        <v>43361</v>
      </c>
      <c r="H6113">
        <v>7.5490000000000004</v>
      </c>
      <c r="J6113" s="2">
        <v>43368</v>
      </c>
      <c r="K6113" s="3">
        <f t="shared" si="190"/>
        <v>6.5</v>
      </c>
      <c r="L6113" s="3">
        <f t="shared" si="191"/>
        <v>7.6470000000000002</v>
      </c>
    </row>
    <row r="6114" spans="1:12" x14ac:dyDescent="0.3">
      <c r="A6114" s="2">
        <v>42631</v>
      </c>
      <c r="B6114" t="s">
        <v>13</v>
      </c>
      <c r="D6114" s="2">
        <v>43362</v>
      </c>
      <c r="E6114">
        <v>6.5</v>
      </c>
      <c r="G6114" s="2">
        <v>43362</v>
      </c>
      <c r="H6114">
        <v>7.5490000000000004</v>
      </c>
      <c r="J6114" s="2">
        <v>43369</v>
      </c>
      <c r="K6114" s="3">
        <f t="shared" si="190"/>
        <v>6.5</v>
      </c>
      <c r="L6114" s="3">
        <f t="shared" si="191"/>
        <v>7.5659999999999998</v>
      </c>
    </row>
    <row r="6115" spans="1:12" x14ac:dyDescent="0.3">
      <c r="A6115" s="2">
        <v>42632</v>
      </c>
      <c r="B6115" t="s">
        <v>13</v>
      </c>
      <c r="D6115" s="2">
        <v>43363</v>
      </c>
      <c r="E6115">
        <v>6.5</v>
      </c>
      <c r="G6115" s="2">
        <v>43363</v>
      </c>
      <c r="H6115">
        <v>7.5490000000000004</v>
      </c>
      <c r="J6115" s="2">
        <v>43370</v>
      </c>
      <c r="K6115" s="3">
        <f t="shared" si="190"/>
        <v>6.5</v>
      </c>
      <c r="L6115" s="3">
        <f t="shared" si="191"/>
        <v>7.5659999999999998</v>
      </c>
    </row>
    <row r="6116" spans="1:12" x14ac:dyDescent="0.3">
      <c r="A6116" s="2">
        <v>42633</v>
      </c>
      <c r="B6116" t="s">
        <v>13</v>
      </c>
      <c r="D6116" s="2">
        <v>43364</v>
      </c>
      <c r="E6116">
        <v>6.5</v>
      </c>
      <c r="G6116" s="2">
        <v>43364</v>
      </c>
      <c r="H6116">
        <v>7.5490000000000004</v>
      </c>
      <c r="J6116" s="2">
        <v>43371</v>
      </c>
      <c r="K6116" s="3">
        <f t="shared" si="190"/>
        <v>6.5</v>
      </c>
      <c r="L6116" s="3">
        <f t="shared" si="191"/>
        <v>7.548</v>
      </c>
    </row>
    <row r="6117" spans="1:12" x14ac:dyDescent="0.3">
      <c r="A6117" s="2">
        <v>42634</v>
      </c>
      <c r="B6117" t="s">
        <v>13</v>
      </c>
      <c r="D6117" s="2">
        <v>43365</v>
      </c>
      <c r="E6117">
        <v>6.5</v>
      </c>
      <c r="G6117" s="2">
        <v>43365</v>
      </c>
      <c r="H6117">
        <v>7.5490000000000004</v>
      </c>
      <c r="J6117" s="2">
        <v>43372</v>
      </c>
      <c r="K6117" s="3">
        <f t="shared" si="190"/>
        <v>6.5</v>
      </c>
      <c r="L6117" s="3">
        <f t="shared" si="191"/>
        <v>7.548</v>
      </c>
    </row>
    <row r="6118" spans="1:12" x14ac:dyDescent="0.3">
      <c r="A6118" s="2">
        <v>42635</v>
      </c>
      <c r="B6118" t="s">
        <v>13</v>
      </c>
      <c r="D6118" s="2">
        <v>43366</v>
      </c>
      <c r="E6118">
        <v>6.5</v>
      </c>
      <c r="G6118" s="2">
        <v>43366</v>
      </c>
      <c r="H6118">
        <v>7.5490000000000004</v>
      </c>
      <c r="J6118" s="2">
        <v>43373</v>
      </c>
      <c r="K6118" s="3">
        <f t="shared" si="190"/>
        <v>6.5</v>
      </c>
      <c r="L6118" s="3">
        <f t="shared" si="191"/>
        <v>7.548</v>
      </c>
    </row>
    <row r="6119" spans="1:12" x14ac:dyDescent="0.3">
      <c r="A6119" s="2">
        <v>42636</v>
      </c>
      <c r="B6119" t="s">
        <v>13</v>
      </c>
      <c r="D6119" s="2">
        <v>43367</v>
      </c>
      <c r="E6119">
        <v>6.5</v>
      </c>
      <c r="G6119" s="2">
        <v>43367</v>
      </c>
      <c r="H6119">
        <v>7.5490000000000004</v>
      </c>
      <c r="J6119" s="2">
        <v>43374</v>
      </c>
      <c r="K6119" s="3">
        <f t="shared" si="190"/>
        <v>6.5</v>
      </c>
      <c r="L6119" s="3">
        <f t="shared" si="191"/>
        <v>7.5659999999999998</v>
      </c>
    </row>
    <row r="6120" spans="1:12" x14ac:dyDescent="0.3">
      <c r="A6120" s="2">
        <v>42637</v>
      </c>
      <c r="B6120" t="s">
        <v>13</v>
      </c>
      <c r="D6120" s="2">
        <v>43368</v>
      </c>
      <c r="E6120">
        <v>6.5</v>
      </c>
      <c r="G6120" s="2">
        <v>43368</v>
      </c>
      <c r="H6120">
        <v>7.6470000000000002</v>
      </c>
      <c r="J6120" s="2">
        <v>43375</v>
      </c>
      <c r="K6120" s="3">
        <f t="shared" si="190"/>
        <v>6.5</v>
      </c>
      <c r="L6120" s="3">
        <f t="shared" si="191"/>
        <v>7.5659999999999998</v>
      </c>
    </row>
    <row r="6121" spans="1:12" x14ac:dyDescent="0.3">
      <c r="A6121" s="2">
        <v>42638</v>
      </c>
      <c r="B6121" t="s">
        <v>13</v>
      </c>
      <c r="D6121" s="2">
        <v>43369</v>
      </c>
      <c r="E6121">
        <v>6.5</v>
      </c>
      <c r="G6121" s="2">
        <v>43369</v>
      </c>
      <c r="H6121">
        <v>7.5659999999999998</v>
      </c>
      <c r="J6121" s="2">
        <v>43376</v>
      </c>
      <c r="K6121" s="3">
        <f t="shared" si="190"/>
        <v>6.5</v>
      </c>
      <c r="L6121" s="3">
        <f t="shared" si="191"/>
        <v>7.5819999999999999</v>
      </c>
    </row>
    <row r="6122" spans="1:12" x14ac:dyDescent="0.3">
      <c r="A6122" s="2">
        <v>42639</v>
      </c>
      <c r="B6122" t="s">
        <v>13</v>
      </c>
      <c r="D6122" s="2">
        <v>43370</v>
      </c>
      <c r="E6122">
        <v>6.5</v>
      </c>
      <c r="G6122" s="2">
        <v>43370</v>
      </c>
      <c r="H6122">
        <v>7.5659999999999998</v>
      </c>
      <c r="J6122" s="2">
        <v>43377</v>
      </c>
      <c r="K6122" s="3">
        <f t="shared" si="190"/>
        <v>6.5</v>
      </c>
      <c r="L6122" s="3">
        <f t="shared" si="191"/>
        <v>7.625</v>
      </c>
    </row>
    <row r="6123" spans="1:12" x14ac:dyDescent="0.3">
      <c r="A6123" s="2">
        <v>42640</v>
      </c>
      <c r="B6123" t="s">
        <v>13</v>
      </c>
      <c r="D6123" s="2">
        <v>43371</v>
      </c>
      <c r="E6123">
        <v>6.5</v>
      </c>
      <c r="G6123" s="2">
        <v>43371</v>
      </c>
      <c r="H6123">
        <v>7.548</v>
      </c>
      <c r="J6123" s="2">
        <v>43378</v>
      </c>
      <c r="K6123" s="3">
        <f t="shared" si="190"/>
        <v>6.5</v>
      </c>
      <c r="L6123" s="3">
        <f t="shared" si="191"/>
        <v>7.4950000000000001</v>
      </c>
    </row>
    <row r="6124" spans="1:12" x14ac:dyDescent="0.3">
      <c r="A6124" s="2">
        <v>42641</v>
      </c>
      <c r="B6124" t="s">
        <v>13</v>
      </c>
      <c r="D6124" s="2">
        <v>43372</v>
      </c>
      <c r="E6124">
        <v>6.5</v>
      </c>
      <c r="G6124" s="2">
        <v>43372</v>
      </c>
      <c r="H6124">
        <v>7.548</v>
      </c>
      <c r="J6124" s="2">
        <v>43379</v>
      </c>
      <c r="K6124" s="3">
        <f t="shared" si="190"/>
        <v>6.5</v>
      </c>
      <c r="L6124" s="3">
        <f t="shared" si="191"/>
        <v>7.4950000000000001</v>
      </c>
    </row>
    <row r="6125" spans="1:12" x14ac:dyDescent="0.3">
      <c r="A6125" s="2">
        <v>42642</v>
      </c>
      <c r="B6125" t="s">
        <v>13</v>
      </c>
      <c r="D6125" s="2">
        <v>43373</v>
      </c>
      <c r="E6125">
        <v>6.5</v>
      </c>
      <c r="G6125" s="2">
        <v>43373</v>
      </c>
      <c r="H6125">
        <v>7.548</v>
      </c>
      <c r="J6125" s="2">
        <v>43380</v>
      </c>
      <c r="K6125" s="3">
        <f t="shared" si="190"/>
        <v>6.5</v>
      </c>
      <c r="L6125" s="3">
        <f t="shared" si="191"/>
        <v>7.4950000000000001</v>
      </c>
    </row>
    <row r="6126" spans="1:12" x14ac:dyDescent="0.3">
      <c r="A6126" s="2">
        <v>42643</v>
      </c>
      <c r="B6126" t="s">
        <v>13</v>
      </c>
      <c r="D6126" s="2">
        <v>43374</v>
      </c>
      <c r="E6126">
        <v>6.5</v>
      </c>
      <c r="G6126" s="2">
        <v>43374</v>
      </c>
      <c r="H6126">
        <v>7.5659999999999998</v>
      </c>
      <c r="J6126" s="2">
        <v>43381</v>
      </c>
      <c r="K6126" s="3">
        <f t="shared" si="190"/>
        <v>6.5</v>
      </c>
      <c r="L6126" s="3">
        <f t="shared" si="191"/>
        <v>7.5110000000000001</v>
      </c>
    </row>
    <row r="6127" spans="1:12" x14ac:dyDescent="0.3">
      <c r="A6127" s="2">
        <v>42644</v>
      </c>
      <c r="B6127" t="s">
        <v>13</v>
      </c>
      <c r="D6127" s="2">
        <v>43375</v>
      </c>
      <c r="E6127">
        <v>6.5</v>
      </c>
      <c r="G6127" s="2">
        <v>43375</v>
      </c>
      <c r="H6127">
        <v>7.5659999999999998</v>
      </c>
      <c r="J6127" s="2">
        <v>43382</v>
      </c>
      <c r="K6127" s="3">
        <f t="shared" si="190"/>
        <v>6.5</v>
      </c>
      <c r="L6127" s="3">
        <f t="shared" si="191"/>
        <v>7.5579999999999998</v>
      </c>
    </row>
    <row r="6128" spans="1:12" x14ac:dyDescent="0.3">
      <c r="A6128" s="2">
        <v>42645</v>
      </c>
      <c r="B6128" t="s">
        <v>13</v>
      </c>
      <c r="D6128" s="2">
        <v>43376</v>
      </c>
      <c r="E6128">
        <v>6.5</v>
      </c>
      <c r="G6128" s="2">
        <v>43376</v>
      </c>
      <c r="H6128">
        <v>7.5819999999999999</v>
      </c>
      <c r="J6128" s="2">
        <v>43383</v>
      </c>
      <c r="K6128" s="3">
        <f t="shared" si="190"/>
        <v>6.5</v>
      </c>
      <c r="L6128" s="3">
        <f t="shared" si="191"/>
        <v>7.5430000000000001</v>
      </c>
    </row>
    <row r="6129" spans="1:12" x14ac:dyDescent="0.3">
      <c r="A6129" s="2">
        <v>42646</v>
      </c>
      <c r="B6129" t="s">
        <v>13</v>
      </c>
      <c r="D6129" s="2">
        <v>43377</v>
      </c>
      <c r="E6129">
        <v>6.5</v>
      </c>
      <c r="G6129" s="2">
        <v>43377</v>
      </c>
      <c r="H6129">
        <v>7.625</v>
      </c>
      <c r="J6129" s="2">
        <v>43384</v>
      </c>
      <c r="K6129" s="3">
        <f t="shared" si="190"/>
        <v>6.5</v>
      </c>
      <c r="L6129" s="3">
        <f t="shared" si="191"/>
        <v>7.5179999999999998</v>
      </c>
    </row>
    <row r="6130" spans="1:12" x14ac:dyDescent="0.3">
      <c r="A6130" s="2">
        <v>42647</v>
      </c>
      <c r="B6130" t="s">
        <v>13</v>
      </c>
      <c r="D6130" s="2">
        <v>43378</v>
      </c>
      <c r="E6130">
        <v>6.5</v>
      </c>
      <c r="G6130" s="2">
        <v>43378</v>
      </c>
      <c r="H6130">
        <v>7.4950000000000001</v>
      </c>
      <c r="J6130" s="2">
        <v>43385</v>
      </c>
      <c r="K6130" s="3">
        <f t="shared" si="190"/>
        <v>6.5</v>
      </c>
      <c r="L6130" s="3">
        <f t="shared" si="191"/>
        <v>7.51</v>
      </c>
    </row>
    <row r="6131" spans="1:12" x14ac:dyDescent="0.3">
      <c r="A6131" s="2">
        <v>42648</v>
      </c>
      <c r="B6131" t="s">
        <v>13</v>
      </c>
      <c r="D6131" s="2">
        <v>43379</v>
      </c>
      <c r="E6131">
        <v>6.5</v>
      </c>
      <c r="G6131" s="2">
        <v>43379</v>
      </c>
      <c r="H6131">
        <v>7.4950000000000001</v>
      </c>
      <c r="J6131" s="2">
        <v>43386</v>
      </c>
      <c r="K6131" s="3">
        <f t="shared" si="190"/>
        <v>6.5</v>
      </c>
      <c r="L6131" s="3">
        <f t="shared" si="191"/>
        <v>7.51</v>
      </c>
    </row>
    <row r="6132" spans="1:12" x14ac:dyDescent="0.3">
      <c r="A6132" s="2">
        <v>42649</v>
      </c>
      <c r="B6132" t="s">
        <v>13</v>
      </c>
      <c r="D6132" s="2">
        <v>43380</v>
      </c>
      <c r="E6132">
        <v>6.5</v>
      </c>
      <c r="G6132" s="2">
        <v>43380</v>
      </c>
      <c r="H6132">
        <v>7.4950000000000001</v>
      </c>
      <c r="J6132" s="2">
        <v>43387</v>
      </c>
      <c r="K6132" s="3">
        <f t="shared" si="190"/>
        <v>6.5</v>
      </c>
      <c r="L6132" s="3">
        <f t="shared" si="191"/>
        <v>7.51</v>
      </c>
    </row>
    <row r="6133" spans="1:12" x14ac:dyDescent="0.3">
      <c r="A6133" s="2">
        <v>42650</v>
      </c>
      <c r="B6133" t="s">
        <v>13</v>
      </c>
      <c r="D6133" s="2">
        <v>43381</v>
      </c>
      <c r="E6133">
        <v>6.5</v>
      </c>
      <c r="G6133" s="2">
        <v>43381</v>
      </c>
      <c r="H6133">
        <v>7.5110000000000001</v>
      </c>
      <c r="J6133" s="2">
        <v>43388</v>
      </c>
      <c r="K6133" s="3">
        <f t="shared" si="190"/>
        <v>6.5</v>
      </c>
      <c r="L6133" s="3">
        <f t="shared" si="191"/>
        <v>7.5129999999999999</v>
      </c>
    </row>
    <row r="6134" spans="1:12" x14ac:dyDescent="0.3">
      <c r="A6134" s="2">
        <v>42651</v>
      </c>
      <c r="B6134" t="s">
        <v>13</v>
      </c>
      <c r="D6134" s="2">
        <v>43382</v>
      </c>
      <c r="E6134">
        <v>6.5</v>
      </c>
      <c r="G6134" s="2">
        <v>43382</v>
      </c>
      <c r="H6134">
        <v>7.5579999999999998</v>
      </c>
      <c r="J6134" s="2">
        <v>43389</v>
      </c>
      <c r="K6134" s="3">
        <f t="shared" si="190"/>
        <v>6.5</v>
      </c>
      <c r="L6134" s="3">
        <f t="shared" si="191"/>
        <v>7.5010000000000003</v>
      </c>
    </row>
    <row r="6135" spans="1:12" x14ac:dyDescent="0.3">
      <c r="A6135" s="2">
        <v>42652</v>
      </c>
      <c r="B6135" t="s">
        <v>13</v>
      </c>
      <c r="D6135" s="2">
        <v>43383</v>
      </c>
      <c r="E6135">
        <v>6.5</v>
      </c>
      <c r="G6135" s="2">
        <v>43383</v>
      </c>
      <c r="H6135">
        <v>7.5430000000000001</v>
      </c>
      <c r="J6135" s="2">
        <v>43390</v>
      </c>
      <c r="K6135" s="3">
        <f t="shared" si="190"/>
        <v>6.5</v>
      </c>
      <c r="L6135" s="3">
        <f t="shared" si="191"/>
        <v>7.45</v>
      </c>
    </row>
    <row r="6136" spans="1:12" x14ac:dyDescent="0.3">
      <c r="A6136" s="2">
        <v>42653</v>
      </c>
      <c r="B6136" t="s">
        <v>13</v>
      </c>
      <c r="D6136" s="2">
        <v>43384</v>
      </c>
      <c r="E6136">
        <v>6.5</v>
      </c>
      <c r="G6136" s="2">
        <v>43384</v>
      </c>
      <c r="H6136">
        <v>7.5179999999999998</v>
      </c>
      <c r="J6136" s="2">
        <v>43391</v>
      </c>
      <c r="K6136" s="3">
        <f t="shared" si="190"/>
        <v>6.5</v>
      </c>
      <c r="L6136" s="3">
        <f t="shared" si="191"/>
        <v>7.45</v>
      </c>
    </row>
    <row r="6137" spans="1:12" x14ac:dyDescent="0.3">
      <c r="A6137" s="2">
        <v>42654</v>
      </c>
      <c r="B6137" t="s">
        <v>13</v>
      </c>
      <c r="D6137" s="2">
        <v>43385</v>
      </c>
      <c r="E6137">
        <v>6.5</v>
      </c>
      <c r="G6137" s="2">
        <v>43385</v>
      </c>
      <c r="H6137">
        <v>7.51</v>
      </c>
      <c r="J6137" s="2">
        <v>43392</v>
      </c>
      <c r="K6137" s="3">
        <f t="shared" si="190"/>
        <v>6.5</v>
      </c>
      <c r="L6137" s="3">
        <f t="shared" si="191"/>
        <v>7.4539999999999997</v>
      </c>
    </row>
    <row r="6138" spans="1:12" x14ac:dyDescent="0.3">
      <c r="A6138" s="2">
        <v>42655</v>
      </c>
      <c r="B6138" t="s">
        <v>13</v>
      </c>
      <c r="D6138" s="2">
        <v>43386</v>
      </c>
      <c r="E6138">
        <v>6.5</v>
      </c>
      <c r="G6138" s="2">
        <v>43386</v>
      </c>
      <c r="H6138">
        <v>7.51</v>
      </c>
      <c r="J6138" s="2">
        <v>43393</v>
      </c>
      <c r="K6138" s="3">
        <f t="shared" si="190"/>
        <v>6.5</v>
      </c>
      <c r="L6138" s="3">
        <f t="shared" si="191"/>
        <v>7.4539999999999997</v>
      </c>
    </row>
    <row r="6139" spans="1:12" x14ac:dyDescent="0.3">
      <c r="A6139" s="2">
        <v>42656</v>
      </c>
      <c r="B6139" t="s">
        <v>13</v>
      </c>
      <c r="D6139" s="2">
        <v>43387</v>
      </c>
      <c r="E6139">
        <v>6.5</v>
      </c>
      <c r="G6139" s="2">
        <v>43387</v>
      </c>
      <c r="H6139">
        <v>7.51</v>
      </c>
      <c r="J6139" s="2">
        <v>43394</v>
      </c>
      <c r="K6139" s="3">
        <f t="shared" si="190"/>
        <v>6.5</v>
      </c>
      <c r="L6139" s="3">
        <f t="shared" si="191"/>
        <v>7.4539999999999997</v>
      </c>
    </row>
    <row r="6140" spans="1:12" x14ac:dyDescent="0.3">
      <c r="A6140" s="2">
        <v>42657</v>
      </c>
      <c r="B6140" t="s">
        <v>13</v>
      </c>
      <c r="D6140" s="2">
        <v>43388</v>
      </c>
      <c r="E6140">
        <v>6.5</v>
      </c>
      <c r="G6140" s="2">
        <v>43388</v>
      </c>
      <c r="H6140">
        <v>7.5129999999999999</v>
      </c>
      <c r="J6140" s="2">
        <v>43395</v>
      </c>
      <c r="K6140" s="3">
        <f t="shared" si="190"/>
        <v>6.5</v>
      </c>
      <c r="L6140" s="3">
        <f t="shared" si="191"/>
        <v>7.4640000000000004</v>
      </c>
    </row>
    <row r="6141" spans="1:12" x14ac:dyDescent="0.3">
      <c r="A6141" s="2">
        <v>42658</v>
      </c>
      <c r="B6141" t="s">
        <v>13</v>
      </c>
      <c r="D6141" s="2">
        <v>43389</v>
      </c>
      <c r="E6141">
        <v>6.5</v>
      </c>
      <c r="G6141" s="2">
        <v>43389</v>
      </c>
      <c r="H6141">
        <v>7.5010000000000003</v>
      </c>
      <c r="J6141" s="2">
        <v>43396</v>
      </c>
      <c r="K6141" s="3">
        <f t="shared" si="190"/>
        <v>6.5</v>
      </c>
      <c r="L6141" s="3">
        <f t="shared" si="191"/>
        <v>7.4589999999999996</v>
      </c>
    </row>
    <row r="6142" spans="1:12" x14ac:dyDescent="0.3">
      <c r="A6142" s="2">
        <v>42659</v>
      </c>
      <c r="B6142" t="s">
        <v>13</v>
      </c>
      <c r="D6142" s="2">
        <v>43390</v>
      </c>
      <c r="E6142">
        <v>6.5</v>
      </c>
      <c r="G6142" s="2">
        <v>43390</v>
      </c>
      <c r="H6142">
        <v>7.45</v>
      </c>
      <c r="J6142" s="2">
        <v>43397</v>
      </c>
      <c r="K6142" s="3">
        <f t="shared" si="190"/>
        <v>6.5</v>
      </c>
      <c r="L6142" s="3">
        <f t="shared" si="191"/>
        <v>7.4610000000000003</v>
      </c>
    </row>
    <row r="6143" spans="1:12" x14ac:dyDescent="0.3">
      <c r="A6143" s="2">
        <v>42660</v>
      </c>
      <c r="B6143" t="s">
        <v>13</v>
      </c>
      <c r="D6143" s="2">
        <v>43391</v>
      </c>
      <c r="E6143">
        <v>6.5</v>
      </c>
      <c r="G6143" s="2">
        <v>43391</v>
      </c>
      <c r="H6143">
        <v>7.45</v>
      </c>
      <c r="J6143" s="2">
        <v>43398</v>
      </c>
      <c r="K6143" s="3">
        <f t="shared" si="190"/>
        <v>6.5</v>
      </c>
      <c r="L6143" s="3">
        <f t="shared" si="191"/>
        <v>7.3970000000000002</v>
      </c>
    </row>
    <row r="6144" spans="1:12" x14ac:dyDescent="0.3">
      <c r="A6144" s="2">
        <v>42661</v>
      </c>
      <c r="B6144" t="s">
        <v>13</v>
      </c>
      <c r="D6144" s="2">
        <v>43392</v>
      </c>
      <c r="E6144">
        <v>6.5</v>
      </c>
      <c r="G6144" s="2">
        <v>43392</v>
      </c>
      <c r="H6144">
        <v>7.4539999999999997</v>
      </c>
      <c r="J6144" s="2">
        <v>43399</v>
      </c>
      <c r="K6144" s="3">
        <f t="shared" si="190"/>
        <v>6.5</v>
      </c>
      <c r="L6144" s="3">
        <f t="shared" si="191"/>
        <v>7.4249999999999998</v>
      </c>
    </row>
    <row r="6145" spans="1:12" x14ac:dyDescent="0.3">
      <c r="A6145" s="2">
        <v>42662</v>
      </c>
      <c r="B6145" t="s">
        <v>13</v>
      </c>
      <c r="D6145" s="2">
        <v>43393</v>
      </c>
      <c r="E6145">
        <v>6.5</v>
      </c>
      <c r="G6145" s="2">
        <v>43393</v>
      </c>
      <c r="H6145">
        <v>7.4539999999999997</v>
      </c>
      <c r="J6145" s="2">
        <v>43400</v>
      </c>
      <c r="K6145" s="3">
        <f t="shared" si="190"/>
        <v>6.5</v>
      </c>
      <c r="L6145" s="3">
        <f t="shared" si="191"/>
        <v>7.4249999999999998</v>
      </c>
    </row>
    <row r="6146" spans="1:12" x14ac:dyDescent="0.3">
      <c r="A6146" s="2">
        <v>42663</v>
      </c>
      <c r="B6146" t="s">
        <v>13</v>
      </c>
      <c r="D6146" s="2">
        <v>43394</v>
      </c>
      <c r="E6146">
        <v>6.5</v>
      </c>
      <c r="G6146" s="2">
        <v>43394</v>
      </c>
      <c r="H6146">
        <v>7.4539999999999997</v>
      </c>
      <c r="J6146" s="2">
        <v>43401</v>
      </c>
      <c r="K6146" s="3">
        <f t="shared" si="190"/>
        <v>6.5</v>
      </c>
      <c r="L6146" s="3">
        <f t="shared" si="191"/>
        <v>7.4249999999999998</v>
      </c>
    </row>
    <row r="6147" spans="1:12" x14ac:dyDescent="0.3">
      <c r="A6147" s="2">
        <v>42664</v>
      </c>
      <c r="B6147" t="s">
        <v>13</v>
      </c>
      <c r="D6147" s="2">
        <v>43395</v>
      </c>
      <c r="E6147">
        <v>6.5</v>
      </c>
      <c r="G6147" s="2">
        <v>43395</v>
      </c>
      <c r="H6147">
        <v>7.4640000000000004</v>
      </c>
      <c r="J6147" s="2">
        <v>43402</v>
      </c>
      <c r="K6147" s="3">
        <f t="shared" ref="K6147:K6210" si="192">E6154</f>
        <v>6.5</v>
      </c>
      <c r="L6147" s="3">
        <f t="shared" ref="L6147:L6210" si="193">H6154</f>
        <v>7.383</v>
      </c>
    </row>
    <row r="6148" spans="1:12" x14ac:dyDescent="0.3">
      <c r="A6148" s="2">
        <v>42665</v>
      </c>
      <c r="B6148" t="s">
        <v>13</v>
      </c>
      <c r="D6148" s="2">
        <v>43396</v>
      </c>
      <c r="E6148">
        <v>6.5</v>
      </c>
      <c r="G6148" s="2">
        <v>43396</v>
      </c>
      <c r="H6148">
        <v>7.4589999999999996</v>
      </c>
      <c r="J6148" s="2">
        <v>43403</v>
      </c>
      <c r="K6148" s="3">
        <f t="shared" si="192"/>
        <v>6.5</v>
      </c>
      <c r="L6148" s="3">
        <f t="shared" si="193"/>
        <v>7.383</v>
      </c>
    </row>
    <row r="6149" spans="1:12" x14ac:dyDescent="0.3">
      <c r="A6149" s="2">
        <v>42666</v>
      </c>
      <c r="B6149" t="s">
        <v>13</v>
      </c>
      <c r="D6149" s="2">
        <v>43397</v>
      </c>
      <c r="E6149">
        <v>6.5</v>
      </c>
      <c r="G6149" s="2">
        <v>43397</v>
      </c>
      <c r="H6149">
        <v>7.4610000000000003</v>
      </c>
      <c r="J6149" s="2">
        <v>43404</v>
      </c>
      <c r="K6149" s="3">
        <f t="shared" si="192"/>
        <v>6.5</v>
      </c>
      <c r="L6149" s="3">
        <f t="shared" si="193"/>
        <v>7.383</v>
      </c>
    </row>
    <row r="6150" spans="1:12" x14ac:dyDescent="0.3">
      <c r="A6150" s="2">
        <v>42667</v>
      </c>
      <c r="B6150" t="s">
        <v>13</v>
      </c>
      <c r="D6150" s="2">
        <v>43398</v>
      </c>
      <c r="E6150">
        <v>6.5</v>
      </c>
      <c r="G6150" s="2">
        <v>43398</v>
      </c>
      <c r="H6150">
        <v>7.3970000000000002</v>
      </c>
      <c r="J6150" s="2">
        <v>43405</v>
      </c>
      <c r="K6150" s="3">
        <f t="shared" si="192"/>
        <v>6.5</v>
      </c>
      <c r="L6150" s="3">
        <f t="shared" si="193"/>
        <v>7.3869999999999996</v>
      </c>
    </row>
    <row r="6151" spans="1:12" x14ac:dyDescent="0.3">
      <c r="A6151" s="2">
        <v>42668</v>
      </c>
      <c r="B6151" t="s">
        <v>13</v>
      </c>
      <c r="D6151" s="2">
        <v>43399</v>
      </c>
      <c r="E6151">
        <v>6.5</v>
      </c>
      <c r="G6151" s="2">
        <v>43399</v>
      </c>
      <c r="H6151">
        <v>7.4249999999999998</v>
      </c>
      <c r="J6151" s="2">
        <v>43406</v>
      </c>
      <c r="K6151" s="3">
        <f t="shared" si="192"/>
        <v>6.5</v>
      </c>
      <c r="L6151" s="3">
        <f t="shared" si="193"/>
        <v>7.3360000000000003</v>
      </c>
    </row>
    <row r="6152" spans="1:12" x14ac:dyDescent="0.3">
      <c r="A6152" s="2">
        <v>42669</v>
      </c>
      <c r="B6152" t="s">
        <v>13</v>
      </c>
      <c r="D6152" s="2">
        <v>43400</v>
      </c>
      <c r="E6152">
        <v>6.5</v>
      </c>
      <c r="G6152" s="2">
        <v>43400</v>
      </c>
      <c r="H6152">
        <v>7.4249999999999998</v>
      </c>
      <c r="J6152" s="2">
        <v>43407</v>
      </c>
      <c r="K6152" s="3">
        <f t="shared" si="192"/>
        <v>6.5</v>
      </c>
      <c r="L6152" s="3">
        <f t="shared" si="193"/>
        <v>7.3360000000000003</v>
      </c>
    </row>
    <row r="6153" spans="1:12" x14ac:dyDescent="0.3">
      <c r="A6153" s="2">
        <v>42670</v>
      </c>
      <c r="B6153" t="s">
        <v>13</v>
      </c>
      <c r="D6153" s="2">
        <v>43401</v>
      </c>
      <c r="E6153">
        <v>6.5</v>
      </c>
      <c r="G6153" s="2">
        <v>43401</v>
      </c>
      <c r="H6153">
        <v>7.4249999999999998</v>
      </c>
      <c r="J6153" s="2">
        <v>43408</v>
      </c>
      <c r="K6153" s="3">
        <f t="shared" si="192"/>
        <v>6.5</v>
      </c>
      <c r="L6153" s="3">
        <f t="shared" si="193"/>
        <v>7.3360000000000003</v>
      </c>
    </row>
    <row r="6154" spans="1:12" x14ac:dyDescent="0.3">
      <c r="A6154" s="2">
        <v>42671</v>
      </c>
      <c r="B6154" t="s">
        <v>13</v>
      </c>
      <c r="D6154" s="2">
        <v>43402</v>
      </c>
      <c r="E6154">
        <v>6.5</v>
      </c>
      <c r="G6154" s="2">
        <v>43402</v>
      </c>
      <c r="H6154">
        <v>7.383</v>
      </c>
      <c r="J6154" s="2">
        <v>43409</v>
      </c>
      <c r="K6154" s="3">
        <f t="shared" si="192"/>
        <v>6.5</v>
      </c>
      <c r="L6154" s="3">
        <f t="shared" si="193"/>
        <v>7.41</v>
      </c>
    </row>
    <row r="6155" spans="1:12" x14ac:dyDescent="0.3">
      <c r="A6155" s="2">
        <v>42672</v>
      </c>
      <c r="B6155" t="s">
        <v>13</v>
      </c>
      <c r="D6155" s="2">
        <v>43403</v>
      </c>
      <c r="E6155">
        <v>6.5</v>
      </c>
      <c r="G6155" s="2">
        <v>43403</v>
      </c>
      <c r="H6155">
        <v>7.383</v>
      </c>
      <c r="J6155" s="2">
        <v>43410</v>
      </c>
      <c r="K6155" s="3">
        <f t="shared" si="192"/>
        <v>6.5</v>
      </c>
      <c r="L6155" s="3">
        <f t="shared" si="193"/>
        <v>7.34</v>
      </c>
    </row>
    <row r="6156" spans="1:12" x14ac:dyDescent="0.3">
      <c r="A6156" s="2">
        <v>42673</v>
      </c>
      <c r="B6156" t="s">
        <v>13</v>
      </c>
      <c r="D6156" s="2">
        <v>43404</v>
      </c>
      <c r="E6156">
        <v>6.5</v>
      </c>
      <c r="G6156" s="2">
        <v>43404</v>
      </c>
      <c r="H6156">
        <v>7.383</v>
      </c>
      <c r="J6156" s="2">
        <v>43411</v>
      </c>
      <c r="K6156" s="3">
        <f t="shared" si="192"/>
        <v>6.5</v>
      </c>
      <c r="L6156" s="3">
        <f t="shared" si="193"/>
        <v>7.34</v>
      </c>
    </row>
    <row r="6157" spans="1:12" x14ac:dyDescent="0.3">
      <c r="A6157" s="2">
        <v>42674</v>
      </c>
      <c r="B6157" t="s">
        <v>13</v>
      </c>
      <c r="D6157" s="2">
        <v>43405</v>
      </c>
      <c r="E6157">
        <v>6.5</v>
      </c>
      <c r="G6157" s="2">
        <v>43405</v>
      </c>
      <c r="H6157">
        <v>7.3869999999999996</v>
      </c>
      <c r="J6157" s="2">
        <v>43412</v>
      </c>
      <c r="K6157" s="3">
        <f t="shared" si="192"/>
        <v>6.5</v>
      </c>
      <c r="L6157" s="3">
        <f t="shared" si="193"/>
        <v>7.34</v>
      </c>
    </row>
    <row r="6158" spans="1:12" x14ac:dyDescent="0.3">
      <c r="A6158" s="2">
        <v>42675</v>
      </c>
      <c r="B6158" t="s">
        <v>13</v>
      </c>
      <c r="D6158" s="2">
        <v>43406</v>
      </c>
      <c r="E6158">
        <v>6.5</v>
      </c>
      <c r="G6158" s="2">
        <v>43406</v>
      </c>
      <c r="H6158">
        <v>7.3360000000000003</v>
      </c>
      <c r="J6158" s="2">
        <v>43413</v>
      </c>
      <c r="K6158" s="3">
        <f t="shared" si="192"/>
        <v>6.5</v>
      </c>
      <c r="L6158" s="3">
        <f t="shared" si="193"/>
        <v>7.3460000000000001</v>
      </c>
    </row>
    <row r="6159" spans="1:12" x14ac:dyDescent="0.3">
      <c r="A6159" s="2">
        <v>42676</v>
      </c>
      <c r="B6159" t="s">
        <v>13</v>
      </c>
      <c r="D6159" s="2">
        <v>43407</v>
      </c>
      <c r="E6159">
        <v>6.5</v>
      </c>
      <c r="G6159" s="2">
        <v>43407</v>
      </c>
      <c r="H6159">
        <v>7.3360000000000003</v>
      </c>
      <c r="J6159" s="2">
        <v>43414</v>
      </c>
      <c r="K6159" s="3">
        <f t="shared" si="192"/>
        <v>6.5</v>
      </c>
      <c r="L6159" s="3">
        <f t="shared" si="193"/>
        <v>7.3460000000000001</v>
      </c>
    </row>
    <row r="6160" spans="1:12" x14ac:dyDescent="0.3">
      <c r="A6160" s="2">
        <v>42677</v>
      </c>
      <c r="B6160" t="s">
        <v>13</v>
      </c>
      <c r="D6160" s="2">
        <v>43408</v>
      </c>
      <c r="E6160">
        <v>6.5</v>
      </c>
      <c r="G6160" s="2">
        <v>43408</v>
      </c>
      <c r="H6160">
        <v>7.3360000000000003</v>
      </c>
      <c r="J6160" s="2">
        <v>43415</v>
      </c>
      <c r="K6160" s="3">
        <f t="shared" si="192"/>
        <v>6.5</v>
      </c>
      <c r="L6160" s="3">
        <f t="shared" si="193"/>
        <v>7.3460000000000001</v>
      </c>
    </row>
    <row r="6161" spans="1:12" x14ac:dyDescent="0.3">
      <c r="A6161" s="2">
        <v>42678</v>
      </c>
      <c r="B6161" t="s">
        <v>13</v>
      </c>
      <c r="D6161" s="2">
        <v>43409</v>
      </c>
      <c r="E6161">
        <v>6.5</v>
      </c>
      <c r="G6161" s="2">
        <v>43409</v>
      </c>
      <c r="H6161">
        <v>7.41</v>
      </c>
      <c r="J6161" s="2">
        <v>43416</v>
      </c>
      <c r="K6161" s="3">
        <f t="shared" si="192"/>
        <v>6.5</v>
      </c>
      <c r="L6161" s="3">
        <f t="shared" si="193"/>
        <v>7.3479999999999999</v>
      </c>
    </row>
    <row r="6162" spans="1:12" x14ac:dyDescent="0.3">
      <c r="A6162" s="2">
        <v>42679</v>
      </c>
      <c r="B6162" t="s">
        <v>13</v>
      </c>
      <c r="D6162" s="2">
        <v>43410</v>
      </c>
      <c r="E6162">
        <v>6.5</v>
      </c>
      <c r="G6162" s="2">
        <v>43410</v>
      </c>
      <c r="H6162">
        <v>7.34</v>
      </c>
      <c r="J6162" s="2">
        <v>43417</v>
      </c>
      <c r="K6162" s="3">
        <f t="shared" si="192"/>
        <v>6.5</v>
      </c>
      <c r="L6162" s="3">
        <f t="shared" si="193"/>
        <v>7.3179999999999996</v>
      </c>
    </row>
    <row r="6163" spans="1:12" x14ac:dyDescent="0.3">
      <c r="A6163" s="2">
        <v>42680</v>
      </c>
      <c r="B6163" t="s">
        <v>13</v>
      </c>
      <c r="D6163" s="2">
        <v>43411</v>
      </c>
      <c r="E6163">
        <v>6.5</v>
      </c>
      <c r="G6163" s="2">
        <v>43411</v>
      </c>
      <c r="H6163">
        <v>7.34</v>
      </c>
      <c r="J6163" s="2">
        <v>43418</v>
      </c>
      <c r="K6163" s="3">
        <f t="shared" si="192"/>
        <v>6.5</v>
      </c>
      <c r="L6163" s="3">
        <f t="shared" si="193"/>
        <v>7.2329999999999997</v>
      </c>
    </row>
    <row r="6164" spans="1:12" x14ac:dyDescent="0.3">
      <c r="A6164" s="2">
        <v>42681</v>
      </c>
      <c r="B6164" t="s">
        <v>13</v>
      </c>
      <c r="D6164" s="2">
        <v>43412</v>
      </c>
      <c r="E6164">
        <v>6.5</v>
      </c>
      <c r="G6164" s="2">
        <v>43412</v>
      </c>
      <c r="H6164">
        <v>7.34</v>
      </c>
      <c r="J6164" s="2">
        <v>43419</v>
      </c>
      <c r="K6164" s="3">
        <f t="shared" si="192"/>
        <v>6.5</v>
      </c>
      <c r="L6164" s="3">
        <f t="shared" si="193"/>
        <v>7.2270000000000003</v>
      </c>
    </row>
    <row r="6165" spans="1:12" x14ac:dyDescent="0.3">
      <c r="A6165" s="2">
        <v>42682</v>
      </c>
      <c r="B6165" t="s">
        <v>13</v>
      </c>
      <c r="D6165" s="2">
        <v>43413</v>
      </c>
      <c r="E6165">
        <v>6.5</v>
      </c>
      <c r="G6165" s="2">
        <v>43413</v>
      </c>
      <c r="H6165">
        <v>7.3460000000000001</v>
      </c>
      <c r="J6165" s="2">
        <v>43420</v>
      </c>
      <c r="K6165" s="3">
        <f t="shared" si="192"/>
        <v>6.5</v>
      </c>
      <c r="L6165" s="3">
        <f t="shared" si="193"/>
        <v>7.2480000000000002</v>
      </c>
    </row>
    <row r="6166" spans="1:12" x14ac:dyDescent="0.3">
      <c r="A6166" s="2">
        <v>42683</v>
      </c>
      <c r="B6166" t="s">
        <v>13</v>
      </c>
      <c r="D6166" s="2">
        <v>43414</v>
      </c>
      <c r="E6166">
        <v>6.5</v>
      </c>
      <c r="G6166" s="2">
        <v>43414</v>
      </c>
      <c r="H6166">
        <v>7.3460000000000001</v>
      </c>
      <c r="J6166" s="2">
        <v>43421</v>
      </c>
      <c r="K6166" s="3">
        <f t="shared" si="192"/>
        <v>6.5</v>
      </c>
      <c r="L6166" s="3">
        <f t="shared" si="193"/>
        <v>7.2480000000000002</v>
      </c>
    </row>
    <row r="6167" spans="1:12" x14ac:dyDescent="0.3">
      <c r="A6167" s="2">
        <v>42684</v>
      </c>
      <c r="B6167" t="s">
        <v>13</v>
      </c>
      <c r="D6167" s="2">
        <v>43415</v>
      </c>
      <c r="E6167">
        <v>6.5</v>
      </c>
      <c r="G6167" s="2">
        <v>43415</v>
      </c>
      <c r="H6167">
        <v>7.3460000000000001</v>
      </c>
      <c r="J6167" s="2">
        <v>43422</v>
      </c>
      <c r="K6167" s="3">
        <f t="shared" si="192"/>
        <v>6.5</v>
      </c>
      <c r="L6167" s="3">
        <f t="shared" si="193"/>
        <v>7.2480000000000002</v>
      </c>
    </row>
    <row r="6168" spans="1:12" x14ac:dyDescent="0.3">
      <c r="A6168" s="2">
        <v>42685</v>
      </c>
      <c r="B6168" t="s">
        <v>13</v>
      </c>
      <c r="D6168" s="2">
        <v>43416</v>
      </c>
      <c r="E6168">
        <v>6.5</v>
      </c>
      <c r="G6168" s="2">
        <v>43416</v>
      </c>
      <c r="H6168">
        <v>7.3479999999999999</v>
      </c>
      <c r="J6168" s="2">
        <v>43423</v>
      </c>
      <c r="K6168" s="3">
        <f t="shared" si="192"/>
        <v>6.5</v>
      </c>
      <c r="L6168" s="3">
        <f t="shared" si="193"/>
        <v>7.2249999999999996</v>
      </c>
    </row>
    <row r="6169" spans="1:12" x14ac:dyDescent="0.3">
      <c r="A6169" s="2">
        <v>42686</v>
      </c>
      <c r="B6169" t="s">
        <v>13</v>
      </c>
      <c r="D6169" s="2">
        <v>43417</v>
      </c>
      <c r="E6169">
        <v>6.5</v>
      </c>
      <c r="G6169" s="2">
        <v>43417</v>
      </c>
      <c r="H6169">
        <v>7.3179999999999996</v>
      </c>
      <c r="J6169" s="2">
        <v>43424</v>
      </c>
      <c r="K6169" s="3">
        <f t="shared" si="192"/>
        <v>6.5</v>
      </c>
      <c r="L6169" s="3">
        <f t="shared" si="193"/>
        <v>7.2210000000000001</v>
      </c>
    </row>
    <row r="6170" spans="1:12" x14ac:dyDescent="0.3">
      <c r="A6170" s="2">
        <v>42687</v>
      </c>
      <c r="B6170" t="s">
        <v>13</v>
      </c>
      <c r="D6170" s="2">
        <v>43418</v>
      </c>
      <c r="E6170">
        <v>6.5</v>
      </c>
      <c r="G6170" s="2">
        <v>43418</v>
      </c>
      <c r="H6170">
        <v>7.2329999999999997</v>
      </c>
      <c r="J6170" s="2">
        <v>43425</v>
      </c>
      <c r="K6170" s="3">
        <f t="shared" si="192"/>
        <v>6.5</v>
      </c>
      <c r="L6170" s="3">
        <f t="shared" si="193"/>
        <v>7.2210000000000001</v>
      </c>
    </row>
    <row r="6171" spans="1:12" x14ac:dyDescent="0.3">
      <c r="A6171" s="2">
        <v>42688</v>
      </c>
      <c r="B6171" t="s">
        <v>13</v>
      </c>
      <c r="D6171" s="2">
        <v>43419</v>
      </c>
      <c r="E6171">
        <v>6.5</v>
      </c>
      <c r="G6171" s="2">
        <v>43419</v>
      </c>
      <c r="H6171">
        <v>7.2270000000000003</v>
      </c>
      <c r="J6171" s="2">
        <v>43426</v>
      </c>
      <c r="K6171" s="3">
        <f t="shared" si="192"/>
        <v>6.5</v>
      </c>
      <c r="L6171" s="3">
        <f t="shared" si="193"/>
        <v>7.1609999999999996</v>
      </c>
    </row>
    <row r="6172" spans="1:12" x14ac:dyDescent="0.3">
      <c r="A6172" s="2">
        <v>42689</v>
      </c>
      <c r="B6172" t="s">
        <v>13</v>
      </c>
      <c r="D6172" s="2">
        <v>43420</v>
      </c>
      <c r="E6172">
        <v>6.5</v>
      </c>
      <c r="G6172" s="2">
        <v>43420</v>
      </c>
      <c r="H6172">
        <v>7.2480000000000002</v>
      </c>
      <c r="J6172" s="2">
        <v>43427</v>
      </c>
      <c r="K6172" s="3">
        <f t="shared" si="192"/>
        <v>6.5</v>
      </c>
      <c r="L6172" s="3">
        <f t="shared" si="193"/>
        <v>7.1609999999999996</v>
      </c>
    </row>
    <row r="6173" spans="1:12" x14ac:dyDescent="0.3">
      <c r="A6173" s="2">
        <v>42690</v>
      </c>
      <c r="B6173" t="s">
        <v>13</v>
      </c>
      <c r="D6173" s="2">
        <v>43421</v>
      </c>
      <c r="E6173">
        <v>6.5</v>
      </c>
      <c r="G6173" s="2">
        <v>43421</v>
      </c>
      <c r="H6173">
        <v>7.2480000000000002</v>
      </c>
      <c r="J6173" s="2">
        <v>43428</v>
      </c>
      <c r="K6173" s="3">
        <f t="shared" si="192"/>
        <v>6.5</v>
      </c>
      <c r="L6173" s="3">
        <f t="shared" si="193"/>
        <v>7.1609999999999996</v>
      </c>
    </row>
    <row r="6174" spans="1:12" x14ac:dyDescent="0.3">
      <c r="A6174" s="2">
        <v>42691</v>
      </c>
      <c r="B6174" t="s">
        <v>13</v>
      </c>
      <c r="D6174" s="2">
        <v>43422</v>
      </c>
      <c r="E6174">
        <v>6.5</v>
      </c>
      <c r="G6174" s="2">
        <v>43422</v>
      </c>
      <c r="H6174">
        <v>7.2480000000000002</v>
      </c>
      <c r="J6174" s="2">
        <v>43429</v>
      </c>
      <c r="K6174" s="3">
        <f t="shared" si="192"/>
        <v>6.5</v>
      </c>
      <c r="L6174" s="3">
        <f t="shared" si="193"/>
        <v>7.1609999999999996</v>
      </c>
    </row>
    <row r="6175" spans="1:12" x14ac:dyDescent="0.3">
      <c r="A6175" s="2">
        <v>42692</v>
      </c>
      <c r="B6175" t="s">
        <v>13</v>
      </c>
      <c r="D6175" s="2">
        <v>43423</v>
      </c>
      <c r="E6175">
        <v>6.5</v>
      </c>
      <c r="G6175" s="2">
        <v>43423</v>
      </c>
      <c r="H6175">
        <v>7.2249999999999996</v>
      </c>
      <c r="J6175" s="2">
        <v>43430</v>
      </c>
      <c r="K6175" s="3">
        <f t="shared" si="192"/>
        <v>6.5</v>
      </c>
      <c r="L6175" s="3">
        <f t="shared" si="193"/>
        <v>7.1669999999999998</v>
      </c>
    </row>
    <row r="6176" spans="1:12" x14ac:dyDescent="0.3">
      <c r="A6176" s="2">
        <v>42693</v>
      </c>
      <c r="B6176" t="s">
        <v>13</v>
      </c>
      <c r="D6176" s="2">
        <v>43424</v>
      </c>
      <c r="E6176">
        <v>6.5</v>
      </c>
      <c r="G6176" s="2">
        <v>43424</v>
      </c>
      <c r="H6176">
        <v>7.2210000000000001</v>
      </c>
      <c r="J6176" s="2">
        <v>43431</v>
      </c>
      <c r="K6176" s="3">
        <f t="shared" si="192"/>
        <v>6.5</v>
      </c>
      <c r="L6176" s="3">
        <f t="shared" si="193"/>
        <v>7.1639999999999997</v>
      </c>
    </row>
    <row r="6177" spans="1:12" x14ac:dyDescent="0.3">
      <c r="A6177" s="2">
        <v>42694</v>
      </c>
      <c r="B6177" t="s">
        <v>13</v>
      </c>
      <c r="D6177" s="2">
        <v>43425</v>
      </c>
      <c r="E6177">
        <v>6.5</v>
      </c>
      <c r="G6177" s="2">
        <v>43425</v>
      </c>
      <c r="H6177">
        <v>7.2210000000000001</v>
      </c>
      <c r="J6177" s="2">
        <v>43432</v>
      </c>
      <c r="K6177" s="3">
        <f t="shared" si="192"/>
        <v>6.5</v>
      </c>
      <c r="L6177" s="3">
        <f t="shared" si="193"/>
        <v>7.1360000000000001</v>
      </c>
    </row>
    <row r="6178" spans="1:12" x14ac:dyDescent="0.3">
      <c r="A6178" s="2">
        <v>42695</v>
      </c>
      <c r="B6178" t="s">
        <v>13</v>
      </c>
      <c r="D6178" s="2">
        <v>43426</v>
      </c>
      <c r="E6178">
        <v>6.5</v>
      </c>
      <c r="G6178" s="2">
        <v>43426</v>
      </c>
      <c r="H6178">
        <v>7.1609999999999996</v>
      </c>
      <c r="J6178" s="2">
        <v>43433</v>
      </c>
      <c r="K6178" s="3">
        <f t="shared" si="192"/>
        <v>6.5</v>
      </c>
      <c r="L6178" s="3">
        <f t="shared" si="193"/>
        <v>7.1289999999999996</v>
      </c>
    </row>
    <row r="6179" spans="1:12" x14ac:dyDescent="0.3">
      <c r="A6179" s="2">
        <v>42696</v>
      </c>
      <c r="B6179" t="s">
        <v>13</v>
      </c>
      <c r="D6179" s="2">
        <v>43427</v>
      </c>
      <c r="E6179">
        <v>6.5</v>
      </c>
      <c r="G6179" s="2">
        <v>43427</v>
      </c>
      <c r="H6179">
        <v>7.1609999999999996</v>
      </c>
      <c r="J6179" s="2">
        <v>43434</v>
      </c>
      <c r="K6179" s="3">
        <f t="shared" si="192"/>
        <v>6.5</v>
      </c>
      <c r="L6179" s="3">
        <f t="shared" si="193"/>
        <v>7.0949999999999998</v>
      </c>
    </row>
    <row r="6180" spans="1:12" x14ac:dyDescent="0.3">
      <c r="A6180" s="2">
        <v>42697</v>
      </c>
      <c r="B6180" t="s">
        <v>13</v>
      </c>
      <c r="D6180" s="2">
        <v>43428</v>
      </c>
      <c r="E6180">
        <v>6.5</v>
      </c>
      <c r="G6180" s="2">
        <v>43428</v>
      </c>
      <c r="H6180">
        <v>7.1609999999999996</v>
      </c>
      <c r="J6180" s="2">
        <v>43435</v>
      </c>
      <c r="K6180" s="3">
        <f t="shared" si="192"/>
        <v>6.5</v>
      </c>
      <c r="L6180" s="3">
        <f t="shared" si="193"/>
        <v>7.0949999999999998</v>
      </c>
    </row>
    <row r="6181" spans="1:12" x14ac:dyDescent="0.3">
      <c r="A6181" s="2">
        <v>42698</v>
      </c>
      <c r="B6181" t="s">
        <v>13</v>
      </c>
      <c r="D6181" s="2">
        <v>43429</v>
      </c>
      <c r="E6181">
        <v>6.5</v>
      </c>
      <c r="G6181" s="2">
        <v>43429</v>
      </c>
      <c r="H6181">
        <v>7.1609999999999996</v>
      </c>
      <c r="J6181" s="2">
        <v>43436</v>
      </c>
      <c r="K6181" s="3">
        <f t="shared" si="192"/>
        <v>6.5</v>
      </c>
      <c r="L6181" s="3">
        <f t="shared" si="193"/>
        <v>7.0949999999999998</v>
      </c>
    </row>
    <row r="6182" spans="1:12" x14ac:dyDescent="0.3">
      <c r="A6182" s="2">
        <v>42699</v>
      </c>
      <c r="B6182" t="s">
        <v>13</v>
      </c>
      <c r="D6182" s="2">
        <v>43430</v>
      </c>
      <c r="E6182">
        <v>6.5</v>
      </c>
      <c r="G6182" s="2">
        <v>43430</v>
      </c>
      <c r="H6182">
        <v>7.1669999999999998</v>
      </c>
      <c r="J6182" s="2">
        <v>43437</v>
      </c>
      <c r="K6182" s="3">
        <f t="shared" si="192"/>
        <v>6.5</v>
      </c>
      <c r="L6182" s="3">
        <f t="shared" si="193"/>
        <v>7.1219999999999999</v>
      </c>
    </row>
    <row r="6183" spans="1:12" x14ac:dyDescent="0.3">
      <c r="A6183" s="2">
        <v>42700</v>
      </c>
      <c r="B6183" t="s">
        <v>13</v>
      </c>
      <c r="D6183" s="2">
        <v>43431</v>
      </c>
      <c r="E6183">
        <v>6.5</v>
      </c>
      <c r="G6183" s="2">
        <v>43431</v>
      </c>
      <c r="H6183">
        <v>7.1639999999999997</v>
      </c>
      <c r="J6183" s="2">
        <v>43438</v>
      </c>
      <c r="K6183" s="3">
        <f t="shared" si="192"/>
        <v>6.5</v>
      </c>
      <c r="L6183" s="3">
        <f t="shared" si="193"/>
        <v>7.1219999999999999</v>
      </c>
    </row>
    <row r="6184" spans="1:12" x14ac:dyDescent="0.3">
      <c r="A6184" s="2">
        <v>42701</v>
      </c>
      <c r="B6184" t="s">
        <v>13</v>
      </c>
      <c r="D6184" s="2">
        <v>43432</v>
      </c>
      <c r="E6184">
        <v>6.5</v>
      </c>
      <c r="G6184" s="2">
        <v>43432</v>
      </c>
      <c r="H6184">
        <v>7.1360000000000001</v>
      </c>
      <c r="J6184" s="2">
        <v>43439</v>
      </c>
      <c r="K6184" s="3">
        <f t="shared" si="192"/>
        <v>6.5</v>
      </c>
      <c r="L6184" s="3">
        <f t="shared" si="193"/>
        <v>7.0549999999999997</v>
      </c>
    </row>
    <row r="6185" spans="1:12" x14ac:dyDescent="0.3">
      <c r="A6185" s="2">
        <v>42702</v>
      </c>
      <c r="B6185" t="s">
        <v>13</v>
      </c>
      <c r="D6185" s="2">
        <v>43433</v>
      </c>
      <c r="E6185">
        <v>6.5</v>
      </c>
      <c r="G6185" s="2">
        <v>43433</v>
      </c>
      <c r="H6185">
        <v>7.1289999999999996</v>
      </c>
      <c r="J6185" s="2">
        <v>43440</v>
      </c>
      <c r="K6185" s="3">
        <f t="shared" si="192"/>
        <v>6.5</v>
      </c>
      <c r="L6185" s="3">
        <f t="shared" si="193"/>
        <v>7.0129999999999999</v>
      </c>
    </row>
    <row r="6186" spans="1:12" x14ac:dyDescent="0.3">
      <c r="A6186" s="2">
        <v>42703</v>
      </c>
      <c r="B6186" t="s">
        <v>13</v>
      </c>
      <c r="D6186" s="2">
        <v>43434</v>
      </c>
      <c r="E6186">
        <v>6.5</v>
      </c>
      <c r="G6186" s="2">
        <v>43434</v>
      </c>
      <c r="H6186">
        <v>7.0949999999999998</v>
      </c>
      <c r="J6186" s="2">
        <v>43441</v>
      </c>
      <c r="K6186" s="3">
        <f t="shared" si="192"/>
        <v>6.5</v>
      </c>
      <c r="L6186" s="3">
        <f t="shared" si="193"/>
        <v>7.0069999999999997</v>
      </c>
    </row>
    <row r="6187" spans="1:12" x14ac:dyDescent="0.3">
      <c r="A6187" s="2">
        <v>42704</v>
      </c>
      <c r="B6187" t="s">
        <v>13</v>
      </c>
      <c r="D6187" s="2">
        <v>43435</v>
      </c>
      <c r="E6187">
        <v>6.5</v>
      </c>
      <c r="G6187" s="2">
        <v>43435</v>
      </c>
      <c r="H6187">
        <v>7.0949999999999998</v>
      </c>
      <c r="J6187" s="2">
        <v>43442</v>
      </c>
      <c r="K6187" s="3">
        <f t="shared" si="192"/>
        <v>6.5</v>
      </c>
      <c r="L6187" s="3">
        <f t="shared" si="193"/>
        <v>7.0069999999999997</v>
      </c>
    </row>
    <row r="6188" spans="1:12" x14ac:dyDescent="0.3">
      <c r="A6188" s="2">
        <v>42705</v>
      </c>
      <c r="B6188" t="s">
        <v>13</v>
      </c>
      <c r="D6188" s="2">
        <v>43436</v>
      </c>
      <c r="E6188">
        <v>6.5</v>
      </c>
      <c r="G6188" s="2">
        <v>43436</v>
      </c>
      <c r="H6188">
        <v>7.0949999999999998</v>
      </c>
      <c r="J6188" s="2">
        <v>43443</v>
      </c>
      <c r="K6188" s="3">
        <f t="shared" si="192"/>
        <v>6.5</v>
      </c>
      <c r="L6188" s="3">
        <f t="shared" si="193"/>
        <v>7.0069999999999997</v>
      </c>
    </row>
    <row r="6189" spans="1:12" x14ac:dyDescent="0.3">
      <c r="A6189" s="2">
        <v>42706</v>
      </c>
      <c r="B6189" t="s">
        <v>13</v>
      </c>
      <c r="D6189" s="2">
        <v>43437</v>
      </c>
      <c r="E6189">
        <v>6.5</v>
      </c>
      <c r="G6189" s="2">
        <v>43437</v>
      </c>
      <c r="H6189">
        <v>7.1219999999999999</v>
      </c>
      <c r="J6189" s="2">
        <v>43444</v>
      </c>
      <c r="K6189" s="3">
        <f t="shared" si="192"/>
        <v>6.5</v>
      </c>
      <c r="L6189" s="3">
        <f t="shared" si="193"/>
        <v>7.07</v>
      </c>
    </row>
    <row r="6190" spans="1:12" x14ac:dyDescent="0.3">
      <c r="A6190" s="2">
        <v>42707</v>
      </c>
      <c r="B6190" t="s">
        <v>13</v>
      </c>
      <c r="D6190" s="2">
        <v>43438</v>
      </c>
      <c r="E6190">
        <v>6.5</v>
      </c>
      <c r="G6190" s="2">
        <v>43438</v>
      </c>
      <c r="H6190">
        <v>7.1219999999999999</v>
      </c>
      <c r="J6190" s="2">
        <v>43445</v>
      </c>
      <c r="K6190" s="3">
        <f t="shared" si="192"/>
        <v>6.5</v>
      </c>
      <c r="L6190" s="3">
        <f t="shared" si="193"/>
        <v>7.0270000000000001</v>
      </c>
    </row>
    <row r="6191" spans="1:12" x14ac:dyDescent="0.3">
      <c r="A6191" s="2">
        <v>42708</v>
      </c>
      <c r="B6191" t="s">
        <v>13</v>
      </c>
      <c r="D6191" s="2">
        <v>43439</v>
      </c>
      <c r="E6191">
        <v>6.5</v>
      </c>
      <c r="G6191" s="2">
        <v>43439</v>
      </c>
      <c r="H6191">
        <v>7.0549999999999997</v>
      </c>
      <c r="J6191" s="2">
        <v>43446</v>
      </c>
      <c r="K6191" s="3">
        <f t="shared" si="192"/>
        <v>6.5</v>
      </c>
      <c r="L6191" s="3">
        <f t="shared" si="193"/>
        <v>6.992</v>
      </c>
    </row>
    <row r="6192" spans="1:12" x14ac:dyDescent="0.3">
      <c r="A6192" s="2">
        <v>42709</v>
      </c>
      <c r="B6192" t="s">
        <v>13</v>
      </c>
      <c r="D6192" s="2">
        <v>43440</v>
      </c>
      <c r="E6192">
        <v>6.5</v>
      </c>
      <c r="G6192" s="2">
        <v>43440</v>
      </c>
      <c r="H6192">
        <v>7.0129999999999999</v>
      </c>
      <c r="J6192" s="2">
        <v>43447</v>
      </c>
      <c r="K6192" s="3">
        <f t="shared" si="192"/>
        <v>6.5</v>
      </c>
      <c r="L6192" s="3">
        <f t="shared" si="193"/>
        <v>6.9930000000000003</v>
      </c>
    </row>
    <row r="6193" spans="1:12" x14ac:dyDescent="0.3">
      <c r="A6193" s="2">
        <v>42710</v>
      </c>
      <c r="B6193" t="s">
        <v>13</v>
      </c>
      <c r="D6193" s="2">
        <v>43441</v>
      </c>
      <c r="E6193">
        <v>6.5</v>
      </c>
      <c r="G6193" s="2">
        <v>43441</v>
      </c>
      <c r="H6193">
        <v>7.0069999999999997</v>
      </c>
      <c r="J6193" s="2">
        <v>43448</v>
      </c>
      <c r="K6193" s="3">
        <f t="shared" si="192"/>
        <v>6.5</v>
      </c>
      <c r="L6193" s="3">
        <f t="shared" si="193"/>
        <v>7.0140000000000002</v>
      </c>
    </row>
    <row r="6194" spans="1:12" x14ac:dyDescent="0.3">
      <c r="A6194" s="2">
        <v>42711</v>
      </c>
      <c r="B6194" t="s">
        <v>13</v>
      </c>
      <c r="D6194" s="2">
        <v>43442</v>
      </c>
      <c r="E6194">
        <v>6.5</v>
      </c>
      <c r="G6194" s="2">
        <v>43442</v>
      </c>
      <c r="H6194">
        <v>7.0069999999999997</v>
      </c>
      <c r="J6194" s="2">
        <v>43449</v>
      </c>
      <c r="K6194" s="3">
        <f t="shared" si="192"/>
        <v>6.5</v>
      </c>
      <c r="L6194" s="3">
        <f t="shared" si="193"/>
        <v>7.0140000000000002</v>
      </c>
    </row>
    <row r="6195" spans="1:12" x14ac:dyDescent="0.3">
      <c r="A6195" s="2">
        <v>42712</v>
      </c>
      <c r="B6195" t="s">
        <v>13</v>
      </c>
      <c r="D6195" s="2">
        <v>43443</v>
      </c>
      <c r="E6195">
        <v>6.5</v>
      </c>
      <c r="G6195" s="2">
        <v>43443</v>
      </c>
      <c r="H6195">
        <v>7.0069999999999997</v>
      </c>
      <c r="J6195" s="2">
        <v>43450</v>
      </c>
      <c r="K6195" s="3">
        <f t="shared" si="192"/>
        <v>6.5</v>
      </c>
      <c r="L6195" s="3">
        <f t="shared" si="193"/>
        <v>7.0140000000000002</v>
      </c>
    </row>
    <row r="6196" spans="1:12" x14ac:dyDescent="0.3">
      <c r="A6196" s="2">
        <v>42713</v>
      </c>
      <c r="B6196" t="s">
        <v>13</v>
      </c>
      <c r="D6196" s="2">
        <v>43444</v>
      </c>
      <c r="E6196">
        <v>6.5</v>
      </c>
      <c r="G6196" s="2">
        <v>43444</v>
      </c>
      <c r="H6196">
        <v>7.07</v>
      </c>
      <c r="J6196" s="2">
        <v>43451</v>
      </c>
      <c r="K6196" s="3">
        <f t="shared" si="192"/>
        <v>6.5</v>
      </c>
      <c r="L6196" s="3">
        <f t="shared" si="193"/>
        <v>7.069</v>
      </c>
    </row>
    <row r="6197" spans="1:12" x14ac:dyDescent="0.3">
      <c r="A6197" s="2">
        <v>42714</v>
      </c>
      <c r="B6197" t="s">
        <v>13</v>
      </c>
      <c r="D6197" s="2">
        <v>43445</v>
      </c>
      <c r="E6197">
        <v>6.5</v>
      </c>
      <c r="G6197" s="2">
        <v>43445</v>
      </c>
      <c r="H6197">
        <v>7.0270000000000001</v>
      </c>
      <c r="J6197" s="2">
        <v>43452</v>
      </c>
      <c r="K6197" s="3">
        <f t="shared" si="192"/>
        <v>6.5</v>
      </c>
      <c r="L6197" s="3">
        <f t="shared" si="193"/>
        <v>7.069</v>
      </c>
    </row>
    <row r="6198" spans="1:12" x14ac:dyDescent="0.3">
      <c r="A6198" s="2">
        <v>42715</v>
      </c>
      <c r="B6198" t="s">
        <v>13</v>
      </c>
      <c r="D6198" s="2">
        <v>43446</v>
      </c>
      <c r="E6198">
        <v>6.5</v>
      </c>
      <c r="G6198" s="2">
        <v>43446</v>
      </c>
      <c r="H6198">
        <v>6.992</v>
      </c>
      <c r="J6198" s="2">
        <v>43453</v>
      </c>
      <c r="K6198" s="3">
        <f t="shared" si="192"/>
        <v>6.5</v>
      </c>
      <c r="L6198" s="3">
        <f t="shared" si="193"/>
        <v>6.9610000000000003</v>
      </c>
    </row>
    <row r="6199" spans="1:12" x14ac:dyDescent="0.3">
      <c r="A6199" s="2">
        <v>42716</v>
      </c>
      <c r="B6199" t="s">
        <v>13</v>
      </c>
      <c r="D6199" s="2">
        <v>43447</v>
      </c>
      <c r="E6199">
        <v>6.5</v>
      </c>
      <c r="G6199" s="2">
        <v>43447</v>
      </c>
      <c r="H6199">
        <v>6.9930000000000003</v>
      </c>
      <c r="J6199" s="2">
        <v>43454</v>
      </c>
      <c r="K6199" s="3">
        <f t="shared" si="192"/>
        <v>6.5</v>
      </c>
      <c r="L6199" s="3">
        <f t="shared" si="193"/>
        <v>6.9619999999999997</v>
      </c>
    </row>
    <row r="6200" spans="1:12" x14ac:dyDescent="0.3">
      <c r="A6200" s="2">
        <v>42717</v>
      </c>
      <c r="B6200" t="s">
        <v>13</v>
      </c>
      <c r="D6200" s="2">
        <v>43448</v>
      </c>
      <c r="E6200">
        <v>6.5</v>
      </c>
      <c r="G6200" s="2">
        <v>43448</v>
      </c>
      <c r="H6200">
        <v>7.0140000000000002</v>
      </c>
      <c r="J6200" s="2">
        <v>43455</v>
      </c>
      <c r="K6200" s="3">
        <f t="shared" si="192"/>
        <v>6.5</v>
      </c>
      <c r="L6200" s="3">
        <f t="shared" si="193"/>
        <v>6.9550000000000001</v>
      </c>
    </row>
    <row r="6201" spans="1:12" x14ac:dyDescent="0.3">
      <c r="A6201" s="2">
        <v>42718</v>
      </c>
      <c r="B6201" t="s">
        <v>13</v>
      </c>
      <c r="D6201" s="2">
        <v>43449</v>
      </c>
      <c r="E6201">
        <v>6.5</v>
      </c>
      <c r="G6201" s="2">
        <v>43449</v>
      </c>
      <c r="H6201">
        <v>7.0140000000000002</v>
      </c>
      <c r="J6201" s="2">
        <v>43456</v>
      </c>
      <c r="K6201" s="3">
        <f t="shared" si="192"/>
        <v>6.5</v>
      </c>
      <c r="L6201" s="3">
        <f t="shared" si="193"/>
        <v>6.9550000000000001</v>
      </c>
    </row>
    <row r="6202" spans="1:12" x14ac:dyDescent="0.3">
      <c r="A6202" s="2">
        <v>42719</v>
      </c>
      <c r="B6202" t="s">
        <v>13</v>
      </c>
      <c r="D6202" s="2">
        <v>43450</v>
      </c>
      <c r="E6202">
        <v>6.5</v>
      </c>
      <c r="G6202" s="2">
        <v>43450</v>
      </c>
      <c r="H6202">
        <v>7.0140000000000002</v>
      </c>
      <c r="J6202" s="2">
        <v>43457</v>
      </c>
      <c r="K6202" s="3">
        <f t="shared" si="192"/>
        <v>6.5</v>
      </c>
      <c r="L6202" s="3">
        <f t="shared" si="193"/>
        <v>6.9550000000000001</v>
      </c>
    </row>
    <row r="6203" spans="1:12" x14ac:dyDescent="0.3">
      <c r="A6203" s="2">
        <v>42720</v>
      </c>
      <c r="B6203" t="s">
        <v>13</v>
      </c>
      <c r="D6203" s="2">
        <v>43451</v>
      </c>
      <c r="E6203">
        <v>6.5</v>
      </c>
      <c r="G6203" s="2">
        <v>43451</v>
      </c>
      <c r="H6203">
        <v>7.069</v>
      </c>
      <c r="J6203" s="2">
        <v>43458</v>
      </c>
      <c r="K6203" s="3">
        <f t="shared" si="192"/>
        <v>6.5</v>
      </c>
      <c r="L6203" s="3">
        <f t="shared" si="193"/>
        <v>6.9470000000000001</v>
      </c>
    </row>
    <row r="6204" spans="1:12" x14ac:dyDescent="0.3">
      <c r="A6204" s="2">
        <v>42721</v>
      </c>
      <c r="B6204" t="s">
        <v>13</v>
      </c>
      <c r="D6204" s="2">
        <v>43452</v>
      </c>
      <c r="E6204">
        <v>6.5</v>
      </c>
      <c r="G6204" s="2">
        <v>43452</v>
      </c>
      <c r="H6204">
        <v>7.069</v>
      </c>
      <c r="J6204" s="2">
        <v>43459</v>
      </c>
      <c r="K6204" s="3">
        <f t="shared" si="192"/>
        <v>6.5</v>
      </c>
      <c r="L6204" s="3">
        <f t="shared" si="193"/>
        <v>6.9470000000000001</v>
      </c>
    </row>
    <row r="6205" spans="1:12" x14ac:dyDescent="0.3">
      <c r="A6205" s="2">
        <v>42722</v>
      </c>
      <c r="B6205" t="s">
        <v>13</v>
      </c>
      <c r="D6205" s="2">
        <v>43453</v>
      </c>
      <c r="E6205">
        <v>6.5</v>
      </c>
      <c r="G6205" s="2">
        <v>43453</v>
      </c>
      <c r="H6205">
        <v>6.9610000000000003</v>
      </c>
      <c r="J6205" s="2">
        <v>43460</v>
      </c>
      <c r="K6205" s="3">
        <f t="shared" si="192"/>
        <v>6.5</v>
      </c>
      <c r="L6205" s="3">
        <f t="shared" si="193"/>
        <v>6.91</v>
      </c>
    </row>
    <row r="6206" spans="1:12" x14ac:dyDescent="0.3">
      <c r="A6206" s="2">
        <v>42723</v>
      </c>
      <c r="B6206" t="s">
        <v>13</v>
      </c>
      <c r="D6206" s="2">
        <v>43454</v>
      </c>
      <c r="E6206">
        <v>6.5</v>
      </c>
      <c r="G6206" s="2">
        <v>43454</v>
      </c>
      <c r="H6206">
        <v>6.9619999999999997</v>
      </c>
      <c r="J6206" s="2">
        <v>43461</v>
      </c>
      <c r="K6206" s="3">
        <f t="shared" si="192"/>
        <v>6.5</v>
      </c>
      <c r="L6206" s="3">
        <f t="shared" si="193"/>
        <v>6.9109999999999996</v>
      </c>
    </row>
    <row r="6207" spans="1:12" x14ac:dyDescent="0.3">
      <c r="A6207" s="2">
        <v>42724</v>
      </c>
      <c r="B6207" t="s">
        <v>13</v>
      </c>
      <c r="D6207" s="2">
        <v>43455</v>
      </c>
      <c r="E6207">
        <v>6.5</v>
      </c>
      <c r="G6207" s="2">
        <v>43455</v>
      </c>
      <c r="H6207">
        <v>6.9550000000000001</v>
      </c>
      <c r="J6207" s="2">
        <v>43462</v>
      </c>
      <c r="K6207" s="3">
        <f t="shared" si="192"/>
        <v>6.5</v>
      </c>
      <c r="L6207" s="3">
        <f t="shared" si="193"/>
        <v>6.9119999999999999</v>
      </c>
    </row>
    <row r="6208" spans="1:12" x14ac:dyDescent="0.3">
      <c r="A6208" s="2">
        <v>42725</v>
      </c>
      <c r="B6208" t="s">
        <v>13</v>
      </c>
      <c r="D6208" s="2">
        <v>43456</v>
      </c>
      <c r="E6208">
        <v>6.5</v>
      </c>
      <c r="G6208" s="2">
        <v>43456</v>
      </c>
      <c r="H6208">
        <v>6.9550000000000001</v>
      </c>
      <c r="J6208" s="2">
        <v>43463</v>
      </c>
      <c r="K6208" s="3">
        <f t="shared" si="192"/>
        <v>6.5</v>
      </c>
      <c r="L6208" s="3">
        <f t="shared" si="193"/>
        <v>6.9119999999999999</v>
      </c>
    </row>
    <row r="6209" spans="1:12" x14ac:dyDescent="0.3">
      <c r="A6209" s="2">
        <v>42726</v>
      </c>
      <c r="B6209" t="s">
        <v>13</v>
      </c>
      <c r="D6209" s="2">
        <v>43457</v>
      </c>
      <c r="E6209">
        <v>6.5</v>
      </c>
      <c r="G6209" s="2">
        <v>43457</v>
      </c>
      <c r="H6209">
        <v>6.9550000000000001</v>
      </c>
      <c r="J6209" s="2">
        <v>43464</v>
      </c>
      <c r="K6209" s="3">
        <f t="shared" si="192"/>
        <v>6.5</v>
      </c>
      <c r="L6209" s="3">
        <f t="shared" si="193"/>
        <v>6.9119999999999999</v>
      </c>
    </row>
    <row r="6210" spans="1:12" x14ac:dyDescent="0.3">
      <c r="A6210" s="2">
        <v>42727</v>
      </c>
      <c r="B6210" t="s">
        <v>13</v>
      </c>
      <c r="D6210" s="2">
        <v>43458</v>
      </c>
      <c r="E6210">
        <v>6.5</v>
      </c>
      <c r="G6210" s="2">
        <v>43458</v>
      </c>
      <c r="H6210">
        <v>6.9470000000000001</v>
      </c>
      <c r="J6210" s="2">
        <v>43465</v>
      </c>
      <c r="K6210" s="3">
        <f t="shared" si="192"/>
        <v>6.5</v>
      </c>
      <c r="L6210" s="3">
        <f t="shared" si="193"/>
        <v>6.907</v>
      </c>
    </row>
    <row r="6211" spans="1:12" x14ac:dyDescent="0.3">
      <c r="A6211" s="2">
        <v>42728</v>
      </c>
      <c r="B6211" t="s">
        <v>13</v>
      </c>
      <c r="D6211" s="2">
        <v>43459</v>
      </c>
      <c r="E6211">
        <v>6.5</v>
      </c>
      <c r="G6211" s="2">
        <v>43459</v>
      </c>
      <c r="H6211">
        <v>6.9470000000000001</v>
      </c>
      <c r="J6211" s="2">
        <v>43466</v>
      </c>
      <c r="K6211" s="3">
        <f t="shared" ref="K6211:K6274" si="194">E6218</f>
        <v>6.5</v>
      </c>
      <c r="L6211" s="3">
        <f t="shared" ref="L6211:L6274" si="195">H6218</f>
        <v>6.8929999999999998</v>
      </c>
    </row>
    <row r="6212" spans="1:12" x14ac:dyDescent="0.3">
      <c r="A6212" s="2">
        <v>42729</v>
      </c>
      <c r="B6212" t="s">
        <v>13</v>
      </c>
      <c r="D6212" s="2">
        <v>43460</v>
      </c>
      <c r="E6212">
        <v>6.5</v>
      </c>
      <c r="G6212" s="2">
        <v>43460</v>
      </c>
      <c r="H6212">
        <v>6.91</v>
      </c>
      <c r="J6212" s="2">
        <v>43467</v>
      </c>
      <c r="K6212" s="3">
        <f t="shared" si="194"/>
        <v>6.5</v>
      </c>
      <c r="L6212" s="3">
        <f t="shared" si="195"/>
        <v>6.7960000000000003</v>
      </c>
    </row>
    <row r="6213" spans="1:12" x14ac:dyDescent="0.3">
      <c r="A6213" s="2">
        <v>42730</v>
      </c>
      <c r="B6213" t="s">
        <v>13</v>
      </c>
      <c r="D6213" s="2">
        <v>43461</v>
      </c>
      <c r="E6213">
        <v>6.5</v>
      </c>
      <c r="G6213" s="2">
        <v>43461</v>
      </c>
      <c r="H6213">
        <v>6.9109999999999996</v>
      </c>
      <c r="J6213" s="2">
        <v>43468</v>
      </c>
      <c r="K6213" s="3">
        <f t="shared" si="194"/>
        <v>6.5</v>
      </c>
      <c r="L6213" s="3">
        <f t="shared" si="195"/>
        <v>6.7960000000000003</v>
      </c>
    </row>
    <row r="6214" spans="1:12" x14ac:dyDescent="0.3">
      <c r="A6214" s="2">
        <v>42731</v>
      </c>
      <c r="B6214" t="s">
        <v>13</v>
      </c>
      <c r="D6214" s="2">
        <v>43462</v>
      </c>
      <c r="E6214">
        <v>6.5</v>
      </c>
      <c r="G6214" s="2">
        <v>43462</v>
      </c>
      <c r="H6214">
        <v>6.9119999999999999</v>
      </c>
      <c r="J6214" s="2">
        <v>43469</v>
      </c>
      <c r="K6214" s="3">
        <f t="shared" si="194"/>
        <v>6.5</v>
      </c>
      <c r="L6214" s="3">
        <f t="shared" si="195"/>
        <v>6.7960000000000003</v>
      </c>
    </row>
    <row r="6215" spans="1:12" x14ac:dyDescent="0.3">
      <c r="A6215" s="2">
        <v>42732</v>
      </c>
      <c r="B6215" t="s">
        <v>13</v>
      </c>
      <c r="D6215" s="2">
        <v>43463</v>
      </c>
      <c r="E6215">
        <v>6.5</v>
      </c>
      <c r="G6215" s="2">
        <v>43463</v>
      </c>
      <c r="H6215">
        <v>6.9119999999999999</v>
      </c>
      <c r="J6215" s="2">
        <v>43470</v>
      </c>
      <c r="K6215" s="3">
        <f t="shared" si="194"/>
        <v>6.5</v>
      </c>
      <c r="L6215" s="3">
        <f t="shared" si="195"/>
        <v>6.7960000000000003</v>
      </c>
    </row>
    <row r="6216" spans="1:12" x14ac:dyDescent="0.3">
      <c r="A6216" s="2">
        <v>42733</v>
      </c>
      <c r="B6216" t="s">
        <v>13</v>
      </c>
      <c r="D6216" s="2">
        <v>43464</v>
      </c>
      <c r="E6216">
        <v>6.5</v>
      </c>
      <c r="G6216" s="2">
        <v>43464</v>
      </c>
      <c r="H6216">
        <v>6.9119999999999999</v>
      </c>
      <c r="J6216" s="2">
        <v>43471</v>
      </c>
      <c r="K6216" s="3">
        <f t="shared" si="194"/>
        <v>6.5</v>
      </c>
      <c r="L6216" s="3">
        <f t="shared" si="195"/>
        <v>6.7960000000000003</v>
      </c>
    </row>
    <row r="6217" spans="1:12" x14ac:dyDescent="0.3">
      <c r="A6217" s="2">
        <v>42734</v>
      </c>
      <c r="B6217" t="s">
        <v>13</v>
      </c>
      <c r="D6217" s="2">
        <v>43465</v>
      </c>
      <c r="E6217">
        <v>6.5</v>
      </c>
      <c r="G6217" s="2">
        <v>43465</v>
      </c>
      <c r="H6217">
        <v>6.907</v>
      </c>
      <c r="J6217" s="2">
        <v>43472</v>
      </c>
      <c r="K6217" s="3">
        <f t="shared" si="194"/>
        <v>6.5</v>
      </c>
      <c r="L6217" s="3">
        <f t="shared" si="195"/>
        <v>6.89</v>
      </c>
    </row>
    <row r="6218" spans="1:12" x14ac:dyDescent="0.3">
      <c r="A6218" s="2">
        <v>42735</v>
      </c>
      <c r="B6218" t="s">
        <v>13</v>
      </c>
      <c r="D6218" s="2">
        <v>43466</v>
      </c>
      <c r="E6218">
        <v>6.5</v>
      </c>
      <c r="G6218" s="2">
        <v>43466</v>
      </c>
      <c r="H6218">
        <v>6.8929999999999998</v>
      </c>
      <c r="J6218" s="2">
        <v>43473</v>
      </c>
      <c r="K6218" s="3">
        <f t="shared" si="194"/>
        <v>6.5</v>
      </c>
      <c r="L6218" s="3">
        <f t="shared" si="195"/>
        <v>6.8330000000000002</v>
      </c>
    </row>
    <row r="6219" spans="1:12" x14ac:dyDescent="0.3">
      <c r="A6219" s="2">
        <v>42736</v>
      </c>
      <c r="B6219" t="s">
        <v>13</v>
      </c>
      <c r="D6219" s="2">
        <v>43467</v>
      </c>
      <c r="E6219">
        <v>6.5</v>
      </c>
      <c r="G6219" s="2">
        <v>43467</v>
      </c>
      <c r="H6219">
        <v>6.7960000000000003</v>
      </c>
      <c r="J6219" s="2">
        <v>43474</v>
      </c>
      <c r="K6219" s="3">
        <f t="shared" si="194"/>
        <v>6.5</v>
      </c>
      <c r="L6219" s="3">
        <f t="shared" si="195"/>
        <v>6.8170000000000002</v>
      </c>
    </row>
    <row r="6220" spans="1:12" x14ac:dyDescent="0.3">
      <c r="A6220" s="2">
        <v>42737</v>
      </c>
      <c r="B6220" t="s">
        <v>13</v>
      </c>
      <c r="D6220" s="2">
        <v>43468</v>
      </c>
      <c r="E6220">
        <v>6.5</v>
      </c>
      <c r="G6220" s="2">
        <v>43468</v>
      </c>
      <c r="H6220">
        <v>6.7960000000000003</v>
      </c>
      <c r="J6220" s="2">
        <v>43475</v>
      </c>
      <c r="K6220" s="3">
        <f t="shared" si="194"/>
        <v>6.5</v>
      </c>
      <c r="L6220" s="3">
        <f t="shared" si="195"/>
        <v>6.8259999999999996</v>
      </c>
    </row>
    <row r="6221" spans="1:12" x14ac:dyDescent="0.3">
      <c r="A6221" s="2">
        <v>42738</v>
      </c>
      <c r="B6221" t="s">
        <v>13</v>
      </c>
      <c r="D6221" s="2">
        <v>43469</v>
      </c>
      <c r="E6221">
        <v>6.5</v>
      </c>
      <c r="G6221" s="2">
        <v>43469</v>
      </c>
      <c r="H6221">
        <v>6.7960000000000003</v>
      </c>
      <c r="J6221" s="2">
        <v>43476</v>
      </c>
      <c r="K6221" s="3">
        <f t="shared" si="194"/>
        <v>6.5</v>
      </c>
      <c r="L6221" s="3">
        <f t="shared" si="195"/>
        <v>6.835</v>
      </c>
    </row>
    <row r="6222" spans="1:12" x14ac:dyDescent="0.3">
      <c r="A6222" s="2">
        <v>42739</v>
      </c>
      <c r="B6222">
        <v>6.46</v>
      </c>
      <c r="D6222" s="2">
        <v>43470</v>
      </c>
      <c r="E6222">
        <v>6.5</v>
      </c>
      <c r="G6222" s="2">
        <v>43470</v>
      </c>
      <c r="H6222">
        <v>6.7960000000000003</v>
      </c>
      <c r="J6222" s="2">
        <v>43477</v>
      </c>
      <c r="K6222" s="3">
        <f t="shared" si="194"/>
        <v>6.5</v>
      </c>
      <c r="L6222" s="3">
        <f t="shared" si="195"/>
        <v>6.835</v>
      </c>
    </row>
    <row r="6223" spans="1:12" x14ac:dyDescent="0.3">
      <c r="A6223" s="2">
        <v>42740</v>
      </c>
      <c r="B6223">
        <v>6.46</v>
      </c>
      <c r="D6223" s="2">
        <v>43471</v>
      </c>
      <c r="E6223">
        <v>6.5</v>
      </c>
      <c r="G6223" s="2">
        <v>43471</v>
      </c>
      <c r="H6223">
        <v>6.7960000000000003</v>
      </c>
      <c r="J6223" s="2">
        <v>43478</v>
      </c>
      <c r="K6223" s="3">
        <f t="shared" si="194"/>
        <v>6.5</v>
      </c>
      <c r="L6223" s="3">
        <f t="shared" si="195"/>
        <v>6.835</v>
      </c>
    </row>
    <row r="6224" spans="1:12" x14ac:dyDescent="0.3">
      <c r="A6224" s="2">
        <v>42741</v>
      </c>
      <c r="B6224">
        <v>6.46</v>
      </c>
      <c r="D6224" s="2">
        <v>43472</v>
      </c>
      <c r="E6224">
        <v>6.5</v>
      </c>
      <c r="G6224" s="2">
        <v>43472</v>
      </c>
      <c r="H6224">
        <v>6.89</v>
      </c>
      <c r="J6224" s="2">
        <v>43479</v>
      </c>
      <c r="K6224" s="3">
        <f t="shared" si="194"/>
        <v>6.5</v>
      </c>
      <c r="L6224" s="3">
        <f t="shared" si="195"/>
        <v>6.806</v>
      </c>
    </row>
    <row r="6225" spans="1:12" x14ac:dyDescent="0.3">
      <c r="A6225" s="2">
        <v>42742</v>
      </c>
      <c r="B6225">
        <v>6.46</v>
      </c>
      <c r="D6225" s="2">
        <v>43473</v>
      </c>
      <c r="E6225">
        <v>6.5</v>
      </c>
      <c r="G6225" s="2">
        <v>43473</v>
      </c>
      <c r="H6225">
        <v>6.8330000000000002</v>
      </c>
      <c r="J6225" s="2">
        <v>43480</v>
      </c>
      <c r="K6225" s="3">
        <f t="shared" si="194"/>
        <v>6.5</v>
      </c>
      <c r="L6225" s="3">
        <f t="shared" si="195"/>
        <v>6.819</v>
      </c>
    </row>
    <row r="6226" spans="1:12" x14ac:dyDescent="0.3">
      <c r="A6226" s="2">
        <v>42743</v>
      </c>
      <c r="B6226">
        <v>6.46</v>
      </c>
      <c r="D6226" s="2">
        <v>43474</v>
      </c>
      <c r="E6226">
        <v>6.5</v>
      </c>
      <c r="G6226" s="2">
        <v>43474</v>
      </c>
      <c r="H6226">
        <v>6.8170000000000002</v>
      </c>
      <c r="J6226" s="2">
        <v>43481</v>
      </c>
      <c r="K6226" s="3">
        <f t="shared" si="194"/>
        <v>6.5</v>
      </c>
      <c r="L6226" s="3">
        <f t="shared" si="195"/>
        <v>6.8369999999999997</v>
      </c>
    </row>
    <row r="6227" spans="1:12" x14ac:dyDescent="0.3">
      <c r="A6227" s="2">
        <v>42744</v>
      </c>
      <c r="B6227">
        <v>6.46</v>
      </c>
      <c r="D6227" s="2">
        <v>43475</v>
      </c>
      <c r="E6227">
        <v>6.5</v>
      </c>
      <c r="G6227" s="2">
        <v>43475</v>
      </c>
      <c r="H6227">
        <v>6.8259999999999996</v>
      </c>
      <c r="J6227" s="2">
        <v>43482</v>
      </c>
      <c r="K6227" s="3">
        <f t="shared" si="194"/>
        <v>6.5</v>
      </c>
      <c r="L6227" s="3">
        <f t="shared" si="195"/>
        <v>6.8369999999999997</v>
      </c>
    </row>
    <row r="6228" spans="1:12" x14ac:dyDescent="0.3">
      <c r="A6228" s="2">
        <v>42745</v>
      </c>
      <c r="B6228">
        <v>6.46</v>
      </c>
      <c r="D6228" s="2">
        <v>43476</v>
      </c>
      <c r="E6228">
        <v>6.5</v>
      </c>
      <c r="G6228" s="2">
        <v>43476</v>
      </c>
      <c r="H6228">
        <v>6.835</v>
      </c>
      <c r="J6228" s="2">
        <v>43483</v>
      </c>
      <c r="K6228" s="3">
        <f t="shared" si="194"/>
        <v>6.5</v>
      </c>
      <c r="L6228" s="3">
        <f t="shared" si="195"/>
        <v>6.8380000000000001</v>
      </c>
    </row>
    <row r="6229" spans="1:12" x14ac:dyDescent="0.3">
      <c r="A6229" s="2">
        <v>42746</v>
      </c>
      <c r="B6229">
        <v>6.46</v>
      </c>
      <c r="D6229" s="2">
        <v>43477</v>
      </c>
      <c r="E6229">
        <v>6.5</v>
      </c>
      <c r="G6229" s="2">
        <v>43477</v>
      </c>
      <c r="H6229">
        <v>6.835</v>
      </c>
      <c r="J6229" s="2">
        <v>43484</v>
      </c>
      <c r="K6229" s="3">
        <f t="shared" si="194"/>
        <v>6.5</v>
      </c>
      <c r="L6229" s="3">
        <f t="shared" si="195"/>
        <v>6.8380000000000001</v>
      </c>
    </row>
    <row r="6230" spans="1:12" x14ac:dyDescent="0.3">
      <c r="A6230" s="2">
        <v>42747</v>
      </c>
      <c r="B6230">
        <v>6.46</v>
      </c>
      <c r="D6230" s="2">
        <v>43478</v>
      </c>
      <c r="E6230">
        <v>6.5</v>
      </c>
      <c r="G6230" s="2">
        <v>43478</v>
      </c>
      <c r="H6230">
        <v>6.835</v>
      </c>
      <c r="J6230" s="2">
        <v>43485</v>
      </c>
      <c r="K6230" s="3">
        <f t="shared" si="194"/>
        <v>6.5</v>
      </c>
      <c r="L6230" s="3">
        <f t="shared" si="195"/>
        <v>6.8380000000000001</v>
      </c>
    </row>
    <row r="6231" spans="1:12" x14ac:dyDescent="0.3">
      <c r="A6231" s="2">
        <v>42748</v>
      </c>
      <c r="B6231">
        <v>6.46</v>
      </c>
      <c r="D6231" s="2">
        <v>43479</v>
      </c>
      <c r="E6231">
        <v>6.5</v>
      </c>
      <c r="G6231" s="2">
        <v>43479</v>
      </c>
      <c r="H6231">
        <v>6.806</v>
      </c>
      <c r="J6231" s="2">
        <v>43486</v>
      </c>
      <c r="K6231" s="3">
        <f t="shared" si="194"/>
        <v>6.5</v>
      </c>
      <c r="L6231" s="3">
        <f t="shared" si="195"/>
        <v>6.8390000000000004</v>
      </c>
    </row>
    <row r="6232" spans="1:12" x14ac:dyDescent="0.3">
      <c r="A6232" s="2">
        <v>42749</v>
      </c>
      <c r="B6232">
        <v>6.46</v>
      </c>
      <c r="D6232" s="2">
        <v>43480</v>
      </c>
      <c r="E6232">
        <v>6.5</v>
      </c>
      <c r="G6232" s="2">
        <v>43480</v>
      </c>
      <c r="H6232">
        <v>6.819</v>
      </c>
      <c r="J6232" s="2">
        <v>43487</v>
      </c>
      <c r="K6232" s="3">
        <f t="shared" si="194"/>
        <v>6.5</v>
      </c>
      <c r="L6232" s="3">
        <f t="shared" si="195"/>
        <v>6.8259999999999996</v>
      </c>
    </row>
    <row r="6233" spans="1:12" x14ac:dyDescent="0.3">
      <c r="A6233" s="2">
        <v>42750</v>
      </c>
      <c r="B6233">
        <v>6.46</v>
      </c>
      <c r="D6233" s="2">
        <v>43481</v>
      </c>
      <c r="E6233">
        <v>6.5</v>
      </c>
      <c r="G6233" s="2">
        <v>43481</v>
      </c>
      <c r="H6233">
        <v>6.8369999999999997</v>
      </c>
      <c r="J6233" s="2">
        <v>43488</v>
      </c>
      <c r="K6233" s="3">
        <f t="shared" si="194"/>
        <v>6.5</v>
      </c>
      <c r="L6233" s="3">
        <f t="shared" si="195"/>
        <v>6.8310000000000004</v>
      </c>
    </row>
    <row r="6234" spans="1:12" x14ac:dyDescent="0.3">
      <c r="A6234" s="2">
        <v>42751</v>
      </c>
      <c r="B6234">
        <v>6.46</v>
      </c>
      <c r="D6234" s="2">
        <v>43482</v>
      </c>
      <c r="E6234">
        <v>6.5</v>
      </c>
      <c r="G6234" s="2">
        <v>43482</v>
      </c>
      <c r="H6234">
        <v>6.8369999999999997</v>
      </c>
      <c r="J6234" s="2">
        <v>43489</v>
      </c>
      <c r="K6234" s="3">
        <f t="shared" si="194"/>
        <v>6.5</v>
      </c>
      <c r="L6234" s="3">
        <f t="shared" si="195"/>
        <v>6.8230000000000004</v>
      </c>
    </row>
    <row r="6235" spans="1:12" x14ac:dyDescent="0.3">
      <c r="A6235" s="2">
        <v>42752</v>
      </c>
      <c r="B6235">
        <v>6.46</v>
      </c>
      <c r="D6235" s="2">
        <v>43483</v>
      </c>
      <c r="E6235">
        <v>6.5</v>
      </c>
      <c r="G6235" s="2">
        <v>43483</v>
      </c>
      <c r="H6235">
        <v>6.8380000000000001</v>
      </c>
      <c r="J6235" s="2">
        <v>43490</v>
      </c>
      <c r="K6235" s="3">
        <f t="shared" si="194"/>
        <v>6.5</v>
      </c>
      <c r="L6235" s="3">
        <f t="shared" si="195"/>
        <v>6.8239999999999998</v>
      </c>
    </row>
    <row r="6236" spans="1:12" x14ac:dyDescent="0.3">
      <c r="A6236" s="2">
        <v>42753</v>
      </c>
      <c r="B6236">
        <v>6.46</v>
      </c>
      <c r="D6236" s="2">
        <v>43484</v>
      </c>
      <c r="E6236">
        <v>6.5</v>
      </c>
      <c r="G6236" s="2">
        <v>43484</v>
      </c>
      <c r="H6236">
        <v>6.8380000000000001</v>
      </c>
      <c r="J6236" s="2">
        <v>43491</v>
      </c>
      <c r="K6236" s="3">
        <f t="shared" si="194"/>
        <v>6.5</v>
      </c>
      <c r="L6236" s="3">
        <f t="shared" si="195"/>
        <v>6.8239999999999998</v>
      </c>
    </row>
    <row r="6237" spans="1:12" x14ac:dyDescent="0.3">
      <c r="A6237" s="2">
        <v>42754</v>
      </c>
      <c r="B6237">
        <v>6.46</v>
      </c>
      <c r="D6237" s="2">
        <v>43485</v>
      </c>
      <c r="E6237">
        <v>6.5</v>
      </c>
      <c r="G6237" s="2">
        <v>43485</v>
      </c>
      <c r="H6237">
        <v>6.8380000000000001</v>
      </c>
      <c r="J6237" s="2">
        <v>43492</v>
      </c>
      <c r="K6237" s="3">
        <f t="shared" si="194"/>
        <v>6.5</v>
      </c>
      <c r="L6237" s="3">
        <f t="shared" si="195"/>
        <v>6.8239999999999998</v>
      </c>
    </row>
    <row r="6238" spans="1:12" x14ac:dyDescent="0.3">
      <c r="A6238" s="2">
        <v>42755</v>
      </c>
      <c r="B6238">
        <v>6.46</v>
      </c>
      <c r="D6238" s="2">
        <v>43486</v>
      </c>
      <c r="E6238">
        <v>6.5</v>
      </c>
      <c r="G6238" s="2">
        <v>43486</v>
      </c>
      <c r="H6238">
        <v>6.8390000000000004</v>
      </c>
      <c r="J6238" s="2">
        <v>43493</v>
      </c>
      <c r="K6238" s="3">
        <f t="shared" si="194"/>
        <v>6.5</v>
      </c>
      <c r="L6238" s="3">
        <f t="shared" si="195"/>
        <v>6.8330000000000002</v>
      </c>
    </row>
    <row r="6239" spans="1:12" x14ac:dyDescent="0.3">
      <c r="A6239" s="2">
        <v>42756</v>
      </c>
      <c r="B6239">
        <v>6.46</v>
      </c>
      <c r="D6239" s="2">
        <v>43487</v>
      </c>
      <c r="E6239">
        <v>6.5</v>
      </c>
      <c r="G6239" s="2">
        <v>43487</v>
      </c>
      <c r="H6239">
        <v>6.8259999999999996</v>
      </c>
      <c r="J6239" s="2">
        <v>43494</v>
      </c>
      <c r="K6239" s="3">
        <f t="shared" si="194"/>
        <v>6.5</v>
      </c>
      <c r="L6239" s="3">
        <f t="shared" si="195"/>
        <v>6.8339999999999996</v>
      </c>
    </row>
    <row r="6240" spans="1:12" x14ac:dyDescent="0.3">
      <c r="A6240" s="2">
        <v>42757</v>
      </c>
      <c r="B6240">
        <v>6.46</v>
      </c>
      <c r="D6240" s="2">
        <v>43488</v>
      </c>
      <c r="E6240">
        <v>6.5</v>
      </c>
      <c r="G6240" s="2">
        <v>43488</v>
      </c>
      <c r="H6240">
        <v>6.8310000000000004</v>
      </c>
      <c r="J6240" s="2">
        <v>43495</v>
      </c>
      <c r="K6240" s="3">
        <f t="shared" si="194"/>
        <v>6.5</v>
      </c>
      <c r="L6240" s="3">
        <f t="shared" si="195"/>
        <v>6.8360000000000003</v>
      </c>
    </row>
    <row r="6241" spans="1:12" x14ac:dyDescent="0.3">
      <c r="A6241" s="2">
        <v>42758</v>
      </c>
      <c r="B6241">
        <v>6.46</v>
      </c>
      <c r="D6241" s="2">
        <v>43489</v>
      </c>
      <c r="E6241">
        <v>6.5</v>
      </c>
      <c r="G6241" s="2">
        <v>43489</v>
      </c>
      <c r="H6241">
        <v>6.8230000000000004</v>
      </c>
      <c r="J6241" s="2">
        <v>43496</v>
      </c>
      <c r="K6241" s="3">
        <f t="shared" si="194"/>
        <v>6.5</v>
      </c>
      <c r="L6241" s="3">
        <f t="shared" si="195"/>
        <v>6.7389999999999999</v>
      </c>
    </row>
    <row r="6242" spans="1:12" x14ac:dyDescent="0.3">
      <c r="A6242" s="2">
        <v>42759</v>
      </c>
      <c r="B6242">
        <v>6.46</v>
      </c>
      <c r="D6242" s="2">
        <v>43490</v>
      </c>
      <c r="E6242">
        <v>6.5</v>
      </c>
      <c r="G6242" s="2">
        <v>43490</v>
      </c>
      <c r="H6242">
        <v>6.8239999999999998</v>
      </c>
      <c r="J6242" s="2">
        <v>43497</v>
      </c>
      <c r="K6242" s="3">
        <f t="shared" si="194"/>
        <v>6.5</v>
      </c>
      <c r="L6242" s="3">
        <f t="shared" si="195"/>
        <v>6.782</v>
      </c>
    </row>
    <row r="6243" spans="1:12" x14ac:dyDescent="0.3">
      <c r="A6243" s="2">
        <v>42760</v>
      </c>
      <c r="B6243">
        <v>6.46</v>
      </c>
      <c r="D6243" s="2">
        <v>43491</v>
      </c>
      <c r="E6243">
        <v>6.5</v>
      </c>
      <c r="G6243" s="2">
        <v>43491</v>
      </c>
      <c r="H6243">
        <v>6.8239999999999998</v>
      </c>
      <c r="J6243" s="2">
        <v>43498</v>
      </c>
      <c r="K6243" s="3">
        <f t="shared" si="194"/>
        <v>6.5</v>
      </c>
      <c r="L6243" s="3">
        <f t="shared" si="195"/>
        <v>6.782</v>
      </c>
    </row>
    <row r="6244" spans="1:12" x14ac:dyDescent="0.3">
      <c r="A6244" s="2">
        <v>42761</v>
      </c>
      <c r="B6244">
        <v>6.46</v>
      </c>
      <c r="D6244" s="2">
        <v>43492</v>
      </c>
      <c r="E6244">
        <v>6.5</v>
      </c>
      <c r="G6244" s="2">
        <v>43492</v>
      </c>
      <c r="H6244">
        <v>6.8239999999999998</v>
      </c>
      <c r="J6244" s="2">
        <v>43499</v>
      </c>
      <c r="K6244" s="3">
        <f t="shared" si="194"/>
        <v>6.5</v>
      </c>
      <c r="L6244" s="3">
        <f t="shared" si="195"/>
        <v>6.782</v>
      </c>
    </row>
    <row r="6245" spans="1:12" x14ac:dyDescent="0.3">
      <c r="A6245" s="2">
        <v>42762</v>
      </c>
      <c r="B6245">
        <v>6.46</v>
      </c>
      <c r="D6245" s="2">
        <v>43493</v>
      </c>
      <c r="E6245">
        <v>6.5</v>
      </c>
      <c r="G6245" s="2">
        <v>43493</v>
      </c>
      <c r="H6245">
        <v>6.8330000000000002</v>
      </c>
      <c r="J6245" s="2">
        <v>43500</v>
      </c>
      <c r="K6245" s="3">
        <f t="shared" si="194"/>
        <v>6.5</v>
      </c>
      <c r="L6245" s="3">
        <f t="shared" si="195"/>
        <v>6.827</v>
      </c>
    </row>
    <row r="6246" spans="1:12" x14ac:dyDescent="0.3">
      <c r="A6246" s="2">
        <v>42763</v>
      </c>
      <c r="B6246">
        <v>6.46</v>
      </c>
      <c r="D6246" s="2">
        <v>43494</v>
      </c>
      <c r="E6246">
        <v>6.5</v>
      </c>
      <c r="G6246" s="2">
        <v>43494</v>
      </c>
      <c r="H6246">
        <v>6.8339999999999996</v>
      </c>
      <c r="J6246" s="2">
        <v>43501</v>
      </c>
      <c r="K6246" s="3">
        <f t="shared" si="194"/>
        <v>6.5</v>
      </c>
      <c r="L6246" s="3">
        <f t="shared" si="195"/>
        <v>6.81</v>
      </c>
    </row>
    <row r="6247" spans="1:12" x14ac:dyDescent="0.3">
      <c r="A6247" s="2">
        <v>42764</v>
      </c>
      <c r="B6247">
        <v>6.46</v>
      </c>
      <c r="D6247" s="2">
        <v>43495</v>
      </c>
      <c r="E6247">
        <v>6.5</v>
      </c>
      <c r="G6247" s="2">
        <v>43495</v>
      </c>
      <c r="H6247">
        <v>6.8360000000000003</v>
      </c>
      <c r="J6247" s="2">
        <v>43502</v>
      </c>
      <c r="K6247" s="3">
        <f t="shared" si="194"/>
        <v>6.5</v>
      </c>
      <c r="L6247" s="3">
        <f t="shared" si="195"/>
        <v>6.7830000000000004</v>
      </c>
    </row>
    <row r="6248" spans="1:12" x14ac:dyDescent="0.3">
      <c r="A6248" s="2">
        <v>42765</v>
      </c>
      <c r="B6248">
        <v>6.46</v>
      </c>
      <c r="D6248" s="2">
        <v>43496</v>
      </c>
      <c r="E6248">
        <v>6.5</v>
      </c>
      <c r="G6248" s="2">
        <v>43496</v>
      </c>
      <c r="H6248">
        <v>6.7389999999999999</v>
      </c>
      <c r="J6248" s="2">
        <v>43503</v>
      </c>
      <c r="K6248" s="3">
        <f t="shared" si="194"/>
        <v>6.25</v>
      </c>
      <c r="L6248" s="3">
        <f t="shared" si="195"/>
        <v>6.657</v>
      </c>
    </row>
    <row r="6249" spans="1:12" x14ac:dyDescent="0.3">
      <c r="A6249" s="2">
        <v>42766</v>
      </c>
      <c r="B6249">
        <v>6.46</v>
      </c>
      <c r="D6249" s="2">
        <v>43497</v>
      </c>
      <c r="E6249">
        <v>6.5</v>
      </c>
      <c r="G6249" s="2">
        <v>43497</v>
      </c>
      <c r="H6249">
        <v>6.782</v>
      </c>
      <c r="J6249" s="2">
        <v>43504</v>
      </c>
      <c r="K6249" s="3">
        <f t="shared" si="194"/>
        <v>6.25</v>
      </c>
      <c r="L6249" s="3">
        <f t="shared" si="195"/>
        <v>6.6139999999999999</v>
      </c>
    </row>
    <row r="6250" spans="1:12" x14ac:dyDescent="0.3">
      <c r="A6250" s="2">
        <v>42767</v>
      </c>
      <c r="B6250">
        <v>6.46</v>
      </c>
      <c r="D6250" s="2">
        <v>43498</v>
      </c>
      <c r="E6250">
        <v>6.5</v>
      </c>
      <c r="G6250" s="2">
        <v>43498</v>
      </c>
      <c r="H6250">
        <v>6.782</v>
      </c>
      <c r="J6250" s="2">
        <v>43505</v>
      </c>
      <c r="K6250" s="3">
        <f t="shared" si="194"/>
        <v>6.25</v>
      </c>
      <c r="L6250" s="3">
        <f t="shared" si="195"/>
        <v>6.6139999999999999</v>
      </c>
    </row>
    <row r="6251" spans="1:12" x14ac:dyDescent="0.3">
      <c r="A6251" s="2">
        <v>42768</v>
      </c>
      <c r="B6251">
        <v>6.46</v>
      </c>
      <c r="D6251" s="2">
        <v>43499</v>
      </c>
      <c r="E6251">
        <v>6.5</v>
      </c>
      <c r="G6251" s="2">
        <v>43499</v>
      </c>
      <c r="H6251">
        <v>6.782</v>
      </c>
      <c r="J6251" s="2">
        <v>43506</v>
      </c>
      <c r="K6251" s="3">
        <f t="shared" si="194"/>
        <v>6.25</v>
      </c>
      <c r="L6251" s="3">
        <f t="shared" si="195"/>
        <v>6.6139999999999999</v>
      </c>
    </row>
    <row r="6252" spans="1:12" x14ac:dyDescent="0.3">
      <c r="A6252" s="2">
        <v>42769</v>
      </c>
      <c r="B6252">
        <v>6.46</v>
      </c>
      <c r="D6252" s="2">
        <v>43500</v>
      </c>
      <c r="E6252">
        <v>6.5</v>
      </c>
      <c r="G6252" s="2">
        <v>43500</v>
      </c>
      <c r="H6252">
        <v>6.827</v>
      </c>
      <c r="J6252" s="2">
        <v>43507</v>
      </c>
      <c r="K6252" s="3">
        <f t="shared" si="194"/>
        <v>6.25</v>
      </c>
      <c r="L6252" s="3">
        <f t="shared" si="195"/>
        <v>6.6390000000000002</v>
      </c>
    </row>
    <row r="6253" spans="1:12" x14ac:dyDescent="0.3">
      <c r="A6253" s="2">
        <v>42770</v>
      </c>
      <c r="B6253">
        <v>6.46</v>
      </c>
      <c r="D6253" s="2">
        <v>43501</v>
      </c>
      <c r="E6253">
        <v>6.5</v>
      </c>
      <c r="G6253" s="2">
        <v>43501</v>
      </c>
      <c r="H6253">
        <v>6.81</v>
      </c>
      <c r="J6253" s="2">
        <v>43508</v>
      </c>
      <c r="K6253" s="3">
        <f t="shared" si="194"/>
        <v>6.25</v>
      </c>
      <c r="L6253" s="3">
        <f t="shared" si="195"/>
        <v>6.6349999999999998</v>
      </c>
    </row>
    <row r="6254" spans="1:12" x14ac:dyDescent="0.3">
      <c r="A6254" s="2">
        <v>42771</v>
      </c>
      <c r="B6254">
        <v>6.46</v>
      </c>
      <c r="D6254" s="2">
        <v>43502</v>
      </c>
      <c r="E6254">
        <v>6.5</v>
      </c>
      <c r="G6254" s="2">
        <v>43502</v>
      </c>
      <c r="H6254">
        <v>6.7830000000000004</v>
      </c>
      <c r="J6254" s="2">
        <v>43509</v>
      </c>
      <c r="K6254" s="3">
        <f t="shared" si="194"/>
        <v>6.25</v>
      </c>
      <c r="L6254" s="3">
        <f t="shared" si="195"/>
        <v>6.548</v>
      </c>
    </row>
    <row r="6255" spans="1:12" x14ac:dyDescent="0.3">
      <c r="A6255" s="2">
        <v>42772</v>
      </c>
      <c r="B6255">
        <v>6.46</v>
      </c>
      <c r="D6255" s="2">
        <v>43503</v>
      </c>
      <c r="E6255">
        <v>6.25</v>
      </c>
      <c r="G6255" s="2">
        <v>43503</v>
      </c>
      <c r="H6255">
        <v>6.657</v>
      </c>
      <c r="J6255" s="2">
        <v>43510</v>
      </c>
      <c r="K6255" s="3">
        <f t="shared" si="194"/>
        <v>6.25</v>
      </c>
      <c r="L6255" s="3">
        <f t="shared" si="195"/>
        <v>6.5389999999999997</v>
      </c>
    </row>
    <row r="6256" spans="1:12" x14ac:dyDescent="0.3">
      <c r="A6256" s="2">
        <v>42773</v>
      </c>
      <c r="B6256">
        <v>6.46</v>
      </c>
      <c r="D6256" s="2">
        <v>43504</v>
      </c>
      <c r="E6256">
        <v>6.25</v>
      </c>
      <c r="G6256" s="2">
        <v>43504</v>
      </c>
      <c r="H6256">
        <v>6.6139999999999999</v>
      </c>
      <c r="J6256" s="2">
        <v>43511</v>
      </c>
      <c r="K6256" s="3">
        <f t="shared" si="194"/>
        <v>6.25</v>
      </c>
      <c r="L6256" s="3">
        <f t="shared" si="195"/>
        <v>6.548</v>
      </c>
    </row>
    <row r="6257" spans="1:12" x14ac:dyDescent="0.3">
      <c r="A6257" s="2">
        <v>42774</v>
      </c>
      <c r="B6257">
        <v>6.46</v>
      </c>
      <c r="D6257" s="2">
        <v>43505</v>
      </c>
      <c r="E6257">
        <v>6.25</v>
      </c>
      <c r="G6257" s="2">
        <v>43505</v>
      </c>
      <c r="H6257">
        <v>6.6139999999999999</v>
      </c>
      <c r="J6257" s="2">
        <v>43512</v>
      </c>
      <c r="K6257" s="3">
        <f t="shared" si="194"/>
        <v>6.25</v>
      </c>
      <c r="L6257" s="3">
        <f t="shared" si="195"/>
        <v>6.548</v>
      </c>
    </row>
    <row r="6258" spans="1:12" x14ac:dyDescent="0.3">
      <c r="A6258" s="2">
        <v>42775</v>
      </c>
      <c r="B6258">
        <v>6.46</v>
      </c>
      <c r="D6258" s="2">
        <v>43506</v>
      </c>
      <c r="E6258">
        <v>6.25</v>
      </c>
      <c r="G6258" s="2">
        <v>43506</v>
      </c>
      <c r="H6258">
        <v>6.6139999999999999</v>
      </c>
      <c r="J6258" s="2">
        <v>43513</v>
      </c>
      <c r="K6258" s="3">
        <f t="shared" si="194"/>
        <v>6.25</v>
      </c>
      <c r="L6258" s="3">
        <f t="shared" si="195"/>
        <v>6.548</v>
      </c>
    </row>
    <row r="6259" spans="1:12" x14ac:dyDescent="0.3">
      <c r="A6259" s="2">
        <v>42776</v>
      </c>
      <c r="B6259">
        <v>6.46</v>
      </c>
      <c r="D6259" s="2">
        <v>43507</v>
      </c>
      <c r="E6259">
        <v>6.25</v>
      </c>
      <c r="G6259" s="2">
        <v>43507</v>
      </c>
      <c r="H6259">
        <v>6.6390000000000002</v>
      </c>
      <c r="J6259" s="2">
        <v>43514</v>
      </c>
      <c r="K6259" s="3">
        <f t="shared" si="194"/>
        <v>6.25</v>
      </c>
      <c r="L6259" s="3">
        <f t="shared" si="195"/>
        <v>6.5640000000000001</v>
      </c>
    </row>
    <row r="6260" spans="1:12" x14ac:dyDescent="0.3">
      <c r="A6260" s="2">
        <v>42777</v>
      </c>
      <c r="B6260">
        <v>6.46</v>
      </c>
      <c r="D6260" s="2">
        <v>43508</v>
      </c>
      <c r="E6260">
        <v>6.25</v>
      </c>
      <c r="G6260" s="2">
        <v>43508</v>
      </c>
      <c r="H6260">
        <v>6.6349999999999998</v>
      </c>
      <c r="J6260" s="2">
        <v>43515</v>
      </c>
      <c r="K6260" s="3">
        <f t="shared" si="194"/>
        <v>6.25</v>
      </c>
      <c r="L6260" s="3">
        <f t="shared" si="195"/>
        <v>6.5640000000000001</v>
      </c>
    </row>
    <row r="6261" spans="1:12" x14ac:dyDescent="0.3">
      <c r="A6261" s="2">
        <v>42778</v>
      </c>
      <c r="B6261">
        <v>6.46</v>
      </c>
      <c r="D6261" s="2">
        <v>43509</v>
      </c>
      <c r="E6261">
        <v>6.25</v>
      </c>
      <c r="G6261" s="2">
        <v>43509</v>
      </c>
      <c r="H6261">
        <v>6.548</v>
      </c>
      <c r="J6261" s="2">
        <v>43516</v>
      </c>
      <c r="K6261" s="3">
        <f t="shared" si="194"/>
        <v>6.25</v>
      </c>
      <c r="L6261" s="3">
        <f t="shared" si="195"/>
        <v>6.5750000000000002</v>
      </c>
    </row>
    <row r="6262" spans="1:12" x14ac:dyDescent="0.3">
      <c r="A6262" s="2">
        <v>42779</v>
      </c>
      <c r="B6262">
        <v>6.46</v>
      </c>
      <c r="D6262" s="2">
        <v>43510</v>
      </c>
      <c r="E6262">
        <v>6.25</v>
      </c>
      <c r="G6262" s="2">
        <v>43510</v>
      </c>
      <c r="H6262">
        <v>6.5389999999999997</v>
      </c>
      <c r="J6262" s="2">
        <v>43517</v>
      </c>
      <c r="K6262" s="3">
        <f t="shared" si="194"/>
        <v>6.25</v>
      </c>
      <c r="L6262" s="3">
        <f t="shared" si="195"/>
        <v>6.5750000000000002</v>
      </c>
    </row>
    <row r="6263" spans="1:12" x14ac:dyDescent="0.3">
      <c r="A6263" s="2">
        <v>42780</v>
      </c>
      <c r="B6263">
        <v>6.46</v>
      </c>
      <c r="D6263" s="2">
        <v>43511</v>
      </c>
      <c r="E6263">
        <v>6.25</v>
      </c>
      <c r="G6263" s="2">
        <v>43511</v>
      </c>
      <c r="H6263">
        <v>6.548</v>
      </c>
      <c r="J6263" s="2">
        <v>43518</v>
      </c>
      <c r="K6263" s="3">
        <f t="shared" si="194"/>
        <v>6.25</v>
      </c>
      <c r="L6263" s="3">
        <f t="shared" si="195"/>
        <v>6.5659999999999998</v>
      </c>
    </row>
    <row r="6264" spans="1:12" x14ac:dyDescent="0.3">
      <c r="A6264" s="2">
        <v>42781</v>
      </c>
      <c r="B6264">
        <v>6.46</v>
      </c>
      <c r="D6264" s="2">
        <v>43512</v>
      </c>
      <c r="E6264">
        <v>6.25</v>
      </c>
      <c r="G6264" s="2">
        <v>43512</v>
      </c>
      <c r="H6264">
        <v>6.548</v>
      </c>
      <c r="J6264" s="2">
        <v>43519</v>
      </c>
      <c r="K6264" s="3">
        <f t="shared" si="194"/>
        <v>6.25</v>
      </c>
      <c r="L6264" s="3">
        <f t="shared" si="195"/>
        <v>6.5659999999999998</v>
      </c>
    </row>
    <row r="6265" spans="1:12" x14ac:dyDescent="0.3">
      <c r="A6265" s="2">
        <v>42782</v>
      </c>
      <c r="B6265">
        <v>6.46</v>
      </c>
      <c r="D6265" s="2">
        <v>43513</v>
      </c>
      <c r="E6265">
        <v>6.25</v>
      </c>
      <c r="G6265" s="2">
        <v>43513</v>
      </c>
      <c r="H6265">
        <v>6.548</v>
      </c>
      <c r="J6265" s="2">
        <v>43520</v>
      </c>
      <c r="K6265" s="3">
        <f t="shared" si="194"/>
        <v>6.25</v>
      </c>
      <c r="L6265" s="3">
        <f t="shared" si="195"/>
        <v>6.5659999999999998</v>
      </c>
    </row>
    <row r="6266" spans="1:12" x14ac:dyDescent="0.3">
      <c r="A6266" s="2">
        <v>42783</v>
      </c>
      <c r="B6266">
        <v>6.46</v>
      </c>
      <c r="D6266" s="2">
        <v>43514</v>
      </c>
      <c r="E6266">
        <v>6.25</v>
      </c>
      <c r="G6266" s="2">
        <v>43514</v>
      </c>
      <c r="H6266">
        <v>6.5640000000000001</v>
      </c>
      <c r="J6266" s="2">
        <v>43521</v>
      </c>
      <c r="K6266" s="3">
        <f t="shared" si="194"/>
        <v>6.25</v>
      </c>
      <c r="L6266" s="3">
        <f t="shared" si="195"/>
        <v>6.57</v>
      </c>
    </row>
    <row r="6267" spans="1:12" x14ac:dyDescent="0.3">
      <c r="A6267" s="2">
        <v>42784</v>
      </c>
      <c r="B6267">
        <v>6.46</v>
      </c>
      <c r="D6267" s="2">
        <v>43515</v>
      </c>
      <c r="E6267">
        <v>6.25</v>
      </c>
      <c r="G6267" s="2">
        <v>43515</v>
      </c>
      <c r="H6267">
        <v>6.5640000000000001</v>
      </c>
      <c r="J6267" s="2">
        <v>43522</v>
      </c>
      <c r="K6267" s="3">
        <f t="shared" si="194"/>
        <v>6.25</v>
      </c>
      <c r="L6267" s="3">
        <f t="shared" si="195"/>
        <v>6.5650000000000004</v>
      </c>
    </row>
    <row r="6268" spans="1:12" x14ac:dyDescent="0.3">
      <c r="A6268" s="2">
        <v>42785</v>
      </c>
      <c r="B6268">
        <v>6.46</v>
      </c>
      <c r="D6268" s="2">
        <v>43516</v>
      </c>
      <c r="E6268">
        <v>6.25</v>
      </c>
      <c r="G6268" s="2">
        <v>43516</v>
      </c>
      <c r="H6268">
        <v>6.5750000000000002</v>
      </c>
      <c r="J6268" s="2">
        <v>43523</v>
      </c>
      <c r="K6268" s="3">
        <f t="shared" si="194"/>
        <v>6.25</v>
      </c>
      <c r="L6268" s="3">
        <f t="shared" si="195"/>
        <v>6.5940000000000003</v>
      </c>
    </row>
    <row r="6269" spans="1:12" x14ac:dyDescent="0.3">
      <c r="A6269" s="2">
        <v>42786</v>
      </c>
      <c r="B6269">
        <v>6.46</v>
      </c>
      <c r="D6269" s="2">
        <v>43517</v>
      </c>
      <c r="E6269">
        <v>6.25</v>
      </c>
      <c r="G6269" s="2">
        <v>43517</v>
      </c>
      <c r="H6269">
        <v>6.5750000000000002</v>
      </c>
      <c r="J6269" s="2">
        <v>43524</v>
      </c>
      <c r="K6269" s="3">
        <f t="shared" si="194"/>
        <v>6.25</v>
      </c>
      <c r="L6269" s="3">
        <f t="shared" si="195"/>
        <v>6.57</v>
      </c>
    </row>
    <row r="6270" spans="1:12" x14ac:dyDescent="0.3">
      <c r="A6270" s="2">
        <v>42787</v>
      </c>
      <c r="B6270">
        <v>6.46</v>
      </c>
      <c r="D6270" s="2">
        <v>43518</v>
      </c>
      <c r="E6270">
        <v>6.25</v>
      </c>
      <c r="G6270" s="2">
        <v>43518</v>
      </c>
      <c r="H6270">
        <v>6.5659999999999998</v>
      </c>
      <c r="J6270" s="2">
        <v>43525</v>
      </c>
      <c r="K6270" s="3">
        <f t="shared" si="194"/>
        <v>6.25</v>
      </c>
      <c r="L6270" s="3">
        <f t="shared" si="195"/>
        <v>6.57</v>
      </c>
    </row>
    <row r="6271" spans="1:12" x14ac:dyDescent="0.3">
      <c r="A6271" s="2">
        <v>42788</v>
      </c>
      <c r="B6271">
        <v>6.46</v>
      </c>
      <c r="D6271" s="2">
        <v>43519</v>
      </c>
      <c r="E6271">
        <v>6.25</v>
      </c>
      <c r="G6271" s="2">
        <v>43519</v>
      </c>
      <c r="H6271">
        <v>6.5659999999999998</v>
      </c>
      <c r="J6271" s="2">
        <v>43526</v>
      </c>
      <c r="K6271" s="3">
        <f t="shared" si="194"/>
        <v>6.25</v>
      </c>
      <c r="L6271" s="3">
        <f t="shared" si="195"/>
        <v>6.57</v>
      </c>
    </row>
    <row r="6272" spans="1:12" x14ac:dyDescent="0.3">
      <c r="A6272" s="2">
        <v>42789</v>
      </c>
      <c r="B6272">
        <v>6.46</v>
      </c>
      <c r="D6272" s="2">
        <v>43520</v>
      </c>
      <c r="E6272">
        <v>6.25</v>
      </c>
      <c r="G6272" s="2">
        <v>43520</v>
      </c>
      <c r="H6272">
        <v>6.5659999999999998</v>
      </c>
      <c r="J6272" s="2">
        <v>43527</v>
      </c>
      <c r="K6272" s="3">
        <f t="shared" si="194"/>
        <v>6.25</v>
      </c>
      <c r="L6272" s="3">
        <f t="shared" si="195"/>
        <v>6.57</v>
      </c>
    </row>
    <row r="6273" spans="1:12" x14ac:dyDescent="0.3">
      <c r="A6273" s="2">
        <v>42790</v>
      </c>
      <c r="B6273">
        <v>6.46</v>
      </c>
      <c r="D6273" s="2">
        <v>43521</v>
      </c>
      <c r="E6273">
        <v>6.25</v>
      </c>
      <c r="G6273" s="2">
        <v>43521</v>
      </c>
      <c r="H6273">
        <v>6.57</v>
      </c>
      <c r="J6273" s="2">
        <v>43528</v>
      </c>
      <c r="K6273" s="3">
        <f t="shared" si="194"/>
        <v>6.25</v>
      </c>
      <c r="L6273" s="3">
        <f t="shared" si="195"/>
        <v>6.57</v>
      </c>
    </row>
    <row r="6274" spans="1:12" x14ac:dyDescent="0.3">
      <c r="A6274" s="2">
        <v>42791</v>
      </c>
      <c r="B6274">
        <v>6.46</v>
      </c>
      <c r="D6274" s="2">
        <v>43522</v>
      </c>
      <c r="E6274">
        <v>6.25</v>
      </c>
      <c r="G6274" s="2">
        <v>43522</v>
      </c>
      <c r="H6274">
        <v>6.5650000000000004</v>
      </c>
      <c r="J6274" s="2">
        <v>43529</v>
      </c>
      <c r="K6274" s="3">
        <f t="shared" si="194"/>
        <v>6.25</v>
      </c>
      <c r="L6274" s="3">
        <f t="shared" si="195"/>
        <v>6.5650000000000004</v>
      </c>
    </row>
    <row r="6275" spans="1:12" x14ac:dyDescent="0.3">
      <c r="A6275" s="2">
        <v>42792</v>
      </c>
      <c r="B6275">
        <v>6.46</v>
      </c>
      <c r="D6275" s="2">
        <v>43523</v>
      </c>
      <c r="E6275">
        <v>6.25</v>
      </c>
      <c r="G6275" s="2">
        <v>43523</v>
      </c>
      <c r="H6275">
        <v>6.5940000000000003</v>
      </c>
      <c r="J6275" s="2">
        <v>43530</v>
      </c>
      <c r="K6275" s="3">
        <f t="shared" ref="K6275:K6338" si="196">E6282</f>
        <v>6.25</v>
      </c>
      <c r="L6275" s="3">
        <f t="shared" ref="L6275:L6338" si="197">H6282</f>
        <v>6.5750000000000002</v>
      </c>
    </row>
    <row r="6276" spans="1:12" x14ac:dyDescent="0.3">
      <c r="A6276" s="2">
        <v>42793</v>
      </c>
      <c r="B6276">
        <v>6.46</v>
      </c>
      <c r="D6276" s="2">
        <v>43524</v>
      </c>
      <c r="E6276">
        <v>6.25</v>
      </c>
      <c r="G6276" s="2">
        <v>43524</v>
      </c>
      <c r="H6276">
        <v>6.57</v>
      </c>
      <c r="J6276" s="2">
        <v>43531</v>
      </c>
      <c r="K6276" s="3">
        <f t="shared" si="196"/>
        <v>6.25</v>
      </c>
      <c r="L6276" s="3">
        <f t="shared" si="197"/>
        <v>6.5839999999999996</v>
      </c>
    </row>
    <row r="6277" spans="1:12" x14ac:dyDescent="0.3">
      <c r="A6277" s="2">
        <v>42794</v>
      </c>
      <c r="B6277">
        <v>6.46</v>
      </c>
      <c r="D6277" s="2">
        <v>43525</v>
      </c>
      <c r="E6277">
        <v>6.25</v>
      </c>
      <c r="G6277" s="2">
        <v>43525</v>
      </c>
      <c r="H6277">
        <v>6.57</v>
      </c>
      <c r="J6277" s="2">
        <v>43532</v>
      </c>
      <c r="K6277" s="3">
        <f t="shared" si="196"/>
        <v>6.25</v>
      </c>
      <c r="L6277" s="3">
        <f t="shared" si="197"/>
        <v>6.5579999999999998</v>
      </c>
    </row>
    <row r="6278" spans="1:12" x14ac:dyDescent="0.3">
      <c r="A6278" s="2">
        <v>42795</v>
      </c>
      <c r="B6278">
        <v>6.46</v>
      </c>
      <c r="D6278" s="2">
        <v>43526</v>
      </c>
      <c r="E6278">
        <v>6.25</v>
      </c>
      <c r="G6278" s="2">
        <v>43526</v>
      </c>
      <c r="H6278">
        <v>6.57</v>
      </c>
      <c r="J6278" s="2">
        <v>43533</v>
      </c>
      <c r="K6278" s="3">
        <f t="shared" si="196"/>
        <v>6.25</v>
      </c>
      <c r="L6278" s="3">
        <f t="shared" si="197"/>
        <v>6.5579999999999998</v>
      </c>
    </row>
    <row r="6279" spans="1:12" x14ac:dyDescent="0.3">
      <c r="A6279" s="2">
        <v>42796</v>
      </c>
      <c r="B6279">
        <v>6.46</v>
      </c>
      <c r="D6279" s="2">
        <v>43527</v>
      </c>
      <c r="E6279">
        <v>6.25</v>
      </c>
      <c r="G6279" s="2">
        <v>43527</v>
      </c>
      <c r="H6279">
        <v>6.57</v>
      </c>
      <c r="J6279" s="2">
        <v>43534</v>
      </c>
      <c r="K6279" s="3">
        <f t="shared" si="196"/>
        <v>6.25</v>
      </c>
      <c r="L6279" s="3">
        <f t="shared" si="197"/>
        <v>6.5579999999999998</v>
      </c>
    </row>
    <row r="6280" spans="1:12" x14ac:dyDescent="0.3">
      <c r="A6280" s="2">
        <v>42797</v>
      </c>
      <c r="B6280">
        <v>6.46</v>
      </c>
      <c r="D6280" s="2">
        <v>43528</v>
      </c>
      <c r="E6280">
        <v>6.25</v>
      </c>
      <c r="G6280" s="2">
        <v>43528</v>
      </c>
      <c r="H6280">
        <v>6.57</v>
      </c>
      <c r="J6280" s="2">
        <v>43535</v>
      </c>
      <c r="K6280" s="3">
        <f t="shared" si="196"/>
        <v>6.25</v>
      </c>
      <c r="L6280" s="3">
        <f t="shared" si="197"/>
        <v>6.5449999999999999</v>
      </c>
    </row>
    <row r="6281" spans="1:12" x14ac:dyDescent="0.3">
      <c r="A6281" s="2">
        <v>42798</v>
      </c>
      <c r="B6281">
        <v>6.46</v>
      </c>
      <c r="D6281" s="2">
        <v>43529</v>
      </c>
      <c r="E6281">
        <v>6.25</v>
      </c>
      <c r="G6281" s="2">
        <v>43529</v>
      </c>
      <c r="H6281">
        <v>6.5650000000000004</v>
      </c>
      <c r="J6281" s="2">
        <v>43536</v>
      </c>
      <c r="K6281" s="3">
        <f t="shared" si="196"/>
        <v>6.25</v>
      </c>
      <c r="L6281" s="3">
        <f t="shared" si="197"/>
        <v>6.55</v>
      </c>
    </row>
    <row r="6282" spans="1:12" x14ac:dyDescent="0.3">
      <c r="A6282" s="2">
        <v>42799</v>
      </c>
      <c r="B6282">
        <v>6.46</v>
      </c>
      <c r="D6282" s="2">
        <v>43530</v>
      </c>
      <c r="E6282">
        <v>6.25</v>
      </c>
      <c r="G6282" s="2">
        <v>43530</v>
      </c>
      <c r="H6282">
        <v>6.5750000000000002</v>
      </c>
      <c r="J6282" s="2">
        <v>43537</v>
      </c>
      <c r="K6282" s="3">
        <f t="shared" si="196"/>
        <v>6.25</v>
      </c>
      <c r="L6282" s="3">
        <f t="shared" si="197"/>
        <v>6.56</v>
      </c>
    </row>
    <row r="6283" spans="1:12" x14ac:dyDescent="0.3">
      <c r="A6283" s="2">
        <v>42800</v>
      </c>
      <c r="B6283">
        <v>6.46</v>
      </c>
      <c r="D6283" s="2">
        <v>43531</v>
      </c>
      <c r="E6283">
        <v>6.25</v>
      </c>
      <c r="G6283" s="2">
        <v>43531</v>
      </c>
      <c r="H6283">
        <v>6.5839999999999996</v>
      </c>
      <c r="J6283" s="2">
        <v>43538</v>
      </c>
      <c r="K6283" s="3">
        <f t="shared" si="196"/>
        <v>6.25</v>
      </c>
      <c r="L6283" s="3">
        <f t="shared" si="197"/>
        <v>6.5350000000000001</v>
      </c>
    </row>
    <row r="6284" spans="1:12" x14ac:dyDescent="0.3">
      <c r="A6284" s="2">
        <v>42801</v>
      </c>
      <c r="B6284">
        <v>6.46</v>
      </c>
      <c r="D6284" s="2">
        <v>43532</v>
      </c>
      <c r="E6284">
        <v>6.25</v>
      </c>
      <c r="G6284" s="2">
        <v>43532</v>
      </c>
      <c r="H6284">
        <v>6.5579999999999998</v>
      </c>
      <c r="J6284" s="2">
        <v>43539</v>
      </c>
      <c r="K6284" s="3">
        <f t="shared" si="196"/>
        <v>6.25</v>
      </c>
      <c r="L6284" s="3">
        <f t="shared" si="197"/>
        <v>6.5149999999999997</v>
      </c>
    </row>
    <row r="6285" spans="1:12" x14ac:dyDescent="0.3">
      <c r="A6285" s="2">
        <v>42802</v>
      </c>
      <c r="B6285">
        <v>6.46</v>
      </c>
      <c r="D6285" s="2">
        <v>43533</v>
      </c>
      <c r="E6285">
        <v>6.25</v>
      </c>
      <c r="G6285" s="2">
        <v>43533</v>
      </c>
      <c r="H6285">
        <v>6.5579999999999998</v>
      </c>
      <c r="J6285" s="2">
        <v>43540</v>
      </c>
      <c r="K6285" s="3">
        <f t="shared" si="196"/>
        <v>6.25</v>
      </c>
      <c r="L6285" s="3">
        <f t="shared" si="197"/>
        <v>6.5149999999999997</v>
      </c>
    </row>
    <row r="6286" spans="1:12" x14ac:dyDescent="0.3">
      <c r="A6286" s="2">
        <v>42803</v>
      </c>
      <c r="B6286">
        <v>6.46</v>
      </c>
      <c r="D6286" s="2">
        <v>43534</v>
      </c>
      <c r="E6286">
        <v>6.25</v>
      </c>
      <c r="G6286" s="2">
        <v>43534</v>
      </c>
      <c r="H6286">
        <v>6.5579999999999998</v>
      </c>
      <c r="J6286" s="2">
        <v>43541</v>
      </c>
      <c r="K6286" s="3">
        <f t="shared" si="196"/>
        <v>6.25</v>
      </c>
      <c r="L6286" s="3">
        <f t="shared" si="197"/>
        <v>6.5149999999999997</v>
      </c>
    </row>
    <row r="6287" spans="1:12" x14ac:dyDescent="0.3">
      <c r="A6287" s="2">
        <v>42804</v>
      </c>
      <c r="B6287">
        <v>6.46</v>
      </c>
      <c r="D6287" s="2">
        <v>43535</v>
      </c>
      <c r="E6287">
        <v>6.25</v>
      </c>
      <c r="G6287" s="2">
        <v>43535</v>
      </c>
      <c r="H6287">
        <v>6.5449999999999999</v>
      </c>
      <c r="J6287" s="2">
        <v>43542</v>
      </c>
      <c r="K6287" s="3">
        <f t="shared" si="196"/>
        <v>6.25</v>
      </c>
      <c r="L6287" s="3">
        <f t="shared" si="197"/>
        <v>6.5250000000000004</v>
      </c>
    </row>
    <row r="6288" spans="1:12" x14ac:dyDescent="0.3">
      <c r="A6288" s="2">
        <v>42805</v>
      </c>
      <c r="B6288">
        <v>6.46</v>
      </c>
      <c r="D6288" s="2">
        <v>43536</v>
      </c>
      <c r="E6288">
        <v>6.25</v>
      </c>
      <c r="G6288" s="2">
        <v>43536</v>
      </c>
      <c r="H6288">
        <v>6.55</v>
      </c>
      <c r="J6288" s="2">
        <v>43543</v>
      </c>
      <c r="K6288" s="3">
        <f t="shared" si="196"/>
        <v>6.25</v>
      </c>
      <c r="L6288" s="3">
        <f t="shared" si="197"/>
        <v>6.5250000000000004</v>
      </c>
    </row>
    <row r="6289" spans="1:12" x14ac:dyDescent="0.3">
      <c r="A6289" s="2">
        <v>42806</v>
      </c>
      <c r="B6289">
        <v>6.46</v>
      </c>
      <c r="D6289" s="2">
        <v>43537</v>
      </c>
      <c r="E6289">
        <v>6.25</v>
      </c>
      <c r="G6289" s="2">
        <v>43537</v>
      </c>
      <c r="H6289">
        <v>6.56</v>
      </c>
      <c r="J6289" s="2">
        <v>43544</v>
      </c>
      <c r="K6289" s="3">
        <f t="shared" si="196"/>
        <v>6.25</v>
      </c>
      <c r="L6289" s="3">
        <f t="shared" si="197"/>
        <v>6.5149999999999997</v>
      </c>
    </row>
    <row r="6290" spans="1:12" x14ac:dyDescent="0.3">
      <c r="A6290" s="2">
        <v>42807</v>
      </c>
      <c r="B6290">
        <v>6.46</v>
      </c>
      <c r="D6290" s="2">
        <v>43538</v>
      </c>
      <c r="E6290">
        <v>6.25</v>
      </c>
      <c r="G6290" s="2">
        <v>43538</v>
      </c>
      <c r="H6290">
        <v>6.5350000000000001</v>
      </c>
      <c r="J6290" s="2">
        <v>43545</v>
      </c>
      <c r="K6290" s="3">
        <f t="shared" si="196"/>
        <v>6.25</v>
      </c>
      <c r="L6290" s="3">
        <f t="shared" si="197"/>
        <v>6.5149999999999997</v>
      </c>
    </row>
    <row r="6291" spans="1:12" x14ac:dyDescent="0.3">
      <c r="A6291" s="2">
        <v>42808</v>
      </c>
      <c r="B6291">
        <v>6.46</v>
      </c>
      <c r="D6291" s="2">
        <v>43539</v>
      </c>
      <c r="E6291">
        <v>6.25</v>
      </c>
      <c r="G6291" s="2">
        <v>43539</v>
      </c>
      <c r="H6291">
        <v>6.5149999999999997</v>
      </c>
      <c r="J6291" s="2">
        <v>43546</v>
      </c>
      <c r="K6291" s="3">
        <f t="shared" si="196"/>
        <v>6.25</v>
      </c>
      <c r="L6291" s="3">
        <f t="shared" si="197"/>
        <v>6.5270000000000001</v>
      </c>
    </row>
    <row r="6292" spans="1:12" x14ac:dyDescent="0.3">
      <c r="A6292" s="2">
        <v>42809</v>
      </c>
      <c r="B6292">
        <v>6.46</v>
      </c>
      <c r="D6292" s="2">
        <v>43540</v>
      </c>
      <c r="E6292">
        <v>6.25</v>
      </c>
      <c r="G6292" s="2">
        <v>43540</v>
      </c>
      <c r="H6292">
        <v>6.5149999999999997</v>
      </c>
      <c r="J6292" s="2">
        <v>43547</v>
      </c>
      <c r="K6292" s="3">
        <f t="shared" si="196"/>
        <v>6.25</v>
      </c>
      <c r="L6292" s="3">
        <f t="shared" si="197"/>
        <v>6.5270000000000001</v>
      </c>
    </row>
    <row r="6293" spans="1:12" x14ac:dyDescent="0.3">
      <c r="A6293" s="2">
        <v>42810</v>
      </c>
      <c r="B6293">
        <v>6.46</v>
      </c>
      <c r="D6293" s="2">
        <v>43541</v>
      </c>
      <c r="E6293">
        <v>6.25</v>
      </c>
      <c r="G6293" s="2">
        <v>43541</v>
      </c>
      <c r="H6293">
        <v>6.5149999999999997</v>
      </c>
      <c r="J6293" s="2">
        <v>43548</v>
      </c>
      <c r="K6293" s="3">
        <f t="shared" si="196"/>
        <v>6.25</v>
      </c>
      <c r="L6293" s="3">
        <f t="shared" si="197"/>
        <v>6.5270000000000001</v>
      </c>
    </row>
    <row r="6294" spans="1:12" x14ac:dyDescent="0.3">
      <c r="A6294" s="2">
        <v>42811</v>
      </c>
      <c r="B6294">
        <v>6.46</v>
      </c>
      <c r="D6294" s="2">
        <v>43542</v>
      </c>
      <c r="E6294">
        <v>6.25</v>
      </c>
      <c r="G6294" s="2">
        <v>43542</v>
      </c>
      <c r="H6294">
        <v>6.5250000000000004</v>
      </c>
      <c r="J6294" s="2">
        <v>43549</v>
      </c>
      <c r="K6294" s="3">
        <f t="shared" si="196"/>
        <v>6.25</v>
      </c>
      <c r="L6294" s="3">
        <f t="shared" si="197"/>
        <v>6.51</v>
      </c>
    </row>
    <row r="6295" spans="1:12" x14ac:dyDescent="0.3">
      <c r="A6295" s="2">
        <v>42812</v>
      </c>
      <c r="B6295">
        <v>6.46</v>
      </c>
      <c r="D6295" s="2">
        <v>43543</v>
      </c>
      <c r="E6295">
        <v>6.25</v>
      </c>
      <c r="G6295" s="2">
        <v>43543</v>
      </c>
      <c r="H6295">
        <v>6.5250000000000004</v>
      </c>
      <c r="J6295" s="2">
        <v>43550</v>
      </c>
      <c r="K6295" s="3">
        <f t="shared" si="196"/>
        <v>6.25</v>
      </c>
      <c r="L6295" s="3">
        <f t="shared" si="197"/>
        <v>6.5170000000000003</v>
      </c>
    </row>
    <row r="6296" spans="1:12" x14ac:dyDescent="0.3">
      <c r="A6296" s="2">
        <v>42813</v>
      </c>
      <c r="B6296">
        <v>6.46</v>
      </c>
      <c r="D6296" s="2">
        <v>43544</v>
      </c>
      <c r="E6296">
        <v>6.25</v>
      </c>
      <c r="G6296" s="2">
        <v>43544</v>
      </c>
      <c r="H6296">
        <v>6.5149999999999997</v>
      </c>
      <c r="J6296" s="2">
        <v>43551</v>
      </c>
      <c r="K6296" s="3">
        <f t="shared" si="196"/>
        <v>6.25</v>
      </c>
      <c r="L6296" s="3">
        <f t="shared" si="197"/>
        <v>6.5250000000000004</v>
      </c>
    </row>
    <row r="6297" spans="1:12" x14ac:dyDescent="0.3">
      <c r="A6297" s="2">
        <v>42814</v>
      </c>
      <c r="B6297">
        <v>6.46</v>
      </c>
      <c r="D6297" s="2">
        <v>43545</v>
      </c>
      <c r="E6297">
        <v>6.25</v>
      </c>
      <c r="G6297" s="2">
        <v>43545</v>
      </c>
      <c r="H6297">
        <v>6.5149999999999997</v>
      </c>
      <c r="J6297" s="2">
        <v>43552</v>
      </c>
      <c r="K6297" s="3">
        <f t="shared" si="196"/>
        <v>6.25</v>
      </c>
      <c r="L6297" s="3">
        <f t="shared" si="197"/>
        <v>6.5190000000000001</v>
      </c>
    </row>
    <row r="6298" spans="1:12" x14ac:dyDescent="0.3">
      <c r="A6298" s="2">
        <v>42815</v>
      </c>
      <c r="B6298">
        <v>6.46</v>
      </c>
      <c r="D6298" s="2">
        <v>43546</v>
      </c>
      <c r="E6298">
        <v>6.25</v>
      </c>
      <c r="G6298" s="2">
        <v>43546</v>
      </c>
      <c r="H6298">
        <v>6.5270000000000001</v>
      </c>
      <c r="J6298" s="2">
        <v>43553</v>
      </c>
      <c r="K6298" s="3">
        <f t="shared" si="196"/>
        <v>6.25</v>
      </c>
      <c r="L6298" s="3">
        <f t="shared" si="197"/>
        <v>6.4320000000000004</v>
      </c>
    </row>
    <row r="6299" spans="1:12" x14ac:dyDescent="0.3">
      <c r="A6299" s="2">
        <v>42816</v>
      </c>
      <c r="B6299">
        <v>6.46</v>
      </c>
      <c r="D6299" s="2">
        <v>43547</v>
      </c>
      <c r="E6299">
        <v>6.25</v>
      </c>
      <c r="G6299" s="2">
        <v>43547</v>
      </c>
      <c r="H6299">
        <v>6.5270000000000001</v>
      </c>
      <c r="J6299" s="2">
        <v>43554</v>
      </c>
      <c r="K6299" s="3">
        <f t="shared" si="196"/>
        <v>6.25</v>
      </c>
      <c r="L6299" s="3">
        <f t="shared" si="197"/>
        <v>6.4320000000000004</v>
      </c>
    </row>
    <row r="6300" spans="1:12" x14ac:dyDescent="0.3">
      <c r="A6300" s="2">
        <v>42817</v>
      </c>
      <c r="B6300">
        <v>6.46</v>
      </c>
      <c r="D6300" s="2">
        <v>43548</v>
      </c>
      <c r="E6300">
        <v>6.25</v>
      </c>
      <c r="G6300" s="2">
        <v>43548</v>
      </c>
      <c r="H6300">
        <v>6.5270000000000001</v>
      </c>
      <c r="J6300" s="2">
        <v>43555</v>
      </c>
      <c r="K6300" s="3">
        <f t="shared" si="196"/>
        <v>6.25</v>
      </c>
      <c r="L6300" s="3">
        <f t="shared" si="197"/>
        <v>6.4320000000000004</v>
      </c>
    </row>
    <row r="6301" spans="1:12" x14ac:dyDescent="0.3">
      <c r="A6301" s="2">
        <v>42818</v>
      </c>
      <c r="B6301">
        <v>6.46</v>
      </c>
      <c r="D6301" s="2">
        <v>43549</v>
      </c>
      <c r="E6301">
        <v>6.25</v>
      </c>
      <c r="G6301" s="2">
        <v>43549</v>
      </c>
      <c r="H6301">
        <v>6.51</v>
      </c>
      <c r="J6301" s="2">
        <v>43556</v>
      </c>
      <c r="K6301" s="3">
        <f t="shared" si="196"/>
        <v>6.25</v>
      </c>
      <c r="L6301" s="3">
        <f t="shared" si="197"/>
        <v>6.4320000000000004</v>
      </c>
    </row>
    <row r="6302" spans="1:12" x14ac:dyDescent="0.3">
      <c r="A6302" s="2">
        <v>42819</v>
      </c>
      <c r="B6302">
        <v>6.46</v>
      </c>
      <c r="D6302" s="2">
        <v>43550</v>
      </c>
      <c r="E6302">
        <v>6.25</v>
      </c>
      <c r="G6302" s="2">
        <v>43550</v>
      </c>
      <c r="H6302">
        <v>6.5170000000000003</v>
      </c>
      <c r="J6302" s="2">
        <v>43557</v>
      </c>
      <c r="K6302" s="3">
        <f t="shared" si="196"/>
        <v>6.25</v>
      </c>
      <c r="L6302" s="3">
        <f t="shared" si="197"/>
        <v>6.3959999999999999</v>
      </c>
    </row>
    <row r="6303" spans="1:12" x14ac:dyDescent="0.3">
      <c r="A6303" s="2">
        <v>42820</v>
      </c>
      <c r="B6303">
        <v>6.46</v>
      </c>
      <c r="D6303" s="2">
        <v>43551</v>
      </c>
      <c r="E6303">
        <v>6.25</v>
      </c>
      <c r="G6303" s="2">
        <v>43551</v>
      </c>
      <c r="H6303">
        <v>6.5250000000000004</v>
      </c>
      <c r="J6303" s="2">
        <v>43558</v>
      </c>
      <c r="K6303" s="3">
        <f t="shared" si="196"/>
        <v>6.25</v>
      </c>
      <c r="L6303" s="3">
        <f t="shared" si="197"/>
        <v>6.4</v>
      </c>
    </row>
    <row r="6304" spans="1:12" x14ac:dyDescent="0.3">
      <c r="A6304" s="2">
        <v>42821</v>
      </c>
      <c r="B6304">
        <v>6.46</v>
      </c>
      <c r="D6304" s="2">
        <v>43552</v>
      </c>
      <c r="E6304">
        <v>6.25</v>
      </c>
      <c r="G6304" s="2">
        <v>43552</v>
      </c>
      <c r="H6304">
        <v>6.5190000000000001</v>
      </c>
      <c r="J6304" s="2">
        <v>43559</v>
      </c>
      <c r="K6304" s="3">
        <f t="shared" si="196"/>
        <v>6</v>
      </c>
      <c r="L6304" s="3">
        <f t="shared" si="197"/>
        <v>6.452</v>
      </c>
    </row>
    <row r="6305" spans="1:12" x14ac:dyDescent="0.3">
      <c r="A6305" s="2">
        <v>42822</v>
      </c>
      <c r="B6305">
        <v>6.46</v>
      </c>
      <c r="D6305" s="2">
        <v>43553</v>
      </c>
      <c r="E6305">
        <v>6.25</v>
      </c>
      <c r="G6305" s="2">
        <v>43553</v>
      </c>
      <c r="H6305">
        <v>6.4320000000000004</v>
      </c>
      <c r="J6305" s="2">
        <v>43560</v>
      </c>
      <c r="K6305" s="3">
        <f t="shared" si="196"/>
        <v>6</v>
      </c>
      <c r="L6305" s="3">
        <f t="shared" si="197"/>
        <v>6.4409999999999998</v>
      </c>
    </row>
    <row r="6306" spans="1:12" x14ac:dyDescent="0.3">
      <c r="A6306" s="2">
        <v>42823</v>
      </c>
      <c r="B6306">
        <v>6.46</v>
      </c>
      <c r="D6306" s="2">
        <v>43554</v>
      </c>
      <c r="E6306">
        <v>6.25</v>
      </c>
      <c r="G6306" s="2">
        <v>43554</v>
      </c>
      <c r="H6306">
        <v>6.4320000000000004</v>
      </c>
      <c r="J6306" s="2">
        <v>43561</v>
      </c>
      <c r="K6306" s="3">
        <f t="shared" si="196"/>
        <v>6</v>
      </c>
      <c r="L6306" s="3">
        <f t="shared" si="197"/>
        <v>6.4409999999999998</v>
      </c>
    </row>
    <row r="6307" spans="1:12" x14ac:dyDescent="0.3">
      <c r="A6307" s="2">
        <v>42824</v>
      </c>
      <c r="B6307">
        <v>6.46</v>
      </c>
      <c r="D6307" s="2">
        <v>43555</v>
      </c>
      <c r="E6307">
        <v>6.25</v>
      </c>
      <c r="G6307" s="2">
        <v>43555</v>
      </c>
      <c r="H6307">
        <v>6.4320000000000004</v>
      </c>
      <c r="J6307" s="2">
        <v>43562</v>
      </c>
      <c r="K6307" s="3">
        <f t="shared" si="196"/>
        <v>6</v>
      </c>
      <c r="L6307" s="3">
        <f t="shared" si="197"/>
        <v>6.4409999999999998</v>
      </c>
    </row>
    <row r="6308" spans="1:12" x14ac:dyDescent="0.3">
      <c r="A6308" s="2">
        <v>42825</v>
      </c>
      <c r="B6308">
        <v>6.46</v>
      </c>
      <c r="D6308" s="2">
        <v>43556</v>
      </c>
      <c r="E6308">
        <v>6.25</v>
      </c>
      <c r="G6308" s="2">
        <v>43556</v>
      </c>
      <c r="H6308">
        <v>6.4320000000000004</v>
      </c>
      <c r="J6308" s="2">
        <v>43563</v>
      </c>
      <c r="K6308" s="3">
        <f t="shared" si="196"/>
        <v>6</v>
      </c>
      <c r="L6308" s="3">
        <f t="shared" si="197"/>
        <v>6.4930000000000003</v>
      </c>
    </row>
    <row r="6309" spans="1:12" x14ac:dyDescent="0.3">
      <c r="A6309" s="2">
        <v>42826</v>
      </c>
      <c r="B6309">
        <v>6.46</v>
      </c>
      <c r="D6309" s="2">
        <v>43557</v>
      </c>
      <c r="E6309">
        <v>6.25</v>
      </c>
      <c r="G6309" s="2">
        <v>43557</v>
      </c>
      <c r="H6309">
        <v>6.3959999999999999</v>
      </c>
      <c r="J6309" s="2">
        <v>43564</v>
      </c>
      <c r="K6309" s="3">
        <f t="shared" si="196"/>
        <v>6</v>
      </c>
      <c r="L6309" s="3">
        <f t="shared" si="197"/>
        <v>6.5289999999999999</v>
      </c>
    </row>
    <row r="6310" spans="1:12" x14ac:dyDescent="0.3">
      <c r="A6310" s="2">
        <v>42827</v>
      </c>
      <c r="B6310">
        <v>6.46</v>
      </c>
      <c r="D6310" s="2">
        <v>43558</v>
      </c>
      <c r="E6310">
        <v>6.25</v>
      </c>
      <c r="G6310" s="2">
        <v>43558</v>
      </c>
      <c r="H6310">
        <v>6.4</v>
      </c>
      <c r="J6310" s="2">
        <v>43565</v>
      </c>
      <c r="K6310" s="3">
        <f t="shared" si="196"/>
        <v>6</v>
      </c>
      <c r="L6310" s="3">
        <f t="shared" si="197"/>
        <v>6.4909999999999997</v>
      </c>
    </row>
    <row r="6311" spans="1:12" x14ac:dyDescent="0.3">
      <c r="A6311" s="2">
        <v>42828</v>
      </c>
      <c r="B6311">
        <v>6.46</v>
      </c>
      <c r="D6311" s="2">
        <v>43559</v>
      </c>
      <c r="E6311">
        <v>6</v>
      </c>
      <c r="G6311" s="2">
        <v>43559</v>
      </c>
      <c r="H6311">
        <v>6.452</v>
      </c>
      <c r="J6311" s="2">
        <v>43566</v>
      </c>
      <c r="K6311" s="3">
        <f t="shared" si="196"/>
        <v>6</v>
      </c>
      <c r="L6311" s="3">
        <f t="shared" si="197"/>
        <v>6.5119999999999996</v>
      </c>
    </row>
    <row r="6312" spans="1:12" x14ac:dyDescent="0.3">
      <c r="A6312" s="2">
        <v>42829</v>
      </c>
      <c r="B6312">
        <v>6.46</v>
      </c>
      <c r="D6312" s="2">
        <v>43560</v>
      </c>
      <c r="E6312">
        <v>6</v>
      </c>
      <c r="G6312" s="2">
        <v>43560</v>
      </c>
      <c r="H6312">
        <v>6.4409999999999998</v>
      </c>
      <c r="J6312" s="2">
        <v>43567</v>
      </c>
      <c r="K6312" s="3">
        <f t="shared" si="196"/>
        <v>6</v>
      </c>
      <c r="L6312" s="3">
        <f t="shared" si="197"/>
        <v>6.5119999999999996</v>
      </c>
    </row>
    <row r="6313" spans="1:12" x14ac:dyDescent="0.3">
      <c r="A6313" s="2">
        <v>42830</v>
      </c>
      <c r="B6313">
        <v>6.46</v>
      </c>
      <c r="D6313" s="2">
        <v>43561</v>
      </c>
      <c r="E6313">
        <v>6</v>
      </c>
      <c r="G6313" s="2">
        <v>43561</v>
      </c>
      <c r="H6313">
        <v>6.4409999999999998</v>
      </c>
      <c r="J6313" s="2">
        <v>43568</v>
      </c>
      <c r="K6313" s="3">
        <f t="shared" si="196"/>
        <v>6</v>
      </c>
      <c r="L6313" s="3">
        <f t="shared" si="197"/>
        <v>6.5119999999999996</v>
      </c>
    </row>
    <row r="6314" spans="1:12" x14ac:dyDescent="0.3">
      <c r="A6314" s="2">
        <v>42831</v>
      </c>
      <c r="B6314">
        <v>6.46</v>
      </c>
      <c r="D6314" s="2">
        <v>43562</v>
      </c>
      <c r="E6314">
        <v>6</v>
      </c>
      <c r="G6314" s="2">
        <v>43562</v>
      </c>
      <c r="H6314">
        <v>6.4409999999999998</v>
      </c>
      <c r="J6314" s="2">
        <v>43569</v>
      </c>
      <c r="K6314" s="3">
        <f t="shared" si="196"/>
        <v>6</v>
      </c>
      <c r="L6314" s="3">
        <f t="shared" si="197"/>
        <v>6.5119999999999996</v>
      </c>
    </row>
    <row r="6315" spans="1:12" x14ac:dyDescent="0.3">
      <c r="A6315" s="2">
        <v>42832</v>
      </c>
      <c r="B6315">
        <v>6.46</v>
      </c>
      <c r="D6315" s="2">
        <v>43563</v>
      </c>
      <c r="E6315">
        <v>6</v>
      </c>
      <c r="G6315" s="2">
        <v>43563</v>
      </c>
      <c r="H6315">
        <v>6.4930000000000003</v>
      </c>
      <c r="J6315" s="2">
        <v>43570</v>
      </c>
      <c r="K6315" s="3">
        <f t="shared" si="196"/>
        <v>6</v>
      </c>
      <c r="L6315" s="3">
        <f t="shared" si="197"/>
        <v>6.5140000000000002</v>
      </c>
    </row>
    <row r="6316" spans="1:12" x14ac:dyDescent="0.3">
      <c r="A6316" s="2">
        <v>42833</v>
      </c>
      <c r="B6316">
        <v>6.46</v>
      </c>
      <c r="D6316" s="2">
        <v>43564</v>
      </c>
      <c r="E6316">
        <v>6</v>
      </c>
      <c r="G6316" s="2">
        <v>43564</v>
      </c>
      <c r="H6316">
        <v>6.5289999999999999</v>
      </c>
      <c r="J6316" s="2">
        <v>43571</v>
      </c>
      <c r="K6316" s="3">
        <f t="shared" si="196"/>
        <v>6</v>
      </c>
      <c r="L6316" s="3">
        <f t="shared" si="197"/>
        <v>6.5289999999999999</v>
      </c>
    </row>
    <row r="6317" spans="1:12" x14ac:dyDescent="0.3">
      <c r="A6317" s="2">
        <v>42834</v>
      </c>
      <c r="B6317">
        <v>6.46</v>
      </c>
      <c r="D6317" s="2">
        <v>43565</v>
      </c>
      <c r="E6317">
        <v>6</v>
      </c>
      <c r="G6317" s="2">
        <v>43565</v>
      </c>
      <c r="H6317">
        <v>6.4909999999999997</v>
      </c>
      <c r="J6317" s="2">
        <v>43572</v>
      </c>
      <c r="K6317" s="3">
        <f t="shared" si="196"/>
        <v>6</v>
      </c>
      <c r="L6317" s="3">
        <f t="shared" si="197"/>
        <v>6.5289999999999999</v>
      </c>
    </row>
    <row r="6318" spans="1:12" x14ac:dyDescent="0.3">
      <c r="A6318" s="2">
        <v>42835</v>
      </c>
      <c r="B6318">
        <v>6.46</v>
      </c>
      <c r="D6318" s="2">
        <v>43566</v>
      </c>
      <c r="E6318">
        <v>6</v>
      </c>
      <c r="G6318" s="2">
        <v>43566</v>
      </c>
      <c r="H6318">
        <v>6.5119999999999996</v>
      </c>
      <c r="J6318" s="2">
        <v>43573</v>
      </c>
      <c r="K6318" s="3">
        <f t="shared" si="196"/>
        <v>6</v>
      </c>
      <c r="L6318" s="3">
        <f t="shared" si="197"/>
        <v>6.5369999999999999</v>
      </c>
    </row>
    <row r="6319" spans="1:12" x14ac:dyDescent="0.3">
      <c r="A6319" s="2">
        <v>42836</v>
      </c>
      <c r="B6319">
        <v>6.46</v>
      </c>
      <c r="D6319" s="2">
        <v>43567</v>
      </c>
      <c r="E6319">
        <v>6</v>
      </c>
      <c r="G6319" s="2">
        <v>43567</v>
      </c>
      <c r="H6319">
        <v>6.5119999999999996</v>
      </c>
      <c r="J6319" s="2">
        <v>43574</v>
      </c>
      <c r="K6319" s="3">
        <f t="shared" si="196"/>
        <v>6</v>
      </c>
      <c r="L6319" s="3">
        <f t="shared" si="197"/>
        <v>6.5369999999999999</v>
      </c>
    </row>
    <row r="6320" spans="1:12" x14ac:dyDescent="0.3">
      <c r="A6320" s="2">
        <v>42837</v>
      </c>
      <c r="B6320">
        <v>6.46</v>
      </c>
      <c r="D6320" s="2">
        <v>43568</v>
      </c>
      <c r="E6320">
        <v>6</v>
      </c>
      <c r="G6320" s="2">
        <v>43568</v>
      </c>
      <c r="H6320">
        <v>6.5119999999999996</v>
      </c>
      <c r="J6320" s="2">
        <v>43575</v>
      </c>
      <c r="K6320" s="3">
        <f t="shared" si="196"/>
        <v>6</v>
      </c>
      <c r="L6320" s="3">
        <f t="shared" si="197"/>
        <v>6.5369999999999999</v>
      </c>
    </row>
    <row r="6321" spans="1:12" x14ac:dyDescent="0.3">
      <c r="A6321" s="2">
        <v>42838</v>
      </c>
      <c r="B6321">
        <v>6.46</v>
      </c>
      <c r="D6321" s="2">
        <v>43569</v>
      </c>
      <c r="E6321">
        <v>6</v>
      </c>
      <c r="G6321" s="2">
        <v>43569</v>
      </c>
      <c r="H6321">
        <v>6.5119999999999996</v>
      </c>
      <c r="J6321" s="2">
        <v>43576</v>
      </c>
      <c r="K6321" s="3">
        <f t="shared" si="196"/>
        <v>6</v>
      </c>
      <c r="L6321" s="3">
        <f t="shared" si="197"/>
        <v>6.5369999999999999</v>
      </c>
    </row>
    <row r="6322" spans="1:12" x14ac:dyDescent="0.3">
      <c r="A6322" s="2">
        <v>42839</v>
      </c>
      <c r="B6322">
        <v>6.46</v>
      </c>
      <c r="D6322" s="2">
        <v>43570</v>
      </c>
      <c r="E6322">
        <v>6</v>
      </c>
      <c r="G6322" s="2">
        <v>43570</v>
      </c>
      <c r="H6322">
        <v>6.5140000000000002</v>
      </c>
      <c r="J6322" s="2">
        <v>43577</v>
      </c>
      <c r="K6322" s="3">
        <f t="shared" si="196"/>
        <v>6</v>
      </c>
      <c r="L6322" s="3">
        <f t="shared" si="197"/>
        <v>6.569</v>
      </c>
    </row>
    <row r="6323" spans="1:12" x14ac:dyDescent="0.3">
      <c r="A6323" s="2">
        <v>42840</v>
      </c>
      <c r="B6323">
        <v>6.46</v>
      </c>
      <c r="D6323" s="2">
        <v>43571</v>
      </c>
      <c r="E6323">
        <v>6</v>
      </c>
      <c r="G6323" s="2">
        <v>43571</v>
      </c>
      <c r="H6323">
        <v>6.5289999999999999</v>
      </c>
      <c r="J6323" s="2">
        <v>43578</v>
      </c>
      <c r="K6323" s="3">
        <f t="shared" si="196"/>
        <v>6</v>
      </c>
      <c r="L6323" s="3">
        <f t="shared" si="197"/>
        <v>6.5940000000000003</v>
      </c>
    </row>
    <row r="6324" spans="1:12" x14ac:dyDescent="0.3">
      <c r="A6324" s="2">
        <v>42841</v>
      </c>
      <c r="B6324">
        <v>6.46</v>
      </c>
      <c r="D6324" s="2">
        <v>43572</v>
      </c>
      <c r="E6324">
        <v>6</v>
      </c>
      <c r="G6324" s="2">
        <v>43572</v>
      </c>
      <c r="H6324">
        <v>6.5289999999999999</v>
      </c>
      <c r="J6324" s="2">
        <v>43579</v>
      </c>
      <c r="K6324" s="3">
        <f t="shared" si="196"/>
        <v>6</v>
      </c>
      <c r="L6324" s="3">
        <f t="shared" si="197"/>
        <v>6.5789999999999997</v>
      </c>
    </row>
    <row r="6325" spans="1:12" x14ac:dyDescent="0.3">
      <c r="A6325" s="2">
        <v>42842</v>
      </c>
      <c r="B6325">
        <v>6.46</v>
      </c>
      <c r="D6325" s="2">
        <v>43573</v>
      </c>
      <c r="E6325">
        <v>6</v>
      </c>
      <c r="G6325" s="2">
        <v>43573</v>
      </c>
      <c r="H6325">
        <v>6.5369999999999999</v>
      </c>
      <c r="J6325" s="2">
        <v>43580</v>
      </c>
      <c r="K6325" s="3">
        <f t="shared" si="196"/>
        <v>6</v>
      </c>
      <c r="L6325" s="3">
        <f t="shared" si="197"/>
        <v>6.59</v>
      </c>
    </row>
    <row r="6326" spans="1:12" x14ac:dyDescent="0.3">
      <c r="A6326" s="2">
        <v>42843</v>
      </c>
      <c r="B6326">
        <v>6.46</v>
      </c>
      <c r="D6326" s="2">
        <v>43574</v>
      </c>
      <c r="E6326">
        <v>6</v>
      </c>
      <c r="G6326" s="2">
        <v>43574</v>
      </c>
      <c r="H6326">
        <v>6.5369999999999999</v>
      </c>
      <c r="J6326" s="2">
        <v>43581</v>
      </c>
      <c r="K6326" s="3">
        <f t="shared" si="196"/>
        <v>6</v>
      </c>
      <c r="L6326" s="3">
        <f t="shared" si="197"/>
        <v>6.577</v>
      </c>
    </row>
    <row r="6327" spans="1:12" x14ac:dyDescent="0.3">
      <c r="A6327" s="2">
        <v>42844</v>
      </c>
      <c r="B6327">
        <v>6.46</v>
      </c>
      <c r="D6327" s="2">
        <v>43575</v>
      </c>
      <c r="E6327">
        <v>6</v>
      </c>
      <c r="G6327" s="2">
        <v>43575</v>
      </c>
      <c r="H6327">
        <v>6.5369999999999999</v>
      </c>
      <c r="J6327" s="2">
        <v>43582</v>
      </c>
      <c r="K6327" s="3">
        <f t="shared" si="196"/>
        <v>6</v>
      </c>
      <c r="L6327" s="3">
        <f t="shared" si="197"/>
        <v>6.577</v>
      </c>
    </row>
    <row r="6328" spans="1:12" x14ac:dyDescent="0.3">
      <c r="A6328" s="2">
        <v>42845</v>
      </c>
      <c r="B6328">
        <v>6.46</v>
      </c>
      <c r="D6328" s="2">
        <v>43576</v>
      </c>
      <c r="E6328">
        <v>6</v>
      </c>
      <c r="G6328" s="2">
        <v>43576</v>
      </c>
      <c r="H6328">
        <v>6.5369999999999999</v>
      </c>
      <c r="J6328" s="2">
        <v>43583</v>
      </c>
      <c r="K6328" s="3">
        <f t="shared" si="196"/>
        <v>6</v>
      </c>
      <c r="L6328" s="3">
        <f t="shared" si="197"/>
        <v>6.577</v>
      </c>
    </row>
    <row r="6329" spans="1:12" x14ac:dyDescent="0.3">
      <c r="A6329" s="2">
        <v>42846</v>
      </c>
      <c r="B6329">
        <v>6.46</v>
      </c>
      <c r="D6329" s="2">
        <v>43577</v>
      </c>
      <c r="E6329">
        <v>6</v>
      </c>
      <c r="G6329" s="2">
        <v>43577</v>
      </c>
      <c r="H6329">
        <v>6.569</v>
      </c>
      <c r="J6329" s="2">
        <v>43584</v>
      </c>
      <c r="K6329" s="3">
        <f t="shared" si="196"/>
        <v>6</v>
      </c>
      <c r="L6329" s="3">
        <f t="shared" si="197"/>
        <v>6.577</v>
      </c>
    </row>
    <row r="6330" spans="1:12" x14ac:dyDescent="0.3">
      <c r="A6330" s="2">
        <v>42847</v>
      </c>
      <c r="B6330">
        <v>6.46</v>
      </c>
      <c r="D6330" s="2">
        <v>43578</v>
      </c>
      <c r="E6330">
        <v>6</v>
      </c>
      <c r="G6330" s="2">
        <v>43578</v>
      </c>
      <c r="H6330">
        <v>6.5940000000000003</v>
      </c>
      <c r="J6330" s="2">
        <v>43585</v>
      </c>
      <c r="K6330" s="3">
        <f t="shared" si="196"/>
        <v>6</v>
      </c>
      <c r="L6330" s="3">
        <f t="shared" si="197"/>
        <v>6.5709999999999997</v>
      </c>
    </row>
    <row r="6331" spans="1:12" x14ac:dyDescent="0.3">
      <c r="A6331" s="2">
        <v>42848</v>
      </c>
      <c r="B6331">
        <v>6.46</v>
      </c>
      <c r="D6331" s="2">
        <v>43579</v>
      </c>
      <c r="E6331">
        <v>6</v>
      </c>
      <c r="G6331" s="2">
        <v>43579</v>
      </c>
      <c r="H6331">
        <v>6.5789999999999997</v>
      </c>
      <c r="J6331" s="2">
        <v>43586</v>
      </c>
      <c r="K6331" s="3">
        <f t="shared" si="196"/>
        <v>6</v>
      </c>
      <c r="L6331" s="3">
        <f t="shared" si="197"/>
        <v>6.5709999999999997</v>
      </c>
    </row>
    <row r="6332" spans="1:12" x14ac:dyDescent="0.3">
      <c r="A6332" s="2">
        <v>42849</v>
      </c>
      <c r="B6332">
        <v>6.46</v>
      </c>
      <c r="D6332" s="2">
        <v>43580</v>
      </c>
      <c r="E6332">
        <v>6</v>
      </c>
      <c r="G6332" s="2">
        <v>43580</v>
      </c>
      <c r="H6332">
        <v>6.59</v>
      </c>
      <c r="J6332" s="2">
        <v>43587</v>
      </c>
      <c r="K6332" s="3">
        <f t="shared" si="196"/>
        <v>6</v>
      </c>
      <c r="L6332" s="3">
        <f t="shared" si="197"/>
        <v>6.5620000000000003</v>
      </c>
    </row>
    <row r="6333" spans="1:12" x14ac:dyDescent="0.3">
      <c r="A6333" s="2">
        <v>42850</v>
      </c>
      <c r="B6333">
        <v>6.46</v>
      </c>
      <c r="D6333" s="2">
        <v>43581</v>
      </c>
      <c r="E6333">
        <v>6</v>
      </c>
      <c r="G6333" s="2">
        <v>43581</v>
      </c>
      <c r="H6333">
        <v>6.577</v>
      </c>
      <c r="J6333" s="2">
        <v>43588</v>
      </c>
      <c r="K6333" s="3">
        <f t="shared" si="196"/>
        <v>6</v>
      </c>
      <c r="L6333" s="3">
        <f t="shared" si="197"/>
        <v>6.5629999999999997</v>
      </c>
    </row>
    <row r="6334" spans="1:12" x14ac:dyDescent="0.3">
      <c r="A6334" s="2">
        <v>42851</v>
      </c>
      <c r="B6334">
        <v>6.46</v>
      </c>
      <c r="D6334" s="2">
        <v>43582</v>
      </c>
      <c r="E6334">
        <v>6</v>
      </c>
      <c r="G6334" s="2">
        <v>43582</v>
      </c>
      <c r="H6334">
        <v>6.577</v>
      </c>
      <c r="J6334" s="2">
        <v>43589</v>
      </c>
      <c r="K6334" s="3">
        <f t="shared" si="196"/>
        <v>6</v>
      </c>
      <c r="L6334" s="3">
        <f t="shared" si="197"/>
        <v>6.5629999999999997</v>
      </c>
    </row>
    <row r="6335" spans="1:12" x14ac:dyDescent="0.3">
      <c r="A6335" s="2">
        <v>42852</v>
      </c>
      <c r="B6335">
        <v>6.46</v>
      </c>
      <c r="D6335" s="2">
        <v>43583</v>
      </c>
      <c r="E6335">
        <v>6</v>
      </c>
      <c r="G6335" s="2">
        <v>43583</v>
      </c>
      <c r="H6335">
        <v>6.577</v>
      </c>
      <c r="J6335" s="2">
        <v>43590</v>
      </c>
      <c r="K6335" s="3">
        <f t="shared" si="196"/>
        <v>6</v>
      </c>
      <c r="L6335" s="3">
        <f t="shared" si="197"/>
        <v>6.5629999999999997</v>
      </c>
    </row>
    <row r="6336" spans="1:12" x14ac:dyDescent="0.3">
      <c r="A6336" s="2">
        <v>42853</v>
      </c>
      <c r="B6336">
        <v>6.46</v>
      </c>
      <c r="D6336" s="2">
        <v>43584</v>
      </c>
      <c r="E6336">
        <v>6</v>
      </c>
      <c r="G6336" s="2">
        <v>43584</v>
      </c>
      <c r="H6336">
        <v>6.577</v>
      </c>
      <c r="J6336" s="2">
        <v>43591</v>
      </c>
      <c r="K6336" s="3">
        <f t="shared" si="196"/>
        <v>6</v>
      </c>
      <c r="L6336" s="3">
        <f t="shared" si="197"/>
        <v>6.5910000000000002</v>
      </c>
    </row>
    <row r="6337" spans="1:12" x14ac:dyDescent="0.3">
      <c r="A6337" s="2">
        <v>42854</v>
      </c>
      <c r="B6337">
        <v>6.46</v>
      </c>
      <c r="D6337" s="2">
        <v>43585</v>
      </c>
      <c r="E6337">
        <v>6</v>
      </c>
      <c r="G6337" s="2">
        <v>43585</v>
      </c>
      <c r="H6337">
        <v>6.5709999999999997</v>
      </c>
      <c r="J6337" s="2">
        <v>43592</v>
      </c>
      <c r="K6337" s="3">
        <f t="shared" si="196"/>
        <v>6</v>
      </c>
      <c r="L6337" s="3">
        <f t="shared" si="197"/>
        <v>6.5620000000000003</v>
      </c>
    </row>
    <row r="6338" spans="1:12" x14ac:dyDescent="0.3">
      <c r="A6338" s="2">
        <v>42855</v>
      </c>
      <c r="B6338">
        <v>6.46</v>
      </c>
      <c r="D6338" s="2">
        <v>43586</v>
      </c>
      <c r="E6338">
        <v>6</v>
      </c>
      <c r="G6338" s="2">
        <v>43586</v>
      </c>
      <c r="H6338">
        <v>6.5709999999999997</v>
      </c>
      <c r="J6338" s="2">
        <v>43593</v>
      </c>
      <c r="K6338" s="3">
        <f t="shared" si="196"/>
        <v>6</v>
      </c>
      <c r="L6338" s="3">
        <f t="shared" si="197"/>
        <v>6.5620000000000003</v>
      </c>
    </row>
    <row r="6339" spans="1:12" x14ac:dyDescent="0.3">
      <c r="A6339" s="2">
        <v>42856</v>
      </c>
      <c r="B6339">
        <v>6.46</v>
      </c>
      <c r="D6339" s="2">
        <v>43587</v>
      </c>
      <c r="E6339">
        <v>6</v>
      </c>
      <c r="G6339" s="2">
        <v>43587</v>
      </c>
      <c r="H6339">
        <v>6.5620000000000003</v>
      </c>
      <c r="J6339" s="2">
        <v>43594</v>
      </c>
      <c r="K6339" s="3">
        <f t="shared" ref="K6339:K6402" si="198">E6346</f>
        <v>6</v>
      </c>
      <c r="L6339" s="3">
        <f t="shared" ref="L6339:L6402" si="199">H6346</f>
        <v>6.5609999999999999</v>
      </c>
    </row>
    <row r="6340" spans="1:12" x14ac:dyDescent="0.3">
      <c r="A6340" s="2">
        <v>42857</v>
      </c>
      <c r="B6340">
        <v>6.46</v>
      </c>
      <c r="D6340" s="2">
        <v>43588</v>
      </c>
      <c r="E6340">
        <v>6</v>
      </c>
      <c r="G6340" s="2">
        <v>43588</v>
      </c>
      <c r="H6340">
        <v>6.5629999999999997</v>
      </c>
      <c r="J6340" s="2">
        <v>43595</v>
      </c>
      <c r="K6340" s="3">
        <f t="shared" si="198"/>
        <v>6</v>
      </c>
      <c r="L6340" s="3">
        <f t="shared" si="199"/>
        <v>6.56</v>
      </c>
    </row>
    <row r="6341" spans="1:12" x14ac:dyDescent="0.3">
      <c r="A6341" s="2">
        <v>42858</v>
      </c>
      <c r="B6341">
        <v>6.46</v>
      </c>
      <c r="D6341" s="2">
        <v>43589</v>
      </c>
      <c r="E6341">
        <v>6</v>
      </c>
      <c r="G6341" s="2">
        <v>43589</v>
      </c>
      <c r="H6341">
        <v>6.5629999999999997</v>
      </c>
      <c r="J6341" s="2">
        <v>43596</v>
      </c>
      <c r="K6341" s="3">
        <f t="shared" si="198"/>
        <v>6</v>
      </c>
      <c r="L6341" s="3">
        <f t="shared" si="199"/>
        <v>6.56</v>
      </c>
    </row>
    <row r="6342" spans="1:12" x14ac:dyDescent="0.3">
      <c r="A6342" s="2">
        <v>42859</v>
      </c>
      <c r="B6342">
        <v>6.46</v>
      </c>
      <c r="D6342" s="2">
        <v>43590</v>
      </c>
      <c r="E6342">
        <v>6</v>
      </c>
      <c r="G6342" s="2">
        <v>43590</v>
      </c>
      <c r="H6342">
        <v>6.5629999999999997</v>
      </c>
      <c r="J6342" s="2">
        <v>43597</v>
      </c>
      <c r="K6342" s="3">
        <f t="shared" si="198"/>
        <v>6</v>
      </c>
      <c r="L6342" s="3">
        <f t="shared" si="199"/>
        <v>6.56</v>
      </c>
    </row>
    <row r="6343" spans="1:12" x14ac:dyDescent="0.3">
      <c r="A6343" s="2">
        <v>42860</v>
      </c>
      <c r="B6343">
        <v>6.46</v>
      </c>
      <c r="D6343" s="2">
        <v>43591</v>
      </c>
      <c r="E6343">
        <v>6</v>
      </c>
      <c r="G6343" s="2">
        <v>43591</v>
      </c>
      <c r="H6343">
        <v>6.5910000000000002</v>
      </c>
      <c r="J6343" s="2">
        <v>43598</v>
      </c>
      <c r="K6343" s="3">
        <f t="shared" si="198"/>
        <v>6</v>
      </c>
      <c r="L6343" s="3">
        <f t="shared" si="199"/>
        <v>6.5129999999999999</v>
      </c>
    </row>
    <row r="6344" spans="1:12" x14ac:dyDescent="0.3">
      <c r="A6344" s="2">
        <v>42861</v>
      </c>
      <c r="B6344">
        <v>6.46</v>
      </c>
      <c r="D6344" s="2">
        <v>43592</v>
      </c>
      <c r="E6344">
        <v>6</v>
      </c>
      <c r="G6344" s="2">
        <v>43592</v>
      </c>
      <c r="H6344">
        <v>6.5620000000000003</v>
      </c>
      <c r="J6344" s="2">
        <v>43599</v>
      </c>
      <c r="K6344" s="3">
        <f t="shared" si="198"/>
        <v>6</v>
      </c>
      <c r="L6344" s="3">
        <f t="shared" si="199"/>
        <v>6.524</v>
      </c>
    </row>
    <row r="6345" spans="1:12" x14ac:dyDescent="0.3">
      <c r="A6345" s="2">
        <v>42862</v>
      </c>
      <c r="B6345">
        <v>6.46</v>
      </c>
      <c r="D6345" s="2">
        <v>43593</v>
      </c>
      <c r="E6345">
        <v>6</v>
      </c>
      <c r="G6345" s="2">
        <v>43593</v>
      </c>
      <c r="H6345">
        <v>6.5620000000000003</v>
      </c>
      <c r="J6345" s="2">
        <v>43600</v>
      </c>
      <c r="K6345" s="3">
        <f t="shared" si="198"/>
        <v>6</v>
      </c>
      <c r="L6345" s="3">
        <f t="shared" si="199"/>
        <v>6.4880000000000004</v>
      </c>
    </row>
    <row r="6346" spans="1:12" x14ac:dyDescent="0.3">
      <c r="A6346" s="2">
        <v>42863</v>
      </c>
      <c r="B6346">
        <v>6.46</v>
      </c>
      <c r="D6346" s="2">
        <v>43594</v>
      </c>
      <c r="E6346">
        <v>6</v>
      </c>
      <c r="G6346" s="2">
        <v>43594</v>
      </c>
      <c r="H6346">
        <v>6.5609999999999999</v>
      </c>
      <c r="J6346" s="2">
        <v>43601</v>
      </c>
      <c r="K6346" s="3">
        <f t="shared" si="198"/>
        <v>6</v>
      </c>
      <c r="L6346" s="3">
        <f t="shared" si="199"/>
        <v>6.47</v>
      </c>
    </row>
    <row r="6347" spans="1:12" x14ac:dyDescent="0.3">
      <c r="A6347" s="2">
        <v>42864</v>
      </c>
      <c r="B6347">
        <v>6.46</v>
      </c>
      <c r="D6347" s="2">
        <v>43595</v>
      </c>
      <c r="E6347">
        <v>6</v>
      </c>
      <c r="G6347" s="2">
        <v>43595</v>
      </c>
      <c r="H6347">
        <v>6.56</v>
      </c>
      <c r="J6347" s="2">
        <v>43602</v>
      </c>
      <c r="K6347" s="3">
        <f t="shared" si="198"/>
        <v>6</v>
      </c>
      <c r="L6347" s="3">
        <f t="shared" si="199"/>
        <v>6.468</v>
      </c>
    </row>
    <row r="6348" spans="1:12" x14ac:dyDescent="0.3">
      <c r="A6348" s="2">
        <v>42865</v>
      </c>
      <c r="B6348">
        <v>6.46</v>
      </c>
      <c r="D6348" s="2">
        <v>43596</v>
      </c>
      <c r="E6348">
        <v>6</v>
      </c>
      <c r="G6348" s="2">
        <v>43596</v>
      </c>
      <c r="H6348">
        <v>6.56</v>
      </c>
      <c r="J6348" s="2">
        <v>43603</v>
      </c>
      <c r="K6348" s="3">
        <f t="shared" si="198"/>
        <v>6</v>
      </c>
      <c r="L6348" s="3">
        <f t="shared" si="199"/>
        <v>6.468</v>
      </c>
    </row>
    <row r="6349" spans="1:12" x14ac:dyDescent="0.3">
      <c r="A6349" s="2">
        <v>42866</v>
      </c>
      <c r="B6349">
        <v>6.46</v>
      </c>
      <c r="D6349" s="2">
        <v>43597</v>
      </c>
      <c r="E6349">
        <v>6</v>
      </c>
      <c r="G6349" s="2">
        <v>43597</v>
      </c>
      <c r="H6349">
        <v>6.56</v>
      </c>
      <c r="J6349" s="2">
        <v>43604</v>
      </c>
      <c r="K6349" s="3">
        <f t="shared" si="198"/>
        <v>6</v>
      </c>
      <c r="L6349" s="3">
        <f t="shared" si="199"/>
        <v>6.468</v>
      </c>
    </row>
    <row r="6350" spans="1:12" x14ac:dyDescent="0.3">
      <c r="A6350" s="2">
        <v>42867</v>
      </c>
      <c r="B6350">
        <v>6.46</v>
      </c>
      <c r="D6350" s="2">
        <v>43598</v>
      </c>
      <c r="E6350">
        <v>6</v>
      </c>
      <c r="G6350" s="2">
        <v>43598</v>
      </c>
      <c r="H6350">
        <v>6.5129999999999999</v>
      </c>
      <c r="J6350" s="2">
        <v>43605</v>
      </c>
      <c r="K6350" s="3">
        <f t="shared" si="198"/>
        <v>6</v>
      </c>
      <c r="L6350" s="3">
        <f t="shared" si="199"/>
        <v>6.4260000000000002</v>
      </c>
    </row>
    <row r="6351" spans="1:12" x14ac:dyDescent="0.3">
      <c r="A6351" s="2">
        <v>42868</v>
      </c>
      <c r="B6351">
        <v>6.46</v>
      </c>
      <c r="D6351" s="2">
        <v>43599</v>
      </c>
      <c r="E6351">
        <v>6</v>
      </c>
      <c r="G6351" s="2">
        <v>43599</v>
      </c>
      <c r="H6351">
        <v>6.524</v>
      </c>
      <c r="J6351" s="2">
        <v>43606</v>
      </c>
      <c r="K6351" s="3">
        <f t="shared" si="198"/>
        <v>6</v>
      </c>
      <c r="L6351" s="3">
        <f t="shared" si="199"/>
        <v>6.4160000000000004</v>
      </c>
    </row>
    <row r="6352" spans="1:12" x14ac:dyDescent="0.3">
      <c r="A6352" s="2">
        <v>42869</v>
      </c>
      <c r="B6352">
        <v>6.46</v>
      </c>
      <c r="D6352" s="2">
        <v>43600</v>
      </c>
      <c r="E6352">
        <v>6</v>
      </c>
      <c r="G6352" s="2">
        <v>43600</v>
      </c>
      <c r="H6352">
        <v>6.4880000000000004</v>
      </c>
      <c r="J6352" s="2">
        <v>43607</v>
      </c>
      <c r="K6352" s="3">
        <f t="shared" si="198"/>
        <v>6</v>
      </c>
      <c r="L6352" s="3">
        <f t="shared" si="199"/>
        <v>6.4009999999999998</v>
      </c>
    </row>
    <row r="6353" spans="1:12" x14ac:dyDescent="0.3">
      <c r="A6353" s="2">
        <v>42870</v>
      </c>
      <c r="B6353">
        <v>6.46</v>
      </c>
      <c r="D6353" s="2">
        <v>43601</v>
      </c>
      <c r="E6353">
        <v>6</v>
      </c>
      <c r="G6353" s="2">
        <v>43601</v>
      </c>
      <c r="H6353">
        <v>6.47</v>
      </c>
      <c r="J6353" s="2">
        <v>43608</v>
      </c>
      <c r="K6353" s="3">
        <f t="shared" si="198"/>
        <v>6</v>
      </c>
      <c r="L6353" s="3">
        <f t="shared" si="199"/>
        <v>6.3760000000000003</v>
      </c>
    </row>
    <row r="6354" spans="1:12" x14ac:dyDescent="0.3">
      <c r="A6354" s="2">
        <v>42871</v>
      </c>
      <c r="B6354">
        <v>6.46</v>
      </c>
      <c r="D6354" s="2">
        <v>43602</v>
      </c>
      <c r="E6354">
        <v>6</v>
      </c>
      <c r="G6354" s="2">
        <v>43602</v>
      </c>
      <c r="H6354">
        <v>6.468</v>
      </c>
      <c r="J6354" s="2">
        <v>43609</v>
      </c>
      <c r="K6354" s="3">
        <f t="shared" si="198"/>
        <v>6</v>
      </c>
      <c r="L6354" s="3">
        <f t="shared" si="199"/>
        <v>6.3609999999999998</v>
      </c>
    </row>
    <row r="6355" spans="1:12" x14ac:dyDescent="0.3">
      <c r="A6355" s="2">
        <v>42872</v>
      </c>
      <c r="B6355">
        <v>6.46</v>
      </c>
      <c r="D6355" s="2">
        <v>43603</v>
      </c>
      <c r="E6355">
        <v>6</v>
      </c>
      <c r="G6355" s="2">
        <v>43603</v>
      </c>
      <c r="H6355">
        <v>6.468</v>
      </c>
      <c r="J6355" s="2">
        <v>43610</v>
      </c>
      <c r="K6355" s="3">
        <f t="shared" si="198"/>
        <v>6</v>
      </c>
      <c r="L6355" s="3">
        <f t="shared" si="199"/>
        <v>6.3609999999999998</v>
      </c>
    </row>
    <row r="6356" spans="1:12" x14ac:dyDescent="0.3">
      <c r="A6356" s="2">
        <v>42873</v>
      </c>
      <c r="B6356">
        <v>6.46</v>
      </c>
      <c r="D6356" s="2">
        <v>43604</v>
      </c>
      <c r="E6356">
        <v>6</v>
      </c>
      <c r="G6356" s="2">
        <v>43604</v>
      </c>
      <c r="H6356">
        <v>6.468</v>
      </c>
      <c r="J6356" s="2">
        <v>43611</v>
      </c>
      <c r="K6356" s="3">
        <f t="shared" si="198"/>
        <v>6</v>
      </c>
      <c r="L6356" s="3">
        <f t="shared" si="199"/>
        <v>6.3609999999999998</v>
      </c>
    </row>
    <row r="6357" spans="1:12" x14ac:dyDescent="0.3">
      <c r="A6357" s="2">
        <v>42874</v>
      </c>
      <c r="B6357">
        <v>6.46</v>
      </c>
      <c r="D6357" s="2">
        <v>43605</v>
      </c>
      <c r="E6357">
        <v>6</v>
      </c>
      <c r="G6357" s="2">
        <v>43605</v>
      </c>
      <c r="H6357">
        <v>6.4260000000000002</v>
      </c>
      <c r="J6357" s="2">
        <v>43612</v>
      </c>
      <c r="K6357" s="3">
        <f t="shared" si="198"/>
        <v>6</v>
      </c>
      <c r="L6357" s="3">
        <f t="shared" si="199"/>
        <v>6.3390000000000004</v>
      </c>
    </row>
    <row r="6358" spans="1:12" x14ac:dyDescent="0.3">
      <c r="A6358" s="2">
        <v>42875</v>
      </c>
      <c r="B6358">
        <v>6.46</v>
      </c>
      <c r="D6358" s="2">
        <v>43606</v>
      </c>
      <c r="E6358">
        <v>6</v>
      </c>
      <c r="G6358" s="2">
        <v>43606</v>
      </c>
      <c r="H6358">
        <v>6.4160000000000004</v>
      </c>
      <c r="J6358" s="2">
        <v>43613</v>
      </c>
      <c r="K6358" s="3">
        <f t="shared" si="198"/>
        <v>6</v>
      </c>
      <c r="L6358" s="3">
        <f t="shared" si="199"/>
        <v>6.359</v>
      </c>
    </row>
    <row r="6359" spans="1:12" x14ac:dyDescent="0.3">
      <c r="A6359" s="2">
        <v>42876</v>
      </c>
      <c r="B6359">
        <v>6.46</v>
      </c>
      <c r="D6359" s="2">
        <v>43607</v>
      </c>
      <c r="E6359">
        <v>6</v>
      </c>
      <c r="G6359" s="2">
        <v>43607</v>
      </c>
      <c r="H6359">
        <v>6.4009999999999998</v>
      </c>
      <c r="J6359" s="2">
        <v>43614</v>
      </c>
      <c r="K6359" s="3">
        <f t="shared" si="198"/>
        <v>6</v>
      </c>
      <c r="L6359" s="3">
        <f t="shared" si="199"/>
        <v>6.3330000000000002</v>
      </c>
    </row>
    <row r="6360" spans="1:12" x14ac:dyDescent="0.3">
      <c r="A6360" s="2">
        <v>42877</v>
      </c>
      <c r="B6360">
        <v>6.46</v>
      </c>
      <c r="D6360" s="2">
        <v>43608</v>
      </c>
      <c r="E6360">
        <v>6</v>
      </c>
      <c r="G6360" s="2">
        <v>43608</v>
      </c>
      <c r="H6360">
        <v>6.3760000000000003</v>
      </c>
      <c r="J6360" s="2">
        <v>43615</v>
      </c>
      <c r="K6360" s="3">
        <f t="shared" si="198"/>
        <v>6</v>
      </c>
      <c r="L6360" s="3">
        <f t="shared" si="199"/>
        <v>6.3360000000000003</v>
      </c>
    </row>
    <row r="6361" spans="1:12" x14ac:dyDescent="0.3">
      <c r="A6361" s="2">
        <v>42878</v>
      </c>
      <c r="B6361">
        <v>6.46</v>
      </c>
      <c r="D6361" s="2">
        <v>43609</v>
      </c>
      <c r="E6361">
        <v>6</v>
      </c>
      <c r="G6361" s="2">
        <v>43609</v>
      </c>
      <c r="H6361">
        <v>6.3609999999999998</v>
      </c>
      <c r="J6361" s="2">
        <v>43616</v>
      </c>
      <c r="K6361" s="3">
        <f t="shared" si="198"/>
        <v>6</v>
      </c>
      <c r="L6361" s="3">
        <f t="shared" si="199"/>
        <v>6.2569999999999997</v>
      </c>
    </row>
    <row r="6362" spans="1:12" x14ac:dyDescent="0.3">
      <c r="A6362" s="2">
        <v>42879</v>
      </c>
      <c r="B6362">
        <v>6.46</v>
      </c>
      <c r="D6362" s="2">
        <v>43610</v>
      </c>
      <c r="E6362">
        <v>6</v>
      </c>
      <c r="G6362" s="2">
        <v>43610</v>
      </c>
      <c r="H6362">
        <v>6.3609999999999998</v>
      </c>
      <c r="J6362" s="2">
        <v>43617</v>
      </c>
      <c r="K6362" s="3">
        <f t="shared" si="198"/>
        <v>6</v>
      </c>
      <c r="L6362" s="3">
        <f t="shared" si="199"/>
        <v>6.2569999999999997</v>
      </c>
    </row>
    <row r="6363" spans="1:12" x14ac:dyDescent="0.3">
      <c r="A6363" s="2">
        <v>42880</v>
      </c>
      <c r="B6363">
        <v>6.46</v>
      </c>
      <c r="D6363" s="2">
        <v>43611</v>
      </c>
      <c r="E6363">
        <v>6</v>
      </c>
      <c r="G6363" s="2">
        <v>43611</v>
      </c>
      <c r="H6363">
        <v>6.3609999999999998</v>
      </c>
      <c r="J6363" s="2">
        <v>43618</v>
      </c>
      <c r="K6363" s="3">
        <f t="shared" si="198"/>
        <v>6</v>
      </c>
      <c r="L6363" s="3">
        <f t="shared" si="199"/>
        <v>6.2569999999999997</v>
      </c>
    </row>
    <row r="6364" spans="1:12" x14ac:dyDescent="0.3">
      <c r="A6364" s="2">
        <v>42881</v>
      </c>
      <c r="B6364">
        <v>6.46</v>
      </c>
      <c r="D6364" s="2">
        <v>43612</v>
      </c>
      <c r="E6364">
        <v>6</v>
      </c>
      <c r="G6364" s="2">
        <v>43612</v>
      </c>
      <c r="H6364">
        <v>6.3390000000000004</v>
      </c>
      <c r="J6364" s="2">
        <v>43619</v>
      </c>
      <c r="K6364" s="3">
        <f t="shared" si="198"/>
        <v>6</v>
      </c>
      <c r="L6364" s="3">
        <f t="shared" si="199"/>
        <v>6.194</v>
      </c>
    </row>
    <row r="6365" spans="1:12" x14ac:dyDescent="0.3">
      <c r="A6365" s="2">
        <v>42882</v>
      </c>
      <c r="B6365">
        <v>6.46</v>
      </c>
      <c r="D6365" s="2">
        <v>43613</v>
      </c>
      <c r="E6365">
        <v>6</v>
      </c>
      <c r="G6365" s="2">
        <v>43613</v>
      </c>
      <c r="H6365">
        <v>6.359</v>
      </c>
      <c r="J6365" s="2">
        <v>43620</v>
      </c>
      <c r="K6365" s="3">
        <f t="shared" si="198"/>
        <v>6</v>
      </c>
      <c r="L6365" s="3">
        <f t="shared" si="199"/>
        <v>6.2279999999999998</v>
      </c>
    </row>
    <row r="6366" spans="1:12" x14ac:dyDescent="0.3">
      <c r="A6366" s="2">
        <v>42883</v>
      </c>
      <c r="B6366">
        <v>6.46</v>
      </c>
      <c r="D6366" s="2">
        <v>43614</v>
      </c>
      <c r="E6366">
        <v>6</v>
      </c>
      <c r="G6366" s="2">
        <v>43614</v>
      </c>
      <c r="H6366">
        <v>6.3330000000000002</v>
      </c>
      <c r="J6366" s="2">
        <v>43621</v>
      </c>
      <c r="K6366" s="3">
        <f t="shared" si="198"/>
        <v>6</v>
      </c>
      <c r="L6366" s="3">
        <f t="shared" si="199"/>
        <v>6.2279999999999998</v>
      </c>
    </row>
    <row r="6367" spans="1:12" x14ac:dyDescent="0.3">
      <c r="A6367" s="2">
        <v>42884</v>
      </c>
      <c r="B6367">
        <v>6.46</v>
      </c>
      <c r="D6367" s="2">
        <v>43615</v>
      </c>
      <c r="E6367">
        <v>6</v>
      </c>
      <c r="G6367" s="2">
        <v>43615</v>
      </c>
      <c r="H6367">
        <v>6.3360000000000003</v>
      </c>
      <c r="J6367" s="2">
        <v>43622</v>
      </c>
      <c r="K6367" s="3">
        <f t="shared" si="198"/>
        <v>5.75</v>
      </c>
      <c r="L6367" s="3">
        <f t="shared" si="199"/>
        <v>6.1520000000000001</v>
      </c>
    </row>
    <row r="6368" spans="1:12" x14ac:dyDescent="0.3">
      <c r="A6368" s="2">
        <v>42885</v>
      </c>
      <c r="B6368">
        <v>6.46</v>
      </c>
      <c r="D6368" s="2">
        <v>43616</v>
      </c>
      <c r="E6368">
        <v>6</v>
      </c>
      <c r="G6368" s="2">
        <v>43616</v>
      </c>
      <c r="H6368">
        <v>6.2569999999999997</v>
      </c>
      <c r="J6368" s="2">
        <v>43623</v>
      </c>
      <c r="K6368" s="3">
        <f t="shared" si="198"/>
        <v>5.75</v>
      </c>
      <c r="L6368" s="3">
        <f t="shared" si="199"/>
        <v>6.1470000000000002</v>
      </c>
    </row>
    <row r="6369" spans="1:12" x14ac:dyDescent="0.3">
      <c r="A6369" s="2">
        <v>42886</v>
      </c>
      <c r="B6369">
        <v>6.46</v>
      </c>
      <c r="D6369" s="2">
        <v>43617</v>
      </c>
      <c r="E6369">
        <v>6</v>
      </c>
      <c r="G6369" s="2">
        <v>43617</v>
      </c>
      <c r="H6369">
        <v>6.2569999999999997</v>
      </c>
      <c r="J6369" s="2">
        <v>43624</v>
      </c>
      <c r="K6369" s="3">
        <f t="shared" si="198"/>
        <v>5.75</v>
      </c>
      <c r="L6369" s="3">
        <f t="shared" si="199"/>
        <v>6.1470000000000002</v>
      </c>
    </row>
    <row r="6370" spans="1:12" x14ac:dyDescent="0.3">
      <c r="A6370" s="2">
        <v>42887</v>
      </c>
      <c r="B6370">
        <v>6.46</v>
      </c>
      <c r="D6370" s="2">
        <v>43618</v>
      </c>
      <c r="E6370">
        <v>6</v>
      </c>
      <c r="G6370" s="2">
        <v>43618</v>
      </c>
      <c r="H6370">
        <v>6.2569999999999997</v>
      </c>
      <c r="J6370" s="2">
        <v>43625</v>
      </c>
      <c r="K6370" s="3">
        <f t="shared" si="198"/>
        <v>5.75</v>
      </c>
      <c r="L6370" s="3">
        <f t="shared" si="199"/>
        <v>6.1470000000000002</v>
      </c>
    </row>
    <row r="6371" spans="1:12" x14ac:dyDescent="0.3">
      <c r="A6371" s="2">
        <v>42888</v>
      </c>
      <c r="B6371">
        <v>6.46</v>
      </c>
      <c r="D6371" s="2">
        <v>43619</v>
      </c>
      <c r="E6371">
        <v>6</v>
      </c>
      <c r="G6371" s="2">
        <v>43619</v>
      </c>
      <c r="H6371">
        <v>6.194</v>
      </c>
      <c r="J6371" s="2">
        <v>43626</v>
      </c>
      <c r="K6371" s="3">
        <f t="shared" si="198"/>
        <v>5.75</v>
      </c>
      <c r="L6371" s="3">
        <f t="shared" si="199"/>
        <v>6.1950000000000003</v>
      </c>
    </row>
    <row r="6372" spans="1:12" x14ac:dyDescent="0.3">
      <c r="A6372" s="2">
        <v>42889</v>
      </c>
      <c r="B6372">
        <v>6.46</v>
      </c>
      <c r="D6372" s="2">
        <v>43620</v>
      </c>
      <c r="E6372">
        <v>6</v>
      </c>
      <c r="G6372" s="2">
        <v>43620</v>
      </c>
      <c r="H6372">
        <v>6.2279999999999998</v>
      </c>
      <c r="J6372" s="2">
        <v>43627</v>
      </c>
      <c r="K6372" s="3">
        <f t="shared" si="198"/>
        <v>5.75</v>
      </c>
      <c r="L6372" s="3">
        <f t="shared" si="199"/>
        <v>6.15</v>
      </c>
    </row>
    <row r="6373" spans="1:12" x14ac:dyDescent="0.3">
      <c r="A6373" s="2">
        <v>42890</v>
      </c>
      <c r="B6373">
        <v>6.46</v>
      </c>
      <c r="D6373" s="2">
        <v>43621</v>
      </c>
      <c r="E6373">
        <v>6</v>
      </c>
      <c r="G6373" s="2">
        <v>43621</v>
      </c>
      <c r="H6373">
        <v>6.2279999999999998</v>
      </c>
      <c r="J6373" s="2">
        <v>43628</v>
      </c>
      <c r="K6373" s="3">
        <f t="shared" si="198"/>
        <v>5.75</v>
      </c>
      <c r="L6373" s="3">
        <f t="shared" si="199"/>
        <v>6.1479999999999997</v>
      </c>
    </row>
    <row r="6374" spans="1:12" x14ac:dyDescent="0.3">
      <c r="A6374" s="2">
        <v>42891</v>
      </c>
      <c r="B6374">
        <v>6.46</v>
      </c>
      <c r="D6374" s="2">
        <v>43622</v>
      </c>
      <c r="E6374">
        <v>5.75</v>
      </c>
      <c r="G6374" s="2">
        <v>43622</v>
      </c>
      <c r="H6374">
        <v>6.1520000000000001</v>
      </c>
      <c r="J6374" s="2">
        <v>43629</v>
      </c>
      <c r="K6374" s="3">
        <f t="shared" si="198"/>
        <v>5.75</v>
      </c>
      <c r="L6374" s="3">
        <f t="shared" si="199"/>
        <v>6.1529999999999996</v>
      </c>
    </row>
    <row r="6375" spans="1:12" x14ac:dyDescent="0.3">
      <c r="A6375" s="2">
        <v>42892</v>
      </c>
      <c r="B6375">
        <v>6.46</v>
      </c>
      <c r="D6375" s="2">
        <v>43623</v>
      </c>
      <c r="E6375">
        <v>5.75</v>
      </c>
      <c r="G6375" s="2">
        <v>43623</v>
      </c>
      <c r="H6375">
        <v>6.1470000000000002</v>
      </c>
      <c r="J6375" s="2">
        <v>43630</v>
      </c>
      <c r="K6375" s="3">
        <f t="shared" si="198"/>
        <v>5.75</v>
      </c>
      <c r="L6375" s="3">
        <f t="shared" si="199"/>
        <v>6.1219999999999999</v>
      </c>
    </row>
    <row r="6376" spans="1:12" x14ac:dyDescent="0.3">
      <c r="A6376" s="2">
        <v>42893</v>
      </c>
      <c r="B6376">
        <v>6.46</v>
      </c>
      <c r="D6376" s="2">
        <v>43624</v>
      </c>
      <c r="E6376">
        <v>5.75</v>
      </c>
      <c r="G6376" s="2">
        <v>43624</v>
      </c>
      <c r="H6376">
        <v>6.1470000000000002</v>
      </c>
      <c r="J6376" s="2">
        <v>43631</v>
      </c>
      <c r="K6376" s="3">
        <f t="shared" si="198"/>
        <v>5.75</v>
      </c>
      <c r="L6376" s="3">
        <f t="shared" si="199"/>
        <v>6.1219999999999999</v>
      </c>
    </row>
    <row r="6377" spans="1:12" x14ac:dyDescent="0.3">
      <c r="A6377" s="2">
        <v>42894</v>
      </c>
      <c r="B6377">
        <v>6.46</v>
      </c>
      <c r="D6377" s="2">
        <v>43625</v>
      </c>
      <c r="E6377">
        <v>5.75</v>
      </c>
      <c r="G6377" s="2">
        <v>43625</v>
      </c>
      <c r="H6377">
        <v>6.1470000000000002</v>
      </c>
      <c r="J6377" s="2">
        <v>43632</v>
      </c>
      <c r="K6377" s="3">
        <f t="shared" si="198"/>
        <v>5.75</v>
      </c>
      <c r="L6377" s="3">
        <f t="shared" si="199"/>
        <v>6.1219999999999999</v>
      </c>
    </row>
    <row r="6378" spans="1:12" x14ac:dyDescent="0.3">
      <c r="A6378" s="2">
        <v>42895</v>
      </c>
      <c r="B6378">
        <v>6.46</v>
      </c>
      <c r="D6378" s="2">
        <v>43626</v>
      </c>
      <c r="E6378">
        <v>5.75</v>
      </c>
      <c r="G6378" s="2">
        <v>43626</v>
      </c>
      <c r="H6378">
        <v>6.1950000000000003</v>
      </c>
      <c r="J6378" s="2">
        <v>43633</v>
      </c>
      <c r="K6378" s="3">
        <f t="shared" si="198"/>
        <v>5.75</v>
      </c>
      <c r="L6378" s="3">
        <f t="shared" si="199"/>
        <v>6.12</v>
      </c>
    </row>
    <row r="6379" spans="1:12" x14ac:dyDescent="0.3">
      <c r="A6379" s="2">
        <v>42896</v>
      </c>
      <c r="B6379">
        <v>6.46</v>
      </c>
      <c r="D6379" s="2">
        <v>43627</v>
      </c>
      <c r="E6379">
        <v>5.75</v>
      </c>
      <c r="G6379" s="2">
        <v>43627</v>
      </c>
      <c r="H6379">
        <v>6.15</v>
      </c>
      <c r="J6379" s="2">
        <v>43634</v>
      </c>
      <c r="K6379" s="3">
        <f t="shared" si="198"/>
        <v>5.75</v>
      </c>
      <c r="L6379" s="3">
        <f t="shared" si="199"/>
        <v>6.0670000000000002</v>
      </c>
    </row>
    <row r="6380" spans="1:12" x14ac:dyDescent="0.3">
      <c r="A6380" s="2">
        <v>42897</v>
      </c>
      <c r="B6380">
        <v>6.46</v>
      </c>
      <c r="D6380" s="2">
        <v>43628</v>
      </c>
      <c r="E6380">
        <v>5.75</v>
      </c>
      <c r="G6380" s="2">
        <v>43628</v>
      </c>
      <c r="H6380">
        <v>6.1479999999999997</v>
      </c>
      <c r="J6380" s="2">
        <v>43635</v>
      </c>
      <c r="K6380" s="3">
        <f t="shared" si="198"/>
        <v>5.75</v>
      </c>
      <c r="L6380" s="3">
        <f t="shared" si="199"/>
        <v>6.1029999999999998</v>
      </c>
    </row>
    <row r="6381" spans="1:12" x14ac:dyDescent="0.3">
      <c r="A6381" s="2">
        <v>42898</v>
      </c>
      <c r="B6381">
        <v>6.46</v>
      </c>
      <c r="D6381" s="2">
        <v>43629</v>
      </c>
      <c r="E6381">
        <v>5.75</v>
      </c>
      <c r="G6381" s="2">
        <v>43629</v>
      </c>
      <c r="H6381">
        <v>6.1529999999999996</v>
      </c>
      <c r="J6381" s="2">
        <v>43636</v>
      </c>
      <c r="K6381" s="3">
        <f t="shared" si="198"/>
        <v>5.75</v>
      </c>
      <c r="L6381" s="3">
        <f t="shared" si="199"/>
        <v>6.0759999999999996</v>
      </c>
    </row>
    <row r="6382" spans="1:12" x14ac:dyDescent="0.3">
      <c r="A6382" s="2">
        <v>42899</v>
      </c>
      <c r="B6382">
        <v>6.46</v>
      </c>
      <c r="D6382" s="2">
        <v>43630</v>
      </c>
      <c r="E6382">
        <v>5.75</v>
      </c>
      <c r="G6382" s="2">
        <v>43630</v>
      </c>
      <c r="H6382">
        <v>6.1219999999999999</v>
      </c>
      <c r="J6382" s="2">
        <v>43637</v>
      </c>
      <c r="K6382" s="3">
        <f t="shared" si="198"/>
        <v>5.75</v>
      </c>
      <c r="L6382" s="3">
        <f t="shared" si="199"/>
        <v>6.1219999999999999</v>
      </c>
    </row>
    <row r="6383" spans="1:12" x14ac:dyDescent="0.3">
      <c r="A6383" s="2">
        <v>42900</v>
      </c>
      <c r="B6383">
        <v>6.46</v>
      </c>
      <c r="D6383" s="2">
        <v>43631</v>
      </c>
      <c r="E6383">
        <v>5.75</v>
      </c>
      <c r="G6383" s="2">
        <v>43631</v>
      </c>
      <c r="H6383">
        <v>6.1219999999999999</v>
      </c>
      <c r="J6383" s="2">
        <v>43638</v>
      </c>
      <c r="K6383" s="3">
        <f t="shared" si="198"/>
        <v>5.75</v>
      </c>
      <c r="L6383" s="3">
        <f t="shared" si="199"/>
        <v>6.1219999999999999</v>
      </c>
    </row>
    <row r="6384" spans="1:12" x14ac:dyDescent="0.3">
      <c r="A6384" s="2">
        <v>42901</v>
      </c>
      <c r="B6384">
        <v>6.46</v>
      </c>
      <c r="D6384" s="2">
        <v>43632</v>
      </c>
      <c r="E6384">
        <v>5.75</v>
      </c>
      <c r="G6384" s="2">
        <v>43632</v>
      </c>
      <c r="H6384">
        <v>6.1219999999999999</v>
      </c>
      <c r="J6384" s="2">
        <v>43639</v>
      </c>
      <c r="K6384" s="3">
        <f t="shared" si="198"/>
        <v>5.75</v>
      </c>
      <c r="L6384" s="3">
        <f t="shared" si="199"/>
        <v>6.1219999999999999</v>
      </c>
    </row>
    <row r="6385" spans="1:12" x14ac:dyDescent="0.3">
      <c r="A6385" s="2">
        <v>42902</v>
      </c>
      <c r="B6385">
        <v>6.46</v>
      </c>
      <c r="D6385" s="2">
        <v>43633</v>
      </c>
      <c r="E6385">
        <v>5.75</v>
      </c>
      <c r="G6385" s="2">
        <v>43633</v>
      </c>
      <c r="H6385">
        <v>6.12</v>
      </c>
      <c r="J6385" s="2">
        <v>43640</v>
      </c>
      <c r="K6385" s="3">
        <f t="shared" si="198"/>
        <v>5.75</v>
      </c>
      <c r="L6385" s="3">
        <f t="shared" si="199"/>
        <v>6.1589999999999998</v>
      </c>
    </row>
    <row r="6386" spans="1:12" x14ac:dyDescent="0.3">
      <c r="A6386" s="2">
        <v>42903</v>
      </c>
      <c r="B6386">
        <v>6.46</v>
      </c>
      <c r="D6386" s="2">
        <v>43634</v>
      </c>
      <c r="E6386">
        <v>5.75</v>
      </c>
      <c r="G6386" s="2">
        <v>43634</v>
      </c>
      <c r="H6386">
        <v>6.0670000000000002</v>
      </c>
      <c r="J6386" s="2">
        <v>43641</v>
      </c>
      <c r="K6386" s="3">
        <f t="shared" si="198"/>
        <v>5.75</v>
      </c>
      <c r="L6386" s="3">
        <f t="shared" si="199"/>
        <v>6.1180000000000003</v>
      </c>
    </row>
    <row r="6387" spans="1:12" x14ac:dyDescent="0.3">
      <c r="A6387" s="2">
        <v>42904</v>
      </c>
      <c r="B6387">
        <v>6.46</v>
      </c>
      <c r="D6387" s="2">
        <v>43635</v>
      </c>
      <c r="E6387">
        <v>5.75</v>
      </c>
      <c r="G6387" s="2">
        <v>43635</v>
      </c>
      <c r="H6387">
        <v>6.1029999999999998</v>
      </c>
      <c r="J6387" s="2">
        <v>43642</v>
      </c>
      <c r="K6387" s="3">
        <f t="shared" si="198"/>
        <v>5.75</v>
      </c>
      <c r="L6387" s="3">
        <f t="shared" si="199"/>
        <v>6.1289999999999996</v>
      </c>
    </row>
    <row r="6388" spans="1:12" x14ac:dyDescent="0.3">
      <c r="A6388" s="2">
        <v>42905</v>
      </c>
      <c r="B6388">
        <v>6.46</v>
      </c>
      <c r="D6388" s="2">
        <v>43636</v>
      </c>
      <c r="E6388">
        <v>5.75</v>
      </c>
      <c r="G6388" s="2">
        <v>43636</v>
      </c>
      <c r="H6388">
        <v>6.0759999999999996</v>
      </c>
      <c r="J6388" s="2">
        <v>43643</v>
      </c>
      <c r="K6388" s="3">
        <f t="shared" si="198"/>
        <v>5.75</v>
      </c>
      <c r="L6388" s="3">
        <f t="shared" si="199"/>
        <v>6.1139999999999999</v>
      </c>
    </row>
    <row r="6389" spans="1:12" x14ac:dyDescent="0.3">
      <c r="A6389" s="2">
        <v>42906</v>
      </c>
      <c r="B6389">
        <v>6.46</v>
      </c>
      <c r="D6389" s="2">
        <v>43637</v>
      </c>
      <c r="E6389">
        <v>5.75</v>
      </c>
      <c r="G6389" s="2">
        <v>43637</v>
      </c>
      <c r="H6389">
        <v>6.1219999999999999</v>
      </c>
      <c r="J6389" s="2">
        <v>43644</v>
      </c>
      <c r="K6389" s="3">
        <f t="shared" si="198"/>
        <v>5.75</v>
      </c>
      <c r="L6389" s="3">
        <f t="shared" si="199"/>
        <v>6.1890000000000001</v>
      </c>
    </row>
    <row r="6390" spans="1:12" x14ac:dyDescent="0.3">
      <c r="A6390" s="2">
        <v>42907</v>
      </c>
      <c r="B6390">
        <v>6.46</v>
      </c>
      <c r="D6390" s="2">
        <v>43638</v>
      </c>
      <c r="E6390">
        <v>5.75</v>
      </c>
      <c r="G6390" s="2">
        <v>43638</v>
      </c>
      <c r="H6390">
        <v>6.1219999999999999</v>
      </c>
      <c r="J6390" s="2">
        <v>43645</v>
      </c>
      <c r="K6390" s="3">
        <f t="shared" si="198"/>
        <v>5.75</v>
      </c>
      <c r="L6390" s="3">
        <f t="shared" si="199"/>
        <v>6.1890000000000001</v>
      </c>
    </row>
    <row r="6391" spans="1:12" x14ac:dyDescent="0.3">
      <c r="A6391" s="2">
        <v>42908</v>
      </c>
      <c r="B6391">
        <v>6.46</v>
      </c>
      <c r="D6391" s="2">
        <v>43639</v>
      </c>
      <c r="E6391">
        <v>5.75</v>
      </c>
      <c r="G6391" s="2">
        <v>43639</v>
      </c>
      <c r="H6391">
        <v>6.1219999999999999</v>
      </c>
      <c r="J6391" s="2">
        <v>43646</v>
      </c>
      <c r="K6391" s="3">
        <f t="shared" si="198"/>
        <v>5.75</v>
      </c>
      <c r="L6391" s="3">
        <f t="shared" si="199"/>
        <v>6.1890000000000001</v>
      </c>
    </row>
    <row r="6392" spans="1:12" x14ac:dyDescent="0.3">
      <c r="A6392" s="2">
        <v>42909</v>
      </c>
      <c r="B6392">
        <v>6.46</v>
      </c>
      <c r="D6392" s="2">
        <v>43640</v>
      </c>
      <c r="E6392">
        <v>5.75</v>
      </c>
      <c r="G6392" s="2">
        <v>43640</v>
      </c>
      <c r="H6392">
        <v>6.1589999999999998</v>
      </c>
      <c r="J6392" s="2">
        <v>43647</v>
      </c>
      <c r="K6392" s="3">
        <f t="shared" si="198"/>
        <v>5.75</v>
      </c>
      <c r="L6392" s="3">
        <f t="shared" si="199"/>
        <v>6.16</v>
      </c>
    </row>
    <row r="6393" spans="1:12" x14ac:dyDescent="0.3">
      <c r="A6393" s="2">
        <v>42910</v>
      </c>
      <c r="B6393">
        <v>6.46</v>
      </c>
      <c r="D6393" s="2">
        <v>43641</v>
      </c>
      <c r="E6393">
        <v>5.75</v>
      </c>
      <c r="G6393" s="2">
        <v>43641</v>
      </c>
      <c r="H6393">
        <v>6.1180000000000003</v>
      </c>
      <c r="J6393" s="2">
        <v>43648</v>
      </c>
      <c r="K6393" s="3">
        <f t="shared" si="198"/>
        <v>5.75</v>
      </c>
      <c r="L6393" s="3">
        <f t="shared" si="199"/>
        <v>6.1859999999999999</v>
      </c>
    </row>
    <row r="6394" spans="1:12" x14ac:dyDescent="0.3">
      <c r="A6394" s="2">
        <v>42911</v>
      </c>
      <c r="B6394">
        <v>6.46</v>
      </c>
      <c r="D6394" s="2">
        <v>43642</v>
      </c>
      <c r="E6394">
        <v>5.75</v>
      </c>
      <c r="G6394" s="2">
        <v>43642</v>
      </c>
      <c r="H6394">
        <v>6.1289999999999996</v>
      </c>
      <c r="J6394" s="2">
        <v>43649</v>
      </c>
      <c r="K6394" s="3">
        <f t="shared" si="198"/>
        <v>5.75</v>
      </c>
      <c r="L6394" s="3">
        <f t="shared" si="199"/>
        <v>6.1360000000000001</v>
      </c>
    </row>
    <row r="6395" spans="1:12" x14ac:dyDescent="0.3">
      <c r="A6395" s="2">
        <v>42912</v>
      </c>
      <c r="B6395">
        <v>6.46</v>
      </c>
      <c r="D6395" s="2">
        <v>43643</v>
      </c>
      <c r="E6395">
        <v>5.75</v>
      </c>
      <c r="G6395" s="2">
        <v>43643</v>
      </c>
      <c r="H6395">
        <v>6.1139999999999999</v>
      </c>
      <c r="J6395" s="2">
        <v>43650</v>
      </c>
      <c r="K6395" s="3">
        <f t="shared" si="198"/>
        <v>5.75</v>
      </c>
      <c r="L6395" s="3">
        <f t="shared" si="199"/>
        <v>6.101</v>
      </c>
    </row>
    <row r="6396" spans="1:12" x14ac:dyDescent="0.3">
      <c r="A6396" s="2">
        <v>42913</v>
      </c>
      <c r="B6396">
        <v>6.46</v>
      </c>
      <c r="D6396" s="2">
        <v>43644</v>
      </c>
      <c r="E6396">
        <v>5.75</v>
      </c>
      <c r="G6396" s="2">
        <v>43644</v>
      </c>
      <c r="H6396">
        <v>6.1890000000000001</v>
      </c>
      <c r="J6396" s="2">
        <v>43651</v>
      </c>
      <c r="K6396" s="3">
        <f t="shared" si="198"/>
        <v>5.75</v>
      </c>
      <c r="L6396" s="3">
        <f t="shared" si="199"/>
        <v>6.1230000000000002</v>
      </c>
    </row>
    <row r="6397" spans="1:12" x14ac:dyDescent="0.3">
      <c r="A6397" s="2">
        <v>42914</v>
      </c>
      <c r="B6397">
        <v>6.46</v>
      </c>
      <c r="D6397" s="2">
        <v>43645</v>
      </c>
      <c r="E6397">
        <v>5.75</v>
      </c>
      <c r="G6397" s="2">
        <v>43645</v>
      </c>
      <c r="H6397">
        <v>6.1890000000000001</v>
      </c>
      <c r="J6397" s="2">
        <v>43652</v>
      </c>
      <c r="K6397" s="3">
        <f t="shared" si="198"/>
        <v>5.75</v>
      </c>
      <c r="L6397" s="3">
        <f t="shared" si="199"/>
        <v>6.1230000000000002</v>
      </c>
    </row>
    <row r="6398" spans="1:12" x14ac:dyDescent="0.3">
      <c r="A6398" s="2">
        <v>42915</v>
      </c>
      <c r="B6398">
        <v>6.46</v>
      </c>
      <c r="D6398" s="2">
        <v>43646</v>
      </c>
      <c r="E6398">
        <v>5.75</v>
      </c>
      <c r="G6398" s="2">
        <v>43646</v>
      </c>
      <c r="H6398">
        <v>6.1890000000000001</v>
      </c>
      <c r="J6398" s="2">
        <v>43653</v>
      </c>
      <c r="K6398" s="3">
        <f t="shared" si="198"/>
        <v>5.75</v>
      </c>
      <c r="L6398" s="3">
        <f t="shared" si="199"/>
        <v>6.1230000000000002</v>
      </c>
    </row>
    <row r="6399" spans="1:12" x14ac:dyDescent="0.3">
      <c r="A6399" s="2">
        <v>42916</v>
      </c>
      <c r="B6399">
        <v>6.46</v>
      </c>
      <c r="D6399" s="2">
        <v>43647</v>
      </c>
      <c r="E6399">
        <v>5.75</v>
      </c>
      <c r="G6399" s="2">
        <v>43647</v>
      </c>
      <c r="H6399">
        <v>6.16</v>
      </c>
      <c r="J6399" s="2">
        <v>43654</v>
      </c>
      <c r="K6399" s="3">
        <f t="shared" si="198"/>
        <v>5.75</v>
      </c>
      <c r="L6399" s="3">
        <f t="shared" si="199"/>
        <v>6.1360000000000001</v>
      </c>
    </row>
    <row r="6400" spans="1:12" x14ac:dyDescent="0.3">
      <c r="A6400" s="2">
        <v>42917</v>
      </c>
      <c r="B6400">
        <v>6.46</v>
      </c>
      <c r="D6400" s="2">
        <v>43648</v>
      </c>
      <c r="E6400">
        <v>5.75</v>
      </c>
      <c r="G6400" s="2">
        <v>43648</v>
      </c>
      <c r="H6400">
        <v>6.1859999999999999</v>
      </c>
      <c r="J6400" s="2">
        <v>43655</v>
      </c>
      <c r="K6400" s="3">
        <f t="shared" si="198"/>
        <v>5.75</v>
      </c>
      <c r="L6400" s="3">
        <f t="shared" si="199"/>
        <v>6.0910000000000002</v>
      </c>
    </row>
    <row r="6401" spans="1:12" x14ac:dyDescent="0.3">
      <c r="A6401" s="2">
        <v>42918</v>
      </c>
      <c r="B6401">
        <v>6.46</v>
      </c>
      <c r="D6401" s="2">
        <v>43649</v>
      </c>
      <c r="E6401">
        <v>5.75</v>
      </c>
      <c r="G6401" s="2">
        <v>43649</v>
      </c>
      <c r="H6401">
        <v>6.1360000000000001</v>
      </c>
      <c r="J6401" s="2">
        <v>43656</v>
      </c>
      <c r="K6401" s="3">
        <f t="shared" si="198"/>
        <v>5.75</v>
      </c>
      <c r="L6401" s="3">
        <f t="shared" si="199"/>
        <v>6.077</v>
      </c>
    </row>
    <row r="6402" spans="1:12" x14ac:dyDescent="0.3">
      <c r="A6402" s="2">
        <v>42919</v>
      </c>
      <c r="B6402">
        <v>6.46</v>
      </c>
      <c r="D6402" s="2">
        <v>43650</v>
      </c>
      <c r="E6402">
        <v>5.75</v>
      </c>
      <c r="G6402" s="2">
        <v>43650</v>
      </c>
      <c r="H6402">
        <v>6.101</v>
      </c>
      <c r="J6402" s="2">
        <v>43657</v>
      </c>
      <c r="K6402" s="3">
        <f t="shared" si="198"/>
        <v>5.75</v>
      </c>
      <c r="L6402" s="3">
        <f t="shared" si="199"/>
        <v>6.0419999999999998</v>
      </c>
    </row>
    <row r="6403" spans="1:12" x14ac:dyDescent="0.3">
      <c r="A6403" s="2">
        <v>42920</v>
      </c>
      <c r="B6403">
        <v>6.46</v>
      </c>
      <c r="D6403" s="2">
        <v>43651</v>
      </c>
      <c r="E6403">
        <v>5.75</v>
      </c>
      <c r="G6403" s="2">
        <v>43651</v>
      </c>
      <c r="H6403">
        <v>6.1230000000000002</v>
      </c>
      <c r="J6403" s="2">
        <v>43658</v>
      </c>
      <c r="K6403" s="3">
        <f t="shared" ref="K6403:K6466" si="200">E6410</f>
        <v>5.75</v>
      </c>
      <c r="L6403" s="3">
        <f t="shared" ref="L6403:L6466" si="201">H6410</f>
        <v>6.0430000000000001</v>
      </c>
    </row>
    <row r="6404" spans="1:12" x14ac:dyDescent="0.3">
      <c r="A6404" s="2">
        <v>42921</v>
      </c>
      <c r="B6404">
        <v>6.46</v>
      </c>
      <c r="D6404" s="2">
        <v>43652</v>
      </c>
      <c r="E6404">
        <v>5.75</v>
      </c>
      <c r="G6404" s="2">
        <v>43652</v>
      </c>
      <c r="H6404">
        <v>6.1230000000000002</v>
      </c>
      <c r="J6404" s="2">
        <v>43659</v>
      </c>
      <c r="K6404" s="3">
        <f t="shared" si="200"/>
        <v>5.75</v>
      </c>
      <c r="L6404" s="3">
        <f t="shared" si="201"/>
        <v>6.0430000000000001</v>
      </c>
    </row>
    <row r="6405" spans="1:12" x14ac:dyDescent="0.3">
      <c r="A6405" s="2">
        <v>42922</v>
      </c>
      <c r="B6405">
        <v>6.46</v>
      </c>
      <c r="D6405" s="2">
        <v>43653</v>
      </c>
      <c r="E6405">
        <v>5.75</v>
      </c>
      <c r="G6405" s="2">
        <v>43653</v>
      </c>
      <c r="H6405">
        <v>6.1230000000000002</v>
      </c>
      <c r="J6405" s="2">
        <v>43660</v>
      </c>
      <c r="K6405" s="3">
        <f t="shared" si="200"/>
        <v>5.75</v>
      </c>
      <c r="L6405" s="3">
        <f t="shared" si="201"/>
        <v>6.0430000000000001</v>
      </c>
    </row>
    <row r="6406" spans="1:12" x14ac:dyDescent="0.3">
      <c r="A6406" s="2">
        <v>42923</v>
      </c>
      <c r="B6406">
        <v>6.46</v>
      </c>
      <c r="D6406" s="2">
        <v>43654</v>
      </c>
      <c r="E6406">
        <v>5.75</v>
      </c>
      <c r="G6406" s="2">
        <v>43654</v>
      </c>
      <c r="H6406">
        <v>6.1360000000000001</v>
      </c>
      <c r="J6406" s="2">
        <v>43661</v>
      </c>
      <c r="K6406" s="3">
        <f t="shared" si="200"/>
        <v>5.75</v>
      </c>
      <c r="L6406" s="3">
        <f t="shared" si="201"/>
        <v>6.0449999999999999</v>
      </c>
    </row>
    <row r="6407" spans="1:12" x14ac:dyDescent="0.3">
      <c r="A6407" s="2">
        <v>42924</v>
      </c>
      <c r="B6407">
        <v>6.46</v>
      </c>
      <c r="D6407" s="2">
        <v>43655</v>
      </c>
      <c r="E6407">
        <v>5.75</v>
      </c>
      <c r="G6407" s="2">
        <v>43655</v>
      </c>
      <c r="H6407">
        <v>6.0910000000000002</v>
      </c>
      <c r="J6407" s="2">
        <v>43662</v>
      </c>
      <c r="K6407" s="3">
        <f t="shared" si="200"/>
        <v>5.75</v>
      </c>
      <c r="L6407" s="3">
        <f t="shared" si="201"/>
        <v>5.9809999999999999</v>
      </c>
    </row>
    <row r="6408" spans="1:12" x14ac:dyDescent="0.3">
      <c r="A6408" s="2">
        <v>42925</v>
      </c>
      <c r="B6408">
        <v>6.46</v>
      </c>
      <c r="D6408" s="2">
        <v>43656</v>
      </c>
      <c r="E6408">
        <v>5.75</v>
      </c>
      <c r="G6408" s="2">
        <v>43656</v>
      </c>
      <c r="H6408">
        <v>6.077</v>
      </c>
      <c r="J6408" s="2">
        <v>43663</v>
      </c>
      <c r="K6408" s="3">
        <f t="shared" si="200"/>
        <v>5.75</v>
      </c>
      <c r="L6408" s="3">
        <f t="shared" si="201"/>
        <v>5.8609999999999998</v>
      </c>
    </row>
    <row r="6409" spans="1:12" x14ac:dyDescent="0.3">
      <c r="A6409" s="2">
        <v>42926</v>
      </c>
      <c r="B6409">
        <v>6.46</v>
      </c>
      <c r="D6409" s="2">
        <v>43657</v>
      </c>
      <c r="E6409">
        <v>5.75</v>
      </c>
      <c r="G6409" s="2">
        <v>43657</v>
      </c>
      <c r="H6409">
        <v>6.0419999999999998</v>
      </c>
      <c r="J6409" s="2">
        <v>43664</v>
      </c>
      <c r="K6409" s="3">
        <f t="shared" si="200"/>
        <v>5.75</v>
      </c>
      <c r="L6409" s="3">
        <f t="shared" si="201"/>
        <v>5.952</v>
      </c>
    </row>
    <row r="6410" spans="1:12" x14ac:dyDescent="0.3">
      <c r="A6410" s="2">
        <v>42927</v>
      </c>
      <c r="B6410">
        <v>6.46</v>
      </c>
      <c r="D6410" s="2">
        <v>43658</v>
      </c>
      <c r="E6410">
        <v>5.75</v>
      </c>
      <c r="G6410" s="2">
        <v>43658</v>
      </c>
      <c r="H6410">
        <v>6.0430000000000001</v>
      </c>
      <c r="J6410" s="2">
        <v>43665</v>
      </c>
      <c r="K6410" s="3">
        <f t="shared" si="200"/>
        <v>5.75</v>
      </c>
      <c r="L6410" s="3">
        <f t="shared" si="201"/>
        <v>5.8380000000000001</v>
      </c>
    </row>
    <row r="6411" spans="1:12" x14ac:dyDescent="0.3">
      <c r="A6411" s="2">
        <v>42928</v>
      </c>
      <c r="B6411">
        <v>6.46</v>
      </c>
      <c r="D6411" s="2">
        <v>43659</v>
      </c>
      <c r="E6411">
        <v>5.75</v>
      </c>
      <c r="G6411" s="2">
        <v>43659</v>
      </c>
      <c r="H6411">
        <v>6.0430000000000001</v>
      </c>
      <c r="J6411" s="2">
        <v>43666</v>
      </c>
      <c r="K6411" s="3">
        <f t="shared" si="200"/>
        <v>5.75</v>
      </c>
      <c r="L6411" s="3">
        <f t="shared" si="201"/>
        <v>5.8380000000000001</v>
      </c>
    </row>
    <row r="6412" spans="1:12" x14ac:dyDescent="0.3">
      <c r="A6412" s="2">
        <v>42929</v>
      </c>
      <c r="B6412">
        <v>6.46</v>
      </c>
      <c r="D6412" s="2">
        <v>43660</v>
      </c>
      <c r="E6412">
        <v>5.75</v>
      </c>
      <c r="G6412" s="2">
        <v>43660</v>
      </c>
      <c r="H6412">
        <v>6.0430000000000001</v>
      </c>
      <c r="J6412" s="2">
        <v>43667</v>
      </c>
      <c r="K6412" s="3">
        <f t="shared" si="200"/>
        <v>5.75</v>
      </c>
      <c r="L6412" s="3">
        <f t="shared" si="201"/>
        <v>5.8380000000000001</v>
      </c>
    </row>
    <row r="6413" spans="1:12" x14ac:dyDescent="0.3">
      <c r="A6413" s="2">
        <v>42930</v>
      </c>
      <c r="B6413">
        <v>6.46</v>
      </c>
      <c r="D6413" s="2">
        <v>43661</v>
      </c>
      <c r="E6413">
        <v>5.75</v>
      </c>
      <c r="G6413" s="2">
        <v>43661</v>
      </c>
      <c r="H6413">
        <v>6.0449999999999999</v>
      </c>
      <c r="J6413" s="2">
        <v>43668</v>
      </c>
      <c r="K6413" s="3">
        <f t="shared" si="200"/>
        <v>5.75</v>
      </c>
      <c r="L6413" s="3">
        <f t="shared" si="201"/>
        <v>5.8559999999999999</v>
      </c>
    </row>
    <row r="6414" spans="1:12" x14ac:dyDescent="0.3">
      <c r="A6414" s="2">
        <v>42931</v>
      </c>
      <c r="B6414">
        <v>6.46</v>
      </c>
      <c r="D6414" s="2">
        <v>43662</v>
      </c>
      <c r="E6414">
        <v>5.75</v>
      </c>
      <c r="G6414" s="2">
        <v>43662</v>
      </c>
      <c r="H6414">
        <v>5.9809999999999999</v>
      </c>
      <c r="J6414" s="2">
        <v>43669</v>
      </c>
      <c r="K6414" s="3">
        <f t="shared" si="200"/>
        <v>5.75</v>
      </c>
      <c r="L6414" s="3">
        <f t="shared" si="201"/>
        <v>5.8630000000000004</v>
      </c>
    </row>
    <row r="6415" spans="1:12" x14ac:dyDescent="0.3">
      <c r="A6415" s="2">
        <v>42932</v>
      </c>
      <c r="B6415">
        <v>6.46</v>
      </c>
      <c r="D6415" s="2">
        <v>43663</v>
      </c>
      <c r="E6415">
        <v>5.75</v>
      </c>
      <c r="G6415" s="2">
        <v>43663</v>
      </c>
      <c r="H6415">
        <v>5.8609999999999998</v>
      </c>
      <c r="J6415" s="2">
        <v>43670</v>
      </c>
      <c r="K6415" s="3">
        <f t="shared" si="200"/>
        <v>5.75</v>
      </c>
      <c r="L6415" s="3">
        <f t="shared" si="201"/>
        <v>5.9050000000000002</v>
      </c>
    </row>
    <row r="6416" spans="1:12" x14ac:dyDescent="0.3">
      <c r="A6416" s="2">
        <v>42933</v>
      </c>
      <c r="B6416">
        <v>6.46</v>
      </c>
      <c r="D6416" s="2">
        <v>43664</v>
      </c>
      <c r="E6416">
        <v>5.75</v>
      </c>
      <c r="G6416" s="2">
        <v>43664</v>
      </c>
      <c r="H6416">
        <v>5.952</v>
      </c>
      <c r="J6416" s="2">
        <v>43671</v>
      </c>
      <c r="K6416" s="3">
        <f t="shared" si="200"/>
        <v>5.75</v>
      </c>
      <c r="L6416" s="3">
        <f t="shared" si="201"/>
        <v>5.9009999999999998</v>
      </c>
    </row>
    <row r="6417" spans="1:12" x14ac:dyDescent="0.3">
      <c r="A6417" s="2">
        <v>42934</v>
      </c>
      <c r="B6417">
        <v>6.46</v>
      </c>
      <c r="D6417" s="2">
        <v>43665</v>
      </c>
      <c r="E6417">
        <v>5.75</v>
      </c>
      <c r="G6417" s="2">
        <v>43665</v>
      </c>
      <c r="H6417">
        <v>5.8380000000000001</v>
      </c>
      <c r="J6417" s="2">
        <v>43672</v>
      </c>
      <c r="K6417" s="3">
        <f t="shared" si="200"/>
        <v>5.75</v>
      </c>
      <c r="L6417" s="3">
        <f t="shared" si="201"/>
        <v>5.9359999999999999</v>
      </c>
    </row>
    <row r="6418" spans="1:12" x14ac:dyDescent="0.3">
      <c r="A6418" s="2">
        <v>42935</v>
      </c>
      <c r="B6418">
        <v>6.46</v>
      </c>
      <c r="D6418" s="2">
        <v>43666</v>
      </c>
      <c r="E6418">
        <v>5.75</v>
      </c>
      <c r="G6418" s="2">
        <v>43666</v>
      </c>
      <c r="H6418">
        <v>5.8380000000000001</v>
      </c>
      <c r="J6418" s="2">
        <v>43673</v>
      </c>
      <c r="K6418" s="3">
        <f t="shared" si="200"/>
        <v>5.75</v>
      </c>
      <c r="L6418" s="3">
        <f t="shared" si="201"/>
        <v>5.9359999999999999</v>
      </c>
    </row>
    <row r="6419" spans="1:12" x14ac:dyDescent="0.3">
      <c r="A6419" s="2">
        <v>42936</v>
      </c>
      <c r="B6419">
        <v>6.46</v>
      </c>
      <c r="D6419" s="2">
        <v>43667</v>
      </c>
      <c r="E6419">
        <v>5.75</v>
      </c>
      <c r="G6419" s="2">
        <v>43667</v>
      </c>
      <c r="H6419">
        <v>5.8380000000000001</v>
      </c>
      <c r="J6419" s="2">
        <v>43674</v>
      </c>
      <c r="K6419" s="3">
        <f t="shared" si="200"/>
        <v>5.75</v>
      </c>
      <c r="L6419" s="3">
        <f t="shared" si="201"/>
        <v>5.9359999999999999</v>
      </c>
    </row>
    <row r="6420" spans="1:12" x14ac:dyDescent="0.3">
      <c r="A6420" s="2">
        <v>42937</v>
      </c>
      <c r="B6420">
        <v>6.46</v>
      </c>
      <c r="D6420" s="2">
        <v>43668</v>
      </c>
      <c r="E6420">
        <v>5.75</v>
      </c>
      <c r="G6420" s="2">
        <v>43668</v>
      </c>
      <c r="H6420">
        <v>5.8559999999999999</v>
      </c>
      <c r="J6420" s="2">
        <v>43675</v>
      </c>
      <c r="K6420" s="3">
        <f t="shared" si="200"/>
        <v>5.75</v>
      </c>
      <c r="L6420" s="3">
        <f t="shared" si="201"/>
        <v>5.8719999999999999</v>
      </c>
    </row>
    <row r="6421" spans="1:12" x14ac:dyDescent="0.3">
      <c r="A6421" s="2">
        <v>42938</v>
      </c>
      <c r="B6421">
        <v>6.46</v>
      </c>
      <c r="D6421" s="2">
        <v>43669</v>
      </c>
      <c r="E6421">
        <v>5.75</v>
      </c>
      <c r="G6421" s="2">
        <v>43669</v>
      </c>
      <c r="H6421">
        <v>5.8630000000000004</v>
      </c>
      <c r="J6421" s="2">
        <v>43676</v>
      </c>
      <c r="K6421" s="3">
        <f t="shared" si="200"/>
        <v>5.75</v>
      </c>
      <c r="L6421" s="3">
        <f t="shared" si="201"/>
        <v>5.9340000000000002</v>
      </c>
    </row>
    <row r="6422" spans="1:12" x14ac:dyDescent="0.3">
      <c r="A6422" s="2">
        <v>42939</v>
      </c>
      <c r="B6422">
        <v>6.46</v>
      </c>
      <c r="D6422" s="2">
        <v>43670</v>
      </c>
      <c r="E6422">
        <v>5.75</v>
      </c>
      <c r="G6422" s="2">
        <v>43670</v>
      </c>
      <c r="H6422">
        <v>5.9050000000000002</v>
      </c>
      <c r="J6422" s="2">
        <v>43677</v>
      </c>
      <c r="K6422" s="3">
        <f t="shared" si="200"/>
        <v>5.75</v>
      </c>
      <c r="L6422" s="3">
        <f t="shared" si="201"/>
        <v>5.87</v>
      </c>
    </row>
    <row r="6423" spans="1:12" x14ac:dyDescent="0.3">
      <c r="A6423" s="2">
        <v>42940</v>
      </c>
      <c r="B6423">
        <v>6.46</v>
      </c>
      <c r="D6423" s="2">
        <v>43671</v>
      </c>
      <c r="E6423">
        <v>5.75</v>
      </c>
      <c r="G6423" s="2">
        <v>43671</v>
      </c>
      <c r="H6423">
        <v>5.9009999999999998</v>
      </c>
      <c r="J6423" s="2">
        <v>43678</v>
      </c>
      <c r="K6423" s="3">
        <f t="shared" si="200"/>
        <v>5.75</v>
      </c>
      <c r="L6423" s="3">
        <f t="shared" si="201"/>
        <v>5.8410000000000002</v>
      </c>
    </row>
    <row r="6424" spans="1:12" x14ac:dyDescent="0.3">
      <c r="A6424" s="2">
        <v>42941</v>
      </c>
      <c r="B6424">
        <v>6.46</v>
      </c>
      <c r="D6424" s="2">
        <v>43672</v>
      </c>
      <c r="E6424">
        <v>5.75</v>
      </c>
      <c r="G6424" s="2">
        <v>43672</v>
      </c>
      <c r="H6424">
        <v>5.9359999999999999</v>
      </c>
      <c r="J6424" s="2">
        <v>43679</v>
      </c>
      <c r="K6424" s="3">
        <f t="shared" si="200"/>
        <v>5.75</v>
      </c>
      <c r="L6424" s="3">
        <f t="shared" si="201"/>
        <v>5.79</v>
      </c>
    </row>
    <row r="6425" spans="1:12" x14ac:dyDescent="0.3">
      <c r="A6425" s="2">
        <v>42942</v>
      </c>
      <c r="B6425">
        <v>6.46</v>
      </c>
      <c r="D6425" s="2">
        <v>43673</v>
      </c>
      <c r="E6425">
        <v>5.75</v>
      </c>
      <c r="G6425" s="2">
        <v>43673</v>
      </c>
      <c r="H6425">
        <v>5.9359999999999999</v>
      </c>
      <c r="J6425" s="2">
        <v>43680</v>
      </c>
      <c r="K6425" s="3">
        <f t="shared" si="200"/>
        <v>5.75</v>
      </c>
      <c r="L6425" s="3">
        <f t="shared" si="201"/>
        <v>5.79</v>
      </c>
    </row>
    <row r="6426" spans="1:12" x14ac:dyDescent="0.3">
      <c r="A6426" s="2">
        <v>42943</v>
      </c>
      <c r="B6426">
        <v>6.46</v>
      </c>
      <c r="D6426" s="2">
        <v>43674</v>
      </c>
      <c r="E6426">
        <v>5.75</v>
      </c>
      <c r="G6426" s="2">
        <v>43674</v>
      </c>
      <c r="H6426">
        <v>5.9359999999999999</v>
      </c>
      <c r="J6426" s="2">
        <v>43681</v>
      </c>
      <c r="K6426" s="3">
        <f t="shared" si="200"/>
        <v>5.75</v>
      </c>
      <c r="L6426" s="3">
        <f t="shared" si="201"/>
        <v>5.79</v>
      </c>
    </row>
    <row r="6427" spans="1:12" x14ac:dyDescent="0.3">
      <c r="A6427" s="2">
        <v>42944</v>
      </c>
      <c r="B6427">
        <v>6.46</v>
      </c>
      <c r="D6427" s="2">
        <v>43675</v>
      </c>
      <c r="E6427">
        <v>5.75</v>
      </c>
      <c r="G6427" s="2">
        <v>43675</v>
      </c>
      <c r="H6427">
        <v>5.8719999999999999</v>
      </c>
      <c r="J6427" s="2">
        <v>43682</v>
      </c>
      <c r="K6427" s="3">
        <f t="shared" si="200"/>
        <v>5.75</v>
      </c>
      <c r="L6427" s="3">
        <f t="shared" si="201"/>
        <v>5.7789999999999999</v>
      </c>
    </row>
    <row r="6428" spans="1:12" x14ac:dyDescent="0.3">
      <c r="A6428" s="2">
        <v>42945</v>
      </c>
      <c r="B6428">
        <v>6.46</v>
      </c>
      <c r="D6428" s="2">
        <v>43676</v>
      </c>
      <c r="E6428">
        <v>5.75</v>
      </c>
      <c r="G6428" s="2">
        <v>43676</v>
      </c>
      <c r="H6428">
        <v>5.9340000000000002</v>
      </c>
      <c r="J6428" s="2">
        <v>43683</v>
      </c>
      <c r="K6428" s="3">
        <f t="shared" si="200"/>
        <v>5.75</v>
      </c>
      <c r="L6428" s="3">
        <f t="shared" si="201"/>
        <v>5.7880000000000003</v>
      </c>
    </row>
    <row r="6429" spans="1:12" x14ac:dyDescent="0.3">
      <c r="A6429" s="2">
        <v>42946</v>
      </c>
      <c r="B6429">
        <v>6.46</v>
      </c>
      <c r="D6429" s="2">
        <v>43677</v>
      </c>
      <c r="E6429">
        <v>5.75</v>
      </c>
      <c r="G6429" s="2">
        <v>43677</v>
      </c>
      <c r="H6429">
        <v>5.87</v>
      </c>
      <c r="J6429" s="2">
        <v>43684</v>
      </c>
      <c r="K6429" s="3">
        <f t="shared" si="200"/>
        <v>5.4</v>
      </c>
      <c r="L6429" s="3">
        <f t="shared" si="201"/>
        <v>5.7110000000000003</v>
      </c>
    </row>
    <row r="6430" spans="1:12" x14ac:dyDescent="0.3">
      <c r="A6430" s="2">
        <v>42947</v>
      </c>
      <c r="B6430">
        <v>6.46</v>
      </c>
      <c r="D6430" s="2">
        <v>43678</v>
      </c>
      <c r="E6430">
        <v>5.75</v>
      </c>
      <c r="G6430" s="2">
        <v>43678</v>
      </c>
      <c r="H6430">
        <v>5.8410000000000002</v>
      </c>
      <c r="J6430" s="2">
        <v>43685</v>
      </c>
      <c r="K6430" s="3">
        <f t="shared" si="200"/>
        <v>5.4</v>
      </c>
      <c r="L6430" s="3">
        <f t="shared" si="201"/>
        <v>5.7149999999999999</v>
      </c>
    </row>
    <row r="6431" spans="1:12" x14ac:dyDescent="0.3">
      <c r="A6431" s="2">
        <v>42948</v>
      </c>
      <c r="B6431">
        <v>6.46</v>
      </c>
      <c r="D6431" s="2">
        <v>43679</v>
      </c>
      <c r="E6431">
        <v>5.75</v>
      </c>
      <c r="G6431" s="2">
        <v>43679</v>
      </c>
      <c r="H6431">
        <v>5.79</v>
      </c>
      <c r="J6431" s="2">
        <v>43686</v>
      </c>
      <c r="K6431" s="3">
        <f t="shared" si="200"/>
        <v>5.4</v>
      </c>
      <c r="L6431" s="3">
        <f t="shared" si="201"/>
        <v>5.6769999999999996</v>
      </c>
    </row>
    <row r="6432" spans="1:12" x14ac:dyDescent="0.3">
      <c r="A6432" s="2">
        <v>42949</v>
      </c>
      <c r="B6432">
        <v>6.46</v>
      </c>
      <c r="D6432" s="2">
        <v>43680</v>
      </c>
      <c r="E6432">
        <v>5.75</v>
      </c>
      <c r="G6432" s="2">
        <v>43680</v>
      </c>
      <c r="H6432">
        <v>5.79</v>
      </c>
      <c r="J6432" s="2">
        <v>43687</v>
      </c>
      <c r="K6432" s="3">
        <f t="shared" si="200"/>
        <v>5.4</v>
      </c>
      <c r="L6432" s="3">
        <f t="shared" si="201"/>
        <v>5.6769999999999996</v>
      </c>
    </row>
    <row r="6433" spans="1:12" x14ac:dyDescent="0.3">
      <c r="A6433" s="2">
        <v>42950</v>
      </c>
      <c r="B6433">
        <v>6.46</v>
      </c>
      <c r="D6433" s="2">
        <v>43681</v>
      </c>
      <c r="E6433">
        <v>5.75</v>
      </c>
      <c r="G6433" s="2">
        <v>43681</v>
      </c>
      <c r="H6433">
        <v>5.79</v>
      </c>
      <c r="J6433" s="2">
        <v>43688</v>
      </c>
      <c r="K6433" s="3">
        <f t="shared" si="200"/>
        <v>5.4</v>
      </c>
      <c r="L6433" s="3">
        <f t="shared" si="201"/>
        <v>5.6769999999999996</v>
      </c>
    </row>
    <row r="6434" spans="1:12" x14ac:dyDescent="0.3">
      <c r="A6434" s="2">
        <v>42951</v>
      </c>
      <c r="B6434">
        <v>6.46</v>
      </c>
      <c r="D6434" s="2">
        <v>43682</v>
      </c>
      <c r="E6434">
        <v>5.75</v>
      </c>
      <c r="G6434" s="2">
        <v>43682</v>
      </c>
      <c r="H6434">
        <v>5.7789999999999999</v>
      </c>
      <c r="J6434" s="2">
        <v>43689</v>
      </c>
      <c r="K6434" s="3">
        <f t="shared" si="200"/>
        <v>5.4</v>
      </c>
      <c r="L6434" s="3">
        <f t="shared" si="201"/>
        <v>5.6769999999999996</v>
      </c>
    </row>
    <row r="6435" spans="1:12" x14ac:dyDescent="0.3">
      <c r="A6435" s="2">
        <v>42952</v>
      </c>
      <c r="B6435">
        <v>6.46</v>
      </c>
      <c r="D6435" s="2">
        <v>43683</v>
      </c>
      <c r="E6435">
        <v>5.75</v>
      </c>
      <c r="G6435" s="2">
        <v>43683</v>
      </c>
      <c r="H6435">
        <v>5.7880000000000003</v>
      </c>
      <c r="J6435" s="2">
        <v>43690</v>
      </c>
      <c r="K6435" s="3">
        <f t="shared" si="200"/>
        <v>5.4</v>
      </c>
      <c r="L6435" s="3">
        <f t="shared" si="201"/>
        <v>5.6849999999999996</v>
      </c>
    </row>
    <row r="6436" spans="1:12" x14ac:dyDescent="0.3">
      <c r="A6436" s="2">
        <v>42953</v>
      </c>
      <c r="B6436">
        <v>6.46</v>
      </c>
      <c r="D6436" s="2">
        <v>43684</v>
      </c>
      <c r="E6436">
        <v>5.4</v>
      </c>
      <c r="G6436" s="2">
        <v>43684</v>
      </c>
      <c r="H6436">
        <v>5.7110000000000003</v>
      </c>
      <c r="J6436" s="2">
        <v>43691</v>
      </c>
      <c r="K6436" s="3">
        <f t="shared" si="200"/>
        <v>5.4</v>
      </c>
      <c r="L6436" s="3">
        <f t="shared" si="201"/>
        <v>5.7560000000000002</v>
      </c>
    </row>
    <row r="6437" spans="1:12" x14ac:dyDescent="0.3">
      <c r="A6437" s="2">
        <v>42954</v>
      </c>
      <c r="B6437">
        <v>6.46</v>
      </c>
      <c r="D6437" s="2">
        <v>43685</v>
      </c>
      <c r="E6437">
        <v>5.4</v>
      </c>
      <c r="G6437" s="2">
        <v>43685</v>
      </c>
      <c r="H6437">
        <v>5.7149999999999999</v>
      </c>
      <c r="J6437" s="2">
        <v>43692</v>
      </c>
      <c r="K6437" s="3">
        <f t="shared" si="200"/>
        <v>5.4</v>
      </c>
      <c r="L6437" s="3">
        <f t="shared" si="201"/>
        <v>5.7560000000000002</v>
      </c>
    </row>
    <row r="6438" spans="1:12" x14ac:dyDescent="0.3">
      <c r="A6438" s="2">
        <v>42955</v>
      </c>
      <c r="B6438">
        <v>6.46</v>
      </c>
      <c r="D6438" s="2">
        <v>43686</v>
      </c>
      <c r="E6438">
        <v>5.4</v>
      </c>
      <c r="G6438" s="2">
        <v>43686</v>
      </c>
      <c r="H6438">
        <v>5.6769999999999996</v>
      </c>
      <c r="J6438" s="2">
        <v>43693</v>
      </c>
      <c r="K6438" s="3">
        <f t="shared" si="200"/>
        <v>5.4</v>
      </c>
      <c r="L6438" s="3">
        <f t="shared" si="201"/>
        <v>5.673</v>
      </c>
    </row>
    <row r="6439" spans="1:12" x14ac:dyDescent="0.3">
      <c r="A6439" s="2">
        <v>42956</v>
      </c>
      <c r="B6439">
        <v>6.46</v>
      </c>
      <c r="D6439" s="2">
        <v>43687</v>
      </c>
      <c r="E6439">
        <v>5.4</v>
      </c>
      <c r="G6439" s="2">
        <v>43687</v>
      </c>
      <c r="H6439">
        <v>5.6769999999999996</v>
      </c>
      <c r="J6439" s="2">
        <v>43694</v>
      </c>
      <c r="K6439" s="3">
        <f t="shared" si="200"/>
        <v>5.4</v>
      </c>
      <c r="L6439" s="3">
        <f t="shared" si="201"/>
        <v>5.673</v>
      </c>
    </row>
    <row r="6440" spans="1:12" x14ac:dyDescent="0.3">
      <c r="A6440" s="2">
        <v>42957</v>
      </c>
      <c r="B6440">
        <v>6.46</v>
      </c>
      <c r="D6440" s="2">
        <v>43688</v>
      </c>
      <c r="E6440">
        <v>5.4</v>
      </c>
      <c r="G6440" s="2">
        <v>43688</v>
      </c>
      <c r="H6440">
        <v>5.6769999999999996</v>
      </c>
      <c r="J6440" s="2">
        <v>43695</v>
      </c>
      <c r="K6440" s="3">
        <f t="shared" si="200"/>
        <v>5.4</v>
      </c>
      <c r="L6440" s="3">
        <f t="shared" si="201"/>
        <v>5.673</v>
      </c>
    </row>
    <row r="6441" spans="1:12" x14ac:dyDescent="0.3">
      <c r="A6441" s="2">
        <v>42958</v>
      </c>
      <c r="B6441">
        <v>6.46</v>
      </c>
      <c r="D6441" s="2">
        <v>43689</v>
      </c>
      <c r="E6441">
        <v>5.4</v>
      </c>
      <c r="G6441" s="2">
        <v>43689</v>
      </c>
      <c r="H6441">
        <v>5.6769999999999996</v>
      </c>
      <c r="J6441" s="2">
        <v>43696</v>
      </c>
      <c r="K6441" s="3">
        <f t="shared" si="200"/>
        <v>5.4</v>
      </c>
      <c r="L6441" s="3">
        <f t="shared" si="201"/>
        <v>5.6609999999999996</v>
      </c>
    </row>
    <row r="6442" spans="1:12" x14ac:dyDescent="0.3">
      <c r="A6442" s="2">
        <v>42959</v>
      </c>
      <c r="B6442">
        <v>6.46</v>
      </c>
      <c r="D6442" s="2">
        <v>43690</v>
      </c>
      <c r="E6442">
        <v>5.4</v>
      </c>
      <c r="G6442" s="2">
        <v>43690</v>
      </c>
      <c r="H6442">
        <v>5.6849999999999996</v>
      </c>
      <c r="J6442" s="2">
        <v>43697</v>
      </c>
      <c r="K6442" s="3">
        <f t="shared" si="200"/>
        <v>5.4</v>
      </c>
      <c r="L6442" s="3">
        <f t="shared" si="201"/>
        <v>5.657</v>
      </c>
    </row>
    <row r="6443" spans="1:12" x14ac:dyDescent="0.3">
      <c r="A6443" s="2">
        <v>42960</v>
      </c>
      <c r="B6443">
        <v>6.46</v>
      </c>
      <c r="D6443" s="2">
        <v>43691</v>
      </c>
      <c r="E6443">
        <v>5.4</v>
      </c>
      <c r="G6443" s="2">
        <v>43691</v>
      </c>
      <c r="H6443">
        <v>5.7560000000000002</v>
      </c>
      <c r="J6443" s="2">
        <v>43698</v>
      </c>
      <c r="K6443" s="3">
        <f t="shared" si="200"/>
        <v>5.4</v>
      </c>
      <c r="L6443" s="3">
        <f t="shared" si="201"/>
        <v>5.694</v>
      </c>
    </row>
    <row r="6444" spans="1:12" x14ac:dyDescent="0.3">
      <c r="A6444" s="2">
        <v>42961</v>
      </c>
      <c r="B6444">
        <v>6.46</v>
      </c>
      <c r="D6444" s="2">
        <v>43692</v>
      </c>
      <c r="E6444">
        <v>5.4</v>
      </c>
      <c r="G6444" s="2">
        <v>43692</v>
      </c>
      <c r="H6444">
        <v>5.7560000000000002</v>
      </c>
      <c r="J6444" s="2">
        <v>43699</v>
      </c>
      <c r="K6444" s="3">
        <f t="shared" si="200"/>
        <v>5.4</v>
      </c>
      <c r="L6444" s="3">
        <f t="shared" si="201"/>
        <v>5.649</v>
      </c>
    </row>
    <row r="6445" spans="1:12" x14ac:dyDescent="0.3">
      <c r="A6445" s="2">
        <v>42962</v>
      </c>
      <c r="B6445">
        <v>6.46</v>
      </c>
      <c r="D6445" s="2">
        <v>43693</v>
      </c>
      <c r="E6445">
        <v>5.4</v>
      </c>
      <c r="G6445" s="2">
        <v>43693</v>
      </c>
      <c r="H6445">
        <v>5.673</v>
      </c>
      <c r="J6445" s="2">
        <v>43700</v>
      </c>
      <c r="K6445" s="3">
        <f t="shared" si="200"/>
        <v>5.4</v>
      </c>
      <c r="L6445" s="3">
        <f t="shared" si="201"/>
        <v>5.641</v>
      </c>
    </row>
    <row r="6446" spans="1:12" x14ac:dyDescent="0.3">
      <c r="A6446" s="2">
        <v>42963</v>
      </c>
      <c r="B6446">
        <v>6.46</v>
      </c>
      <c r="D6446" s="2">
        <v>43694</v>
      </c>
      <c r="E6446">
        <v>5.4</v>
      </c>
      <c r="G6446" s="2">
        <v>43694</v>
      </c>
      <c r="H6446">
        <v>5.673</v>
      </c>
      <c r="J6446" s="2">
        <v>43701</v>
      </c>
      <c r="K6446" s="3">
        <f t="shared" si="200"/>
        <v>5.4</v>
      </c>
      <c r="L6446" s="3">
        <f t="shared" si="201"/>
        <v>5.641</v>
      </c>
    </row>
    <row r="6447" spans="1:12" x14ac:dyDescent="0.3">
      <c r="A6447" s="2">
        <v>42964</v>
      </c>
      <c r="B6447">
        <v>6.46</v>
      </c>
      <c r="D6447" s="2">
        <v>43695</v>
      </c>
      <c r="E6447">
        <v>5.4</v>
      </c>
      <c r="G6447" s="2">
        <v>43695</v>
      </c>
      <c r="H6447">
        <v>5.673</v>
      </c>
      <c r="J6447" s="2">
        <v>43702</v>
      </c>
      <c r="K6447" s="3">
        <f t="shared" si="200"/>
        <v>5.4</v>
      </c>
      <c r="L6447" s="3">
        <f t="shared" si="201"/>
        <v>5.641</v>
      </c>
    </row>
    <row r="6448" spans="1:12" x14ac:dyDescent="0.3">
      <c r="A6448" s="2">
        <v>42965</v>
      </c>
      <c r="B6448">
        <v>6.46</v>
      </c>
      <c r="D6448" s="2">
        <v>43696</v>
      </c>
      <c r="E6448">
        <v>5.4</v>
      </c>
      <c r="G6448" s="2">
        <v>43696</v>
      </c>
      <c r="H6448">
        <v>5.6609999999999996</v>
      </c>
      <c r="J6448" s="2">
        <v>43703</v>
      </c>
      <c r="K6448" s="3">
        <f t="shared" si="200"/>
        <v>5.4</v>
      </c>
      <c r="L6448" s="3">
        <f t="shared" si="201"/>
        <v>5.6159999999999997</v>
      </c>
    </row>
    <row r="6449" spans="1:12" x14ac:dyDescent="0.3">
      <c r="A6449" s="2">
        <v>42966</v>
      </c>
      <c r="B6449">
        <v>6.46</v>
      </c>
      <c r="D6449" s="2">
        <v>43697</v>
      </c>
      <c r="E6449">
        <v>5.4</v>
      </c>
      <c r="G6449" s="2">
        <v>43697</v>
      </c>
      <c r="H6449">
        <v>5.657</v>
      </c>
      <c r="J6449" s="2">
        <v>43704</v>
      </c>
      <c r="K6449" s="3">
        <f t="shared" si="200"/>
        <v>5.4</v>
      </c>
      <c r="L6449" s="3">
        <f t="shared" si="201"/>
        <v>5.6660000000000004</v>
      </c>
    </row>
    <row r="6450" spans="1:12" x14ac:dyDescent="0.3">
      <c r="A6450" s="2">
        <v>42967</v>
      </c>
      <c r="B6450">
        <v>6.46</v>
      </c>
      <c r="D6450" s="2">
        <v>43698</v>
      </c>
      <c r="E6450">
        <v>5.4</v>
      </c>
      <c r="G6450" s="2">
        <v>43698</v>
      </c>
      <c r="H6450">
        <v>5.694</v>
      </c>
      <c r="J6450" s="2">
        <v>43705</v>
      </c>
      <c r="K6450" s="3">
        <f t="shared" si="200"/>
        <v>5.4</v>
      </c>
      <c r="L6450" s="3">
        <f t="shared" si="201"/>
        <v>5.6989999999999998</v>
      </c>
    </row>
    <row r="6451" spans="1:12" x14ac:dyDescent="0.3">
      <c r="A6451" s="2">
        <v>42968</v>
      </c>
      <c r="B6451">
        <v>6.46</v>
      </c>
      <c r="D6451" s="2">
        <v>43699</v>
      </c>
      <c r="E6451">
        <v>5.4</v>
      </c>
      <c r="G6451" s="2">
        <v>43699</v>
      </c>
      <c r="H6451">
        <v>5.649</v>
      </c>
      <c r="J6451" s="2">
        <v>43706</v>
      </c>
      <c r="K6451" s="3">
        <f t="shared" si="200"/>
        <v>5.4</v>
      </c>
      <c r="L6451" s="3">
        <f t="shared" si="201"/>
        <v>5.6870000000000003</v>
      </c>
    </row>
    <row r="6452" spans="1:12" x14ac:dyDescent="0.3">
      <c r="A6452" s="2">
        <v>42969</v>
      </c>
      <c r="B6452">
        <v>6.46</v>
      </c>
      <c r="D6452" s="2">
        <v>43700</v>
      </c>
      <c r="E6452">
        <v>5.4</v>
      </c>
      <c r="G6452" s="2">
        <v>43700</v>
      </c>
      <c r="H6452">
        <v>5.641</v>
      </c>
      <c r="J6452" s="2">
        <v>43707</v>
      </c>
      <c r="K6452" s="3">
        <f t="shared" si="200"/>
        <v>5.4</v>
      </c>
      <c r="L6452" s="3">
        <f t="shared" si="201"/>
        <v>5.6790000000000003</v>
      </c>
    </row>
    <row r="6453" spans="1:12" x14ac:dyDescent="0.3">
      <c r="A6453" s="2">
        <v>42970</v>
      </c>
      <c r="B6453">
        <v>6.25</v>
      </c>
      <c r="D6453" s="2">
        <v>43701</v>
      </c>
      <c r="E6453">
        <v>5.4</v>
      </c>
      <c r="G6453" s="2">
        <v>43701</v>
      </c>
      <c r="H6453">
        <v>5.641</v>
      </c>
      <c r="J6453" s="2">
        <v>43708</v>
      </c>
      <c r="K6453" s="3">
        <f t="shared" si="200"/>
        <v>5.4</v>
      </c>
      <c r="L6453" s="3">
        <f t="shared" si="201"/>
        <v>5.6790000000000003</v>
      </c>
    </row>
    <row r="6454" spans="1:12" x14ac:dyDescent="0.3">
      <c r="A6454" s="2">
        <v>42971</v>
      </c>
      <c r="B6454">
        <v>6.22</v>
      </c>
      <c r="D6454" s="2">
        <v>43702</v>
      </c>
      <c r="E6454">
        <v>5.4</v>
      </c>
      <c r="G6454" s="2">
        <v>43702</v>
      </c>
      <c r="H6454">
        <v>5.641</v>
      </c>
      <c r="J6454" s="2">
        <v>43709</v>
      </c>
      <c r="K6454" s="3">
        <f t="shared" si="200"/>
        <v>5.4</v>
      </c>
      <c r="L6454" s="3">
        <f t="shared" si="201"/>
        <v>5.6790000000000003</v>
      </c>
    </row>
    <row r="6455" spans="1:12" x14ac:dyDescent="0.3">
      <c r="A6455" s="2">
        <v>42972</v>
      </c>
      <c r="B6455">
        <v>6.22</v>
      </c>
      <c r="D6455" s="2">
        <v>43703</v>
      </c>
      <c r="E6455">
        <v>5.4</v>
      </c>
      <c r="G6455" s="2">
        <v>43703</v>
      </c>
      <c r="H6455">
        <v>5.6159999999999997</v>
      </c>
      <c r="J6455" s="2">
        <v>43710</v>
      </c>
      <c r="K6455" s="3">
        <f t="shared" si="200"/>
        <v>5.4</v>
      </c>
      <c r="L6455" s="3">
        <f t="shared" si="201"/>
        <v>5.6790000000000003</v>
      </c>
    </row>
    <row r="6456" spans="1:12" x14ac:dyDescent="0.3">
      <c r="A6456" s="2">
        <v>42973</v>
      </c>
      <c r="B6456">
        <v>6.22</v>
      </c>
      <c r="D6456" s="2">
        <v>43704</v>
      </c>
      <c r="E6456">
        <v>5.4</v>
      </c>
      <c r="G6456" s="2">
        <v>43704</v>
      </c>
      <c r="H6456">
        <v>5.6660000000000004</v>
      </c>
      <c r="J6456" s="2">
        <v>43711</v>
      </c>
      <c r="K6456" s="3">
        <f t="shared" si="200"/>
        <v>5.4</v>
      </c>
      <c r="L6456" s="3">
        <f t="shared" si="201"/>
        <v>5.6660000000000004</v>
      </c>
    </row>
    <row r="6457" spans="1:12" x14ac:dyDescent="0.3">
      <c r="A6457" s="2">
        <v>42974</v>
      </c>
      <c r="B6457">
        <v>6.22</v>
      </c>
      <c r="D6457" s="2">
        <v>43705</v>
      </c>
      <c r="E6457">
        <v>5.4</v>
      </c>
      <c r="G6457" s="2">
        <v>43705</v>
      </c>
      <c r="H6457">
        <v>5.6989999999999998</v>
      </c>
      <c r="J6457" s="2">
        <v>43712</v>
      </c>
      <c r="K6457" s="3">
        <f t="shared" si="200"/>
        <v>5.4</v>
      </c>
      <c r="L6457" s="3">
        <f t="shared" si="201"/>
        <v>5.6230000000000002</v>
      </c>
    </row>
    <row r="6458" spans="1:12" x14ac:dyDescent="0.3">
      <c r="A6458" s="2">
        <v>42975</v>
      </c>
      <c r="B6458">
        <v>6.22</v>
      </c>
      <c r="D6458" s="2">
        <v>43706</v>
      </c>
      <c r="E6458">
        <v>5.4</v>
      </c>
      <c r="G6458" s="2">
        <v>43706</v>
      </c>
      <c r="H6458">
        <v>5.6870000000000003</v>
      </c>
      <c r="J6458" s="2">
        <v>43713</v>
      </c>
      <c r="K6458" s="3">
        <f t="shared" si="200"/>
        <v>5.4</v>
      </c>
      <c r="L6458" s="3">
        <f t="shared" si="201"/>
        <v>5.6319999999999997</v>
      </c>
    </row>
    <row r="6459" spans="1:12" x14ac:dyDescent="0.3">
      <c r="A6459" s="2">
        <v>42976</v>
      </c>
      <c r="B6459">
        <v>6.22</v>
      </c>
      <c r="D6459" s="2">
        <v>43707</v>
      </c>
      <c r="E6459">
        <v>5.4</v>
      </c>
      <c r="G6459" s="2">
        <v>43707</v>
      </c>
      <c r="H6459">
        <v>5.6790000000000003</v>
      </c>
      <c r="J6459" s="2">
        <v>43714</v>
      </c>
      <c r="K6459" s="3">
        <f t="shared" si="200"/>
        <v>5.4</v>
      </c>
      <c r="L6459" s="3">
        <f t="shared" si="201"/>
        <v>5.6139999999999999</v>
      </c>
    </row>
    <row r="6460" spans="1:12" x14ac:dyDescent="0.3">
      <c r="A6460" s="2">
        <v>42977</v>
      </c>
      <c r="B6460">
        <v>6.24</v>
      </c>
      <c r="D6460" s="2">
        <v>43708</v>
      </c>
      <c r="E6460">
        <v>5.4</v>
      </c>
      <c r="G6460" s="2">
        <v>43708</v>
      </c>
      <c r="H6460">
        <v>5.6790000000000003</v>
      </c>
      <c r="J6460" s="2">
        <v>43715</v>
      </c>
      <c r="K6460" s="3">
        <f t="shared" si="200"/>
        <v>5.4</v>
      </c>
      <c r="L6460" s="3">
        <f t="shared" si="201"/>
        <v>5.6139999999999999</v>
      </c>
    </row>
    <row r="6461" spans="1:12" x14ac:dyDescent="0.3">
      <c r="A6461" s="2">
        <v>42978</v>
      </c>
      <c r="B6461">
        <v>6.24</v>
      </c>
      <c r="D6461" s="2">
        <v>43709</v>
      </c>
      <c r="E6461">
        <v>5.4</v>
      </c>
      <c r="G6461" s="2">
        <v>43709</v>
      </c>
      <c r="H6461">
        <v>5.6790000000000003</v>
      </c>
      <c r="J6461" s="2">
        <v>43716</v>
      </c>
      <c r="K6461" s="3">
        <f t="shared" si="200"/>
        <v>5.4</v>
      </c>
      <c r="L6461" s="3">
        <f t="shared" si="201"/>
        <v>5.6139999999999999</v>
      </c>
    </row>
    <row r="6462" spans="1:12" x14ac:dyDescent="0.3">
      <c r="A6462" s="2">
        <v>42979</v>
      </c>
      <c r="B6462">
        <v>6.24</v>
      </c>
      <c r="D6462" s="2">
        <v>43710</v>
      </c>
      <c r="E6462">
        <v>5.4</v>
      </c>
      <c r="G6462" s="2">
        <v>43710</v>
      </c>
      <c r="H6462">
        <v>5.6790000000000003</v>
      </c>
      <c r="J6462" s="2">
        <v>43717</v>
      </c>
      <c r="K6462" s="3">
        <f t="shared" si="200"/>
        <v>5.4</v>
      </c>
      <c r="L6462" s="3">
        <f t="shared" si="201"/>
        <v>5.641</v>
      </c>
    </row>
    <row r="6463" spans="1:12" x14ac:dyDescent="0.3">
      <c r="A6463" s="2">
        <v>42980</v>
      </c>
      <c r="B6463">
        <v>6.24</v>
      </c>
      <c r="D6463" s="2">
        <v>43711</v>
      </c>
      <c r="E6463">
        <v>5.4</v>
      </c>
      <c r="G6463" s="2">
        <v>43711</v>
      </c>
      <c r="H6463">
        <v>5.6660000000000004</v>
      </c>
      <c r="J6463" s="2">
        <v>43718</v>
      </c>
      <c r="K6463" s="3">
        <f t="shared" si="200"/>
        <v>5.4</v>
      </c>
      <c r="L6463" s="3">
        <f t="shared" si="201"/>
        <v>5.641</v>
      </c>
    </row>
    <row r="6464" spans="1:12" x14ac:dyDescent="0.3">
      <c r="A6464" s="2">
        <v>42981</v>
      </c>
      <c r="B6464">
        <v>6.24</v>
      </c>
      <c r="D6464" s="2">
        <v>43712</v>
      </c>
      <c r="E6464">
        <v>5.4</v>
      </c>
      <c r="G6464" s="2">
        <v>43712</v>
      </c>
      <c r="H6464">
        <v>5.6230000000000002</v>
      </c>
      <c r="J6464" s="2">
        <v>43719</v>
      </c>
      <c r="K6464" s="3">
        <f t="shared" si="200"/>
        <v>5.4</v>
      </c>
      <c r="L6464" s="3">
        <f t="shared" si="201"/>
        <v>5.6180000000000003</v>
      </c>
    </row>
    <row r="6465" spans="1:12" x14ac:dyDescent="0.3">
      <c r="A6465" s="2">
        <v>42982</v>
      </c>
      <c r="B6465">
        <v>6.23</v>
      </c>
      <c r="D6465" s="2">
        <v>43713</v>
      </c>
      <c r="E6465">
        <v>5.4</v>
      </c>
      <c r="G6465" s="2">
        <v>43713</v>
      </c>
      <c r="H6465">
        <v>5.6319999999999997</v>
      </c>
      <c r="J6465" s="2">
        <v>43720</v>
      </c>
      <c r="K6465" s="3">
        <f t="shared" si="200"/>
        <v>5.4</v>
      </c>
      <c r="L6465" s="3">
        <f t="shared" si="201"/>
        <v>5.6139999999999999</v>
      </c>
    </row>
    <row r="6466" spans="1:12" x14ac:dyDescent="0.3">
      <c r="A6466" s="2">
        <v>42983</v>
      </c>
      <c r="B6466">
        <v>6.24</v>
      </c>
      <c r="D6466" s="2">
        <v>43714</v>
      </c>
      <c r="E6466">
        <v>5.4</v>
      </c>
      <c r="G6466" s="2">
        <v>43714</v>
      </c>
      <c r="H6466">
        <v>5.6139999999999999</v>
      </c>
      <c r="J6466" s="2">
        <v>43721</v>
      </c>
      <c r="K6466" s="3">
        <f t="shared" si="200"/>
        <v>5.4</v>
      </c>
      <c r="L6466" s="3">
        <f t="shared" si="201"/>
        <v>5.6269999999999998</v>
      </c>
    </row>
    <row r="6467" spans="1:12" x14ac:dyDescent="0.3">
      <c r="A6467" s="2">
        <v>42984</v>
      </c>
      <c r="B6467">
        <v>6.23</v>
      </c>
      <c r="D6467" s="2">
        <v>43715</v>
      </c>
      <c r="E6467">
        <v>5.4</v>
      </c>
      <c r="G6467" s="2">
        <v>43715</v>
      </c>
      <c r="H6467">
        <v>5.6139999999999999</v>
      </c>
      <c r="J6467" s="2">
        <v>43722</v>
      </c>
      <c r="K6467" s="3">
        <f t="shared" ref="K6467:K6530" si="202">E6474</f>
        <v>5.4</v>
      </c>
      <c r="L6467" s="3">
        <f t="shared" ref="L6467:L6530" si="203">H6474</f>
        <v>5.6269999999999998</v>
      </c>
    </row>
    <row r="6468" spans="1:12" x14ac:dyDescent="0.3">
      <c r="A6468" s="2">
        <v>42985</v>
      </c>
      <c r="B6468">
        <v>6.22</v>
      </c>
      <c r="D6468" s="2">
        <v>43716</v>
      </c>
      <c r="E6468">
        <v>5.4</v>
      </c>
      <c r="G6468" s="2">
        <v>43716</v>
      </c>
      <c r="H6468">
        <v>5.6139999999999999</v>
      </c>
      <c r="J6468" s="2">
        <v>43723</v>
      </c>
      <c r="K6468" s="3">
        <f t="shared" si="202"/>
        <v>5.4</v>
      </c>
      <c r="L6468" s="3">
        <f t="shared" si="203"/>
        <v>5.6269999999999998</v>
      </c>
    </row>
    <row r="6469" spans="1:12" x14ac:dyDescent="0.3">
      <c r="A6469" s="2">
        <v>42986</v>
      </c>
      <c r="B6469">
        <v>6.23</v>
      </c>
      <c r="D6469" s="2">
        <v>43717</v>
      </c>
      <c r="E6469">
        <v>5.4</v>
      </c>
      <c r="G6469" s="2">
        <v>43717</v>
      </c>
      <c r="H6469">
        <v>5.641</v>
      </c>
      <c r="J6469" s="2">
        <v>43724</v>
      </c>
      <c r="K6469" s="3">
        <f t="shared" si="202"/>
        <v>5.4</v>
      </c>
      <c r="L6469" s="3">
        <f t="shared" si="203"/>
        <v>5.6310000000000002</v>
      </c>
    </row>
    <row r="6470" spans="1:12" x14ac:dyDescent="0.3">
      <c r="A6470" s="2">
        <v>42987</v>
      </c>
      <c r="B6470">
        <v>6.23</v>
      </c>
      <c r="D6470" s="2">
        <v>43718</v>
      </c>
      <c r="E6470">
        <v>5.4</v>
      </c>
      <c r="G6470" s="2">
        <v>43718</v>
      </c>
      <c r="H6470">
        <v>5.641</v>
      </c>
      <c r="J6470" s="2">
        <v>43725</v>
      </c>
      <c r="K6470" s="3">
        <f t="shared" si="202"/>
        <v>5.4</v>
      </c>
      <c r="L6470" s="3">
        <f t="shared" si="203"/>
        <v>5.6449999999999996</v>
      </c>
    </row>
    <row r="6471" spans="1:12" x14ac:dyDescent="0.3">
      <c r="A6471" s="2">
        <v>42988</v>
      </c>
      <c r="B6471">
        <v>6.23</v>
      </c>
      <c r="D6471" s="2">
        <v>43719</v>
      </c>
      <c r="E6471">
        <v>5.4</v>
      </c>
      <c r="G6471" s="2">
        <v>43719</v>
      </c>
      <c r="H6471">
        <v>5.6180000000000003</v>
      </c>
      <c r="J6471" s="2">
        <v>43726</v>
      </c>
      <c r="K6471" s="3">
        <f t="shared" si="202"/>
        <v>5.4</v>
      </c>
      <c r="L6471" s="3">
        <f t="shared" si="203"/>
        <v>5.5670000000000002</v>
      </c>
    </row>
    <row r="6472" spans="1:12" x14ac:dyDescent="0.3">
      <c r="A6472" s="2">
        <v>42989</v>
      </c>
      <c r="B6472">
        <v>6.23</v>
      </c>
      <c r="D6472" s="2">
        <v>43720</v>
      </c>
      <c r="E6472">
        <v>5.4</v>
      </c>
      <c r="G6472" s="2">
        <v>43720</v>
      </c>
      <c r="H6472">
        <v>5.6139999999999999</v>
      </c>
      <c r="J6472" s="2">
        <v>43727</v>
      </c>
      <c r="K6472" s="3">
        <f t="shared" si="202"/>
        <v>5.4</v>
      </c>
      <c r="L6472" s="3">
        <f t="shared" si="203"/>
        <v>5.58</v>
      </c>
    </row>
    <row r="6473" spans="1:12" x14ac:dyDescent="0.3">
      <c r="A6473" s="2">
        <v>42990</v>
      </c>
      <c r="B6473">
        <v>6.25</v>
      </c>
      <c r="D6473" s="2">
        <v>43721</v>
      </c>
      <c r="E6473">
        <v>5.4</v>
      </c>
      <c r="G6473" s="2">
        <v>43721</v>
      </c>
      <c r="H6473">
        <v>5.6269999999999998</v>
      </c>
      <c r="J6473" s="2">
        <v>43728</v>
      </c>
      <c r="K6473" s="3">
        <f t="shared" si="202"/>
        <v>5.4</v>
      </c>
      <c r="L6473" s="3">
        <f t="shared" si="203"/>
        <v>5.6029999999999998</v>
      </c>
    </row>
    <row r="6474" spans="1:12" x14ac:dyDescent="0.3">
      <c r="A6474" s="2">
        <v>42991</v>
      </c>
      <c r="B6474">
        <v>6.24</v>
      </c>
      <c r="D6474" s="2">
        <v>43722</v>
      </c>
      <c r="E6474">
        <v>5.4</v>
      </c>
      <c r="G6474" s="2">
        <v>43722</v>
      </c>
      <c r="H6474">
        <v>5.6269999999999998</v>
      </c>
      <c r="J6474" s="2">
        <v>43729</v>
      </c>
      <c r="K6474" s="3">
        <f t="shared" si="202"/>
        <v>5.4</v>
      </c>
      <c r="L6474" s="3">
        <f t="shared" si="203"/>
        <v>5.6029999999999998</v>
      </c>
    </row>
    <row r="6475" spans="1:12" x14ac:dyDescent="0.3">
      <c r="A6475" s="2">
        <v>42992</v>
      </c>
      <c r="B6475">
        <v>6.23</v>
      </c>
      <c r="D6475" s="2">
        <v>43723</v>
      </c>
      <c r="E6475">
        <v>5.4</v>
      </c>
      <c r="G6475" s="2">
        <v>43723</v>
      </c>
      <c r="H6475">
        <v>5.6269999999999998</v>
      </c>
      <c r="J6475" s="2">
        <v>43730</v>
      </c>
      <c r="K6475" s="3">
        <f t="shared" si="202"/>
        <v>5.4</v>
      </c>
      <c r="L6475" s="3">
        <f t="shared" si="203"/>
        <v>5.6029999999999998</v>
      </c>
    </row>
    <row r="6476" spans="1:12" x14ac:dyDescent="0.3">
      <c r="A6476" s="2">
        <v>42993</v>
      </c>
      <c r="B6476">
        <v>6.24</v>
      </c>
      <c r="D6476" s="2">
        <v>43724</v>
      </c>
      <c r="E6476">
        <v>5.4</v>
      </c>
      <c r="G6476" s="2">
        <v>43724</v>
      </c>
      <c r="H6476">
        <v>5.6310000000000002</v>
      </c>
      <c r="J6476" s="2">
        <v>43731</v>
      </c>
      <c r="K6476" s="3">
        <f t="shared" si="202"/>
        <v>5.4</v>
      </c>
      <c r="L6476" s="3">
        <f t="shared" si="203"/>
        <v>5.5979999999999999</v>
      </c>
    </row>
    <row r="6477" spans="1:12" x14ac:dyDescent="0.3">
      <c r="A6477" s="2">
        <v>42994</v>
      </c>
      <c r="B6477">
        <v>6.24</v>
      </c>
      <c r="D6477" s="2">
        <v>43725</v>
      </c>
      <c r="E6477">
        <v>5.4</v>
      </c>
      <c r="G6477" s="2">
        <v>43725</v>
      </c>
      <c r="H6477">
        <v>5.6449999999999996</v>
      </c>
      <c r="J6477" s="2">
        <v>43732</v>
      </c>
      <c r="K6477" s="3">
        <f t="shared" si="202"/>
        <v>5.4</v>
      </c>
      <c r="L6477" s="3">
        <f t="shared" si="203"/>
        <v>5.5739999999999998</v>
      </c>
    </row>
    <row r="6478" spans="1:12" x14ac:dyDescent="0.3">
      <c r="A6478" s="2">
        <v>42995</v>
      </c>
      <c r="B6478">
        <v>6.24</v>
      </c>
      <c r="D6478" s="2">
        <v>43726</v>
      </c>
      <c r="E6478">
        <v>5.4</v>
      </c>
      <c r="G6478" s="2">
        <v>43726</v>
      </c>
      <c r="H6478">
        <v>5.5670000000000002</v>
      </c>
      <c r="J6478" s="2">
        <v>43733</v>
      </c>
      <c r="K6478" s="3">
        <f t="shared" si="202"/>
        <v>5.4</v>
      </c>
      <c r="L6478" s="3">
        <f t="shared" si="203"/>
        <v>5.6269999999999998</v>
      </c>
    </row>
    <row r="6479" spans="1:12" x14ac:dyDescent="0.3">
      <c r="A6479" s="2">
        <v>42996</v>
      </c>
      <c r="B6479">
        <v>6.24</v>
      </c>
      <c r="D6479" s="2">
        <v>43727</v>
      </c>
      <c r="E6479">
        <v>5.4</v>
      </c>
      <c r="G6479" s="2">
        <v>43727</v>
      </c>
      <c r="H6479">
        <v>5.58</v>
      </c>
      <c r="J6479" s="2">
        <v>43734</v>
      </c>
      <c r="K6479" s="3">
        <f t="shared" si="202"/>
        <v>5.4</v>
      </c>
      <c r="L6479" s="3">
        <f t="shared" si="203"/>
        <v>5.6219999999999999</v>
      </c>
    </row>
    <row r="6480" spans="1:12" x14ac:dyDescent="0.3">
      <c r="A6480" s="2">
        <v>42997</v>
      </c>
      <c r="B6480">
        <v>6.24</v>
      </c>
      <c r="D6480" s="2">
        <v>43728</v>
      </c>
      <c r="E6480">
        <v>5.4</v>
      </c>
      <c r="G6480" s="2">
        <v>43728</v>
      </c>
      <c r="H6480">
        <v>5.6029999999999998</v>
      </c>
      <c r="J6480" s="2">
        <v>43735</v>
      </c>
      <c r="K6480" s="3">
        <f t="shared" si="202"/>
        <v>5.4</v>
      </c>
      <c r="L6480" s="3">
        <f t="shared" si="203"/>
        <v>5.6459999999999999</v>
      </c>
    </row>
    <row r="6481" spans="1:12" x14ac:dyDescent="0.3">
      <c r="A6481" s="2">
        <v>42998</v>
      </c>
      <c r="B6481">
        <v>6.25</v>
      </c>
      <c r="D6481" s="2">
        <v>43729</v>
      </c>
      <c r="E6481">
        <v>5.4</v>
      </c>
      <c r="G6481" s="2">
        <v>43729</v>
      </c>
      <c r="H6481">
        <v>5.6029999999999998</v>
      </c>
      <c r="J6481" s="2">
        <v>43736</v>
      </c>
      <c r="K6481" s="3">
        <f t="shared" si="202"/>
        <v>5.4</v>
      </c>
      <c r="L6481" s="3">
        <f t="shared" si="203"/>
        <v>5.6459999999999999</v>
      </c>
    </row>
    <row r="6482" spans="1:12" x14ac:dyDescent="0.3">
      <c r="A6482" s="2">
        <v>42999</v>
      </c>
      <c r="B6482">
        <v>6.25</v>
      </c>
      <c r="D6482" s="2">
        <v>43730</v>
      </c>
      <c r="E6482">
        <v>5.4</v>
      </c>
      <c r="G6482" s="2">
        <v>43730</v>
      </c>
      <c r="H6482">
        <v>5.6029999999999998</v>
      </c>
      <c r="J6482" s="2">
        <v>43737</v>
      </c>
      <c r="K6482" s="3">
        <f t="shared" si="202"/>
        <v>5.4</v>
      </c>
      <c r="L6482" s="3">
        <f t="shared" si="203"/>
        <v>5.6459999999999999</v>
      </c>
    </row>
    <row r="6483" spans="1:12" x14ac:dyDescent="0.3">
      <c r="A6483" s="2">
        <v>43000</v>
      </c>
      <c r="B6483">
        <v>6.24</v>
      </c>
      <c r="D6483" s="2">
        <v>43731</v>
      </c>
      <c r="E6483">
        <v>5.4</v>
      </c>
      <c r="G6483" s="2">
        <v>43731</v>
      </c>
      <c r="H6483">
        <v>5.5979999999999999</v>
      </c>
      <c r="J6483" s="2">
        <v>43738</v>
      </c>
      <c r="K6483" s="3">
        <f t="shared" si="202"/>
        <v>5.4</v>
      </c>
      <c r="L6483" s="3">
        <f t="shared" si="203"/>
        <v>5.6020000000000003</v>
      </c>
    </row>
    <row r="6484" spans="1:12" x14ac:dyDescent="0.3">
      <c r="A6484" s="2">
        <v>43001</v>
      </c>
      <c r="B6484">
        <v>6.24</v>
      </c>
      <c r="D6484" s="2">
        <v>43732</v>
      </c>
      <c r="E6484">
        <v>5.4</v>
      </c>
      <c r="G6484" s="2">
        <v>43732</v>
      </c>
      <c r="H6484">
        <v>5.5739999999999998</v>
      </c>
      <c r="J6484" s="2">
        <v>43739</v>
      </c>
      <c r="K6484" s="3">
        <f t="shared" si="202"/>
        <v>5.4</v>
      </c>
      <c r="L6484" s="3">
        <f t="shared" si="203"/>
        <v>5.5720000000000001</v>
      </c>
    </row>
    <row r="6485" spans="1:12" x14ac:dyDescent="0.3">
      <c r="A6485" s="2">
        <v>43002</v>
      </c>
      <c r="B6485">
        <v>6.24</v>
      </c>
      <c r="D6485" s="2">
        <v>43733</v>
      </c>
      <c r="E6485">
        <v>5.4</v>
      </c>
      <c r="G6485" s="2">
        <v>43733</v>
      </c>
      <c r="H6485">
        <v>5.6269999999999998</v>
      </c>
      <c r="J6485" s="2">
        <v>43740</v>
      </c>
      <c r="K6485" s="3">
        <f t="shared" si="202"/>
        <v>5.4</v>
      </c>
      <c r="L6485" s="3">
        <f t="shared" si="203"/>
        <v>5.5720000000000001</v>
      </c>
    </row>
    <row r="6486" spans="1:12" x14ac:dyDescent="0.3">
      <c r="A6486" s="2">
        <v>43003</v>
      </c>
      <c r="B6486">
        <v>6.24</v>
      </c>
      <c r="D6486" s="2">
        <v>43734</v>
      </c>
      <c r="E6486">
        <v>5.4</v>
      </c>
      <c r="G6486" s="2">
        <v>43734</v>
      </c>
      <c r="H6486">
        <v>5.6219999999999999</v>
      </c>
      <c r="J6486" s="2">
        <v>43741</v>
      </c>
      <c r="K6486" s="3">
        <f t="shared" si="202"/>
        <v>5.4</v>
      </c>
      <c r="L6486" s="3">
        <f t="shared" si="203"/>
        <v>5.4880000000000004</v>
      </c>
    </row>
    <row r="6487" spans="1:12" x14ac:dyDescent="0.3">
      <c r="A6487" s="2">
        <v>43004</v>
      </c>
      <c r="B6487">
        <v>6.25</v>
      </c>
      <c r="D6487" s="2">
        <v>43735</v>
      </c>
      <c r="E6487">
        <v>5.4</v>
      </c>
      <c r="G6487" s="2">
        <v>43735</v>
      </c>
      <c r="H6487">
        <v>5.6459999999999999</v>
      </c>
      <c r="J6487" s="2">
        <v>43742</v>
      </c>
      <c r="K6487" s="3">
        <f t="shared" si="202"/>
        <v>5.15</v>
      </c>
      <c r="L6487" s="3">
        <f t="shared" si="203"/>
        <v>5.47</v>
      </c>
    </row>
    <row r="6488" spans="1:12" x14ac:dyDescent="0.3">
      <c r="A6488" s="2">
        <v>43005</v>
      </c>
      <c r="B6488">
        <v>6.24</v>
      </c>
      <c r="D6488" s="2">
        <v>43736</v>
      </c>
      <c r="E6488">
        <v>5.4</v>
      </c>
      <c r="G6488" s="2">
        <v>43736</v>
      </c>
      <c r="H6488">
        <v>5.6459999999999999</v>
      </c>
      <c r="J6488" s="2">
        <v>43743</v>
      </c>
      <c r="K6488" s="3">
        <f t="shared" si="202"/>
        <v>5.15</v>
      </c>
      <c r="L6488" s="3">
        <f t="shared" si="203"/>
        <v>5.47</v>
      </c>
    </row>
    <row r="6489" spans="1:12" x14ac:dyDescent="0.3">
      <c r="A6489" s="2">
        <v>43006</v>
      </c>
      <c r="B6489">
        <v>6.23</v>
      </c>
      <c r="D6489" s="2">
        <v>43737</v>
      </c>
      <c r="E6489">
        <v>5.4</v>
      </c>
      <c r="G6489" s="2">
        <v>43737</v>
      </c>
      <c r="H6489">
        <v>5.6459999999999999</v>
      </c>
      <c r="J6489" s="2">
        <v>43744</v>
      </c>
      <c r="K6489" s="3">
        <f t="shared" si="202"/>
        <v>5.15</v>
      </c>
      <c r="L6489" s="3">
        <f t="shared" si="203"/>
        <v>5.47</v>
      </c>
    </row>
    <row r="6490" spans="1:12" x14ac:dyDescent="0.3">
      <c r="A6490" s="2">
        <v>43007</v>
      </c>
      <c r="B6490">
        <v>6.23</v>
      </c>
      <c r="D6490" s="2">
        <v>43738</v>
      </c>
      <c r="E6490">
        <v>5.4</v>
      </c>
      <c r="G6490" s="2">
        <v>43738</v>
      </c>
      <c r="H6490">
        <v>5.6020000000000003</v>
      </c>
      <c r="J6490" s="2">
        <v>43745</v>
      </c>
      <c r="K6490" s="3">
        <f t="shared" si="202"/>
        <v>5.15</v>
      </c>
      <c r="L6490" s="3">
        <f t="shared" si="203"/>
        <v>5.47</v>
      </c>
    </row>
    <row r="6491" spans="1:12" x14ac:dyDescent="0.3">
      <c r="A6491" s="2">
        <v>43008</v>
      </c>
      <c r="B6491">
        <v>6.23</v>
      </c>
      <c r="D6491" s="2">
        <v>43739</v>
      </c>
      <c r="E6491">
        <v>5.4</v>
      </c>
      <c r="G6491" s="2">
        <v>43739</v>
      </c>
      <c r="H6491">
        <v>5.5720000000000001</v>
      </c>
      <c r="J6491" s="2">
        <v>43746</v>
      </c>
      <c r="K6491" s="3">
        <f t="shared" si="202"/>
        <v>5.15</v>
      </c>
      <c r="L6491" s="3">
        <f t="shared" si="203"/>
        <v>5.47</v>
      </c>
    </row>
    <row r="6492" spans="1:12" x14ac:dyDescent="0.3">
      <c r="A6492" s="2">
        <v>43009</v>
      </c>
      <c r="B6492">
        <v>6.23</v>
      </c>
      <c r="D6492" s="2">
        <v>43740</v>
      </c>
      <c r="E6492">
        <v>5.4</v>
      </c>
      <c r="G6492" s="2">
        <v>43740</v>
      </c>
      <c r="H6492">
        <v>5.5720000000000001</v>
      </c>
      <c r="J6492" s="2">
        <v>43747</v>
      </c>
      <c r="K6492" s="3">
        <f t="shared" si="202"/>
        <v>5.15</v>
      </c>
      <c r="L6492" s="3">
        <f t="shared" si="203"/>
        <v>5.47</v>
      </c>
    </row>
    <row r="6493" spans="1:12" x14ac:dyDescent="0.3">
      <c r="A6493" s="2">
        <v>43010</v>
      </c>
      <c r="B6493">
        <v>6.23</v>
      </c>
      <c r="D6493" s="2">
        <v>43741</v>
      </c>
      <c r="E6493">
        <v>5.4</v>
      </c>
      <c r="G6493" s="2">
        <v>43741</v>
      </c>
      <c r="H6493">
        <v>5.4880000000000004</v>
      </c>
      <c r="J6493" s="2">
        <v>43748</v>
      </c>
      <c r="K6493" s="3">
        <f t="shared" si="202"/>
        <v>5.15</v>
      </c>
      <c r="L6493" s="3">
        <f t="shared" si="203"/>
        <v>5.47</v>
      </c>
    </row>
    <row r="6494" spans="1:12" x14ac:dyDescent="0.3">
      <c r="A6494" s="2">
        <v>43011</v>
      </c>
      <c r="B6494">
        <v>6.2</v>
      </c>
      <c r="D6494" s="2">
        <v>43742</v>
      </c>
      <c r="E6494">
        <v>5.15</v>
      </c>
      <c r="G6494" s="2">
        <v>43742</v>
      </c>
      <c r="H6494">
        <v>5.47</v>
      </c>
      <c r="J6494" s="2">
        <v>43749</v>
      </c>
      <c r="K6494" s="3">
        <f t="shared" si="202"/>
        <v>5.15</v>
      </c>
      <c r="L6494" s="3">
        <f t="shared" si="203"/>
        <v>5.47</v>
      </c>
    </row>
    <row r="6495" spans="1:12" x14ac:dyDescent="0.3">
      <c r="A6495" s="2">
        <v>43012</v>
      </c>
      <c r="B6495">
        <v>6.2</v>
      </c>
      <c r="D6495" s="2">
        <v>43743</v>
      </c>
      <c r="E6495">
        <v>5.15</v>
      </c>
      <c r="G6495" s="2">
        <v>43743</v>
      </c>
      <c r="H6495">
        <v>5.47</v>
      </c>
      <c r="J6495" s="2">
        <v>43750</v>
      </c>
      <c r="K6495" s="3">
        <f t="shared" si="202"/>
        <v>5.15</v>
      </c>
      <c r="L6495" s="3">
        <f t="shared" si="203"/>
        <v>5.47</v>
      </c>
    </row>
    <row r="6496" spans="1:12" x14ac:dyDescent="0.3">
      <c r="A6496" s="2">
        <v>43013</v>
      </c>
      <c r="B6496">
        <v>6.19</v>
      </c>
      <c r="D6496" s="2">
        <v>43744</v>
      </c>
      <c r="E6496">
        <v>5.15</v>
      </c>
      <c r="G6496" s="2">
        <v>43744</v>
      </c>
      <c r="H6496">
        <v>5.47</v>
      </c>
      <c r="J6496" s="2">
        <v>43751</v>
      </c>
      <c r="K6496" s="3">
        <f t="shared" si="202"/>
        <v>5.15</v>
      </c>
      <c r="L6496" s="3">
        <f t="shared" si="203"/>
        <v>5.47</v>
      </c>
    </row>
    <row r="6497" spans="1:12" x14ac:dyDescent="0.3">
      <c r="A6497" s="2">
        <v>43014</v>
      </c>
      <c r="B6497">
        <v>6.19</v>
      </c>
      <c r="D6497" s="2">
        <v>43745</v>
      </c>
      <c r="E6497">
        <v>5.15</v>
      </c>
      <c r="G6497" s="2">
        <v>43745</v>
      </c>
      <c r="H6497">
        <v>5.47</v>
      </c>
      <c r="J6497" s="2">
        <v>43752</v>
      </c>
      <c r="K6497" s="3">
        <f t="shared" si="202"/>
        <v>5.15</v>
      </c>
      <c r="L6497" s="3">
        <f t="shared" si="203"/>
        <v>5.47</v>
      </c>
    </row>
    <row r="6498" spans="1:12" x14ac:dyDescent="0.3">
      <c r="A6498" s="2">
        <v>43015</v>
      </c>
      <c r="B6498">
        <v>6.19</v>
      </c>
      <c r="D6498" s="2">
        <v>43746</v>
      </c>
      <c r="E6498">
        <v>5.15</v>
      </c>
      <c r="G6498" s="2">
        <v>43746</v>
      </c>
      <c r="H6498">
        <v>5.47</v>
      </c>
      <c r="J6498" s="2">
        <v>43753</v>
      </c>
      <c r="K6498" s="3">
        <f t="shared" si="202"/>
        <v>5.15</v>
      </c>
      <c r="L6498" s="3">
        <f t="shared" si="203"/>
        <v>5.47</v>
      </c>
    </row>
    <row r="6499" spans="1:12" x14ac:dyDescent="0.3">
      <c r="A6499" s="2">
        <v>43016</v>
      </c>
      <c r="B6499">
        <v>6.19</v>
      </c>
      <c r="D6499" s="2">
        <v>43747</v>
      </c>
      <c r="E6499">
        <v>5.15</v>
      </c>
      <c r="G6499" s="2">
        <v>43747</v>
      </c>
      <c r="H6499">
        <v>5.47</v>
      </c>
      <c r="J6499" s="2">
        <v>43754</v>
      </c>
      <c r="K6499" s="3">
        <f t="shared" si="202"/>
        <v>5.15</v>
      </c>
      <c r="L6499" s="3">
        <f t="shared" si="203"/>
        <v>5.47</v>
      </c>
    </row>
    <row r="6500" spans="1:12" x14ac:dyDescent="0.3">
      <c r="A6500" s="2">
        <v>43017</v>
      </c>
      <c r="B6500">
        <v>6.19</v>
      </c>
      <c r="D6500" s="2">
        <v>43748</v>
      </c>
      <c r="E6500">
        <v>5.15</v>
      </c>
      <c r="G6500" s="2">
        <v>43748</v>
      </c>
      <c r="H6500">
        <v>5.47</v>
      </c>
      <c r="J6500" s="2">
        <v>43755</v>
      </c>
      <c r="K6500" s="3">
        <f t="shared" si="202"/>
        <v>5.15</v>
      </c>
      <c r="L6500" s="3">
        <f t="shared" si="203"/>
        <v>5.47</v>
      </c>
    </row>
    <row r="6501" spans="1:12" x14ac:dyDescent="0.3">
      <c r="A6501" s="2">
        <v>43018</v>
      </c>
      <c r="B6501">
        <v>6.16</v>
      </c>
      <c r="D6501" s="2">
        <v>43749</v>
      </c>
      <c r="E6501">
        <v>5.15</v>
      </c>
      <c r="G6501" s="2">
        <v>43749</v>
      </c>
      <c r="H6501">
        <v>5.47</v>
      </c>
      <c r="J6501" s="2">
        <v>43756</v>
      </c>
      <c r="K6501" s="3">
        <f t="shared" si="202"/>
        <v>5.15</v>
      </c>
      <c r="L6501" s="3">
        <f t="shared" si="203"/>
        <v>5.47</v>
      </c>
    </row>
    <row r="6502" spans="1:12" x14ac:dyDescent="0.3">
      <c r="A6502" s="2">
        <v>43019</v>
      </c>
      <c r="B6502">
        <v>6.2</v>
      </c>
      <c r="D6502" s="2">
        <v>43750</v>
      </c>
      <c r="E6502">
        <v>5.15</v>
      </c>
      <c r="G6502" s="2">
        <v>43750</v>
      </c>
      <c r="H6502">
        <v>5.47</v>
      </c>
      <c r="J6502" s="2">
        <v>43757</v>
      </c>
      <c r="K6502" s="3">
        <f t="shared" si="202"/>
        <v>5.15</v>
      </c>
      <c r="L6502" s="3">
        <f t="shared" si="203"/>
        <v>5.47</v>
      </c>
    </row>
    <row r="6503" spans="1:12" x14ac:dyDescent="0.3">
      <c r="A6503" s="2">
        <v>43020</v>
      </c>
      <c r="B6503">
        <v>6.19</v>
      </c>
      <c r="D6503" s="2">
        <v>43751</v>
      </c>
      <c r="E6503">
        <v>5.15</v>
      </c>
      <c r="G6503" s="2">
        <v>43751</v>
      </c>
      <c r="H6503">
        <v>5.47</v>
      </c>
      <c r="J6503" s="2">
        <v>43758</v>
      </c>
      <c r="K6503" s="3">
        <f t="shared" si="202"/>
        <v>5.15</v>
      </c>
      <c r="L6503" s="3">
        <f t="shared" si="203"/>
        <v>5.47</v>
      </c>
    </row>
    <row r="6504" spans="1:12" x14ac:dyDescent="0.3">
      <c r="A6504" s="2">
        <v>43021</v>
      </c>
      <c r="B6504">
        <v>6.2</v>
      </c>
      <c r="D6504" s="2">
        <v>43752</v>
      </c>
      <c r="E6504">
        <v>5.15</v>
      </c>
      <c r="G6504" s="2">
        <v>43752</v>
      </c>
      <c r="H6504">
        <v>5.47</v>
      </c>
      <c r="J6504" s="2">
        <v>43759</v>
      </c>
      <c r="K6504" s="3">
        <f t="shared" si="202"/>
        <v>5.15</v>
      </c>
      <c r="L6504" s="3">
        <f t="shared" si="203"/>
        <v>5.47</v>
      </c>
    </row>
    <row r="6505" spans="1:12" x14ac:dyDescent="0.3">
      <c r="A6505" s="2">
        <v>43022</v>
      </c>
      <c r="B6505">
        <v>6.2</v>
      </c>
      <c r="D6505" s="2">
        <v>43753</v>
      </c>
      <c r="E6505">
        <v>5.15</v>
      </c>
      <c r="G6505" s="2">
        <v>43753</v>
      </c>
      <c r="H6505">
        <v>5.47</v>
      </c>
      <c r="J6505" s="2">
        <v>43760</v>
      </c>
      <c r="K6505" s="3">
        <f t="shared" si="202"/>
        <v>5.15</v>
      </c>
      <c r="L6505" s="3">
        <f t="shared" si="203"/>
        <v>5.47</v>
      </c>
    </row>
    <row r="6506" spans="1:12" x14ac:dyDescent="0.3">
      <c r="A6506" s="2">
        <v>43023</v>
      </c>
      <c r="B6506">
        <v>6.2</v>
      </c>
      <c r="D6506" s="2">
        <v>43754</v>
      </c>
      <c r="E6506">
        <v>5.15</v>
      </c>
      <c r="G6506" s="2">
        <v>43754</v>
      </c>
      <c r="H6506">
        <v>5.47</v>
      </c>
      <c r="J6506" s="2">
        <v>43761</v>
      </c>
      <c r="K6506" s="3">
        <f t="shared" si="202"/>
        <v>5.15</v>
      </c>
      <c r="L6506" s="3">
        <f t="shared" si="203"/>
        <v>5.47</v>
      </c>
    </row>
    <row r="6507" spans="1:12" x14ac:dyDescent="0.3">
      <c r="A6507" s="2">
        <v>43024</v>
      </c>
      <c r="B6507">
        <v>6.2</v>
      </c>
      <c r="D6507" s="2">
        <v>43755</v>
      </c>
      <c r="E6507">
        <v>5.15</v>
      </c>
      <c r="G6507" s="2">
        <v>43755</v>
      </c>
      <c r="H6507">
        <v>5.47</v>
      </c>
      <c r="J6507" s="2">
        <v>43762</v>
      </c>
      <c r="K6507" s="3">
        <f t="shared" si="202"/>
        <v>5.15</v>
      </c>
      <c r="L6507" s="3">
        <f t="shared" si="203"/>
        <v>5.47</v>
      </c>
    </row>
    <row r="6508" spans="1:12" x14ac:dyDescent="0.3">
      <c r="A6508" s="2">
        <v>43025</v>
      </c>
      <c r="B6508">
        <v>6.21</v>
      </c>
      <c r="D6508" s="2">
        <v>43756</v>
      </c>
      <c r="E6508">
        <v>5.15</v>
      </c>
      <c r="G6508" s="2">
        <v>43756</v>
      </c>
      <c r="H6508">
        <v>5.47</v>
      </c>
      <c r="J6508" s="2">
        <v>43763</v>
      </c>
      <c r="K6508" s="3">
        <f t="shared" si="202"/>
        <v>5.15</v>
      </c>
      <c r="L6508" s="3">
        <f t="shared" si="203"/>
        <v>5.47</v>
      </c>
    </row>
    <row r="6509" spans="1:12" x14ac:dyDescent="0.3">
      <c r="A6509" s="2">
        <v>43026</v>
      </c>
      <c r="B6509">
        <v>6.19</v>
      </c>
      <c r="D6509" s="2">
        <v>43757</v>
      </c>
      <c r="E6509">
        <v>5.15</v>
      </c>
      <c r="G6509" s="2">
        <v>43757</v>
      </c>
      <c r="H6509">
        <v>5.47</v>
      </c>
      <c r="J6509" s="2">
        <v>43764</v>
      </c>
      <c r="K6509" s="3">
        <f t="shared" si="202"/>
        <v>5.15</v>
      </c>
      <c r="L6509" s="3">
        <f t="shared" si="203"/>
        <v>5.47</v>
      </c>
    </row>
    <row r="6510" spans="1:12" x14ac:dyDescent="0.3">
      <c r="A6510" s="2">
        <v>43027</v>
      </c>
      <c r="B6510">
        <v>6.19</v>
      </c>
      <c r="D6510" s="2">
        <v>43758</v>
      </c>
      <c r="E6510">
        <v>5.15</v>
      </c>
      <c r="G6510" s="2">
        <v>43758</v>
      </c>
      <c r="H6510">
        <v>5.47</v>
      </c>
      <c r="J6510" s="2">
        <v>43765</v>
      </c>
      <c r="K6510" s="3">
        <f t="shared" si="202"/>
        <v>5.15</v>
      </c>
      <c r="L6510" s="3">
        <f t="shared" si="203"/>
        <v>5.47</v>
      </c>
    </row>
    <row r="6511" spans="1:12" x14ac:dyDescent="0.3">
      <c r="A6511" s="2">
        <v>43028</v>
      </c>
      <c r="B6511">
        <v>6.19</v>
      </c>
      <c r="D6511" s="2">
        <v>43759</v>
      </c>
      <c r="E6511">
        <v>5.15</v>
      </c>
      <c r="G6511" s="2">
        <v>43759</v>
      </c>
      <c r="H6511">
        <v>5.47</v>
      </c>
      <c r="J6511" s="2">
        <v>43766</v>
      </c>
      <c r="K6511" s="3">
        <f t="shared" si="202"/>
        <v>5.15</v>
      </c>
      <c r="L6511" s="3">
        <f t="shared" si="203"/>
        <v>5.47</v>
      </c>
    </row>
    <row r="6512" spans="1:12" x14ac:dyDescent="0.3">
      <c r="A6512" s="2">
        <v>43029</v>
      </c>
      <c r="B6512">
        <v>6.19</v>
      </c>
      <c r="D6512" s="2">
        <v>43760</v>
      </c>
      <c r="E6512">
        <v>5.15</v>
      </c>
      <c r="G6512" s="2">
        <v>43760</v>
      </c>
      <c r="H6512">
        <v>5.47</v>
      </c>
      <c r="J6512" s="2">
        <v>43767</v>
      </c>
      <c r="K6512" s="3">
        <f t="shared" si="202"/>
        <v>5.15</v>
      </c>
      <c r="L6512" s="3">
        <f t="shared" si="203"/>
        <v>5.47</v>
      </c>
    </row>
    <row r="6513" spans="1:12" x14ac:dyDescent="0.3">
      <c r="A6513" s="2">
        <v>43030</v>
      </c>
      <c r="B6513">
        <v>6.19</v>
      </c>
      <c r="D6513" s="2">
        <v>43761</v>
      </c>
      <c r="E6513">
        <v>5.15</v>
      </c>
      <c r="G6513" s="2">
        <v>43761</v>
      </c>
      <c r="H6513">
        <v>5.47</v>
      </c>
      <c r="J6513" s="2">
        <v>43768</v>
      </c>
      <c r="K6513" s="3">
        <f t="shared" si="202"/>
        <v>5.15</v>
      </c>
      <c r="L6513" s="3">
        <f t="shared" si="203"/>
        <v>5.47</v>
      </c>
    </row>
    <row r="6514" spans="1:12" x14ac:dyDescent="0.3">
      <c r="A6514" s="2">
        <v>43031</v>
      </c>
      <c r="B6514">
        <v>6.18</v>
      </c>
      <c r="D6514" s="2">
        <v>43762</v>
      </c>
      <c r="E6514">
        <v>5.15</v>
      </c>
      <c r="G6514" s="2">
        <v>43762</v>
      </c>
      <c r="H6514">
        <v>5.47</v>
      </c>
      <c r="J6514" s="2">
        <v>43769</v>
      </c>
      <c r="K6514" s="3">
        <f t="shared" si="202"/>
        <v>5.15</v>
      </c>
      <c r="L6514" s="3">
        <f t="shared" si="203"/>
        <v>5.47</v>
      </c>
    </row>
    <row r="6515" spans="1:12" x14ac:dyDescent="0.3">
      <c r="A6515" s="2">
        <v>43032</v>
      </c>
      <c r="B6515">
        <v>6.2</v>
      </c>
      <c r="D6515" s="2">
        <v>43763</v>
      </c>
      <c r="E6515">
        <v>5.15</v>
      </c>
      <c r="G6515" s="2">
        <v>43763</v>
      </c>
      <c r="H6515">
        <v>5.47</v>
      </c>
      <c r="J6515" s="2">
        <v>43770</v>
      </c>
      <c r="K6515" s="3">
        <f t="shared" si="202"/>
        <v>5.15</v>
      </c>
      <c r="L6515" s="3">
        <f t="shared" si="203"/>
        <v>5.47</v>
      </c>
    </row>
    <row r="6516" spans="1:12" x14ac:dyDescent="0.3">
      <c r="A6516" s="2">
        <v>43033</v>
      </c>
      <c r="B6516">
        <v>6.22</v>
      </c>
      <c r="D6516" s="2">
        <v>43764</v>
      </c>
      <c r="E6516">
        <v>5.15</v>
      </c>
      <c r="G6516" s="2">
        <v>43764</v>
      </c>
      <c r="H6516">
        <v>5.47</v>
      </c>
      <c r="J6516" s="2">
        <v>43771</v>
      </c>
      <c r="K6516" s="3">
        <f t="shared" si="202"/>
        <v>5.15</v>
      </c>
      <c r="L6516" s="3">
        <f t="shared" si="203"/>
        <v>5.47</v>
      </c>
    </row>
    <row r="6517" spans="1:12" x14ac:dyDescent="0.3">
      <c r="A6517" s="2">
        <v>43034</v>
      </c>
      <c r="B6517">
        <v>6.2</v>
      </c>
      <c r="D6517" s="2">
        <v>43765</v>
      </c>
      <c r="E6517">
        <v>5.15</v>
      </c>
      <c r="G6517" s="2">
        <v>43765</v>
      </c>
      <c r="H6517">
        <v>5.47</v>
      </c>
      <c r="J6517" s="2">
        <v>43772</v>
      </c>
      <c r="K6517" s="3">
        <f t="shared" si="202"/>
        <v>5.15</v>
      </c>
      <c r="L6517" s="3">
        <f t="shared" si="203"/>
        <v>5.47</v>
      </c>
    </row>
    <row r="6518" spans="1:12" x14ac:dyDescent="0.3">
      <c r="A6518" s="2">
        <v>43035</v>
      </c>
      <c r="B6518">
        <v>6.21</v>
      </c>
      <c r="D6518" s="2">
        <v>43766</v>
      </c>
      <c r="E6518">
        <v>5.15</v>
      </c>
      <c r="G6518" s="2">
        <v>43766</v>
      </c>
      <c r="H6518">
        <v>5.47</v>
      </c>
      <c r="J6518" s="2">
        <v>43773</v>
      </c>
      <c r="K6518" s="3">
        <f t="shared" si="202"/>
        <v>5.15</v>
      </c>
      <c r="L6518" s="3">
        <f t="shared" si="203"/>
        <v>5.47</v>
      </c>
    </row>
    <row r="6519" spans="1:12" x14ac:dyDescent="0.3">
      <c r="A6519" s="2">
        <v>43036</v>
      </c>
      <c r="B6519">
        <v>6.21</v>
      </c>
      <c r="D6519" s="2">
        <v>43767</v>
      </c>
      <c r="E6519">
        <v>5.15</v>
      </c>
      <c r="G6519" s="2">
        <v>43767</v>
      </c>
      <c r="H6519">
        <v>5.47</v>
      </c>
      <c r="J6519" s="2">
        <v>43774</v>
      </c>
      <c r="K6519" s="3">
        <f t="shared" si="202"/>
        <v>5.15</v>
      </c>
      <c r="L6519" s="3">
        <f t="shared" si="203"/>
        <v>5.47</v>
      </c>
    </row>
    <row r="6520" spans="1:12" x14ac:dyDescent="0.3">
      <c r="A6520" s="2">
        <v>43037</v>
      </c>
      <c r="B6520">
        <v>6.21</v>
      </c>
      <c r="D6520" s="2">
        <v>43768</v>
      </c>
      <c r="E6520">
        <v>5.15</v>
      </c>
      <c r="G6520" s="2">
        <v>43768</v>
      </c>
      <c r="H6520">
        <v>5.47</v>
      </c>
      <c r="J6520" s="2">
        <v>43775</v>
      </c>
      <c r="K6520" s="3">
        <f t="shared" si="202"/>
        <v>5.15</v>
      </c>
      <c r="L6520" s="3">
        <f t="shared" si="203"/>
        <v>5.47</v>
      </c>
    </row>
    <row r="6521" spans="1:12" x14ac:dyDescent="0.3">
      <c r="A6521" s="2">
        <v>43038</v>
      </c>
      <c r="B6521">
        <v>6.25</v>
      </c>
      <c r="D6521" s="2">
        <v>43769</v>
      </c>
      <c r="E6521">
        <v>5.15</v>
      </c>
      <c r="G6521" s="2">
        <v>43769</v>
      </c>
      <c r="H6521">
        <v>5.47</v>
      </c>
      <c r="J6521" s="2">
        <v>43776</v>
      </c>
      <c r="K6521" s="3">
        <f t="shared" si="202"/>
        <v>5.15</v>
      </c>
      <c r="L6521" s="3">
        <f t="shared" si="203"/>
        <v>5.47</v>
      </c>
    </row>
    <row r="6522" spans="1:12" x14ac:dyDescent="0.3">
      <c r="A6522" s="2">
        <v>43039</v>
      </c>
      <c r="B6522">
        <v>6.23</v>
      </c>
      <c r="D6522" s="2">
        <v>43770</v>
      </c>
      <c r="E6522">
        <v>5.15</v>
      </c>
      <c r="G6522" s="2">
        <v>43770</v>
      </c>
      <c r="H6522">
        <v>5.47</v>
      </c>
      <c r="J6522" s="2">
        <v>43777</v>
      </c>
      <c r="K6522" s="3">
        <f t="shared" si="202"/>
        <v>5.15</v>
      </c>
      <c r="L6522" s="3">
        <f t="shared" si="203"/>
        <v>5.47</v>
      </c>
    </row>
    <row r="6523" spans="1:12" x14ac:dyDescent="0.3">
      <c r="A6523" s="2">
        <v>43040</v>
      </c>
      <c r="B6523">
        <v>6.23</v>
      </c>
      <c r="D6523" s="2">
        <v>43771</v>
      </c>
      <c r="E6523">
        <v>5.15</v>
      </c>
      <c r="G6523" s="2">
        <v>43771</v>
      </c>
      <c r="H6523">
        <v>5.47</v>
      </c>
      <c r="J6523" s="2">
        <v>43778</v>
      </c>
      <c r="K6523" s="3">
        <f t="shared" si="202"/>
        <v>5.15</v>
      </c>
      <c r="L6523" s="3">
        <f t="shared" si="203"/>
        <v>5.47</v>
      </c>
    </row>
    <row r="6524" spans="1:12" x14ac:dyDescent="0.3">
      <c r="A6524" s="2">
        <v>43041</v>
      </c>
      <c r="B6524">
        <v>6.23</v>
      </c>
      <c r="D6524" s="2">
        <v>43772</v>
      </c>
      <c r="E6524">
        <v>5.15</v>
      </c>
      <c r="G6524" s="2">
        <v>43772</v>
      </c>
      <c r="H6524">
        <v>5.47</v>
      </c>
      <c r="J6524" s="2">
        <v>43779</v>
      </c>
      <c r="K6524" s="3">
        <f t="shared" si="202"/>
        <v>5.15</v>
      </c>
      <c r="L6524" s="3">
        <f t="shared" si="203"/>
        <v>5.47</v>
      </c>
    </row>
    <row r="6525" spans="1:12" x14ac:dyDescent="0.3">
      <c r="A6525" s="2">
        <v>43042</v>
      </c>
      <c r="B6525">
        <v>6.24</v>
      </c>
      <c r="D6525" s="2">
        <v>43773</v>
      </c>
      <c r="E6525">
        <v>5.15</v>
      </c>
      <c r="G6525" s="2">
        <v>43773</v>
      </c>
      <c r="H6525">
        <v>5.47</v>
      </c>
      <c r="J6525" s="2">
        <v>43780</v>
      </c>
      <c r="K6525" s="3">
        <f t="shared" si="202"/>
        <v>5.15</v>
      </c>
      <c r="L6525" s="3">
        <f t="shared" si="203"/>
        <v>5.47</v>
      </c>
    </row>
    <row r="6526" spans="1:12" x14ac:dyDescent="0.3">
      <c r="A6526" s="2">
        <v>43043</v>
      </c>
      <c r="B6526">
        <v>6.24</v>
      </c>
      <c r="D6526" s="2">
        <v>43774</v>
      </c>
      <c r="E6526">
        <v>5.15</v>
      </c>
      <c r="G6526" s="2">
        <v>43774</v>
      </c>
      <c r="H6526">
        <v>5.47</v>
      </c>
      <c r="J6526" s="2">
        <v>43781</v>
      </c>
      <c r="K6526" s="3">
        <f t="shared" si="202"/>
        <v>5.15</v>
      </c>
      <c r="L6526" s="3">
        <f t="shared" si="203"/>
        <v>5.47</v>
      </c>
    </row>
    <row r="6527" spans="1:12" x14ac:dyDescent="0.3">
      <c r="A6527" s="2">
        <v>43044</v>
      </c>
      <c r="B6527">
        <v>6.24</v>
      </c>
      <c r="D6527" s="2">
        <v>43775</v>
      </c>
      <c r="E6527">
        <v>5.15</v>
      </c>
      <c r="G6527" s="2">
        <v>43775</v>
      </c>
      <c r="H6527">
        <v>5.47</v>
      </c>
      <c r="J6527" s="2">
        <v>43782</v>
      </c>
      <c r="K6527" s="3">
        <f t="shared" si="202"/>
        <v>5.15</v>
      </c>
      <c r="L6527" s="3">
        <f t="shared" si="203"/>
        <v>5.47</v>
      </c>
    </row>
    <row r="6528" spans="1:12" x14ac:dyDescent="0.3">
      <c r="A6528" s="2">
        <v>43045</v>
      </c>
      <c r="B6528">
        <v>6.24</v>
      </c>
      <c r="D6528" s="2">
        <v>43776</v>
      </c>
      <c r="E6528">
        <v>5.15</v>
      </c>
      <c r="G6528" s="2">
        <v>43776</v>
      </c>
      <c r="H6528">
        <v>5.47</v>
      </c>
      <c r="J6528" s="2">
        <v>43783</v>
      </c>
      <c r="K6528" s="3">
        <f t="shared" si="202"/>
        <v>5.15</v>
      </c>
      <c r="L6528" s="3">
        <f t="shared" si="203"/>
        <v>5.47</v>
      </c>
    </row>
    <row r="6529" spans="1:12" x14ac:dyDescent="0.3">
      <c r="A6529" s="2">
        <v>43046</v>
      </c>
      <c r="B6529">
        <v>6.23</v>
      </c>
      <c r="D6529" s="2">
        <v>43777</v>
      </c>
      <c r="E6529">
        <v>5.15</v>
      </c>
      <c r="G6529" s="2">
        <v>43777</v>
      </c>
      <c r="H6529">
        <v>5.47</v>
      </c>
      <c r="J6529" s="2">
        <v>43784</v>
      </c>
      <c r="K6529" s="3">
        <f t="shared" si="202"/>
        <v>5.15</v>
      </c>
      <c r="L6529" s="3">
        <f t="shared" si="203"/>
        <v>5.47</v>
      </c>
    </row>
    <row r="6530" spans="1:12" x14ac:dyDescent="0.3">
      <c r="A6530" s="2">
        <v>43047</v>
      </c>
      <c r="B6530">
        <v>6.24</v>
      </c>
      <c r="D6530" s="2">
        <v>43778</v>
      </c>
      <c r="E6530">
        <v>5.15</v>
      </c>
      <c r="G6530" s="2">
        <v>43778</v>
      </c>
      <c r="H6530">
        <v>5.47</v>
      </c>
      <c r="J6530" s="2">
        <v>43785</v>
      </c>
      <c r="K6530" s="3">
        <f t="shared" si="202"/>
        <v>5.15</v>
      </c>
      <c r="L6530" s="3">
        <f t="shared" si="203"/>
        <v>5.47</v>
      </c>
    </row>
    <row r="6531" spans="1:12" x14ac:dyDescent="0.3">
      <c r="A6531" s="2">
        <v>43048</v>
      </c>
      <c r="B6531">
        <v>6.24</v>
      </c>
      <c r="D6531" s="2">
        <v>43779</v>
      </c>
      <c r="E6531">
        <v>5.15</v>
      </c>
      <c r="G6531" s="2">
        <v>43779</v>
      </c>
      <c r="H6531">
        <v>5.47</v>
      </c>
      <c r="J6531" s="2">
        <v>43786</v>
      </c>
      <c r="K6531" s="3">
        <f t="shared" ref="K6531:K6594" si="204">E6538</f>
        <v>5.15</v>
      </c>
      <c r="L6531" s="3">
        <f t="shared" ref="L6531:L6594" si="205">H6538</f>
        <v>5.47</v>
      </c>
    </row>
    <row r="6532" spans="1:12" x14ac:dyDescent="0.3">
      <c r="A6532" s="2">
        <v>43049</v>
      </c>
      <c r="B6532">
        <v>6.24</v>
      </c>
      <c r="D6532" s="2">
        <v>43780</v>
      </c>
      <c r="E6532">
        <v>5.15</v>
      </c>
      <c r="G6532" s="2">
        <v>43780</v>
      </c>
      <c r="H6532">
        <v>5.47</v>
      </c>
      <c r="J6532" s="2">
        <v>43787</v>
      </c>
      <c r="K6532" s="3">
        <f t="shared" si="204"/>
        <v>5.15</v>
      </c>
      <c r="L6532" s="3">
        <f t="shared" si="205"/>
        <v>5.47</v>
      </c>
    </row>
    <row r="6533" spans="1:12" x14ac:dyDescent="0.3">
      <c r="A6533" s="2">
        <v>43050</v>
      </c>
      <c r="B6533">
        <v>6.24</v>
      </c>
      <c r="D6533" s="2">
        <v>43781</v>
      </c>
      <c r="E6533">
        <v>5.15</v>
      </c>
      <c r="G6533" s="2">
        <v>43781</v>
      </c>
      <c r="H6533">
        <v>5.47</v>
      </c>
      <c r="J6533" s="2">
        <v>43788</v>
      </c>
      <c r="K6533" s="3">
        <f t="shared" si="204"/>
        <v>5.15</v>
      </c>
      <c r="L6533" s="3">
        <f t="shared" si="205"/>
        <v>5.47</v>
      </c>
    </row>
    <row r="6534" spans="1:12" x14ac:dyDescent="0.3">
      <c r="A6534" s="2">
        <v>43051</v>
      </c>
      <c r="B6534">
        <v>6.24</v>
      </c>
      <c r="D6534" s="2">
        <v>43782</v>
      </c>
      <c r="E6534">
        <v>5.15</v>
      </c>
      <c r="G6534" s="2">
        <v>43782</v>
      </c>
      <c r="H6534">
        <v>5.47</v>
      </c>
      <c r="J6534" s="2">
        <v>43789</v>
      </c>
      <c r="K6534" s="3">
        <f t="shared" si="204"/>
        <v>5.15</v>
      </c>
      <c r="L6534" s="3">
        <f t="shared" si="205"/>
        <v>5.47</v>
      </c>
    </row>
    <row r="6535" spans="1:12" x14ac:dyDescent="0.3">
      <c r="A6535" s="2">
        <v>43052</v>
      </c>
      <c r="B6535">
        <v>6.24</v>
      </c>
      <c r="D6535" s="2">
        <v>43783</v>
      </c>
      <c r="E6535">
        <v>5.15</v>
      </c>
      <c r="G6535" s="2">
        <v>43783</v>
      </c>
      <c r="H6535">
        <v>5.47</v>
      </c>
      <c r="J6535" s="2">
        <v>43790</v>
      </c>
      <c r="K6535" s="3">
        <f t="shared" si="204"/>
        <v>5.15</v>
      </c>
      <c r="L6535" s="3">
        <f t="shared" si="205"/>
        <v>5.47</v>
      </c>
    </row>
    <row r="6536" spans="1:12" x14ac:dyDescent="0.3">
      <c r="A6536" s="2">
        <v>43053</v>
      </c>
      <c r="B6536">
        <v>6.25</v>
      </c>
      <c r="D6536" s="2">
        <v>43784</v>
      </c>
      <c r="E6536">
        <v>5.15</v>
      </c>
      <c r="G6536" s="2">
        <v>43784</v>
      </c>
      <c r="H6536">
        <v>5.47</v>
      </c>
      <c r="J6536" s="2">
        <v>43791</v>
      </c>
      <c r="K6536" s="3">
        <f t="shared" si="204"/>
        <v>5.15</v>
      </c>
      <c r="L6536" s="3">
        <f t="shared" si="205"/>
        <v>5.47</v>
      </c>
    </row>
    <row r="6537" spans="1:12" x14ac:dyDescent="0.3">
      <c r="A6537" s="2">
        <v>43054</v>
      </c>
      <c r="B6537">
        <v>6.64</v>
      </c>
      <c r="D6537" s="2">
        <v>43785</v>
      </c>
      <c r="E6537">
        <v>5.15</v>
      </c>
      <c r="G6537" s="2">
        <v>43785</v>
      </c>
      <c r="H6537">
        <v>5.47</v>
      </c>
      <c r="J6537" s="2">
        <v>43792</v>
      </c>
      <c r="K6537" s="3">
        <f t="shared" si="204"/>
        <v>5.15</v>
      </c>
      <c r="L6537" s="3">
        <f t="shared" si="205"/>
        <v>5.47</v>
      </c>
    </row>
    <row r="6538" spans="1:12" x14ac:dyDescent="0.3">
      <c r="A6538" s="2">
        <v>43055</v>
      </c>
      <c r="B6538">
        <v>6.23</v>
      </c>
      <c r="D6538" s="2">
        <v>43786</v>
      </c>
      <c r="E6538">
        <v>5.15</v>
      </c>
      <c r="G6538" s="2">
        <v>43786</v>
      </c>
      <c r="H6538">
        <v>5.47</v>
      </c>
      <c r="J6538" s="2">
        <v>43793</v>
      </c>
      <c r="K6538" s="3">
        <f t="shared" si="204"/>
        <v>5.15</v>
      </c>
      <c r="L6538" s="3">
        <f t="shared" si="205"/>
        <v>5.47</v>
      </c>
    </row>
    <row r="6539" spans="1:12" x14ac:dyDescent="0.3">
      <c r="A6539" s="2">
        <v>43056</v>
      </c>
      <c r="B6539">
        <v>6.23</v>
      </c>
      <c r="D6539" s="2">
        <v>43787</v>
      </c>
      <c r="E6539">
        <v>5.15</v>
      </c>
      <c r="G6539" s="2">
        <v>43787</v>
      </c>
      <c r="H6539">
        <v>5.47</v>
      </c>
      <c r="J6539" s="2">
        <v>43794</v>
      </c>
      <c r="K6539" s="3">
        <f t="shared" si="204"/>
        <v>5.15</v>
      </c>
      <c r="L6539" s="3">
        <f t="shared" si="205"/>
        <v>5.47</v>
      </c>
    </row>
    <row r="6540" spans="1:12" x14ac:dyDescent="0.3">
      <c r="A6540" s="2">
        <v>43057</v>
      </c>
      <c r="B6540">
        <v>6.23</v>
      </c>
      <c r="D6540" s="2">
        <v>43788</v>
      </c>
      <c r="E6540">
        <v>5.15</v>
      </c>
      <c r="G6540" s="2">
        <v>43788</v>
      </c>
      <c r="H6540">
        <v>5.47</v>
      </c>
      <c r="J6540" s="2">
        <v>43795</v>
      </c>
      <c r="K6540" s="3">
        <f t="shared" si="204"/>
        <v>5.15</v>
      </c>
      <c r="L6540" s="3">
        <f t="shared" si="205"/>
        <v>5.47</v>
      </c>
    </row>
    <row r="6541" spans="1:12" x14ac:dyDescent="0.3">
      <c r="A6541" s="2">
        <v>43058</v>
      </c>
      <c r="B6541">
        <v>6.23</v>
      </c>
      <c r="D6541" s="2">
        <v>43789</v>
      </c>
      <c r="E6541">
        <v>5.15</v>
      </c>
      <c r="G6541" s="2">
        <v>43789</v>
      </c>
      <c r="H6541">
        <v>5.47</v>
      </c>
      <c r="J6541" s="2">
        <v>43796</v>
      </c>
      <c r="K6541" s="3">
        <f t="shared" si="204"/>
        <v>5.15</v>
      </c>
      <c r="L6541" s="3">
        <f t="shared" si="205"/>
        <v>5.47</v>
      </c>
    </row>
    <row r="6542" spans="1:12" x14ac:dyDescent="0.3">
      <c r="A6542" s="2">
        <v>43059</v>
      </c>
      <c r="B6542">
        <v>6.2</v>
      </c>
      <c r="D6542" s="2">
        <v>43790</v>
      </c>
      <c r="E6542">
        <v>5.15</v>
      </c>
      <c r="G6542" s="2">
        <v>43790</v>
      </c>
      <c r="H6542">
        <v>5.47</v>
      </c>
      <c r="J6542" s="2">
        <v>43797</v>
      </c>
      <c r="K6542" s="3">
        <f t="shared" si="204"/>
        <v>5.15</v>
      </c>
      <c r="L6542" s="3">
        <f t="shared" si="205"/>
        <v>5.47</v>
      </c>
    </row>
    <row r="6543" spans="1:12" x14ac:dyDescent="0.3">
      <c r="A6543" s="2">
        <v>43060</v>
      </c>
      <c r="B6543">
        <v>6.2</v>
      </c>
      <c r="D6543" s="2">
        <v>43791</v>
      </c>
      <c r="E6543">
        <v>5.15</v>
      </c>
      <c r="G6543" s="2">
        <v>43791</v>
      </c>
      <c r="H6543">
        <v>5.47</v>
      </c>
      <c r="J6543" s="2">
        <v>43798</v>
      </c>
      <c r="K6543" s="3">
        <f t="shared" si="204"/>
        <v>5.15</v>
      </c>
      <c r="L6543" s="3">
        <f t="shared" si="205"/>
        <v>5.47</v>
      </c>
    </row>
    <row r="6544" spans="1:12" x14ac:dyDescent="0.3">
      <c r="A6544" s="2">
        <v>43061</v>
      </c>
      <c r="B6544">
        <v>6.27</v>
      </c>
      <c r="D6544" s="2">
        <v>43792</v>
      </c>
      <c r="E6544">
        <v>5.15</v>
      </c>
      <c r="G6544" s="2">
        <v>43792</v>
      </c>
      <c r="H6544">
        <v>5.47</v>
      </c>
      <c r="J6544" s="2">
        <v>43799</v>
      </c>
      <c r="K6544" s="3">
        <f t="shared" si="204"/>
        <v>5.15</v>
      </c>
      <c r="L6544" s="3">
        <f t="shared" si="205"/>
        <v>5.47</v>
      </c>
    </row>
    <row r="6545" spans="1:12" x14ac:dyDescent="0.3">
      <c r="A6545" s="2">
        <v>43062</v>
      </c>
      <c r="B6545">
        <v>6.28</v>
      </c>
      <c r="D6545" s="2">
        <v>43793</v>
      </c>
      <c r="E6545">
        <v>5.15</v>
      </c>
      <c r="G6545" s="2">
        <v>43793</v>
      </c>
      <c r="H6545">
        <v>5.47</v>
      </c>
      <c r="J6545" s="2">
        <v>43800</v>
      </c>
      <c r="K6545" s="3">
        <f t="shared" si="204"/>
        <v>5.15</v>
      </c>
      <c r="L6545" s="3">
        <f t="shared" si="205"/>
        <v>5.47</v>
      </c>
    </row>
    <row r="6546" spans="1:12" x14ac:dyDescent="0.3">
      <c r="A6546" s="2">
        <v>43063</v>
      </c>
      <c r="B6546">
        <v>6.23</v>
      </c>
      <c r="D6546" s="2">
        <v>43794</v>
      </c>
      <c r="E6546">
        <v>5.15</v>
      </c>
      <c r="G6546" s="2">
        <v>43794</v>
      </c>
      <c r="H6546">
        <v>5.47</v>
      </c>
      <c r="J6546" s="2">
        <v>43801</v>
      </c>
      <c r="K6546" s="3">
        <f t="shared" si="204"/>
        <v>5.15</v>
      </c>
      <c r="L6546" s="3">
        <f t="shared" si="205"/>
        <v>5.47</v>
      </c>
    </row>
    <row r="6547" spans="1:12" x14ac:dyDescent="0.3">
      <c r="A6547" s="2">
        <v>43064</v>
      </c>
      <c r="B6547">
        <v>6.23</v>
      </c>
      <c r="D6547" s="2">
        <v>43795</v>
      </c>
      <c r="E6547">
        <v>5.15</v>
      </c>
      <c r="G6547" s="2">
        <v>43795</v>
      </c>
      <c r="H6547">
        <v>5.47</v>
      </c>
      <c r="J6547" s="2">
        <v>43802</v>
      </c>
      <c r="K6547" s="3">
        <f t="shared" si="204"/>
        <v>5.15</v>
      </c>
      <c r="L6547" s="3">
        <f t="shared" si="205"/>
        <v>5.47</v>
      </c>
    </row>
    <row r="6548" spans="1:12" x14ac:dyDescent="0.3">
      <c r="A6548" s="2">
        <v>43065</v>
      </c>
      <c r="B6548">
        <v>6.23</v>
      </c>
      <c r="D6548" s="2">
        <v>43796</v>
      </c>
      <c r="E6548">
        <v>5.15</v>
      </c>
      <c r="G6548" s="2">
        <v>43796</v>
      </c>
      <c r="H6548">
        <v>5.47</v>
      </c>
      <c r="J6548" s="2">
        <v>43803</v>
      </c>
      <c r="K6548" s="3">
        <f t="shared" si="204"/>
        <v>5.15</v>
      </c>
      <c r="L6548" s="3">
        <f t="shared" si="205"/>
        <v>5.47</v>
      </c>
    </row>
    <row r="6549" spans="1:12" x14ac:dyDescent="0.3">
      <c r="A6549" s="2">
        <v>43066</v>
      </c>
      <c r="B6549">
        <v>6.24</v>
      </c>
      <c r="D6549" s="2">
        <v>43797</v>
      </c>
      <c r="E6549">
        <v>5.15</v>
      </c>
      <c r="G6549" s="2">
        <v>43797</v>
      </c>
      <c r="H6549">
        <v>5.47</v>
      </c>
      <c r="J6549" s="2">
        <v>43804</v>
      </c>
      <c r="K6549" s="3">
        <f t="shared" si="204"/>
        <v>5.15</v>
      </c>
      <c r="L6549" s="3">
        <f t="shared" si="205"/>
        <v>5.5060000000000002</v>
      </c>
    </row>
    <row r="6550" spans="1:12" x14ac:dyDescent="0.3">
      <c r="A6550" s="2">
        <v>43067</v>
      </c>
      <c r="B6550">
        <v>6.23</v>
      </c>
      <c r="D6550" s="2">
        <v>43798</v>
      </c>
      <c r="E6550">
        <v>5.15</v>
      </c>
      <c r="G6550" s="2">
        <v>43798</v>
      </c>
      <c r="H6550">
        <v>5.47</v>
      </c>
      <c r="J6550" s="2">
        <v>43805</v>
      </c>
      <c r="K6550" s="3">
        <f t="shared" si="204"/>
        <v>5.15</v>
      </c>
      <c r="L6550" s="3">
        <f t="shared" si="205"/>
        <v>5.5019999999999998</v>
      </c>
    </row>
    <row r="6551" spans="1:12" x14ac:dyDescent="0.3">
      <c r="A6551" s="2">
        <v>43068</v>
      </c>
      <c r="B6551">
        <v>6.28</v>
      </c>
      <c r="D6551" s="2">
        <v>43799</v>
      </c>
      <c r="E6551">
        <v>5.15</v>
      </c>
      <c r="G6551" s="2">
        <v>43799</v>
      </c>
      <c r="H6551">
        <v>5.47</v>
      </c>
      <c r="J6551" s="2">
        <v>43806</v>
      </c>
      <c r="K6551" s="3">
        <f t="shared" si="204"/>
        <v>5.15</v>
      </c>
      <c r="L6551" s="3">
        <f t="shared" si="205"/>
        <v>5.5019999999999998</v>
      </c>
    </row>
    <row r="6552" spans="1:12" x14ac:dyDescent="0.3">
      <c r="A6552" s="2">
        <v>43069</v>
      </c>
      <c r="B6552">
        <v>6.27</v>
      </c>
      <c r="D6552" s="2">
        <v>43800</v>
      </c>
      <c r="E6552">
        <v>5.15</v>
      </c>
      <c r="G6552" s="2">
        <v>43800</v>
      </c>
      <c r="H6552">
        <v>5.47</v>
      </c>
      <c r="J6552" s="2">
        <v>43807</v>
      </c>
      <c r="K6552" s="3">
        <f t="shared" si="204"/>
        <v>5.15</v>
      </c>
      <c r="L6552" s="3">
        <f t="shared" si="205"/>
        <v>5.5019999999999998</v>
      </c>
    </row>
    <row r="6553" spans="1:12" x14ac:dyDescent="0.3">
      <c r="A6553" s="2">
        <v>43070</v>
      </c>
      <c r="B6553">
        <v>6.27</v>
      </c>
      <c r="D6553" s="2">
        <v>43801</v>
      </c>
      <c r="E6553">
        <v>5.15</v>
      </c>
      <c r="G6553" s="2">
        <v>43801</v>
      </c>
      <c r="H6553">
        <v>5.47</v>
      </c>
      <c r="J6553" s="2">
        <v>43808</v>
      </c>
      <c r="K6553" s="3">
        <f t="shared" si="204"/>
        <v>5.15</v>
      </c>
      <c r="L6553" s="3">
        <f t="shared" si="205"/>
        <v>5.516</v>
      </c>
    </row>
    <row r="6554" spans="1:12" x14ac:dyDescent="0.3">
      <c r="A6554" s="2">
        <v>43071</v>
      </c>
      <c r="B6554">
        <v>6.27</v>
      </c>
      <c r="D6554" s="2">
        <v>43802</v>
      </c>
      <c r="E6554">
        <v>5.15</v>
      </c>
      <c r="G6554" s="2">
        <v>43802</v>
      </c>
      <c r="H6554">
        <v>5.47</v>
      </c>
      <c r="J6554" s="2">
        <v>43809</v>
      </c>
      <c r="K6554" s="3">
        <f t="shared" si="204"/>
        <v>5.15</v>
      </c>
      <c r="L6554" s="3">
        <f t="shared" si="205"/>
        <v>5.54</v>
      </c>
    </row>
    <row r="6555" spans="1:12" x14ac:dyDescent="0.3">
      <c r="A6555" s="2">
        <v>43072</v>
      </c>
      <c r="B6555">
        <v>6.27</v>
      </c>
      <c r="D6555" s="2">
        <v>43803</v>
      </c>
      <c r="E6555">
        <v>5.15</v>
      </c>
      <c r="G6555" s="2">
        <v>43803</v>
      </c>
      <c r="H6555">
        <v>5.47</v>
      </c>
      <c r="J6555" s="2">
        <v>43810</v>
      </c>
      <c r="K6555" s="3">
        <f t="shared" si="204"/>
        <v>5.15</v>
      </c>
      <c r="L6555" s="3">
        <f t="shared" si="205"/>
        <v>5.54</v>
      </c>
    </row>
    <row r="6556" spans="1:12" x14ac:dyDescent="0.3">
      <c r="A6556" s="2">
        <v>43073</v>
      </c>
      <c r="B6556">
        <v>6.29</v>
      </c>
      <c r="D6556" s="2">
        <v>43804</v>
      </c>
      <c r="E6556">
        <v>5.15</v>
      </c>
      <c r="G6556" s="2">
        <v>43804</v>
      </c>
      <c r="H6556">
        <v>5.5060000000000002</v>
      </c>
      <c r="J6556" s="2">
        <v>43811</v>
      </c>
      <c r="K6556" s="3">
        <f t="shared" si="204"/>
        <v>5.15</v>
      </c>
      <c r="L6556" s="3">
        <f t="shared" si="205"/>
        <v>5.5350000000000001</v>
      </c>
    </row>
    <row r="6557" spans="1:12" x14ac:dyDescent="0.3">
      <c r="A6557" s="2">
        <v>43074</v>
      </c>
      <c r="B6557">
        <v>6.3</v>
      </c>
      <c r="D6557" s="2">
        <v>43805</v>
      </c>
      <c r="E6557">
        <v>5.15</v>
      </c>
      <c r="G6557" s="2">
        <v>43805</v>
      </c>
      <c r="H6557">
        <v>5.5019999999999998</v>
      </c>
      <c r="J6557" s="2">
        <v>43812</v>
      </c>
      <c r="K6557" s="3">
        <f t="shared" si="204"/>
        <v>5.15</v>
      </c>
      <c r="L6557" s="3">
        <f t="shared" si="205"/>
        <v>5.5759999999999996</v>
      </c>
    </row>
    <row r="6558" spans="1:12" x14ac:dyDescent="0.3">
      <c r="A6558" s="2">
        <v>43075</v>
      </c>
      <c r="B6558">
        <v>6.31</v>
      </c>
      <c r="D6558" s="2">
        <v>43806</v>
      </c>
      <c r="E6558">
        <v>5.15</v>
      </c>
      <c r="G6558" s="2">
        <v>43806</v>
      </c>
      <c r="H6558">
        <v>5.5019999999999998</v>
      </c>
      <c r="J6558" s="2">
        <v>43813</v>
      </c>
      <c r="K6558" s="3">
        <f t="shared" si="204"/>
        <v>5.15</v>
      </c>
      <c r="L6558" s="3">
        <f t="shared" si="205"/>
        <v>5.5759999999999996</v>
      </c>
    </row>
    <row r="6559" spans="1:12" x14ac:dyDescent="0.3">
      <c r="A6559" s="2">
        <v>43076</v>
      </c>
      <c r="B6559">
        <v>6.28</v>
      </c>
      <c r="D6559" s="2">
        <v>43807</v>
      </c>
      <c r="E6559">
        <v>5.15</v>
      </c>
      <c r="G6559" s="2">
        <v>43807</v>
      </c>
      <c r="H6559">
        <v>5.5019999999999998</v>
      </c>
      <c r="J6559" s="2">
        <v>43814</v>
      </c>
      <c r="K6559" s="3">
        <f t="shared" si="204"/>
        <v>5.15</v>
      </c>
      <c r="L6559" s="3">
        <f t="shared" si="205"/>
        <v>5.5759999999999996</v>
      </c>
    </row>
    <row r="6560" spans="1:12" x14ac:dyDescent="0.3">
      <c r="A6560" s="2">
        <v>43077</v>
      </c>
      <c r="B6560">
        <v>6.28</v>
      </c>
      <c r="D6560" s="2">
        <v>43808</v>
      </c>
      <c r="E6560">
        <v>5.15</v>
      </c>
      <c r="G6560" s="2">
        <v>43808</v>
      </c>
      <c r="H6560">
        <v>5.516</v>
      </c>
      <c r="J6560" s="2">
        <v>43815</v>
      </c>
      <c r="K6560" s="3">
        <f t="shared" si="204"/>
        <v>5.15</v>
      </c>
      <c r="L6560" s="3">
        <f t="shared" si="205"/>
        <v>5.5430000000000001</v>
      </c>
    </row>
    <row r="6561" spans="1:12" x14ac:dyDescent="0.3">
      <c r="A6561" s="2">
        <v>43078</v>
      </c>
      <c r="B6561">
        <v>6.28</v>
      </c>
      <c r="D6561" s="2">
        <v>43809</v>
      </c>
      <c r="E6561">
        <v>5.15</v>
      </c>
      <c r="G6561" s="2">
        <v>43809</v>
      </c>
      <c r="H6561">
        <v>5.54</v>
      </c>
      <c r="J6561" s="2">
        <v>43816</v>
      </c>
      <c r="K6561" s="3">
        <f t="shared" si="204"/>
        <v>5.15</v>
      </c>
      <c r="L6561" s="3">
        <f t="shared" si="205"/>
        <v>5.5410000000000004</v>
      </c>
    </row>
    <row r="6562" spans="1:12" x14ac:dyDescent="0.3">
      <c r="A6562" s="2">
        <v>43079</v>
      </c>
      <c r="B6562">
        <v>6.28</v>
      </c>
      <c r="D6562" s="2">
        <v>43810</v>
      </c>
      <c r="E6562">
        <v>5.15</v>
      </c>
      <c r="G6562" s="2">
        <v>43810</v>
      </c>
      <c r="H6562">
        <v>5.54</v>
      </c>
      <c r="J6562" s="2">
        <v>43817</v>
      </c>
      <c r="K6562" s="3">
        <f t="shared" si="204"/>
        <v>5.15</v>
      </c>
      <c r="L6562" s="3">
        <f t="shared" si="205"/>
        <v>5.5410000000000004</v>
      </c>
    </row>
    <row r="6563" spans="1:12" x14ac:dyDescent="0.3">
      <c r="A6563" s="2">
        <v>43080</v>
      </c>
      <c r="B6563">
        <v>6.28</v>
      </c>
      <c r="D6563" s="2">
        <v>43811</v>
      </c>
      <c r="E6563">
        <v>5.15</v>
      </c>
      <c r="G6563" s="2">
        <v>43811</v>
      </c>
      <c r="H6563">
        <v>5.5350000000000001</v>
      </c>
      <c r="J6563" s="2">
        <v>43818</v>
      </c>
      <c r="K6563" s="3">
        <f t="shared" si="204"/>
        <v>5.15</v>
      </c>
      <c r="L6563" s="3">
        <f t="shared" si="205"/>
        <v>5.516</v>
      </c>
    </row>
    <row r="6564" spans="1:12" x14ac:dyDescent="0.3">
      <c r="A6564" s="2">
        <v>43081</v>
      </c>
      <c r="B6564">
        <v>6.29</v>
      </c>
      <c r="D6564" s="2">
        <v>43812</v>
      </c>
      <c r="E6564">
        <v>5.15</v>
      </c>
      <c r="G6564" s="2">
        <v>43812</v>
      </c>
      <c r="H6564">
        <v>5.5759999999999996</v>
      </c>
      <c r="J6564" s="2">
        <v>43819</v>
      </c>
      <c r="K6564" s="3">
        <f t="shared" si="204"/>
        <v>5.15</v>
      </c>
      <c r="L6564" s="3">
        <f t="shared" si="205"/>
        <v>5.516</v>
      </c>
    </row>
    <row r="6565" spans="1:12" x14ac:dyDescent="0.3">
      <c r="A6565" s="2">
        <v>43082</v>
      </c>
      <c r="B6565">
        <v>6.33</v>
      </c>
      <c r="D6565" s="2">
        <v>43813</v>
      </c>
      <c r="E6565">
        <v>5.15</v>
      </c>
      <c r="G6565" s="2">
        <v>43813</v>
      </c>
      <c r="H6565">
        <v>5.5759999999999996</v>
      </c>
      <c r="J6565" s="2">
        <v>43820</v>
      </c>
      <c r="K6565" s="3">
        <f t="shared" si="204"/>
        <v>5.15</v>
      </c>
      <c r="L6565" s="3">
        <f t="shared" si="205"/>
        <v>5.516</v>
      </c>
    </row>
    <row r="6566" spans="1:12" x14ac:dyDescent="0.3">
      <c r="A6566" s="2">
        <v>43083</v>
      </c>
      <c r="B6566">
        <v>6.32</v>
      </c>
      <c r="D6566" s="2">
        <v>43814</v>
      </c>
      <c r="E6566">
        <v>5.15</v>
      </c>
      <c r="G6566" s="2">
        <v>43814</v>
      </c>
      <c r="H6566">
        <v>5.5759999999999996</v>
      </c>
      <c r="J6566" s="2">
        <v>43821</v>
      </c>
      <c r="K6566" s="3">
        <f t="shared" si="204"/>
        <v>5.15</v>
      </c>
      <c r="L6566" s="3">
        <f t="shared" si="205"/>
        <v>5.516</v>
      </c>
    </row>
    <row r="6567" spans="1:12" x14ac:dyDescent="0.3">
      <c r="A6567" s="2">
        <v>43084</v>
      </c>
      <c r="B6567">
        <v>6.34</v>
      </c>
      <c r="D6567" s="2">
        <v>43815</v>
      </c>
      <c r="E6567">
        <v>5.15</v>
      </c>
      <c r="G6567" s="2">
        <v>43815</v>
      </c>
      <c r="H6567">
        <v>5.5430000000000001</v>
      </c>
      <c r="J6567" s="2">
        <v>43822</v>
      </c>
      <c r="K6567" s="3">
        <f t="shared" si="204"/>
        <v>5.15</v>
      </c>
      <c r="L6567" s="3">
        <f t="shared" si="205"/>
        <v>5.5069999999999997</v>
      </c>
    </row>
    <row r="6568" spans="1:12" x14ac:dyDescent="0.3">
      <c r="A6568" s="2">
        <v>43085</v>
      </c>
      <c r="B6568">
        <v>6.34</v>
      </c>
      <c r="D6568" s="2">
        <v>43816</v>
      </c>
      <c r="E6568">
        <v>5.15</v>
      </c>
      <c r="G6568" s="2">
        <v>43816</v>
      </c>
      <c r="H6568">
        <v>5.5410000000000004</v>
      </c>
      <c r="J6568" s="2">
        <v>43823</v>
      </c>
      <c r="K6568" s="3">
        <f t="shared" si="204"/>
        <v>5.15</v>
      </c>
      <c r="L6568" s="3">
        <f t="shared" si="205"/>
        <v>5.524</v>
      </c>
    </row>
    <row r="6569" spans="1:12" x14ac:dyDescent="0.3">
      <c r="A6569" s="2">
        <v>43086</v>
      </c>
      <c r="B6569">
        <v>6.34</v>
      </c>
      <c r="D6569" s="2">
        <v>43817</v>
      </c>
      <c r="E6569">
        <v>5.15</v>
      </c>
      <c r="G6569" s="2">
        <v>43817</v>
      </c>
      <c r="H6569">
        <v>5.5410000000000004</v>
      </c>
      <c r="J6569" s="2">
        <v>43824</v>
      </c>
      <c r="K6569" s="3">
        <f t="shared" si="204"/>
        <v>5.15</v>
      </c>
      <c r="L6569" s="3">
        <f t="shared" si="205"/>
        <v>5.524</v>
      </c>
    </row>
    <row r="6570" spans="1:12" x14ac:dyDescent="0.3">
      <c r="A6570" s="2">
        <v>43087</v>
      </c>
      <c r="B6570">
        <v>6.36</v>
      </c>
      <c r="D6570" s="2">
        <v>43818</v>
      </c>
      <c r="E6570">
        <v>5.15</v>
      </c>
      <c r="G6570" s="2">
        <v>43818</v>
      </c>
      <c r="H6570">
        <v>5.516</v>
      </c>
      <c r="J6570" s="2">
        <v>43825</v>
      </c>
      <c r="K6570" s="3">
        <f t="shared" si="204"/>
        <v>5.15</v>
      </c>
      <c r="L6570" s="3">
        <f t="shared" si="205"/>
        <v>5.5060000000000002</v>
      </c>
    </row>
    <row r="6571" spans="1:12" x14ac:dyDescent="0.3">
      <c r="A6571" s="2">
        <v>43088</v>
      </c>
      <c r="B6571">
        <v>6.39</v>
      </c>
      <c r="D6571" s="2">
        <v>43819</v>
      </c>
      <c r="E6571">
        <v>5.15</v>
      </c>
      <c r="G6571" s="2">
        <v>43819</v>
      </c>
      <c r="H6571">
        <v>5.516</v>
      </c>
      <c r="J6571" s="2">
        <v>43826</v>
      </c>
      <c r="K6571" s="3">
        <f t="shared" si="204"/>
        <v>5.15</v>
      </c>
      <c r="L6571" s="3">
        <f t="shared" si="205"/>
        <v>5.5019999999999998</v>
      </c>
    </row>
    <row r="6572" spans="1:12" x14ac:dyDescent="0.3">
      <c r="A6572" s="2">
        <v>43089</v>
      </c>
      <c r="B6572">
        <v>6.37</v>
      </c>
      <c r="D6572" s="2">
        <v>43820</v>
      </c>
      <c r="E6572">
        <v>5.15</v>
      </c>
      <c r="G6572" s="2">
        <v>43820</v>
      </c>
      <c r="H6572">
        <v>5.516</v>
      </c>
      <c r="J6572" s="2">
        <v>43827</v>
      </c>
      <c r="K6572" s="3">
        <f t="shared" si="204"/>
        <v>5.15</v>
      </c>
      <c r="L6572" s="3">
        <f t="shared" si="205"/>
        <v>5.5019999999999998</v>
      </c>
    </row>
    <row r="6573" spans="1:12" x14ac:dyDescent="0.3">
      <c r="A6573" s="2">
        <v>43090</v>
      </c>
      <c r="B6573">
        <v>6.37</v>
      </c>
      <c r="D6573" s="2">
        <v>43821</v>
      </c>
      <c r="E6573">
        <v>5.15</v>
      </c>
      <c r="G6573" s="2">
        <v>43821</v>
      </c>
      <c r="H6573">
        <v>5.516</v>
      </c>
      <c r="J6573" s="2">
        <v>43828</v>
      </c>
      <c r="K6573" s="3">
        <f t="shared" si="204"/>
        <v>5.15</v>
      </c>
      <c r="L6573" s="3">
        <f t="shared" si="205"/>
        <v>5.5019999999999998</v>
      </c>
    </row>
    <row r="6574" spans="1:12" x14ac:dyDescent="0.3">
      <c r="A6574" s="2">
        <v>43091</v>
      </c>
      <c r="B6574">
        <v>6.42</v>
      </c>
      <c r="D6574" s="2">
        <v>43822</v>
      </c>
      <c r="E6574">
        <v>5.15</v>
      </c>
      <c r="G6574" s="2">
        <v>43822</v>
      </c>
      <c r="H6574">
        <v>5.5069999999999997</v>
      </c>
      <c r="J6574" s="2">
        <v>43829</v>
      </c>
      <c r="K6574" s="3">
        <f t="shared" si="204"/>
        <v>5.15</v>
      </c>
      <c r="L6574" s="3">
        <f t="shared" si="205"/>
        <v>5.548</v>
      </c>
    </row>
    <row r="6575" spans="1:12" x14ac:dyDescent="0.3">
      <c r="A6575" s="2">
        <v>43092</v>
      </c>
      <c r="B6575">
        <v>6.42</v>
      </c>
      <c r="D6575" s="2">
        <v>43823</v>
      </c>
      <c r="E6575">
        <v>5.15</v>
      </c>
      <c r="G6575" s="2">
        <v>43823</v>
      </c>
      <c r="H6575">
        <v>5.524</v>
      </c>
      <c r="J6575" s="2">
        <v>43830</v>
      </c>
      <c r="K6575" s="3">
        <f t="shared" si="204"/>
        <v>5.15</v>
      </c>
      <c r="L6575" s="3">
        <f t="shared" si="205"/>
        <v>5.4809999999999999</v>
      </c>
    </row>
    <row r="6576" spans="1:12" x14ac:dyDescent="0.3">
      <c r="A6576" s="2">
        <v>43093</v>
      </c>
      <c r="B6576">
        <v>6.42</v>
      </c>
      <c r="D6576" s="2">
        <v>43824</v>
      </c>
      <c r="E6576">
        <v>5.15</v>
      </c>
      <c r="G6576" s="2">
        <v>43824</v>
      </c>
      <c r="H6576">
        <v>5.524</v>
      </c>
      <c r="J6576" s="2">
        <v>43831</v>
      </c>
      <c r="K6576" s="3">
        <f t="shared" si="204"/>
        <v>5.15</v>
      </c>
      <c r="L6576" s="3">
        <f t="shared" si="205"/>
        <v>5.484</v>
      </c>
    </row>
    <row r="6577" spans="1:12" x14ac:dyDescent="0.3">
      <c r="A6577" s="2">
        <v>43094</v>
      </c>
      <c r="B6577">
        <v>6.42</v>
      </c>
      <c r="D6577" s="2">
        <v>43825</v>
      </c>
      <c r="E6577">
        <v>5.15</v>
      </c>
      <c r="G6577" s="2">
        <v>43825</v>
      </c>
      <c r="H6577">
        <v>5.5060000000000002</v>
      </c>
      <c r="J6577" s="2">
        <v>43832</v>
      </c>
      <c r="K6577" s="3">
        <f t="shared" si="204"/>
        <v>5.15</v>
      </c>
      <c r="L6577" s="3">
        <f t="shared" si="205"/>
        <v>5.46</v>
      </c>
    </row>
    <row r="6578" spans="1:12" x14ac:dyDescent="0.3">
      <c r="A6578" s="2">
        <v>43095</v>
      </c>
      <c r="B6578">
        <v>6.44</v>
      </c>
      <c r="D6578" s="2">
        <v>43826</v>
      </c>
      <c r="E6578">
        <v>5.15</v>
      </c>
      <c r="G6578" s="2">
        <v>43826</v>
      </c>
      <c r="H6578">
        <v>5.5019999999999998</v>
      </c>
      <c r="J6578" s="2">
        <v>43833</v>
      </c>
      <c r="K6578" s="3">
        <f t="shared" si="204"/>
        <v>5.15</v>
      </c>
      <c r="L6578" s="3">
        <f t="shared" si="205"/>
        <v>5.4580000000000002</v>
      </c>
    </row>
    <row r="6579" spans="1:12" x14ac:dyDescent="0.3">
      <c r="A6579" s="2">
        <v>43096</v>
      </c>
      <c r="B6579">
        <v>6.41</v>
      </c>
      <c r="D6579" s="2">
        <v>43827</v>
      </c>
      <c r="E6579">
        <v>5.15</v>
      </c>
      <c r="G6579" s="2">
        <v>43827</v>
      </c>
      <c r="H6579">
        <v>5.5019999999999998</v>
      </c>
      <c r="J6579" s="2">
        <v>43834</v>
      </c>
      <c r="K6579" s="3">
        <f t="shared" si="204"/>
        <v>5.15</v>
      </c>
      <c r="L6579" s="3">
        <f t="shared" si="205"/>
        <v>5.4580000000000002</v>
      </c>
    </row>
    <row r="6580" spans="1:12" x14ac:dyDescent="0.3">
      <c r="A6580" s="2">
        <v>43097</v>
      </c>
      <c r="B6580">
        <v>6.37</v>
      </c>
      <c r="D6580" s="2">
        <v>43828</v>
      </c>
      <c r="E6580">
        <v>5.15</v>
      </c>
      <c r="G6580" s="2">
        <v>43828</v>
      </c>
      <c r="H6580">
        <v>5.5019999999999998</v>
      </c>
      <c r="J6580" s="2">
        <v>43835</v>
      </c>
      <c r="K6580" s="3">
        <f t="shared" si="204"/>
        <v>5.15</v>
      </c>
      <c r="L6580" s="3">
        <f t="shared" si="205"/>
        <v>5.4580000000000002</v>
      </c>
    </row>
    <row r="6581" spans="1:12" x14ac:dyDescent="0.3">
      <c r="A6581" s="2">
        <v>43098</v>
      </c>
      <c r="B6581">
        <v>6.37</v>
      </c>
      <c r="D6581" s="2">
        <v>43829</v>
      </c>
      <c r="E6581">
        <v>5.15</v>
      </c>
      <c r="G6581" s="2">
        <v>43829</v>
      </c>
      <c r="H6581">
        <v>5.548</v>
      </c>
      <c r="J6581" s="2">
        <v>43836</v>
      </c>
      <c r="K6581" s="3">
        <f t="shared" si="204"/>
        <v>5.15</v>
      </c>
      <c r="L6581" s="3">
        <f t="shared" si="205"/>
        <v>5.7720000000000002</v>
      </c>
    </row>
    <row r="6582" spans="1:12" x14ac:dyDescent="0.3">
      <c r="A6582" s="2">
        <v>43099</v>
      </c>
      <c r="B6582">
        <v>6.37</v>
      </c>
      <c r="D6582" s="2">
        <v>43830</v>
      </c>
      <c r="E6582">
        <v>5.15</v>
      </c>
      <c r="G6582" s="2">
        <v>43830</v>
      </c>
      <c r="H6582">
        <v>5.4809999999999999</v>
      </c>
      <c r="J6582" s="2">
        <v>43837</v>
      </c>
      <c r="K6582" s="3">
        <f t="shared" si="204"/>
        <v>5.15</v>
      </c>
      <c r="L6582" s="3">
        <f t="shared" si="205"/>
        <v>5.7370000000000001</v>
      </c>
    </row>
    <row r="6583" spans="1:12" x14ac:dyDescent="0.3">
      <c r="A6583" s="2">
        <v>43100</v>
      </c>
      <c r="B6583">
        <v>6.37</v>
      </c>
      <c r="D6583" s="2">
        <v>43831</v>
      </c>
      <c r="E6583">
        <v>5.15</v>
      </c>
      <c r="G6583" s="2">
        <v>43831</v>
      </c>
      <c r="H6583">
        <v>5.484</v>
      </c>
      <c r="J6583" s="2">
        <v>43838</v>
      </c>
      <c r="K6583" s="3">
        <f t="shared" si="204"/>
        <v>5.15</v>
      </c>
      <c r="L6583" s="3">
        <f t="shared" si="205"/>
        <v>5.7240000000000002</v>
      </c>
    </row>
    <row r="6584" spans="1:12" x14ac:dyDescent="0.3">
      <c r="A6584" s="2">
        <v>43101</v>
      </c>
      <c r="B6584">
        <v>6.31</v>
      </c>
      <c r="D6584" s="2">
        <v>43832</v>
      </c>
      <c r="E6584">
        <v>5.15</v>
      </c>
      <c r="G6584" s="2">
        <v>43832</v>
      </c>
      <c r="H6584">
        <v>5.46</v>
      </c>
      <c r="J6584" s="2">
        <v>43839</v>
      </c>
      <c r="K6584" s="3">
        <f t="shared" si="204"/>
        <v>5.15</v>
      </c>
      <c r="L6584" s="3">
        <f t="shared" si="205"/>
        <v>5.6870000000000003</v>
      </c>
    </row>
    <row r="6585" spans="1:12" x14ac:dyDescent="0.3">
      <c r="A6585" s="2">
        <v>43102</v>
      </c>
      <c r="B6585">
        <v>6.37</v>
      </c>
      <c r="D6585" s="2">
        <v>43833</v>
      </c>
      <c r="E6585">
        <v>5.15</v>
      </c>
      <c r="G6585" s="2">
        <v>43833</v>
      </c>
      <c r="H6585">
        <v>5.4580000000000002</v>
      </c>
      <c r="J6585" s="2">
        <v>43840</v>
      </c>
      <c r="K6585" s="3">
        <f t="shared" si="204"/>
        <v>5.15</v>
      </c>
      <c r="L6585" s="3">
        <f t="shared" si="205"/>
        <v>5.6849999999999996</v>
      </c>
    </row>
    <row r="6586" spans="1:12" x14ac:dyDescent="0.3">
      <c r="A6586" s="2">
        <v>43103</v>
      </c>
      <c r="B6586">
        <v>6.48</v>
      </c>
      <c r="D6586" s="2">
        <v>43834</v>
      </c>
      <c r="E6586">
        <v>5.15</v>
      </c>
      <c r="G6586" s="2">
        <v>43834</v>
      </c>
      <c r="H6586">
        <v>5.4580000000000002</v>
      </c>
      <c r="J6586" s="2">
        <v>43841</v>
      </c>
      <c r="K6586" s="3">
        <f t="shared" si="204"/>
        <v>5.15</v>
      </c>
      <c r="L6586" s="3">
        <f t="shared" si="205"/>
        <v>5.6849999999999996</v>
      </c>
    </row>
    <row r="6587" spans="1:12" x14ac:dyDescent="0.3">
      <c r="A6587" s="2">
        <v>43104</v>
      </c>
      <c r="B6587">
        <v>6.46</v>
      </c>
      <c r="D6587" s="2">
        <v>43835</v>
      </c>
      <c r="E6587">
        <v>5.15</v>
      </c>
      <c r="G6587" s="2">
        <v>43835</v>
      </c>
      <c r="H6587">
        <v>5.4580000000000002</v>
      </c>
      <c r="J6587" s="2">
        <v>43842</v>
      </c>
      <c r="K6587" s="3">
        <f t="shared" si="204"/>
        <v>5.15</v>
      </c>
      <c r="L6587" s="3">
        <f t="shared" si="205"/>
        <v>5.6849999999999996</v>
      </c>
    </row>
    <row r="6588" spans="1:12" x14ac:dyDescent="0.3">
      <c r="A6588" s="2">
        <v>43105</v>
      </c>
      <c r="B6588">
        <v>6.47</v>
      </c>
      <c r="D6588" s="2">
        <v>43836</v>
      </c>
      <c r="E6588">
        <v>5.15</v>
      </c>
      <c r="G6588" s="2">
        <v>43836</v>
      </c>
      <c r="H6588">
        <v>5.7720000000000002</v>
      </c>
      <c r="J6588" s="2">
        <v>43843</v>
      </c>
      <c r="K6588" s="3">
        <f t="shared" si="204"/>
        <v>5.15</v>
      </c>
      <c r="L6588" s="3">
        <f t="shared" si="205"/>
        <v>5.6840000000000002</v>
      </c>
    </row>
    <row r="6589" spans="1:12" x14ac:dyDescent="0.3">
      <c r="A6589" s="2">
        <v>43106</v>
      </c>
      <c r="B6589">
        <v>6.47</v>
      </c>
      <c r="D6589" s="2">
        <v>43837</v>
      </c>
      <c r="E6589">
        <v>5.15</v>
      </c>
      <c r="G6589" s="2">
        <v>43837</v>
      </c>
      <c r="H6589">
        <v>5.7370000000000001</v>
      </c>
      <c r="J6589" s="2">
        <v>43844</v>
      </c>
      <c r="K6589" s="3">
        <f t="shared" si="204"/>
        <v>5.15</v>
      </c>
      <c r="L6589" s="3">
        <f t="shared" si="205"/>
        <v>5.7050000000000001</v>
      </c>
    </row>
    <row r="6590" spans="1:12" x14ac:dyDescent="0.3">
      <c r="A6590" s="2">
        <v>43107</v>
      </c>
      <c r="B6590">
        <v>6.47</v>
      </c>
      <c r="D6590" s="2">
        <v>43838</v>
      </c>
      <c r="E6590">
        <v>5.15</v>
      </c>
      <c r="G6590" s="2">
        <v>43838</v>
      </c>
      <c r="H6590">
        <v>5.7240000000000002</v>
      </c>
      <c r="J6590" s="2">
        <v>43845</v>
      </c>
      <c r="K6590" s="3">
        <f t="shared" si="204"/>
        <v>5.15</v>
      </c>
      <c r="L6590" s="3">
        <f t="shared" si="205"/>
        <v>5.7039999999999997</v>
      </c>
    </row>
    <row r="6591" spans="1:12" x14ac:dyDescent="0.3">
      <c r="A6591" s="2">
        <v>43108</v>
      </c>
      <c r="B6591">
        <v>6.48</v>
      </c>
      <c r="D6591" s="2">
        <v>43839</v>
      </c>
      <c r="E6591">
        <v>5.15</v>
      </c>
      <c r="G6591" s="2">
        <v>43839</v>
      </c>
      <c r="H6591">
        <v>5.6870000000000003</v>
      </c>
      <c r="J6591" s="2">
        <v>43846</v>
      </c>
      <c r="K6591" s="3">
        <f t="shared" si="204"/>
        <v>5.15</v>
      </c>
      <c r="L6591" s="3">
        <f t="shared" si="205"/>
        <v>5.7030000000000003</v>
      </c>
    </row>
    <row r="6592" spans="1:12" x14ac:dyDescent="0.3">
      <c r="A6592" s="2">
        <v>43109</v>
      </c>
      <c r="B6592">
        <v>6.48</v>
      </c>
      <c r="D6592" s="2">
        <v>43840</v>
      </c>
      <c r="E6592">
        <v>5.15</v>
      </c>
      <c r="G6592" s="2">
        <v>43840</v>
      </c>
      <c r="H6592">
        <v>5.6849999999999996</v>
      </c>
      <c r="J6592" s="2">
        <v>43847</v>
      </c>
      <c r="K6592" s="3">
        <f t="shared" si="204"/>
        <v>5.15</v>
      </c>
      <c r="L6592" s="3">
        <f t="shared" si="205"/>
        <v>5.742</v>
      </c>
    </row>
    <row r="6593" spans="1:12" x14ac:dyDescent="0.3">
      <c r="A6593" s="2">
        <v>43110</v>
      </c>
      <c r="B6593">
        <v>6.52</v>
      </c>
      <c r="D6593" s="2">
        <v>43841</v>
      </c>
      <c r="E6593">
        <v>5.15</v>
      </c>
      <c r="G6593" s="2">
        <v>43841</v>
      </c>
      <c r="H6593">
        <v>5.6849999999999996</v>
      </c>
      <c r="J6593" s="2">
        <v>43848</v>
      </c>
      <c r="K6593" s="3">
        <f t="shared" si="204"/>
        <v>5.15</v>
      </c>
      <c r="L6593" s="3">
        <f t="shared" si="205"/>
        <v>5.742</v>
      </c>
    </row>
    <row r="6594" spans="1:12" x14ac:dyDescent="0.3">
      <c r="A6594" s="2">
        <v>43111</v>
      </c>
      <c r="B6594">
        <v>6.51</v>
      </c>
      <c r="D6594" s="2">
        <v>43842</v>
      </c>
      <c r="E6594">
        <v>5.15</v>
      </c>
      <c r="G6594" s="2">
        <v>43842</v>
      </c>
      <c r="H6594">
        <v>5.6849999999999996</v>
      </c>
      <c r="J6594" s="2">
        <v>43849</v>
      </c>
      <c r="K6594" s="3">
        <f t="shared" si="204"/>
        <v>5.15</v>
      </c>
      <c r="L6594" s="3">
        <f t="shared" si="205"/>
        <v>5.742</v>
      </c>
    </row>
    <row r="6595" spans="1:12" x14ac:dyDescent="0.3">
      <c r="A6595" s="2">
        <v>43112</v>
      </c>
      <c r="B6595">
        <v>6.51</v>
      </c>
      <c r="D6595" s="2">
        <v>43843</v>
      </c>
      <c r="E6595">
        <v>5.15</v>
      </c>
      <c r="G6595" s="2">
        <v>43843</v>
      </c>
      <c r="H6595">
        <v>5.6840000000000002</v>
      </c>
      <c r="J6595" s="2">
        <v>43850</v>
      </c>
      <c r="K6595" s="3">
        <f t="shared" ref="K6595:K6658" si="206">E6602</f>
        <v>5.15</v>
      </c>
      <c r="L6595" s="3">
        <f t="shared" ref="L6595:L6658" si="207">H6602</f>
        <v>5.7409999999999997</v>
      </c>
    </row>
    <row r="6596" spans="1:12" x14ac:dyDescent="0.3">
      <c r="A6596" s="2">
        <v>43113</v>
      </c>
      <c r="B6596">
        <v>6.51</v>
      </c>
      <c r="D6596" s="2">
        <v>43844</v>
      </c>
      <c r="E6596">
        <v>5.15</v>
      </c>
      <c r="G6596" s="2">
        <v>43844</v>
      </c>
      <c r="H6596">
        <v>5.7050000000000001</v>
      </c>
      <c r="J6596" s="2">
        <v>43851</v>
      </c>
      <c r="K6596" s="3">
        <f t="shared" si="206"/>
        <v>5.15</v>
      </c>
      <c r="L6596" s="3">
        <f t="shared" si="207"/>
        <v>5.7530000000000001</v>
      </c>
    </row>
    <row r="6597" spans="1:12" x14ac:dyDescent="0.3">
      <c r="A6597" s="2">
        <v>43114</v>
      </c>
      <c r="B6597">
        <v>6.51</v>
      </c>
      <c r="D6597" s="2">
        <v>43845</v>
      </c>
      <c r="E6597">
        <v>5.15</v>
      </c>
      <c r="G6597" s="2">
        <v>43845</v>
      </c>
      <c r="H6597">
        <v>5.7039999999999997</v>
      </c>
      <c r="J6597" s="2">
        <v>43852</v>
      </c>
      <c r="K6597" s="3">
        <f t="shared" si="206"/>
        <v>5.15</v>
      </c>
      <c r="L6597" s="3">
        <f t="shared" si="207"/>
        <v>5.75</v>
      </c>
    </row>
    <row r="6598" spans="1:12" x14ac:dyDescent="0.3">
      <c r="A6598" s="2">
        <v>43115</v>
      </c>
      <c r="B6598">
        <v>6.48</v>
      </c>
      <c r="D6598" s="2">
        <v>43846</v>
      </c>
      <c r="E6598">
        <v>5.15</v>
      </c>
      <c r="G6598" s="2">
        <v>43846</v>
      </c>
      <c r="H6598">
        <v>5.7030000000000003</v>
      </c>
      <c r="J6598" s="2">
        <v>43853</v>
      </c>
      <c r="K6598" s="3">
        <f t="shared" si="206"/>
        <v>5.15</v>
      </c>
      <c r="L6598" s="3">
        <f t="shared" si="207"/>
        <v>5.7380000000000004</v>
      </c>
    </row>
    <row r="6599" spans="1:12" x14ac:dyDescent="0.3">
      <c r="A6599" s="2">
        <v>43116</v>
      </c>
      <c r="B6599">
        <v>6.47</v>
      </c>
      <c r="D6599" s="2">
        <v>43847</v>
      </c>
      <c r="E6599">
        <v>5.15</v>
      </c>
      <c r="G6599" s="2">
        <v>43847</v>
      </c>
      <c r="H6599">
        <v>5.742</v>
      </c>
      <c r="J6599" s="2">
        <v>43854</v>
      </c>
      <c r="K6599" s="3">
        <f t="shared" si="206"/>
        <v>5.15</v>
      </c>
      <c r="L6599" s="3">
        <f t="shared" si="207"/>
        <v>5.7</v>
      </c>
    </row>
    <row r="6600" spans="1:12" x14ac:dyDescent="0.3">
      <c r="A6600" s="2">
        <v>43117</v>
      </c>
      <c r="B6600">
        <v>6.54</v>
      </c>
      <c r="D6600" s="2">
        <v>43848</v>
      </c>
      <c r="E6600">
        <v>5.15</v>
      </c>
      <c r="G6600" s="2">
        <v>43848</v>
      </c>
      <c r="H6600">
        <v>5.742</v>
      </c>
      <c r="J6600" s="2">
        <v>43855</v>
      </c>
      <c r="K6600" s="3">
        <f t="shared" si="206"/>
        <v>5.15</v>
      </c>
      <c r="L6600" s="3">
        <f t="shared" si="207"/>
        <v>5.7</v>
      </c>
    </row>
    <row r="6601" spans="1:12" x14ac:dyDescent="0.3">
      <c r="A6601" s="2">
        <v>43118</v>
      </c>
      <c r="B6601">
        <v>6.49</v>
      </c>
      <c r="D6601" s="2">
        <v>43849</v>
      </c>
      <c r="E6601">
        <v>5.15</v>
      </c>
      <c r="G6601" s="2">
        <v>43849</v>
      </c>
      <c r="H6601">
        <v>5.742</v>
      </c>
      <c r="J6601" s="2">
        <v>43856</v>
      </c>
      <c r="K6601" s="3">
        <f t="shared" si="206"/>
        <v>5.15</v>
      </c>
      <c r="L6601" s="3">
        <f t="shared" si="207"/>
        <v>5.7</v>
      </c>
    </row>
    <row r="6602" spans="1:12" x14ac:dyDescent="0.3">
      <c r="A6602" s="2">
        <v>43119</v>
      </c>
      <c r="B6602">
        <v>6.48</v>
      </c>
      <c r="D6602" s="2">
        <v>43850</v>
      </c>
      <c r="E6602">
        <v>5.15</v>
      </c>
      <c r="G6602" s="2">
        <v>43850</v>
      </c>
      <c r="H6602">
        <v>5.7409999999999997</v>
      </c>
      <c r="J6602" s="2">
        <v>43857</v>
      </c>
      <c r="K6602" s="3">
        <f t="shared" si="206"/>
        <v>5.15</v>
      </c>
      <c r="L6602" s="3">
        <f t="shared" si="207"/>
        <v>5.67</v>
      </c>
    </row>
    <row r="6603" spans="1:12" x14ac:dyDescent="0.3">
      <c r="A6603" s="2">
        <v>43120</v>
      </c>
      <c r="B6603">
        <v>6.48</v>
      </c>
      <c r="D6603" s="2">
        <v>43851</v>
      </c>
      <c r="E6603">
        <v>5.15</v>
      </c>
      <c r="G6603" s="2">
        <v>43851</v>
      </c>
      <c r="H6603">
        <v>5.7530000000000001</v>
      </c>
      <c r="J6603" s="2">
        <v>43858</v>
      </c>
      <c r="K6603" s="3">
        <f t="shared" si="206"/>
        <v>5.15</v>
      </c>
      <c r="L6603" s="3">
        <f t="shared" si="207"/>
        <v>5.6760000000000002</v>
      </c>
    </row>
    <row r="6604" spans="1:12" x14ac:dyDescent="0.3">
      <c r="A6604" s="2">
        <v>43121</v>
      </c>
      <c r="B6604">
        <v>6.48</v>
      </c>
      <c r="D6604" s="2">
        <v>43852</v>
      </c>
      <c r="E6604">
        <v>5.15</v>
      </c>
      <c r="G6604" s="2">
        <v>43852</v>
      </c>
      <c r="H6604">
        <v>5.75</v>
      </c>
      <c r="J6604" s="2">
        <v>43859</v>
      </c>
      <c r="K6604" s="3">
        <f t="shared" si="206"/>
        <v>5.15</v>
      </c>
      <c r="L6604" s="3">
        <f t="shared" si="207"/>
        <v>5.6749999999999998</v>
      </c>
    </row>
    <row r="6605" spans="1:12" x14ac:dyDescent="0.3">
      <c r="A6605" s="2">
        <v>43122</v>
      </c>
      <c r="B6605">
        <v>6.48</v>
      </c>
      <c r="D6605" s="2">
        <v>43853</v>
      </c>
      <c r="E6605">
        <v>5.15</v>
      </c>
      <c r="G6605" s="2">
        <v>43853</v>
      </c>
      <c r="H6605">
        <v>5.7380000000000004</v>
      </c>
      <c r="J6605" s="2">
        <v>43860</v>
      </c>
      <c r="K6605" s="3">
        <f t="shared" si="206"/>
        <v>5.15</v>
      </c>
      <c r="L6605" s="3">
        <f t="shared" si="207"/>
        <v>5.6609999999999996</v>
      </c>
    </row>
    <row r="6606" spans="1:12" x14ac:dyDescent="0.3">
      <c r="A6606" s="2">
        <v>43123</v>
      </c>
      <c r="B6606">
        <v>6.46</v>
      </c>
      <c r="D6606" s="2">
        <v>43854</v>
      </c>
      <c r="E6606">
        <v>5.15</v>
      </c>
      <c r="G6606" s="2">
        <v>43854</v>
      </c>
      <c r="H6606">
        <v>5.7</v>
      </c>
      <c r="J6606" s="2">
        <v>43861</v>
      </c>
      <c r="K6606" s="3">
        <f t="shared" si="206"/>
        <v>5.15</v>
      </c>
      <c r="L6606" s="3">
        <f t="shared" si="207"/>
        <v>5.6580000000000004</v>
      </c>
    </row>
    <row r="6607" spans="1:12" x14ac:dyDescent="0.3">
      <c r="A6607" s="2">
        <v>43124</v>
      </c>
      <c r="B6607">
        <v>6.54</v>
      </c>
      <c r="D6607" s="2">
        <v>43855</v>
      </c>
      <c r="E6607">
        <v>5.15</v>
      </c>
      <c r="G6607" s="2">
        <v>43855</v>
      </c>
      <c r="H6607">
        <v>5.7</v>
      </c>
      <c r="J6607" s="2">
        <v>43862</v>
      </c>
      <c r="K6607" s="3">
        <f t="shared" si="206"/>
        <v>5.15</v>
      </c>
      <c r="L6607" s="3">
        <f t="shared" si="207"/>
        <v>5.6580000000000004</v>
      </c>
    </row>
    <row r="6608" spans="1:12" x14ac:dyDescent="0.3">
      <c r="A6608" s="2">
        <v>43125</v>
      </c>
      <c r="B6608">
        <v>6.51</v>
      </c>
      <c r="D6608" s="2">
        <v>43856</v>
      </c>
      <c r="E6608">
        <v>5.15</v>
      </c>
      <c r="G6608" s="2">
        <v>43856</v>
      </c>
      <c r="H6608">
        <v>5.7</v>
      </c>
      <c r="J6608" s="2">
        <v>43863</v>
      </c>
      <c r="K6608" s="3">
        <f t="shared" si="206"/>
        <v>5.15</v>
      </c>
      <c r="L6608" s="3">
        <f t="shared" si="207"/>
        <v>5.6580000000000004</v>
      </c>
    </row>
    <row r="6609" spans="1:12" x14ac:dyDescent="0.3">
      <c r="A6609" s="2">
        <v>43126</v>
      </c>
      <c r="B6609">
        <v>6.51</v>
      </c>
      <c r="D6609" s="2">
        <v>43857</v>
      </c>
      <c r="E6609">
        <v>5.15</v>
      </c>
      <c r="G6609" s="2">
        <v>43857</v>
      </c>
      <c r="H6609">
        <v>5.67</v>
      </c>
      <c r="J6609" s="2">
        <v>43864</v>
      </c>
      <c r="K6609" s="3">
        <f t="shared" si="206"/>
        <v>5.15</v>
      </c>
      <c r="L6609" s="3">
        <f t="shared" si="207"/>
        <v>5.617</v>
      </c>
    </row>
    <row r="6610" spans="1:12" x14ac:dyDescent="0.3">
      <c r="A6610" s="2">
        <v>43127</v>
      </c>
      <c r="B6610">
        <v>6.51</v>
      </c>
      <c r="D6610" s="2">
        <v>43858</v>
      </c>
      <c r="E6610">
        <v>5.15</v>
      </c>
      <c r="G6610" s="2">
        <v>43858</v>
      </c>
      <c r="H6610">
        <v>5.6760000000000002</v>
      </c>
      <c r="J6610" s="2">
        <v>43865</v>
      </c>
      <c r="K6610" s="3">
        <f t="shared" si="206"/>
        <v>5.15</v>
      </c>
      <c r="L6610" s="3">
        <f t="shared" si="207"/>
        <v>5.6120000000000001</v>
      </c>
    </row>
    <row r="6611" spans="1:12" x14ac:dyDescent="0.3">
      <c r="A6611" s="2">
        <v>43128</v>
      </c>
      <c r="B6611">
        <v>6.51</v>
      </c>
      <c r="D6611" s="2">
        <v>43859</v>
      </c>
      <c r="E6611">
        <v>5.15</v>
      </c>
      <c r="G6611" s="2">
        <v>43859</v>
      </c>
      <c r="H6611">
        <v>5.6749999999999998</v>
      </c>
      <c r="J6611" s="2">
        <v>43866</v>
      </c>
      <c r="K6611" s="3">
        <f t="shared" si="206"/>
        <v>5.15</v>
      </c>
      <c r="L6611" s="3">
        <f t="shared" si="207"/>
        <v>5.5830000000000002</v>
      </c>
    </row>
    <row r="6612" spans="1:12" x14ac:dyDescent="0.3">
      <c r="A6612" s="2">
        <v>43129</v>
      </c>
      <c r="B6612">
        <v>6.53</v>
      </c>
      <c r="D6612" s="2">
        <v>43860</v>
      </c>
      <c r="E6612">
        <v>5.15</v>
      </c>
      <c r="G6612" s="2">
        <v>43860</v>
      </c>
      <c r="H6612">
        <v>5.6609999999999996</v>
      </c>
      <c r="J6612" s="2">
        <v>43867</v>
      </c>
      <c r="K6612" s="3">
        <f t="shared" si="206"/>
        <v>5.15</v>
      </c>
      <c r="L6612" s="3">
        <f t="shared" si="207"/>
        <v>5.5220000000000002</v>
      </c>
    </row>
    <row r="6613" spans="1:12" x14ac:dyDescent="0.3">
      <c r="A6613" s="2">
        <v>43130</v>
      </c>
      <c r="B6613">
        <v>6.51</v>
      </c>
      <c r="D6613" s="2">
        <v>43861</v>
      </c>
      <c r="E6613">
        <v>5.15</v>
      </c>
      <c r="G6613" s="2">
        <v>43861</v>
      </c>
      <c r="H6613">
        <v>5.6580000000000004</v>
      </c>
      <c r="J6613" s="2">
        <v>43868</v>
      </c>
      <c r="K6613" s="3">
        <f t="shared" si="206"/>
        <v>5.15</v>
      </c>
      <c r="L6613" s="3">
        <f t="shared" si="207"/>
        <v>5.4909999999999997</v>
      </c>
    </row>
    <row r="6614" spans="1:12" x14ac:dyDescent="0.3">
      <c r="A6614" s="2">
        <v>43131</v>
      </c>
      <c r="B6614">
        <v>6.58</v>
      </c>
      <c r="D6614" s="2">
        <v>43862</v>
      </c>
      <c r="E6614">
        <v>5.15</v>
      </c>
      <c r="G6614" s="2">
        <v>43862</v>
      </c>
      <c r="H6614">
        <v>5.6580000000000004</v>
      </c>
      <c r="J6614" s="2">
        <v>43869</v>
      </c>
      <c r="K6614" s="3">
        <f t="shared" si="206"/>
        <v>5.15</v>
      </c>
      <c r="L6614" s="3">
        <f t="shared" si="207"/>
        <v>5.4909999999999997</v>
      </c>
    </row>
    <row r="6615" spans="1:12" x14ac:dyDescent="0.3">
      <c r="A6615" s="2">
        <v>43132</v>
      </c>
      <c r="B6615">
        <v>6.53</v>
      </c>
      <c r="D6615" s="2">
        <v>43863</v>
      </c>
      <c r="E6615">
        <v>5.15</v>
      </c>
      <c r="G6615" s="2">
        <v>43863</v>
      </c>
      <c r="H6615">
        <v>5.6580000000000004</v>
      </c>
      <c r="J6615" s="2">
        <v>43870</v>
      </c>
      <c r="K6615" s="3">
        <f t="shared" si="206"/>
        <v>5.15</v>
      </c>
      <c r="L6615" s="3">
        <f t="shared" si="207"/>
        <v>5.4909999999999997</v>
      </c>
    </row>
    <row r="6616" spans="1:12" x14ac:dyDescent="0.3">
      <c r="A6616" s="2">
        <v>43133</v>
      </c>
      <c r="B6616">
        <v>6.58</v>
      </c>
      <c r="D6616" s="2">
        <v>43864</v>
      </c>
      <c r="E6616">
        <v>5.15</v>
      </c>
      <c r="G6616" s="2">
        <v>43864</v>
      </c>
      <c r="H6616">
        <v>5.617</v>
      </c>
      <c r="J6616" s="2">
        <v>43871</v>
      </c>
      <c r="K6616" s="3">
        <f t="shared" si="206"/>
        <v>5.15</v>
      </c>
      <c r="L6616" s="3">
        <f t="shared" si="207"/>
        <v>5.4980000000000002</v>
      </c>
    </row>
    <row r="6617" spans="1:12" x14ac:dyDescent="0.3">
      <c r="A6617" s="2">
        <v>43134</v>
      </c>
      <c r="B6617">
        <v>6.58</v>
      </c>
      <c r="D6617" s="2">
        <v>43865</v>
      </c>
      <c r="E6617">
        <v>5.15</v>
      </c>
      <c r="G6617" s="2">
        <v>43865</v>
      </c>
      <c r="H6617">
        <v>5.6120000000000001</v>
      </c>
      <c r="J6617" s="2">
        <v>43872</v>
      </c>
      <c r="K6617" s="3">
        <f t="shared" si="206"/>
        <v>5.15</v>
      </c>
      <c r="L6617" s="3">
        <f t="shared" si="207"/>
        <v>5.4930000000000003</v>
      </c>
    </row>
    <row r="6618" spans="1:12" x14ac:dyDescent="0.3">
      <c r="A6618" s="2">
        <v>43135</v>
      </c>
      <c r="B6618">
        <v>6.58</v>
      </c>
      <c r="D6618" s="2">
        <v>43866</v>
      </c>
      <c r="E6618">
        <v>5.15</v>
      </c>
      <c r="G6618" s="2">
        <v>43866</v>
      </c>
      <c r="H6618">
        <v>5.5830000000000002</v>
      </c>
      <c r="J6618" s="2">
        <v>43873</v>
      </c>
      <c r="K6618" s="3">
        <f t="shared" si="206"/>
        <v>5.15</v>
      </c>
      <c r="L6618" s="3">
        <f t="shared" si="207"/>
        <v>5.4770000000000003</v>
      </c>
    </row>
    <row r="6619" spans="1:12" x14ac:dyDescent="0.3">
      <c r="A6619" s="2">
        <v>43136</v>
      </c>
      <c r="B6619">
        <v>6.59</v>
      </c>
      <c r="D6619" s="2">
        <v>43867</v>
      </c>
      <c r="E6619">
        <v>5.15</v>
      </c>
      <c r="G6619" s="2">
        <v>43867</v>
      </c>
      <c r="H6619">
        <v>5.5220000000000002</v>
      </c>
      <c r="J6619" s="2">
        <v>43874</v>
      </c>
      <c r="K6619" s="3">
        <f t="shared" si="206"/>
        <v>5.15</v>
      </c>
      <c r="L6619" s="3">
        <f t="shared" si="207"/>
        <v>5.4690000000000003</v>
      </c>
    </row>
    <row r="6620" spans="1:12" x14ac:dyDescent="0.3">
      <c r="A6620" s="2">
        <v>43137</v>
      </c>
      <c r="B6620">
        <v>6.56</v>
      </c>
      <c r="D6620" s="2">
        <v>43868</v>
      </c>
      <c r="E6620">
        <v>5.15</v>
      </c>
      <c r="G6620" s="2">
        <v>43868</v>
      </c>
      <c r="H6620">
        <v>5.4909999999999997</v>
      </c>
      <c r="J6620" s="2">
        <v>43875</v>
      </c>
      <c r="K6620" s="3">
        <f t="shared" si="206"/>
        <v>5.15</v>
      </c>
      <c r="L6620" s="3">
        <f t="shared" si="207"/>
        <v>5.4379999999999997</v>
      </c>
    </row>
    <row r="6621" spans="1:12" x14ac:dyDescent="0.3">
      <c r="A6621" s="2">
        <v>43138</v>
      </c>
      <c r="B6621">
        <v>6.63</v>
      </c>
      <c r="D6621" s="2">
        <v>43869</v>
      </c>
      <c r="E6621">
        <v>5.15</v>
      </c>
      <c r="G6621" s="2">
        <v>43869</v>
      </c>
      <c r="H6621">
        <v>5.4909999999999997</v>
      </c>
      <c r="J6621" s="2">
        <v>43876</v>
      </c>
      <c r="K6621" s="3">
        <f t="shared" si="206"/>
        <v>5.15</v>
      </c>
      <c r="L6621" s="3">
        <f t="shared" si="207"/>
        <v>5.4379999999999997</v>
      </c>
    </row>
    <row r="6622" spans="1:12" x14ac:dyDescent="0.3">
      <c r="A6622" s="2">
        <v>43139</v>
      </c>
      <c r="B6622">
        <v>6.56</v>
      </c>
      <c r="D6622" s="2">
        <v>43870</v>
      </c>
      <c r="E6622">
        <v>5.15</v>
      </c>
      <c r="G6622" s="2">
        <v>43870</v>
      </c>
      <c r="H6622">
        <v>5.4909999999999997</v>
      </c>
      <c r="J6622" s="2">
        <v>43877</v>
      </c>
      <c r="K6622" s="3">
        <f t="shared" si="206"/>
        <v>5.15</v>
      </c>
      <c r="L6622" s="3">
        <f t="shared" si="207"/>
        <v>5.4379999999999997</v>
      </c>
    </row>
    <row r="6623" spans="1:12" x14ac:dyDescent="0.3">
      <c r="A6623" s="2">
        <v>43140</v>
      </c>
      <c r="B6623">
        <v>6.56</v>
      </c>
      <c r="D6623" s="2">
        <v>43871</v>
      </c>
      <c r="E6623">
        <v>5.15</v>
      </c>
      <c r="G6623" s="2">
        <v>43871</v>
      </c>
      <c r="H6623">
        <v>5.4980000000000002</v>
      </c>
      <c r="J6623" s="2">
        <v>43878</v>
      </c>
      <c r="K6623" s="3">
        <f t="shared" si="206"/>
        <v>5.15</v>
      </c>
      <c r="L6623" s="3">
        <f t="shared" si="207"/>
        <v>5.4370000000000003</v>
      </c>
    </row>
    <row r="6624" spans="1:12" x14ac:dyDescent="0.3">
      <c r="A6624" s="2">
        <v>43141</v>
      </c>
      <c r="B6624">
        <v>6.56</v>
      </c>
      <c r="D6624" s="2">
        <v>43872</v>
      </c>
      <c r="E6624">
        <v>5.15</v>
      </c>
      <c r="G6624" s="2">
        <v>43872</v>
      </c>
      <c r="H6624">
        <v>5.4930000000000003</v>
      </c>
      <c r="J6624" s="2">
        <v>43879</v>
      </c>
      <c r="K6624" s="3">
        <f t="shared" si="206"/>
        <v>5.15</v>
      </c>
      <c r="L6624" s="3">
        <f t="shared" si="207"/>
        <v>5.4340000000000002</v>
      </c>
    </row>
    <row r="6625" spans="1:12" x14ac:dyDescent="0.3">
      <c r="A6625" s="2">
        <v>43142</v>
      </c>
      <c r="B6625">
        <v>6.56</v>
      </c>
      <c r="D6625" s="2">
        <v>43873</v>
      </c>
      <c r="E6625">
        <v>5.15</v>
      </c>
      <c r="G6625" s="2">
        <v>43873</v>
      </c>
      <c r="H6625">
        <v>5.4770000000000003</v>
      </c>
      <c r="J6625" s="2">
        <v>43880</v>
      </c>
      <c r="K6625" s="3">
        <f t="shared" si="206"/>
        <v>5.15</v>
      </c>
      <c r="L6625" s="3">
        <f t="shared" si="207"/>
        <v>5.4340000000000002</v>
      </c>
    </row>
    <row r="6626" spans="1:12" x14ac:dyDescent="0.3">
      <c r="A6626" s="2">
        <v>43143</v>
      </c>
      <c r="B6626">
        <v>6.48</v>
      </c>
      <c r="D6626" s="2">
        <v>43874</v>
      </c>
      <c r="E6626">
        <v>5.15</v>
      </c>
      <c r="G6626" s="2">
        <v>43874</v>
      </c>
      <c r="H6626">
        <v>5.4690000000000003</v>
      </c>
      <c r="J6626" s="2">
        <v>43881</v>
      </c>
      <c r="K6626" s="3">
        <f t="shared" si="206"/>
        <v>5.15</v>
      </c>
      <c r="L6626" s="3">
        <f t="shared" si="207"/>
        <v>5.4340000000000002</v>
      </c>
    </row>
    <row r="6627" spans="1:12" x14ac:dyDescent="0.3">
      <c r="A6627" s="2">
        <v>43144</v>
      </c>
      <c r="B6627">
        <v>6.48</v>
      </c>
      <c r="D6627" s="2">
        <v>43875</v>
      </c>
      <c r="E6627">
        <v>5.15</v>
      </c>
      <c r="G6627" s="2">
        <v>43875</v>
      </c>
      <c r="H6627">
        <v>5.4379999999999997</v>
      </c>
      <c r="J6627" s="2">
        <v>43882</v>
      </c>
      <c r="K6627" s="3">
        <f t="shared" si="206"/>
        <v>5.15</v>
      </c>
      <c r="L6627" s="3">
        <f t="shared" si="207"/>
        <v>5.4340000000000002</v>
      </c>
    </row>
    <row r="6628" spans="1:12" x14ac:dyDescent="0.3">
      <c r="A6628" s="2">
        <v>43145</v>
      </c>
      <c r="B6628">
        <v>6.56</v>
      </c>
      <c r="D6628" s="2">
        <v>43876</v>
      </c>
      <c r="E6628">
        <v>5.15</v>
      </c>
      <c r="G6628" s="2">
        <v>43876</v>
      </c>
      <c r="H6628">
        <v>5.4379999999999997</v>
      </c>
      <c r="J6628" s="2">
        <v>43883</v>
      </c>
      <c r="K6628" s="3">
        <f t="shared" si="206"/>
        <v>5.15</v>
      </c>
      <c r="L6628" s="3">
        <f t="shared" si="207"/>
        <v>5.4340000000000002</v>
      </c>
    </row>
    <row r="6629" spans="1:12" x14ac:dyDescent="0.3">
      <c r="A6629" s="2">
        <v>43146</v>
      </c>
      <c r="B6629">
        <v>6.58</v>
      </c>
      <c r="D6629" s="2">
        <v>43877</v>
      </c>
      <c r="E6629">
        <v>5.15</v>
      </c>
      <c r="G6629" s="2">
        <v>43877</v>
      </c>
      <c r="H6629">
        <v>5.4379999999999997</v>
      </c>
      <c r="J6629" s="2">
        <v>43884</v>
      </c>
      <c r="K6629" s="3">
        <f t="shared" si="206"/>
        <v>5.15</v>
      </c>
      <c r="L6629" s="3">
        <f t="shared" si="207"/>
        <v>5.4340000000000002</v>
      </c>
    </row>
    <row r="6630" spans="1:12" x14ac:dyDescent="0.3">
      <c r="A6630" s="2">
        <v>43147</v>
      </c>
      <c r="B6630">
        <v>6.56</v>
      </c>
      <c r="D6630" s="2">
        <v>43878</v>
      </c>
      <c r="E6630">
        <v>5.15</v>
      </c>
      <c r="G6630" s="2">
        <v>43878</v>
      </c>
      <c r="H6630">
        <v>5.4370000000000003</v>
      </c>
      <c r="J6630" s="2">
        <v>43885</v>
      </c>
      <c r="K6630" s="3">
        <f t="shared" si="206"/>
        <v>5.15</v>
      </c>
      <c r="L6630" s="3">
        <f t="shared" si="207"/>
        <v>5.3940000000000001</v>
      </c>
    </row>
    <row r="6631" spans="1:12" x14ac:dyDescent="0.3">
      <c r="A6631" s="2">
        <v>43148</v>
      </c>
      <c r="B6631">
        <v>6.56</v>
      </c>
      <c r="D6631" s="2">
        <v>43879</v>
      </c>
      <c r="E6631">
        <v>5.15</v>
      </c>
      <c r="G6631" s="2">
        <v>43879</v>
      </c>
      <c r="H6631">
        <v>5.4340000000000002</v>
      </c>
      <c r="J6631" s="2">
        <v>43886</v>
      </c>
      <c r="K6631" s="3">
        <f t="shared" si="206"/>
        <v>5.15</v>
      </c>
      <c r="L6631" s="3">
        <f t="shared" si="207"/>
        <v>5.3780000000000001</v>
      </c>
    </row>
    <row r="6632" spans="1:12" x14ac:dyDescent="0.3">
      <c r="A6632" s="2">
        <v>43149</v>
      </c>
      <c r="B6632">
        <v>6.56</v>
      </c>
      <c r="D6632" s="2">
        <v>43880</v>
      </c>
      <c r="E6632">
        <v>5.15</v>
      </c>
      <c r="G6632" s="2">
        <v>43880</v>
      </c>
      <c r="H6632">
        <v>5.4340000000000002</v>
      </c>
      <c r="J6632" s="2">
        <v>43887</v>
      </c>
      <c r="K6632" s="3">
        <f t="shared" si="206"/>
        <v>5.15</v>
      </c>
      <c r="L6632" s="3">
        <f t="shared" si="207"/>
        <v>5.359</v>
      </c>
    </row>
    <row r="6633" spans="1:12" x14ac:dyDescent="0.3">
      <c r="A6633" s="2">
        <v>43150</v>
      </c>
      <c r="B6633">
        <v>6.56</v>
      </c>
      <c r="D6633" s="2">
        <v>43881</v>
      </c>
      <c r="E6633">
        <v>5.15</v>
      </c>
      <c r="G6633" s="2">
        <v>43881</v>
      </c>
      <c r="H6633">
        <v>5.4340000000000002</v>
      </c>
      <c r="J6633" s="2">
        <v>43888</v>
      </c>
      <c r="K6633" s="3">
        <f t="shared" si="206"/>
        <v>5.15</v>
      </c>
      <c r="L6633" s="3">
        <f t="shared" si="207"/>
        <v>5.3579999999999997</v>
      </c>
    </row>
    <row r="6634" spans="1:12" x14ac:dyDescent="0.3">
      <c r="A6634" s="2">
        <v>43151</v>
      </c>
      <c r="B6634">
        <v>6.55</v>
      </c>
      <c r="D6634" s="2">
        <v>43882</v>
      </c>
      <c r="E6634">
        <v>5.15</v>
      </c>
      <c r="G6634" s="2">
        <v>43882</v>
      </c>
      <c r="H6634">
        <v>5.4340000000000002</v>
      </c>
      <c r="J6634" s="2">
        <v>43889</v>
      </c>
      <c r="K6634" s="3">
        <f t="shared" si="206"/>
        <v>5.15</v>
      </c>
      <c r="L6634" s="3">
        <f t="shared" si="207"/>
        <v>5.3280000000000003</v>
      </c>
    </row>
    <row r="6635" spans="1:12" x14ac:dyDescent="0.3">
      <c r="A6635" s="2">
        <v>43152</v>
      </c>
      <c r="B6635">
        <v>6.62</v>
      </c>
      <c r="D6635" s="2">
        <v>43883</v>
      </c>
      <c r="E6635">
        <v>5.15</v>
      </c>
      <c r="G6635" s="2">
        <v>43883</v>
      </c>
      <c r="H6635">
        <v>5.4340000000000002</v>
      </c>
      <c r="J6635" s="2">
        <v>43890</v>
      </c>
      <c r="K6635" s="3">
        <f t="shared" si="206"/>
        <v>5.15</v>
      </c>
      <c r="L6635" s="3">
        <f t="shared" si="207"/>
        <v>5.3280000000000003</v>
      </c>
    </row>
    <row r="6636" spans="1:12" x14ac:dyDescent="0.3">
      <c r="A6636" s="2">
        <v>43153</v>
      </c>
      <c r="B6636">
        <v>6.61</v>
      </c>
      <c r="D6636" s="2">
        <v>43884</v>
      </c>
      <c r="E6636">
        <v>5.15</v>
      </c>
      <c r="G6636" s="2">
        <v>43884</v>
      </c>
      <c r="H6636">
        <v>5.4340000000000002</v>
      </c>
      <c r="J6636" s="2">
        <v>43891</v>
      </c>
      <c r="K6636" s="3">
        <f t="shared" si="206"/>
        <v>5.15</v>
      </c>
      <c r="L6636" s="3">
        <f t="shared" si="207"/>
        <v>5.3280000000000003</v>
      </c>
    </row>
    <row r="6637" spans="1:12" x14ac:dyDescent="0.3">
      <c r="A6637" s="2">
        <v>43154</v>
      </c>
      <c r="B6637">
        <v>6.59</v>
      </c>
      <c r="D6637" s="2">
        <v>43885</v>
      </c>
      <c r="E6637">
        <v>5.15</v>
      </c>
      <c r="G6637" s="2">
        <v>43885</v>
      </c>
      <c r="H6637">
        <v>5.3940000000000001</v>
      </c>
      <c r="J6637" s="2">
        <v>43892</v>
      </c>
      <c r="K6637" s="3">
        <f t="shared" si="206"/>
        <v>5.15</v>
      </c>
      <c r="L6637" s="3">
        <f t="shared" si="207"/>
        <v>5.266</v>
      </c>
    </row>
    <row r="6638" spans="1:12" x14ac:dyDescent="0.3">
      <c r="A6638" s="2">
        <v>43155</v>
      </c>
      <c r="B6638">
        <v>6.59</v>
      </c>
      <c r="D6638" s="2">
        <v>43886</v>
      </c>
      <c r="E6638">
        <v>5.15</v>
      </c>
      <c r="G6638" s="2">
        <v>43886</v>
      </c>
      <c r="H6638">
        <v>5.3780000000000001</v>
      </c>
      <c r="J6638" s="2">
        <v>43893</v>
      </c>
      <c r="K6638" s="3">
        <f t="shared" si="206"/>
        <v>5.15</v>
      </c>
      <c r="L6638" s="3">
        <f t="shared" si="207"/>
        <v>5.2560000000000002</v>
      </c>
    </row>
    <row r="6639" spans="1:12" x14ac:dyDescent="0.3">
      <c r="A6639" s="2">
        <v>43156</v>
      </c>
      <c r="B6639">
        <v>6.59</v>
      </c>
      <c r="D6639" s="2">
        <v>43887</v>
      </c>
      <c r="E6639">
        <v>5.15</v>
      </c>
      <c r="G6639" s="2">
        <v>43887</v>
      </c>
      <c r="H6639">
        <v>5.359</v>
      </c>
      <c r="J6639" s="2">
        <v>43894</v>
      </c>
      <c r="K6639" s="3">
        <f t="shared" si="206"/>
        <v>5.15</v>
      </c>
      <c r="L6639" s="3">
        <f t="shared" si="207"/>
        <v>5.125</v>
      </c>
    </row>
    <row r="6640" spans="1:12" x14ac:dyDescent="0.3">
      <c r="A6640" s="2">
        <v>43157</v>
      </c>
      <c r="B6640">
        <v>6.57</v>
      </c>
      <c r="D6640" s="2">
        <v>43888</v>
      </c>
      <c r="E6640">
        <v>5.15</v>
      </c>
      <c r="G6640" s="2">
        <v>43888</v>
      </c>
      <c r="H6640">
        <v>5.3579999999999997</v>
      </c>
      <c r="J6640" s="2">
        <v>43895</v>
      </c>
      <c r="K6640" s="3">
        <f t="shared" si="206"/>
        <v>5.15</v>
      </c>
      <c r="L6640" s="3">
        <f t="shared" si="207"/>
        <v>5.1760000000000002</v>
      </c>
    </row>
    <row r="6641" spans="1:12" x14ac:dyDescent="0.3">
      <c r="A6641" s="2">
        <v>43158</v>
      </c>
      <c r="B6641">
        <v>6.56</v>
      </c>
      <c r="D6641" s="2">
        <v>43889</v>
      </c>
      <c r="E6641">
        <v>5.15</v>
      </c>
      <c r="G6641" s="2">
        <v>43889</v>
      </c>
      <c r="H6641">
        <v>5.3280000000000003</v>
      </c>
      <c r="J6641" s="2">
        <v>43896</v>
      </c>
      <c r="K6641" s="3">
        <f t="shared" si="206"/>
        <v>5.15</v>
      </c>
      <c r="L6641" s="3">
        <f t="shared" si="207"/>
        <v>5.1520000000000001</v>
      </c>
    </row>
    <row r="6642" spans="1:12" x14ac:dyDescent="0.3">
      <c r="A6642" s="2">
        <v>43159</v>
      </c>
      <c r="B6642">
        <v>6.63</v>
      </c>
      <c r="D6642" s="2">
        <v>43890</v>
      </c>
      <c r="E6642">
        <v>5.15</v>
      </c>
      <c r="G6642" s="2">
        <v>43890</v>
      </c>
      <c r="H6642">
        <v>5.3280000000000003</v>
      </c>
      <c r="J6642" s="2">
        <v>43897</v>
      </c>
      <c r="K6642" s="3">
        <f t="shared" si="206"/>
        <v>5.15</v>
      </c>
      <c r="L6642" s="3">
        <f t="shared" si="207"/>
        <v>5.1520000000000001</v>
      </c>
    </row>
    <row r="6643" spans="1:12" x14ac:dyDescent="0.3">
      <c r="A6643" s="2">
        <v>43160</v>
      </c>
      <c r="B6643">
        <v>6.62</v>
      </c>
      <c r="D6643" s="2">
        <v>43891</v>
      </c>
      <c r="E6643">
        <v>5.15</v>
      </c>
      <c r="G6643" s="2">
        <v>43891</v>
      </c>
      <c r="H6643">
        <v>5.3280000000000003</v>
      </c>
      <c r="J6643" s="2">
        <v>43898</v>
      </c>
      <c r="K6643" s="3">
        <f t="shared" si="206"/>
        <v>5.15</v>
      </c>
      <c r="L6643" s="3">
        <f t="shared" si="207"/>
        <v>5.1520000000000001</v>
      </c>
    </row>
    <row r="6644" spans="1:12" x14ac:dyDescent="0.3">
      <c r="A6644" s="2">
        <v>43161</v>
      </c>
      <c r="B6644">
        <v>6.62</v>
      </c>
      <c r="D6644" s="2">
        <v>43892</v>
      </c>
      <c r="E6644">
        <v>5.15</v>
      </c>
      <c r="G6644" s="2">
        <v>43892</v>
      </c>
      <c r="H6644">
        <v>5.266</v>
      </c>
      <c r="J6644" s="2">
        <v>43899</v>
      </c>
      <c r="K6644" s="3">
        <f t="shared" si="206"/>
        <v>5.15</v>
      </c>
      <c r="L6644" s="3">
        <f t="shared" si="207"/>
        <v>5.0730000000000004</v>
      </c>
    </row>
    <row r="6645" spans="1:12" x14ac:dyDescent="0.3">
      <c r="A6645" s="2">
        <v>43162</v>
      </c>
      <c r="B6645">
        <v>6.62</v>
      </c>
      <c r="D6645" s="2">
        <v>43893</v>
      </c>
      <c r="E6645">
        <v>5.15</v>
      </c>
      <c r="G6645" s="2">
        <v>43893</v>
      </c>
      <c r="H6645">
        <v>5.2560000000000002</v>
      </c>
      <c r="J6645" s="2">
        <v>43900</v>
      </c>
      <c r="K6645" s="3">
        <f t="shared" si="206"/>
        <v>5.15</v>
      </c>
      <c r="L6645" s="3">
        <f t="shared" si="207"/>
        <v>5.0730000000000004</v>
      </c>
    </row>
    <row r="6646" spans="1:12" x14ac:dyDescent="0.3">
      <c r="A6646" s="2">
        <v>43163</v>
      </c>
      <c r="B6646">
        <v>6.62</v>
      </c>
      <c r="D6646" s="2">
        <v>43894</v>
      </c>
      <c r="E6646">
        <v>5.15</v>
      </c>
      <c r="G6646" s="2">
        <v>43894</v>
      </c>
      <c r="H6646">
        <v>5.125</v>
      </c>
      <c r="J6646" s="2">
        <v>43901</v>
      </c>
      <c r="K6646" s="3">
        <f t="shared" si="206"/>
        <v>5.15</v>
      </c>
      <c r="L6646" s="3">
        <f t="shared" si="207"/>
        <v>5.1020000000000003</v>
      </c>
    </row>
    <row r="6647" spans="1:12" x14ac:dyDescent="0.3">
      <c r="A6647" s="2">
        <v>43164</v>
      </c>
      <c r="B6647">
        <v>6.63</v>
      </c>
      <c r="D6647" s="2">
        <v>43895</v>
      </c>
      <c r="E6647">
        <v>5.15</v>
      </c>
      <c r="G6647" s="2">
        <v>43895</v>
      </c>
      <c r="H6647">
        <v>5.1760000000000002</v>
      </c>
      <c r="J6647" s="2">
        <v>43902</v>
      </c>
      <c r="K6647" s="3">
        <f t="shared" si="206"/>
        <v>5.15</v>
      </c>
      <c r="L6647" s="3">
        <f t="shared" si="207"/>
        <v>5.1479999999999997</v>
      </c>
    </row>
    <row r="6648" spans="1:12" x14ac:dyDescent="0.3">
      <c r="A6648" s="2">
        <v>43165</v>
      </c>
      <c r="B6648">
        <v>6.64</v>
      </c>
      <c r="D6648" s="2">
        <v>43896</v>
      </c>
      <c r="E6648">
        <v>5.15</v>
      </c>
      <c r="G6648" s="2">
        <v>43896</v>
      </c>
      <c r="H6648">
        <v>5.1520000000000001</v>
      </c>
      <c r="J6648" s="2">
        <v>43903</v>
      </c>
      <c r="K6648" s="3">
        <f t="shared" si="206"/>
        <v>5.15</v>
      </c>
      <c r="L6648" s="3">
        <f t="shared" si="207"/>
        <v>5.2569999999999997</v>
      </c>
    </row>
    <row r="6649" spans="1:12" x14ac:dyDescent="0.3">
      <c r="A6649" s="2">
        <v>43166</v>
      </c>
      <c r="B6649">
        <v>6.65</v>
      </c>
      <c r="D6649" s="2">
        <v>43897</v>
      </c>
      <c r="E6649">
        <v>5.15</v>
      </c>
      <c r="G6649" s="2">
        <v>43897</v>
      </c>
      <c r="H6649">
        <v>5.1520000000000001</v>
      </c>
      <c r="J6649" s="2">
        <v>43904</v>
      </c>
      <c r="K6649" s="3">
        <f t="shared" si="206"/>
        <v>5.15</v>
      </c>
      <c r="L6649" s="3">
        <f t="shared" si="207"/>
        <v>5.2569999999999997</v>
      </c>
    </row>
    <row r="6650" spans="1:12" x14ac:dyDescent="0.3">
      <c r="A6650" s="2">
        <v>43167</v>
      </c>
      <c r="B6650">
        <v>6.63</v>
      </c>
      <c r="D6650" s="2">
        <v>43898</v>
      </c>
      <c r="E6650">
        <v>5.15</v>
      </c>
      <c r="G6650" s="2">
        <v>43898</v>
      </c>
      <c r="H6650">
        <v>5.1520000000000001</v>
      </c>
      <c r="J6650" s="2">
        <v>43905</v>
      </c>
      <c r="K6650" s="3">
        <f t="shared" si="206"/>
        <v>5.15</v>
      </c>
      <c r="L6650" s="3">
        <f t="shared" si="207"/>
        <v>5.2569999999999997</v>
      </c>
    </row>
    <row r="6651" spans="1:12" x14ac:dyDescent="0.3">
      <c r="A6651" s="2">
        <v>43168</v>
      </c>
      <c r="B6651">
        <v>6.61</v>
      </c>
      <c r="D6651" s="2">
        <v>43899</v>
      </c>
      <c r="E6651">
        <v>5.15</v>
      </c>
      <c r="G6651" s="2">
        <v>43899</v>
      </c>
      <c r="H6651">
        <v>5.0730000000000004</v>
      </c>
      <c r="J6651" s="2">
        <v>43906</v>
      </c>
      <c r="K6651" s="3">
        <f t="shared" si="206"/>
        <v>5.15</v>
      </c>
      <c r="L6651" s="3">
        <f t="shared" si="207"/>
        <v>5.1379999999999999</v>
      </c>
    </row>
    <row r="6652" spans="1:12" x14ac:dyDescent="0.3">
      <c r="A6652" s="2">
        <v>43169</v>
      </c>
      <c r="B6652">
        <v>6.61</v>
      </c>
      <c r="D6652" s="2">
        <v>43900</v>
      </c>
      <c r="E6652">
        <v>5.15</v>
      </c>
      <c r="G6652" s="2">
        <v>43900</v>
      </c>
      <c r="H6652">
        <v>5.0730000000000004</v>
      </c>
      <c r="J6652" s="2">
        <v>43907</v>
      </c>
      <c r="K6652" s="3">
        <f t="shared" si="206"/>
        <v>5.15</v>
      </c>
      <c r="L6652" s="3">
        <f t="shared" si="207"/>
        <v>5.2489999999999997</v>
      </c>
    </row>
    <row r="6653" spans="1:12" x14ac:dyDescent="0.3">
      <c r="A6653" s="2">
        <v>43170</v>
      </c>
      <c r="B6653">
        <v>6.61</v>
      </c>
      <c r="D6653" s="2">
        <v>43901</v>
      </c>
      <c r="E6653">
        <v>5.15</v>
      </c>
      <c r="G6653" s="2">
        <v>43901</v>
      </c>
      <c r="H6653">
        <v>5.1020000000000003</v>
      </c>
      <c r="J6653" s="2">
        <v>43908</v>
      </c>
      <c r="K6653" s="3">
        <f t="shared" si="206"/>
        <v>5.15</v>
      </c>
      <c r="L6653" s="3">
        <f t="shared" si="207"/>
        <v>5.2750000000000004</v>
      </c>
    </row>
    <row r="6654" spans="1:12" x14ac:dyDescent="0.3">
      <c r="A6654" s="2">
        <v>43171</v>
      </c>
      <c r="B6654">
        <v>6.59</v>
      </c>
      <c r="D6654" s="2">
        <v>43902</v>
      </c>
      <c r="E6654">
        <v>5.15</v>
      </c>
      <c r="G6654" s="2">
        <v>43902</v>
      </c>
      <c r="H6654">
        <v>5.1479999999999997</v>
      </c>
      <c r="J6654" s="2">
        <v>43909</v>
      </c>
      <c r="K6654" s="3">
        <f t="shared" si="206"/>
        <v>5.15</v>
      </c>
      <c r="L6654" s="3">
        <f t="shared" si="207"/>
        <v>5.3440000000000003</v>
      </c>
    </row>
    <row r="6655" spans="1:12" x14ac:dyDescent="0.3">
      <c r="A6655" s="2">
        <v>43172</v>
      </c>
      <c r="B6655">
        <v>6.54</v>
      </c>
      <c r="D6655" s="2">
        <v>43903</v>
      </c>
      <c r="E6655">
        <v>5.15</v>
      </c>
      <c r="G6655" s="2">
        <v>43903</v>
      </c>
      <c r="H6655">
        <v>5.2569999999999997</v>
      </c>
      <c r="J6655" s="2">
        <v>43910</v>
      </c>
      <c r="K6655" s="3">
        <f t="shared" si="206"/>
        <v>5.15</v>
      </c>
      <c r="L6655" s="3">
        <f t="shared" si="207"/>
        <v>5.3440000000000003</v>
      </c>
    </row>
    <row r="6656" spans="1:12" x14ac:dyDescent="0.3">
      <c r="A6656" s="2">
        <v>43173</v>
      </c>
      <c r="B6656">
        <v>6.59</v>
      </c>
      <c r="D6656" s="2">
        <v>43904</v>
      </c>
      <c r="E6656">
        <v>5.15</v>
      </c>
      <c r="G6656" s="2">
        <v>43904</v>
      </c>
      <c r="H6656">
        <v>5.2569999999999997</v>
      </c>
      <c r="J6656" s="2">
        <v>43911</v>
      </c>
      <c r="K6656" s="3">
        <f t="shared" si="206"/>
        <v>5.15</v>
      </c>
      <c r="L6656" s="3">
        <f t="shared" si="207"/>
        <v>5.3440000000000003</v>
      </c>
    </row>
    <row r="6657" spans="1:12" x14ac:dyDescent="0.3">
      <c r="A6657" s="2">
        <v>43174</v>
      </c>
      <c r="B6657">
        <v>6.53</v>
      </c>
      <c r="D6657" s="2">
        <v>43905</v>
      </c>
      <c r="E6657">
        <v>5.15</v>
      </c>
      <c r="G6657" s="2">
        <v>43905</v>
      </c>
      <c r="H6657">
        <v>5.2569999999999997</v>
      </c>
      <c r="J6657" s="2">
        <v>43912</v>
      </c>
      <c r="K6657" s="3">
        <f t="shared" si="206"/>
        <v>5.15</v>
      </c>
      <c r="L6657" s="3">
        <f t="shared" si="207"/>
        <v>5.3440000000000003</v>
      </c>
    </row>
    <row r="6658" spans="1:12" x14ac:dyDescent="0.3">
      <c r="A6658" s="2">
        <v>43175</v>
      </c>
      <c r="B6658">
        <v>6.46</v>
      </c>
      <c r="D6658" s="2">
        <v>43906</v>
      </c>
      <c r="E6658">
        <v>5.15</v>
      </c>
      <c r="G6658" s="2">
        <v>43906</v>
      </c>
      <c r="H6658">
        <v>5.1379999999999999</v>
      </c>
      <c r="J6658" s="2">
        <v>43913</v>
      </c>
      <c r="K6658" s="3">
        <f t="shared" si="206"/>
        <v>5.15</v>
      </c>
      <c r="L6658" s="3">
        <f t="shared" si="207"/>
        <v>5.3070000000000004</v>
      </c>
    </row>
    <row r="6659" spans="1:12" x14ac:dyDescent="0.3">
      <c r="A6659" s="2">
        <v>43176</v>
      </c>
      <c r="B6659">
        <v>6.46</v>
      </c>
      <c r="D6659" s="2">
        <v>43907</v>
      </c>
      <c r="E6659">
        <v>5.15</v>
      </c>
      <c r="G6659" s="2">
        <v>43907</v>
      </c>
      <c r="H6659">
        <v>5.2489999999999997</v>
      </c>
      <c r="J6659" s="2">
        <v>43914</v>
      </c>
      <c r="K6659" s="3">
        <f t="shared" ref="K6659:K6722" si="208">E6666</f>
        <v>5.15</v>
      </c>
      <c r="L6659" s="3">
        <f t="shared" ref="L6659:L6722" si="209">H6666</f>
        <v>5.3070000000000004</v>
      </c>
    </row>
    <row r="6660" spans="1:12" x14ac:dyDescent="0.3">
      <c r="A6660" s="2">
        <v>43177</v>
      </c>
      <c r="B6660">
        <v>6.46</v>
      </c>
      <c r="D6660" s="2">
        <v>43908</v>
      </c>
      <c r="E6660">
        <v>5.15</v>
      </c>
      <c r="G6660" s="2">
        <v>43908</v>
      </c>
      <c r="H6660">
        <v>5.2750000000000004</v>
      </c>
      <c r="J6660" s="2">
        <v>43915</v>
      </c>
      <c r="K6660" s="3">
        <f t="shared" si="208"/>
        <v>5.15</v>
      </c>
      <c r="L6660" s="3">
        <f t="shared" si="209"/>
        <v>5.3070000000000004</v>
      </c>
    </row>
    <row r="6661" spans="1:12" x14ac:dyDescent="0.3">
      <c r="A6661" s="2">
        <v>43178</v>
      </c>
      <c r="B6661">
        <v>6.45</v>
      </c>
      <c r="D6661" s="2">
        <v>43909</v>
      </c>
      <c r="E6661">
        <v>5.15</v>
      </c>
      <c r="G6661" s="2">
        <v>43909</v>
      </c>
      <c r="H6661">
        <v>5.3440000000000003</v>
      </c>
      <c r="J6661" s="2">
        <v>43916</v>
      </c>
      <c r="K6661" s="3">
        <f t="shared" si="208"/>
        <v>5.15</v>
      </c>
      <c r="L6661" s="3">
        <f t="shared" si="209"/>
        <v>5.3</v>
      </c>
    </row>
    <row r="6662" spans="1:12" x14ac:dyDescent="0.3">
      <c r="A6662" s="2">
        <v>43179</v>
      </c>
      <c r="B6662">
        <v>6.44</v>
      </c>
      <c r="D6662" s="2">
        <v>43910</v>
      </c>
      <c r="E6662">
        <v>5.15</v>
      </c>
      <c r="G6662" s="2">
        <v>43910</v>
      </c>
      <c r="H6662">
        <v>5.3440000000000003</v>
      </c>
      <c r="J6662" s="2">
        <v>43917</v>
      </c>
      <c r="K6662" s="3">
        <f t="shared" si="208"/>
        <v>4.4000000000000004</v>
      </c>
      <c r="L6662" s="3">
        <f t="shared" si="209"/>
        <v>4.9489999999999998</v>
      </c>
    </row>
    <row r="6663" spans="1:12" x14ac:dyDescent="0.3">
      <c r="A6663" s="2">
        <v>43180</v>
      </c>
      <c r="B6663">
        <v>6.49</v>
      </c>
      <c r="D6663" s="2">
        <v>43911</v>
      </c>
      <c r="E6663">
        <v>5.15</v>
      </c>
      <c r="G6663" s="2">
        <v>43911</v>
      </c>
      <c r="H6663">
        <v>5.3440000000000003</v>
      </c>
      <c r="J6663" s="2">
        <v>43918</v>
      </c>
      <c r="K6663" s="3">
        <f t="shared" si="208"/>
        <v>4.4000000000000004</v>
      </c>
      <c r="L6663" s="3">
        <f t="shared" si="209"/>
        <v>4.9489999999999998</v>
      </c>
    </row>
    <row r="6664" spans="1:12" x14ac:dyDescent="0.3">
      <c r="A6664" s="2">
        <v>43181</v>
      </c>
      <c r="B6664">
        <v>6.5</v>
      </c>
      <c r="D6664" s="2">
        <v>43912</v>
      </c>
      <c r="E6664">
        <v>5.15</v>
      </c>
      <c r="G6664" s="2">
        <v>43912</v>
      </c>
      <c r="H6664">
        <v>5.3440000000000003</v>
      </c>
      <c r="J6664" s="2">
        <v>43919</v>
      </c>
      <c r="K6664" s="3">
        <f t="shared" si="208"/>
        <v>4.4000000000000004</v>
      </c>
      <c r="L6664" s="3">
        <f t="shared" si="209"/>
        <v>4.9489999999999998</v>
      </c>
    </row>
    <row r="6665" spans="1:12" x14ac:dyDescent="0.3">
      <c r="A6665" s="2">
        <v>43182</v>
      </c>
      <c r="B6665">
        <v>6.5</v>
      </c>
      <c r="D6665" s="2">
        <v>43913</v>
      </c>
      <c r="E6665">
        <v>5.15</v>
      </c>
      <c r="G6665" s="2">
        <v>43913</v>
      </c>
      <c r="H6665">
        <v>5.3070000000000004</v>
      </c>
      <c r="J6665" s="2">
        <v>43920</v>
      </c>
      <c r="K6665" s="3">
        <f t="shared" si="208"/>
        <v>4.4000000000000004</v>
      </c>
      <c r="L6665" s="3">
        <f t="shared" si="209"/>
        <v>5.1100000000000003</v>
      </c>
    </row>
    <row r="6666" spans="1:12" x14ac:dyDescent="0.3">
      <c r="A6666" s="2">
        <v>43183</v>
      </c>
      <c r="B6666">
        <v>6.5</v>
      </c>
      <c r="D6666" s="2">
        <v>43914</v>
      </c>
      <c r="E6666">
        <v>5.15</v>
      </c>
      <c r="G6666" s="2">
        <v>43914</v>
      </c>
      <c r="H6666">
        <v>5.3070000000000004</v>
      </c>
      <c r="J6666" s="2">
        <v>43921</v>
      </c>
      <c r="K6666" s="3">
        <f t="shared" si="208"/>
        <v>4.4000000000000004</v>
      </c>
      <c r="L6666" s="3">
        <f t="shared" si="209"/>
        <v>4.9660000000000002</v>
      </c>
    </row>
    <row r="6667" spans="1:12" x14ac:dyDescent="0.3">
      <c r="A6667" s="2">
        <v>43184</v>
      </c>
      <c r="B6667">
        <v>6.5</v>
      </c>
      <c r="D6667" s="2">
        <v>43915</v>
      </c>
      <c r="E6667">
        <v>5.15</v>
      </c>
      <c r="G6667" s="2">
        <v>43915</v>
      </c>
      <c r="H6667">
        <v>5.3070000000000004</v>
      </c>
      <c r="J6667" s="2">
        <v>43922</v>
      </c>
      <c r="K6667" s="3">
        <f t="shared" si="208"/>
        <v>4.4000000000000004</v>
      </c>
      <c r="L6667" s="3">
        <f t="shared" si="209"/>
        <v>4.9660000000000002</v>
      </c>
    </row>
    <row r="6668" spans="1:12" x14ac:dyDescent="0.3">
      <c r="A6668" s="2">
        <v>43185</v>
      </c>
      <c r="B6668">
        <v>6.48</v>
      </c>
      <c r="D6668" s="2">
        <v>43916</v>
      </c>
      <c r="E6668">
        <v>5.15</v>
      </c>
      <c r="G6668" s="2">
        <v>43916</v>
      </c>
      <c r="H6668">
        <v>5.3</v>
      </c>
      <c r="J6668" s="2">
        <v>43923</v>
      </c>
      <c r="K6668" s="3">
        <f t="shared" si="208"/>
        <v>4.4000000000000004</v>
      </c>
      <c r="L6668" s="3">
        <f t="shared" si="209"/>
        <v>4.9660000000000002</v>
      </c>
    </row>
    <row r="6669" spans="1:12" x14ac:dyDescent="0.3">
      <c r="A6669" s="2">
        <v>43186</v>
      </c>
      <c r="B6669">
        <v>6.47</v>
      </c>
      <c r="D6669" s="2">
        <v>43917</v>
      </c>
      <c r="E6669">
        <v>4.4000000000000004</v>
      </c>
      <c r="G6669" s="2">
        <v>43917</v>
      </c>
      <c r="H6669">
        <v>4.9489999999999998</v>
      </c>
      <c r="J6669" s="2">
        <v>43924</v>
      </c>
      <c r="K6669" s="3">
        <f t="shared" si="208"/>
        <v>4.4000000000000004</v>
      </c>
      <c r="L6669" s="3">
        <f t="shared" si="209"/>
        <v>4.8099999999999996</v>
      </c>
    </row>
    <row r="6670" spans="1:12" x14ac:dyDescent="0.3">
      <c r="A6670" s="2">
        <v>43187</v>
      </c>
      <c r="B6670">
        <v>6.47</v>
      </c>
      <c r="D6670" s="2">
        <v>43918</v>
      </c>
      <c r="E6670">
        <v>4.4000000000000004</v>
      </c>
      <c r="G6670" s="2">
        <v>43918</v>
      </c>
      <c r="H6670">
        <v>4.9489999999999998</v>
      </c>
      <c r="J6670" s="2">
        <v>43925</v>
      </c>
      <c r="K6670" s="3">
        <f t="shared" si="208"/>
        <v>4.4000000000000004</v>
      </c>
      <c r="L6670" s="3">
        <f t="shared" si="209"/>
        <v>4.8099999999999996</v>
      </c>
    </row>
    <row r="6671" spans="1:12" x14ac:dyDescent="0.3">
      <c r="A6671" s="2">
        <v>43188</v>
      </c>
      <c r="B6671">
        <v>6.47</v>
      </c>
      <c r="D6671" s="2">
        <v>43919</v>
      </c>
      <c r="E6671">
        <v>4.4000000000000004</v>
      </c>
      <c r="G6671" s="2">
        <v>43919</v>
      </c>
      <c r="H6671">
        <v>4.9489999999999998</v>
      </c>
      <c r="J6671" s="2">
        <v>43926</v>
      </c>
      <c r="K6671" s="3">
        <f t="shared" si="208"/>
        <v>4.4000000000000004</v>
      </c>
      <c r="L6671" s="3">
        <f t="shared" si="209"/>
        <v>4.8099999999999996</v>
      </c>
    </row>
    <row r="6672" spans="1:12" x14ac:dyDescent="0.3">
      <c r="A6672" s="2">
        <v>43189</v>
      </c>
      <c r="B6672">
        <v>6.47</v>
      </c>
      <c r="D6672" s="2">
        <v>43920</v>
      </c>
      <c r="E6672">
        <v>4.4000000000000004</v>
      </c>
      <c r="G6672" s="2">
        <v>43920</v>
      </c>
      <c r="H6672">
        <v>5.1100000000000003</v>
      </c>
      <c r="J6672" s="2">
        <v>43927</v>
      </c>
      <c r="K6672" s="3">
        <f t="shared" si="208"/>
        <v>4.4000000000000004</v>
      </c>
      <c r="L6672" s="3">
        <f t="shared" si="209"/>
        <v>4.8099999999999996</v>
      </c>
    </row>
    <row r="6673" spans="1:12" x14ac:dyDescent="0.3">
      <c r="A6673" s="2">
        <v>43190</v>
      </c>
      <c r="B6673">
        <v>6.47</v>
      </c>
      <c r="D6673" s="2">
        <v>43921</v>
      </c>
      <c r="E6673">
        <v>4.4000000000000004</v>
      </c>
      <c r="G6673" s="2">
        <v>43921</v>
      </c>
      <c r="H6673">
        <v>4.9660000000000002</v>
      </c>
      <c r="J6673" s="2">
        <v>43928</v>
      </c>
      <c r="K6673" s="3">
        <f t="shared" si="208"/>
        <v>4.4000000000000004</v>
      </c>
      <c r="L6673" s="3">
        <f t="shared" si="209"/>
        <v>4.7750000000000004</v>
      </c>
    </row>
    <row r="6674" spans="1:12" x14ac:dyDescent="0.3">
      <c r="A6674" s="2">
        <v>43191</v>
      </c>
      <c r="B6674">
        <v>6.47</v>
      </c>
      <c r="D6674" s="2">
        <v>43922</v>
      </c>
      <c r="E6674">
        <v>4.4000000000000004</v>
      </c>
      <c r="G6674" s="2">
        <v>43922</v>
      </c>
      <c r="H6674">
        <v>4.9660000000000002</v>
      </c>
      <c r="J6674" s="2">
        <v>43929</v>
      </c>
      <c r="K6674" s="3">
        <f t="shared" si="208"/>
        <v>4.4000000000000004</v>
      </c>
      <c r="L6674" s="3">
        <f t="shared" si="209"/>
        <v>4.7229999999999999</v>
      </c>
    </row>
    <row r="6675" spans="1:12" x14ac:dyDescent="0.3">
      <c r="A6675" s="2">
        <v>43192</v>
      </c>
      <c r="B6675">
        <v>6.47</v>
      </c>
      <c r="D6675" s="2">
        <v>43923</v>
      </c>
      <c r="E6675">
        <v>4.4000000000000004</v>
      </c>
      <c r="G6675" s="2">
        <v>43923</v>
      </c>
      <c r="H6675">
        <v>4.9660000000000002</v>
      </c>
      <c r="J6675" s="2">
        <v>43930</v>
      </c>
      <c r="K6675" s="3">
        <f t="shared" si="208"/>
        <v>4.4000000000000004</v>
      </c>
      <c r="L6675" s="3">
        <f t="shared" si="209"/>
        <v>4.7270000000000003</v>
      </c>
    </row>
    <row r="6676" spans="1:12" x14ac:dyDescent="0.3">
      <c r="A6676" s="2">
        <v>43193</v>
      </c>
      <c r="B6676">
        <v>6.39</v>
      </c>
      <c r="D6676" s="2">
        <v>43924</v>
      </c>
      <c r="E6676">
        <v>4.4000000000000004</v>
      </c>
      <c r="G6676" s="2">
        <v>43924</v>
      </c>
      <c r="H6676">
        <v>4.8099999999999996</v>
      </c>
      <c r="J6676" s="2">
        <v>43931</v>
      </c>
      <c r="K6676" s="3">
        <f t="shared" si="208"/>
        <v>4.4000000000000004</v>
      </c>
      <c r="L6676" s="3">
        <f t="shared" si="209"/>
        <v>4.7270000000000003</v>
      </c>
    </row>
    <row r="6677" spans="1:12" x14ac:dyDescent="0.3">
      <c r="A6677" s="2">
        <v>43194</v>
      </c>
      <c r="B6677">
        <v>6.45</v>
      </c>
      <c r="D6677" s="2">
        <v>43925</v>
      </c>
      <c r="E6677">
        <v>4.4000000000000004</v>
      </c>
      <c r="G6677" s="2">
        <v>43925</v>
      </c>
      <c r="H6677">
        <v>4.8099999999999996</v>
      </c>
      <c r="J6677" s="2">
        <v>43932</v>
      </c>
      <c r="K6677" s="3">
        <f t="shared" si="208"/>
        <v>4.4000000000000004</v>
      </c>
      <c r="L6677" s="3">
        <f t="shared" si="209"/>
        <v>4.7270000000000003</v>
      </c>
    </row>
    <row r="6678" spans="1:12" x14ac:dyDescent="0.3">
      <c r="A6678" s="2">
        <v>43195</v>
      </c>
      <c r="B6678">
        <v>6.42</v>
      </c>
      <c r="D6678" s="2">
        <v>43926</v>
      </c>
      <c r="E6678">
        <v>4.4000000000000004</v>
      </c>
      <c r="G6678" s="2">
        <v>43926</v>
      </c>
      <c r="H6678">
        <v>4.8099999999999996</v>
      </c>
      <c r="J6678" s="2">
        <v>43933</v>
      </c>
      <c r="K6678" s="3">
        <f t="shared" si="208"/>
        <v>4.4000000000000004</v>
      </c>
      <c r="L6678" s="3">
        <f t="shared" si="209"/>
        <v>4.7270000000000003</v>
      </c>
    </row>
    <row r="6679" spans="1:12" x14ac:dyDescent="0.3">
      <c r="A6679" s="2">
        <v>43196</v>
      </c>
      <c r="B6679">
        <v>6.43</v>
      </c>
      <c r="D6679" s="2">
        <v>43927</v>
      </c>
      <c r="E6679">
        <v>4.4000000000000004</v>
      </c>
      <c r="G6679" s="2">
        <v>43927</v>
      </c>
      <c r="H6679">
        <v>4.8099999999999996</v>
      </c>
      <c r="J6679" s="2">
        <v>43934</v>
      </c>
      <c r="K6679" s="3">
        <f t="shared" si="208"/>
        <v>4.4000000000000004</v>
      </c>
      <c r="L6679" s="3">
        <f t="shared" si="209"/>
        <v>4.6900000000000004</v>
      </c>
    </row>
    <row r="6680" spans="1:12" x14ac:dyDescent="0.3">
      <c r="A6680" s="2">
        <v>43197</v>
      </c>
      <c r="B6680">
        <v>6.43</v>
      </c>
      <c r="D6680" s="2">
        <v>43928</v>
      </c>
      <c r="E6680">
        <v>4.4000000000000004</v>
      </c>
      <c r="G6680" s="2">
        <v>43928</v>
      </c>
      <c r="H6680">
        <v>4.7750000000000004</v>
      </c>
      <c r="J6680" s="2">
        <v>43935</v>
      </c>
      <c r="K6680" s="3">
        <f t="shared" si="208"/>
        <v>4.4000000000000004</v>
      </c>
      <c r="L6680" s="3">
        <f t="shared" si="209"/>
        <v>4.6900000000000004</v>
      </c>
    </row>
    <row r="6681" spans="1:12" x14ac:dyDescent="0.3">
      <c r="A6681" s="2">
        <v>43198</v>
      </c>
      <c r="B6681">
        <v>6.43</v>
      </c>
      <c r="D6681" s="2">
        <v>43929</v>
      </c>
      <c r="E6681">
        <v>4.4000000000000004</v>
      </c>
      <c r="G6681" s="2">
        <v>43929</v>
      </c>
      <c r="H6681">
        <v>4.7229999999999999</v>
      </c>
      <c r="J6681" s="2">
        <v>43936</v>
      </c>
      <c r="K6681" s="3">
        <f t="shared" si="208"/>
        <v>4.4000000000000004</v>
      </c>
      <c r="L6681" s="3">
        <f t="shared" si="209"/>
        <v>4.5119999999999996</v>
      </c>
    </row>
    <row r="6682" spans="1:12" x14ac:dyDescent="0.3">
      <c r="A6682" s="2">
        <v>43199</v>
      </c>
      <c r="B6682">
        <v>6.44</v>
      </c>
      <c r="D6682" s="2">
        <v>43930</v>
      </c>
      <c r="E6682">
        <v>4.4000000000000004</v>
      </c>
      <c r="G6682" s="2">
        <v>43930</v>
      </c>
      <c r="H6682">
        <v>4.7270000000000003</v>
      </c>
      <c r="J6682" s="2">
        <v>43937</v>
      </c>
      <c r="K6682" s="3">
        <f t="shared" si="208"/>
        <v>4.4000000000000004</v>
      </c>
      <c r="L6682" s="3">
        <f t="shared" si="209"/>
        <v>4.492</v>
      </c>
    </row>
    <row r="6683" spans="1:12" x14ac:dyDescent="0.3">
      <c r="A6683" s="2">
        <v>43200</v>
      </c>
      <c r="B6683">
        <v>6.43</v>
      </c>
      <c r="D6683" s="2">
        <v>43931</v>
      </c>
      <c r="E6683">
        <v>4.4000000000000004</v>
      </c>
      <c r="G6683" s="2">
        <v>43931</v>
      </c>
      <c r="H6683">
        <v>4.7270000000000003</v>
      </c>
      <c r="J6683" s="2">
        <v>43938</v>
      </c>
      <c r="K6683" s="3">
        <f t="shared" si="208"/>
        <v>4.4000000000000004</v>
      </c>
      <c r="L6683" s="3">
        <f t="shared" si="209"/>
        <v>4.2750000000000004</v>
      </c>
    </row>
    <row r="6684" spans="1:12" x14ac:dyDescent="0.3">
      <c r="A6684" s="2">
        <v>43201</v>
      </c>
      <c r="B6684">
        <v>6.47</v>
      </c>
      <c r="D6684" s="2">
        <v>43932</v>
      </c>
      <c r="E6684">
        <v>4.4000000000000004</v>
      </c>
      <c r="G6684" s="2">
        <v>43932</v>
      </c>
      <c r="H6684">
        <v>4.7270000000000003</v>
      </c>
      <c r="J6684" s="2">
        <v>43939</v>
      </c>
      <c r="K6684" s="3">
        <f t="shared" si="208"/>
        <v>4.4000000000000004</v>
      </c>
      <c r="L6684" s="3">
        <f t="shared" si="209"/>
        <v>4.2750000000000004</v>
      </c>
    </row>
    <row r="6685" spans="1:12" x14ac:dyDescent="0.3">
      <c r="A6685" s="2">
        <v>43202</v>
      </c>
      <c r="B6685">
        <v>6.47</v>
      </c>
      <c r="D6685" s="2">
        <v>43933</v>
      </c>
      <c r="E6685">
        <v>4.4000000000000004</v>
      </c>
      <c r="G6685" s="2">
        <v>43933</v>
      </c>
      <c r="H6685">
        <v>4.7270000000000003</v>
      </c>
      <c r="J6685" s="2">
        <v>43940</v>
      </c>
      <c r="K6685" s="3">
        <f t="shared" si="208"/>
        <v>4.4000000000000004</v>
      </c>
      <c r="L6685" s="3">
        <f t="shared" si="209"/>
        <v>4.2750000000000004</v>
      </c>
    </row>
    <row r="6686" spans="1:12" x14ac:dyDescent="0.3">
      <c r="A6686" s="2">
        <v>43203</v>
      </c>
      <c r="B6686">
        <v>6.46</v>
      </c>
      <c r="D6686" s="2">
        <v>43934</v>
      </c>
      <c r="E6686">
        <v>4.4000000000000004</v>
      </c>
      <c r="G6686" s="2">
        <v>43934</v>
      </c>
      <c r="H6686">
        <v>4.6900000000000004</v>
      </c>
      <c r="J6686" s="2">
        <v>43941</v>
      </c>
      <c r="K6686" s="3">
        <f t="shared" si="208"/>
        <v>4.4000000000000004</v>
      </c>
      <c r="L6686" s="3">
        <f t="shared" si="209"/>
        <v>4.2539999999999996</v>
      </c>
    </row>
    <row r="6687" spans="1:12" x14ac:dyDescent="0.3">
      <c r="A6687" s="2">
        <v>43204</v>
      </c>
      <c r="B6687">
        <v>6.46</v>
      </c>
      <c r="D6687" s="2">
        <v>43935</v>
      </c>
      <c r="E6687">
        <v>4.4000000000000004</v>
      </c>
      <c r="G6687" s="2">
        <v>43935</v>
      </c>
      <c r="H6687">
        <v>4.6900000000000004</v>
      </c>
      <c r="J6687" s="2">
        <v>43942</v>
      </c>
      <c r="K6687" s="3">
        <f t="shared" si="208"/>
        <v>4.4000000000000004</v>
      </c>
      <c r="L6687" s="3">
        <f t="shared" si="209"/>
        <v>4.234</v>
      </c>
    </row>
    <row r="6688" spans="1:12" x14ac:dyDescent="0.3">
      <c r="A6688" s="2">
        <v>43205</v>
      </c>
      <c r="B6688">
        <v>6.46</v>
      </c>
      <c r="D6688" s="2">
        <v>43936</v>
      </c>
      <c r="E6688">
        <v>4.4000000000000004</v>
      </c>
      <c r="G6688" s="2">
        <v>43936</v>
      </c>
      <c r="H6688">
        <v>4.5119999999999996</v>
      </c>
      <c r="J6688" s="2">
        <v>43943</v>
      </c>
      <c r="K6688" s="3">
        <f t="shared" si="208"/>
        <v>4.4000000000000004</v>
      </c>
      <c r="L6688" s="3">
        <f t="shared" si="209"/>
        <v>4.056</v>
      </c>
    </row>
    <row r="6689" spans="1:12" x14ac:dyDescent="0.3">
      <c r="A6689" s="2">
        <v>43206</v>
      </c>
      <c r="B6689">
        <v>6.45</v>
      </c>
      <c r="D6689" s="2">
        <v>43937</v>
      </c>
      <c r="E6689">
        <v>4.4000000000000004</v>
      </c>
      <c r="G6689" s="2">
        <v>43937</v>
      </c>
      <c r="H6689">
        <v>4.492</v>
      </c>
      <c r="J6689" s="2">
        <v>43944</v>
      </c>
      <c r="K6689" s="3">
        <f t="shared" si="208"/>
        <v>4.4000000000000004</v>
      </c>
      <c r="L6689" s="3">
        <f t="shared" si="209"/>
        <v>4.0679999999999996</v>
      </c>
    </row>
    <row r="6690" spans="1:12" x14ac:dyDescent="0.3">
      <c r="A6690" s="2">
        <v>43207</v>
      </c>
      <c r="B6690">
        <v>6.45</v>
      </c>
      <c r="D6690" s="2">
        <v>43938</v>
      </c>
      <c r="E6690">
        <v>4.4000000000000004</v>
      </c>
      <c r="G6690" s="2">
        <v>43938</v>
      </c>
      <c r="H6690">
        <v>4.2750000000000004</v>
      </c>
      <c r="J6690" s="2">
        <v>43945</v>
      </c>
      <c r="K6690" s="3">
        <f t="shared" si="208"/>
        <v>4.4000000000000004</v>
      </c>
      <c r="L6690" s="3">
        <f t="shared" si="209"/>
        <v>4.056</v>
      </c>
    </row>
    <row r="6691" spans="1:12" x14ac:dyDescent="0.3">
      <c r="A6691" s="2">
        <v>43208</v>
      </c>
      <c r="B6691">
        <v>6.48</v>
      </c>
      <c r="D6691" s="2">
        <v>43939</v>
      </c>
      <c r="E6691">
        <v>4.4000000000000004</v>
      </c>
      <c r="G6691" s="2">
        <v>43939</v>
      </c>
      <c r="H6691">
        <v>4.2750000000000004</v>
      </c>
      <c r="J6691" s="2">
        <v>43946</v>
      </c>
      <c r="K6691" s="3">
        <f t="shared" si="208"/>
        <v>4.4000000000000004</v>
      </c>
      <c r="L6691" s="3">
        <f t="shared" si="209"/>
        <v>4.056</v>
      </c>
    </row>
    <row r="6692" spans="1:12" x14ac:dyDescent="0.3">
      <c r="A6692" s="2">
        <v>43209</v>
      </c>
      <c r="B6692">
        <v>6.45</v>
      </c>
      <c r="D6692" s="2">
        <v>43940</v>
      </c>
      <c r="E6692">
        <v>4.4000000000000004</v>
      </c>
      <c r="G6692" s="2">
        <v>43940</v>
      </c>
      <c r="H6692">
        <v>4.2750000000000004</v>
      </c>
      <c r="J6692" s="2">
        <v>43947</v>
      </c>
      <c r="K6692" s="3">
        <f t="shared" si="208"/>
        <v>4.4000000000000004</v>
      </c>
      <c r="L6692" s="3">
        <f t="shared" si="209"/>
        <v>4.056</v>
      </c>
    </row>
    <row r="6693" spans="1:12" x14ac:dyDescent="0.3">
      <c r="A6693" s="2">
        <v>43210</v>
      </c>
      <c r="B6693">
        <v>6.48</v>
      </c>
      <c r="D6693" s="2">
        <v>43941</v>
      </c>
      <c r="E6693">
        <v>4.4000000000000004</v>
      </c>
      <c r="G6693" s="2">
        <v>43941</v>
      </c>
      <c r="H6693">
        <v>4.2539999999999996</v>
      </c>
      <c r="J6693" s="2">
        <v>43948</v>
      </c>
      <c r="K6693" s="3">
        <f t="shared" si="208"/>
        <v>4.4000000000000004</v>
      </c>
      <c r="L6693" s="3">
        <f t="shared" si="209"/>
        <v>4.0739999999999998</v>
      </c>
    </row>
    <row r="6694" spans="1:12" x14ac:dyDescent="0.3">
      <c r="A6694" s="2">
        <v>43211</v>
      </c>
      <c r="B6694">
        <v>6.48</v>
      </c>
      <c r="D6694" s="2">
        <v>43942</v>
      </c>
      <c r="E6694">
        <v>4.4000000000000004</v>
      </c>
      <c r="G6694" s="2">
        <v>43942</v>
      </c>
      <c r="H6694">
        <v>4.234</v>
      </c>
      <c r="J6694" s="2">
        <v>43949</v>
      </c>
      <c r="K6694" s="3">
        <f t="shared" si="208"/>
        <v>4.4000000000000004</v>
      </c>
      <c r="L6694" s="3">
        <f t="shared" si="209"/>
        <v>4.0819999999999999</v>
      </c>
    </row>
    <row r="6695" spans="1:12" x14ac:dyDescent="0.3">
      <c r="A6695" s="2">
        <v>43212</v>
      </c>
      <c r="B6695">
        <v>6.48</v>
      </c>
      <c r="D6695" s="2">
        <v>43943</v>
      </c>
      <c r="E6695">
        <v>4.4000000000000004</v>
      </c>
      <c r="G6695" s="2">
        <v>43943</v>
      </c>
      <c r="H6695">
        <v>4.056</v>
      </c>
      <c r="J6695" s="2">
        <v>43950</v>
      </c>
      <c r="K6695" s="3">
        <f t="shared" si="208"/>
        <v>4.4000000000000004</v>
      </c>
      <c r="L6695" s="3">
        <f t="shared" si="209"/>
        <v>4.09</v>
      </c>
    </row>
    <row r="6696" spans="1:12" x14ac:dyDescent="0.3">
      <c r="A6696" s="2">
        <v>43213</v>
      </c>
      <c r="B6696">
        <v>6.5</v>
      </c>
      <c r="D6696" s="2">
        <v>43944</v>
      </c>
      <c r="E6696">
        <v>4.4000000000000004</v>
      </c>
      <c r="G6696" s="2">
        <v>43944</v>
      </c>
      <c r="H6696">
        <v>4.0679999999999996</v>
      </c>
      <c r="J6696" s="2">
        <v>43951</v>
      </c>
      <c r="K6696" s="3">
        <f t="shared" si="208"/>
        <v>4.4000000000000004</v>
      </c>
      <c r="L6696" s="3">
        <f t="shared" si="209"/>
        <v>4.0830000000000002</v>
      </c>
    </row>
    <row r="6697" spans="1:12" x14ac:dyDescent="0.3">
      <c r="A6697" s="2">
        <v>43214</v>
      </c>
      <c r="B6697">
        <v>6.5</v>
      </c>
      <c r="D6697" s="2">
        <v>43945</v>
      </c>
      <c r="E6697">
        <v>4.4000000000000004</v>
      </c>
      <c r="G6697" s="2">
        <v>43945</v>
      </c>
      <c r="H6697">
        <v>4.056</v>
      </c>
      <c r="J6697" s="2">
        <v>43952</v>
      </c>
      <c r="K6697" s="3">
        <f t="shared" si="208"/>
        <v>4.4000000000000004</v>
      </c>
      <c r="L6697" s="3">
        <f t="shared" si="209"/>
        <v>4.0830000000000002</v>
      </c>
    </row>
    <row r="6698" spans="1:12" x14ac:dyDescent="0.3">
      <c r="A6698" s="2">
        <v>43215</v>
      </c>
      <c r="B6698">
        <v>6.61</v>
      </c>
      <c r="D6698" s="2">
        <v>43946</v>
      </c>
      <c r="E6698">
        <v>4.4000000000000004</v>
      </c>
      <c r="G6698" s="2">
        <v>43946</v>
      </c>
      <c r="H6698">
        <v>4.056</v>
      </c>
      <c r="J6698" s="2">
        <v>43953</v>
      </c>
      <c r="K6698" s="3">
        <f t="shared" si="208"/>
        <v>4.4000000000000004</v>
      </c>
      <c r="L6698" s="3">
        <f t="shared" si="209"/>
        <v>4.0830000000000002</v>
      </c>
    </row>
    <row r="6699" spans="1:12" x14ac:dyDescent="0.3">
      <c r="A6699" s="2">
        <v>43216</v>
      </c>
      <c r="B6699">
        <v>6.5</v>
      </c>
      <c r="D6699" s="2">
        <v>43947</v>
      </c>
      <c r="E6699">
        <v>4.4000000000000004</v>
      </c>
      <c r="G6699" s="2">
        <v>43947</v>
      </c>
      <c r="H6699">
        <v>4.056</v>
      </c>
      <c r="J6699" s="2">
        <v>43954</v>
      </c>
      <c r="K6699" s="3">
        <f t="shared" si="208"/>
        <v>4.4000000000000004</v>
      </c>
      <c r="L6699" s="3">
        <f t="shared" si="209"/>
        <v>4.0830000000000002</v>
      </c>
    </row>
    <row r="6700" spans="1:12" x14ac:dyDescent="0.3">
      <c r="A6700" s="2">
        <v>43217</v>
      </c>
      <c r="B6700">
        <v>6.46</v>
      </c>
      <c r="D6700" s="2">
        <v>43948</v>
      </c>
      <c r="E6700">
        <v>4.4000000000000004</v>
      </c>
      <c r="G6700" s="2">
        <v>43948</v>
      </c>
      <c r="H6700">
        <v>4.0739999999999998</v>
      </c>
      <c r="J6700" s="2">
        <v>43955</v>
      </c>
      <c r="K6700" s="3">
        <f t="shared" si="208"/>
        <v>4.4000000000000004</v>
      </c>
      <c r="L6700" s="3">
        <f t="shared" si="209"/>
        <v>4.0250000000000004</v>
      </c>
    </row>
    <row r="6701" spans="1:12" x14ac:dyDescent="0.3">
      <c r="A6701" s="2">
        <v>43218</v>
      </c>
      <c r="B6701">
        <v>6.46</v>
      </c>
      <c r="D6701" s="2">
        <v>43949</v>
      </c>
      <c r="E6701">
        <v>4.4000000000000004</v>
      </c>
      <c r="G6701" s="2">
        <v>43949</v>
      </c>
      <c r="H6701">
        <v>4.0819999999999999</v>
      </c>
      <c r="J6701" s="2">
        <v>43956</v>
      </c>
      <c r="K6701" s="3">
        <f t="shared" si="208"/>
        <v>4.4000000000000004</v>
      </c>
      <c r="L6701" s="3">
        <f t="shared" si="209"/>
        <v>4.0330000000000004</v>
      </c>
    </row>
    <row r="6702" spans="1:12" x14ac:dyDescent="0.3">
      <c r="A6702" s="2">
        <v>43219</v>
      </c>
      <c r="B6702">
        <v>6.46</v>
      </c>
      <c r="D6702" s="2">
        <v>43950</v>
      </c>
      <c r="E6702">
        <v>4.4000000000000004</v>
      </c>
      <c r="G6702" s="2">
        <v>43950</v>
      </c>
      <c r="H6702">
        <v>4.09</v>
      </c>
      <c r="J6702" s="2">
        <v>43957</v>
      </c>
      <c r="K6702" s="3">
        <f t="shared" si="208"/>
        <v>4.4000000000000004</v>
      </c>
      <c r="L6702" s="3">
        <f t="shared" si="209"/>
        <v>3.9849999999999999</v>
      </c>
    </row>
    <row r="6703" spans="1:12" x14ac:dyDescent="0.3">
      <c r="A6703" s="2">
        <v>43220</v>
      </c>
      <c r="B6703">
        <v>6.46</v>
      </c>
      <c r="D6703" s="2">
        <v>43951</v>
      </c>
      <c r="E6703">
        <v>4.4000000000000004</v>
      </c>
      <c r="G6703" s="2">
        <v>43951</v>
      </c>
      <c r="H6703">
        <v>4.0830000000000002</v>
      </c>
      <c r="J6703" s="2">
        <v>43958</v>
      </c>
      <c r="K6703" s="3">
        <f t="shared" si="208"/>
        <v>4.4000000000000004</v>
      </c>
      <c r="L6703" s="3">
        <f t="shared" si="209"/>
        <v>3.9849999999999999</v>
      </c>
    </row>
    <row r="6704" spans="1:12" x14ac:dyDescent="0.3">
      <c r="A6704" s="2">
        <v>43221</v>
      </c>
      <c r="B6704">
        <v>6.46</v>
      </c>
      <c r="D6704" s="2">
        <v>43952</v>
      </c>
      <c r="E6704">
        <v>4.4000000000000004</v>
      </c>
      <c r="G6704" s="2">
        <v>43952</v>
      </c>
      <c r="H6704">
        <v>4.0830000000000002</v>
      </c>
      <c r="J6704" s="2">
        <v>43959</v>
      </c>
      <c r="K6704" s="3">
        <f t="shared" si="208"/>
        <v>4.4000000000000004</v>
      </c>
      <c r="L6704" s="3">
        <f t="shared" si="209"/>
        <v>4.0129999999999999</v>
      </c>
    </row>
    <row r="6705" spans="1:12" x14ac:dyDescent="0.3">
      <c r="A6705" s="2">
        <v>43222</v>
      </c>
      <c r="B6705">
        <v>6.61</v>
      </c>
      <c r="D6705" s="2">
        <v>43953</v>
      </c>
      <c r="E6705">
        <v>4.4000000000000004</v>
      </c>
      <c r="G6705" s="2">
        <v>43953</v>
      </c>
      <c r="H6705">
        <v>4.0830000000000002</v>
      </c>
      <c r="J6705" s="2">
        <v>43960</v>
      </c>
      <c r="K6705" s="3">
        <f t="shared" si="208"/>
        <v>4.4000000000000004</v>
      </c>
      <c r="L6705" s="3">
        <f t="shared" si="209"/>
        <v>4.0129999999999999</v>
      </c>
    </row>
    <row r="6706" spans="1:12" x14ac:dyDescent="0.3">
      <c r="A6706" s="2">
        <v>43223</v>
      </c>
      <c r="B6706">
        <v>6.58</v>
      </c>
      <c r="D6706" s="2">
        <v>43954</v>
      </c>
      <c r="E6706">
        <v>4.4000000000000004</v>
      </c>
      <c r="G6706" s="2">
        <v>43954</v>
      </c>
      <c r="H6706">
        <v>4.0830000000000002</v>
      </c>
      <c r="J6706" s="2">
        <v>43961</v>
      </c>
      <c r="K6706" s="3">
        <f t="shared" si="208"/>
        <v>4.4000000000000004</v>
      </c>
      <c r="L6706" s="3">
        <f t="shared" si="209"/>
        <v>4.0129999999999999</v>
      </c>
    </row>
    <row r="6707" spans="1:12" x14ac:dyDescent="0.3">
      <c r="A6707" s="2">
        <v>43224</v>
      </c>
      <c r="B6707">
        <v>6.58</v>
      </c>
      <c r="D6707" s="2">
        <v>43955</v>
      </c>
      <c r="E6707">
        <v>4.4000000000000004</v>
      </c>
      <c r="G6707" s="2">
        <v>43955</v>
      </c>
      <c r="H6707">
        <v>4.0250000000000004</v>
      </c>
      <c r="J6707" s="2">
        <v>43962</v>
      </c>
      <c r="K6707" s="3">
        <f t="shared" si="208"/>
        <v>4.4000000000000004</v>
      </c>
      <c r="L6707" s="3">
        <f t="shared" si="209"/>
        <v>4.0430000000000001</v>
      </c>
    </row>
    <row r="6708" spans="1:12" x14ac:dyDescent="0.3">
      <c r="A6708" s="2">
        <v>43225</v>
      </c>
      <c r="B6708">
        <v>6.58</v>
      </c>
      <c r="D6708" s="2">
        <v>43956</v>
      </c>
      <c r="E6708">
        <v>4.4000000000000004</v>
      </c>
      <c r="G6708" s="2">
        <v>43956</v>
      </c>
      <c r="H6708">
        <v>4.0330000000000004</v>
      </c>
      <c r="J6708" s="2">
        <v>43963</v>
      </c>
      <c r="K6708" s="3">
        <f t="shared" si="208"/>
        <v>4.4000000000000004</v>
      </c>
      <c r="L6708" s="3">
        <f t="shared" si="209"/>
        <v>4.0039999999999996</v>
      </c>
    </row>
    <row r="6709" spans="1:12" x14ac:dyDescent="0.3">
      <c r="A6709" s="2">
        <v>43226</v>
      </c>
      <c r="B6709">
        <v>6.58</v>
      </c>
      <c r="D6709" s="2">
        <v>43957</v>
      </c>
      <c r="E6709">
        <v>4.4000000000000004</v>
      </c>
      <c r="G6709" s="2">
        <v>43957</v>
      </c>
      <c r="H6709">
        <v>3.9849999999999999</v>
      </c>
      <c r="J6709" s="2">
        <v>43964</v>
      </c>
      <c r="K6709" s="3">
        <f t="shared" si="208"/>
        <v>4.4000000000000004</v>
      </c>
      <c r="L6709" s="3">
        <f t="shared" si="209"/>
        <v>3.9470000000000001</v>
      </c>
    </row>
    <row r="6710" spans="1:12" x14ac:dyDescent="0.3">
      <c r="A6710" s="2">
        <v>43227</v>
      </c>
      <c r="B6710">
        <v>6.48</v>
      </c>
      <c r="D6710" s="2">
        <v>43958</v>
      </c>
      <c r="E6710">
        <v>4.4000000000000004</v>
      </c>
      <c r="G6710" s="2">
        <v>43958</v>
      </c>
      <c r="H6710">
        <v>3.9849999999999999</v>
      </c>
      <c r="J6710" s="2">
        <v>43965</v>
      </c>
      <c r="K6710" s="3">
        <f t="shared" si="208"/>
        <v>4.4000000000000004</v>
      </c>
      <c r="L6710" s="3">
        <f t="shared" si="209"/>
        <v>3.9809999999999999</v>
      </c>
    </row>
    <row r="6711" spans="1:12" x14ac:dyDescent="0.3">
      <c r="A6711" s="2">
        <v>43228</v>
      </c>
      <c r="B6711">
        <v>6.48</v>
      </c>
      <c r="D6711" s="2">
        <v>43959</v>
      </c>
      <c r="E6711">
        <v>4.4000000000000004</v>
      </c>
      <c r="G6711" s="2">
        <v>43959</v>
      </c>
      <c r="H6711">
        <v>4.0129999999999999</v>
      </c>
      <c r="J6711" s="2">
        <v>43966</v>
      </c>
      <c r="K6711" s="3">
        <f t="shared" si="208"/>
        <v>4.4000000000000004</v>
      </c>
      <c r="L6711" s="3">
        <f t="shared" si="209"/>
        <v>3.9809999999999999</v>
      </c>
    </row>
    <row r="6712" spans="1:12" x14ac:dyDescent="0.3">
      <c r="A6712" s="2">
        <v>43229</v>
      </c>
      <c r="B6712">
        <v>6.65</v>
      </c>
      <c r="D6712" s="2">
        <v>43960</v>
      </c>
      <c r="E6712">
        <v>4.4000000000000004</v>
      </c>
      <c r="G6712" s="2">
        <v>43960</v>
      </c>
      <c r="H6712">
        <v>4.0129999999999999</v>
      </c>
      <c r="J6712" s="2">
        <v>43967</v>
      </c>
      <c r="K6712" s="3">
        <f t="shared" si="208"/>
        <v>4.4000000000000004</v>
      </c>
      <c r="L6712" s="3">
        <f t="shared" si="209"/>
        <v>3.9809999999999999</v>
      </c>
    </row>
    <row r="6713" spans="1:12" x14ac:dyDescent="0.3">
      <c r="A6713" s="2">
        <v>43230</v>
      </c>
      <c r="B6713">
        <v>6.67</v>
      </c>
      <c r="D6713" s="2">
        <v>43961</v>
      </c>
      <c r="E6713">
        <v>4.4000000000000004</v>
      </c>
      <c r="G6713" s="2">
        <v>43961</v>
      </c>
      <c r="H6713">
        <v>4.0129999999999999</v>
      </c>
      <c r="J6713" s="2">
        <v>43968</v>
      </c>
      <c r="K6713" s="3">
        <f t="shared" si="208"/>
        <v>4.4000000000000004</v>
      </c>
      <c r="L6713" s="3">
        <f t="shared" si="209"/>
        <v>3.9809999999999999</v>
      </c>
    </row>
    <row r="6714" spans="1:12" x14ac:dyDescent="0.3">
      <c r="A6714" s="2">
        <v>43231</v>
      </c>
      <c r="B6714">
        <v>6.66</v>
      </c>
      <c r="D6714" s="2">
        <v>43962</v>
      </c>
      <c r="E6714">
        <v>4.4000000000000004</v>
      </c>
      <c r="G6714" s="2">
        <v>43962</v>
      </c>
      <c r="H6714">
        <v>4.0430000000000001</v>
      </c>
      <c r="J6714" s="2">
        <v>43969</v>
      </c>
      <c r="K6714" s="3">
        <f t="shared" si="208"/>
        <v>4.4000000000000004</v>
      </c>
      <c r="L6714" s="3">
        <f t="shared" si="209"/>
        <v>3.948</v>
      </c>
    </row>
    <row r="6715" spans="1:12" x14ac:dyDescent="0.3">
      <c r="A6715" s="2">
        <v>43232</v>
      </c>
      <c r="B6715">
        <v>6.66</v>
      </c>
      <c r="D6715" s="2">
        <v>43963</v>
      </c>
      <c r="E6715">
        <v>4.4000000000000004</v>
      </c>
      <c r="G6715" s="2">
        <v>43963</v>
      </c>
      <c r="H6715">
        <v>4.0039999999999996</v>
      </c>
      <c r="J6715" s="2">
        <v>43970</v>
      </c>
      <c r="K6715" s="3">
        <f t="shared" si="208"/>
        <v>4.4000000000000004</v>
      </c>
      <c r="L6715" s="3">
        <f t="shared" si="209"/>
        <v>3.9910000000000001</v>
      </c>
    </row>
    <row r="6716" spans="1:12" x14ac:dyDescent="0.3">
      <c r="A6716" s="2">
        <v>43233</v>
      </c>
      <c r="B6716">
        <v>6.66</v>
      </c>
      <c r="D6716" s="2">
        <v>43964</v>
      </c>
      <c r="E6716">
        <v>4.4000000000000004</v>
      </c>
      <c r="G6716" s="2">
        <v>43964</v>
      </c>
      <c r="H6716">
        <v>3.9470000000000001</v>
      </c>
      <c r="J6716" s="2">
        <v>43971</v>
      </c>
      <c r="K6716" s="3">
        <f t="shared" si="208"/>
        <v>4.4000000000000004</v>
      </c>
      <c r="L6716" s="3">
        <f t="shared" si="209"/>
        <v>3.9820000000000002</v>
      </c>
    </row>
    <row r="6717" spans="1:12" x14ac:dyDescent="0.3">
      <c r="A6717" s="2">
        <v>43234</v>
      </c>
      <c r="B6717">
        <v>6.61</v>
      </c>
      <c r="D6717" s="2">
        <v>43965</v>
      </c>
      <c r="E6717">
        <v>4.4000000000000004</v>
      </c>
      <c r="G6717" s="2">
        <v>43965</v>
      </c>
      <c r="H6717">
        <v>3.9809999999999999</v>
      </c>
      <c r="J6717" s="2">
        <v>43972</v>
      </c>
      <c r="K6717" s="3">
        <f t="shared" si="208"/>
        <v>4.4000000000000004</v>
      </c>
      <c r="L6717" s="3">
        <f t="shared" si="209"/>
        <v>3.968</v>
      </c>
    </row>
    <row r="6718" spans="1:12" x14ac:dyDescent="0.3">
      <c r="A6718" s="2">
        <v>43235</v>
      </c>
      <c r="B6718">
        <v>6.62</v>
      </c>
      <c r="D6718" s="2">
        <v>43966</v>
      </c>
      <c r="E6718">
        <v>4.4000000000000004</v>
      </c>
      <c r="G6718" s="2">
        <v>43966</v>
      </c>
      <c r="H6718">
        <v>3.9809999999999999</v>
      </c>
      <c r="J6718" s="2">
        <v>43973</v>
      </c>
      <c r="K6718" s="3">
        <f t="shared" si="208"/>
        <v>4</v>
      </c>
      <c r="L6718" s="3">
        <f t="shared" si="209"/>
        <v>3.8849999999999998</v>
      </c>
    </row>
    <row r="6719" spans="1:12" x14ac:dyDescent="0.3">
      <c r="A6719" s="2">
        <v>43236</v>
      </c>
      <c r="B6719">
        <v>6.79</v>
      </c>
      <c r="D6719" s="2">
        <v>43967</v>
      </c>
      <c r="E6719">
        <v>4.4000000000000004</v>
      </c>
      <c r="G6719" s="2">
        <v>43967</v>
      </c>
      <c r="H6719">
        <v>3.9809999999999999</v>
      </c>
      <c r="J6719" s="2">
        <v>43974</v>
      </c>
      <c r="K6719" s="3">
        <f t="shared" si="208"/>
        <v>4</v>
      </c>
      <c r="L6719" s="3">
        <f t="shared" si="209"/>
        <v>3.8849999999999998</v>
      </c>
    </row>
    <row r="6720" spans="1:12" x14ac:dyDescent="0.3">
      <c r="A6720" s="2">
        <v>43237</v>
      </c>
      <c r="B6720">
        <v>6.81</v>
      </c>
      <c r="D6720" s="2">
        <v>43968</v>
      </c>
      <c r="E6720">
        <v>4.4000000000000004</v>
      </c>
      <c r="G6720" s="2">
        <v>43968</v>
      </c>
      <c r="H6720">
        <v>3.9809999999999999</v>
      </c>
      <c r="J6720" s="2">
        <v>43975</v>
      </c>
      <c r="K6720" s="3">
        <f t="shared" si="208"/>
        <v>4</v>
      </c>
      <c r="L6720" s="3">
        <f t="shared" si="209"/>
        <v>3.8849999999999998</v>
      </c>
    </row>
    <row r="6721" spans="1:12" x14ac:dyDescent="0.3">
      <c r="A6721" s="2">
        <v>43238</v>
      </c>
      <c r="B6721">
        <v>6.8</v>
      </c>
      <c r="D6721" s="2">
        <v>43969</v>
      </c>
      <c r="E6721">
        <v>4.4000000000000004</v>
      </c>
      <c r="G6721" s="2">
        <v>43969</v>
      </c>
      <c r="H6721">
        <v>3.948</v>
      </c>
      <c r="J6721" s="2">
        <v>43976</v>
      </c>
      <c r="K6721" s="3">
        <f t="shared" si="208"/>
        <v>4</v>
      </c>
      <c r="L6721" s="3">
        <f t="shared" si="209"/>
        <v>3.8849999999999998</v>
      </c>
    </row>
    <row r="6722" spans="1:12" x14ac:dyDescent="0.3">
      <c r="A6722" s="2">
        <v>43239</v>
      </c>
      <c r="B6722">
        <v>6.8</v>
      </c>
      <c r="D6722" s="2">
        <v>43970</v>
      </c>
      <c r="E6722">
        <v>4.4000000000000004</v>
      </c>
      <c r="G6722" s="2">
        <v>43970</v>
      </c>
      <c r="H6722">
        <v>3.9910000000000001</v>
      </c>
      <c r="J6722" s="2">
        <v>43977</v>
      </c>
      <c r="K6722" s="3">
        <f t="shared" si="208"/>
        <v>4</v>
      </c>
      <c r="L6722" s="3">
        <f t="shared" si="209"/>
        <v>3.871</v>
      </c>
    </row>
    <row r="6723" spans="1:12" x14ac:dyDescent="0.3">
      <c r="A6723" s="2">
        <v>43240</v>
      </c>
      <c r="B6723">
        <v>6.8</v>
      </c>
      <c r="D6723" s="2">
        <v>43971</v>
      </c>
      <c r="E6723">
        <v>4.4000000000000004</v>
      </c>
      <c r="G6723" s="2">
        <v>43971</v>
      </c>
      <c r="H6723">
        <v>3.9820000000000002</v>
      </c>
      <c r="J6723" s="2">
        <v>43978</v>
      </c>
      <c r="K6723" s="3">
        <f t="shared" ref="K6723:K6786" si="210">E6730</f>
        <v>4</v>
      </c>
      <c r="L6723" s="3">
        <f t="shared" ref="L6723:L6786" si="211">H6730</f>
        <v>3.8559999999999999</v>
      </c>
    </row>
    <row r="6724" spans="1:12" x14ac:dyDescent="0.3">
      <c r="A6724" s="2">
        <v>43241</v>
      </c>
      <c r="B6724">
        <v>6.78</v>
      </c>
      <c r="D6724" s="2">
        <v>43972</v>
      </c>
      <c r="E6724">
        <v>4.4000000000000004</v>
      </c>
      <c r="G6724" s="2">
        <v>43972</v>
      </c>
      <c r="H6724">
        <v>3.968</v>
      </c>
      <c r="J6724" s="2">
        <v>43979</v>
      </c>
      <c r="K6724" s="3">
        <f t="shared" si="210"/>
        <v>4</v>
      </c>
      <c r="L6724" s="3">
        <f t="shared" si="211"/>
        <v>3.8239999999999998</v>
      </c>
    </row>
    <row r="6725" spans="1:12" x14ac:dyDescent="0.3">
      <c r="A6725" s="2">
        <v>43242</v>
      </c>
      <c r="B6725">
        <v>6.84</v>
      </c>
      <c r="D6725" s="2">
        <v>43973</v>
      </c>
      <c r="E6725">
        <v>4</v>
      </c>
      <c r="G6725" s="2">
        <v>43973</v>
      </c>
      <c r="H6725">
        <v>3.8849999999999998</v>
      </c>
      <c r="J6725" s="2">
        <v>43980</v>
      </c>
      <c r="K6725" s="3">
        <f t="shared" si="210"/>
        <v>4</v>
      </c>
      <c r="L6725" s="3">
        <f t="shared" si="211"/>
        <v>3.8220000000000001</v>
      </c>
    </row>
    <row r="6726" spans="1:12" x14ac:dyDescent="0.3">
      <c r="A6726" s="2">
        <v>43243</v>
      </c>
      <c r="B6726">
        <v>6.92</v>
      </c>
      <c r="D6726" s="2">
        <v>43974</v>
      </c>
      <c r="E6726">
        <v>4</v>
      </c>
      <c r="G6726" s="2">
        <v>43974</v>
      </c>
      <c r="H6726">
        <v>3.8849999999999998</v>
      </c>
      <c r="J6726" s="2">
        <v>43981</v>
      </c>
      <c r="K6726" s="3">
        <f t="shared" si="210"/>
        <v>4</v>
      </c>
      <c r="L6726" s="3">
        <f t="shared" si="211"/>
        <v>3.8220000000000001</v>
      </c>
    </row>
    <row r="6727" spans="1:12" x14ac:dyDescent="0.3">
      <c r="A6727" s="2">
        <v>43244</v>
      </c>
      <c r="B6727">
        <v>6.85</v>
      </c>
      <c r="D6727" s="2">
        <v>43975</v>
      </c>
      <c r="E6727">
        <v>4</v>
      </c>
      <c r="G6727" s="2">
        <v>43975</v>
      </c>
      <c r="H6727">
        <v>3.8849999999999998</v>
      </c>
      <c r="J6727" s="2">
        <v>43982</v>
      </c>
      <c r="K6727" s="3">
        <f t="shared" si="210"/>
        <v>4</v>
      </c>
      <c r="L6727" s="3">
        <f t="shared" si="211"/>
        <v>3.8220000000000001</v>
      </c>
    </row>
    <row r="6728" spans="1:12" x14ac:dyDescent="0.3">
      <c r="A6728" s="2">
        <v>43245</v>
      </c>
      <c r="B6728">
        <v>6.88</v>
      </c>
      <c r="D6728" s="2">
        <v>43976</v>
      </c>
      <c r="E6728">
        <v>4</v>
      </c>
      <c r="G6728" s="2">
        <v>43976</v>
      </c>
      <c r="H6728">
        <v>3.8849999999999998</v>
      </c>
      <c r="J6728" s="2">
        <v>43983</v>
      </c>
      <c r="K6728" s="3">
        <f t="shared" si="210"/>
        <v>4</v>
      </c>
      <c r="L6728" s="3">
        <f t="shared" si="211"/>
        <v>3.8159999999999998</v>
      </c>
    </row>
    <row r="6729" spans="1:12" x14ac:dyDescent="0.3">
      <c r="A6729" s="2">
        <v>43246</v>
      </c>
      <c r="B6729">
        <v>6.88</v>
      </c>
      <c r="D6729" s="2">
        <v>43977</v>
      </c>
      <c r="E6729">
        <v>4</v>
      </c>
      <c r="G6729" s="2">
        <v>43977</v>
      </c>
      <c r="H6729">
        <v>3.871</v>
      </c>
      <c r="J6729" s="2">
        <v>43984</v>
      </c>
      <c r="K6729" s="3">
        <f t="shared" si="210"/>
        <v>4</v>
      </c>
      <c r="L6729" s="3">
        <f t="shared" si="211"/>
        <v>3.8159999999999998</v>
      </c>
    </row>
    <row r="6730" spans="1:12" x14ac:dyDescent="0.3">
      <c r="A6730" s="2">
        <v>43247</v>
      </c>
      <c r="B6730">
        <v>6.88</v>
      </c>
      <c r="D6730" s="2">
        <v>43978</v>
      </c>
      <c r="E6730">
        <v>4</v>
      </c>
      <c r="G6730" s="2">
        <v>43978</v>
      </c>
      <c r="H6730">
        <v>3.8559999999999999</v>
      </c>
      <c r="J6730" s="2">
        <v>43985</v>
      </c>
      <c r="K6730" s="3">
        <f t="shared" si="210"/>
        <v>4</v>
      </c>
      <c r="L6730" s="3">
        <f t="shared" si="211"/>
        <v>3.778</v>
      </c>
    </row>
    <row r="6731" spans="1:12" x14ac:dyDescent="0.3">
      <c r="A6731" s="2">
        <v>43248</v>
      </c>
      <c r="B6731">
        <v>6.89</v>
      </c>
      <c r="D6731" s="2">
        <v>43979</v>
      </c>
      <c r="E6731">
        <v>4</v>
      </c>
      <c r="G6731" s="2">
        <v>43979</v>
      </c>
      <c r="H6731">
        <v>3.8239999999999998</v>
      </c>
      <c r="J6731" s="2">
        <v>43986</v>
      </c>
      <c r="K6731" s="3">
        <f t="shared" si="210"/>
        <v>4</v>
      </c>
      <c r="L6731" s="3">
        <f t="shared" si="211"/>
        <v>3.7730000000000001</v>
      </c>
    </row>
    <row r="6732" spans="1:12" x14ac:dyDescent="0.3">
      <c r="A6732" s="2">
        <v>43249</v>
      </c>
      <c r="B6732">
        <v>6.9</v>
      </c>
      <c r="D6732" s="2">
        <v>43980</v>
      </c>
      <c r="E6732">
        <v>4</v>
      </c>
      <c r="G6732" s="2">
        <v>43980</v>
      </c>
      <c r="H6732">
        <v>3.8220000000000001</v>
      </c>
      <c r="J6732" s="2">
        <v>43987</v>
      </c>
      <c r="K6732" s="3">
        <f t="shared" si="210"/>
        <v>4</v>
      </c>
      <c r="L6732" s="3">
        <f t="shared" si="211"/>
        <v>3.7919999999999998</v>
      </c>
    </row>
    <row r="6733" spans="1:12" x14ac:dyDescent="0.3">
      <c r="A6733" s="2">
        <v>43250</v>
      </c>
      <c r="B6733">
        <v>6.91</v>
      </c>
      <c r="D6733" s="2">
        <v>43981</v>
      </c>
      <c r="E6733">
        <v>4</v>
      </c>
      <c r="G6733" s="2">
        <v>43981</v>
      </c>
      <c r="H6733">
        <v>3.8220000000000001</v>
      </c>
      <c r="J6733" s="2">
        <v>43988</v>
      </c>
      <c r="K6733" s="3">
        <f t="shared" si="210"/>
        <v>4</v>
      </c>
      <c r="L6733" s="3">
        <f t="shared" si="211"/>
        <v>3.7919999999999998</v>
      </c>
    </row>
    <row r="6734" spans="1:12" x14ac:dyDescent="0.3">
      <c r="A6734" s="2">
        <v>43251</v>
      </c>
      <c r="B6734">
        <v>6.89</v>
      </c>
      <c r="D6734" s="2">
        <v>43982</v>
      </c>
      <c r="E6734">
        <v>4</v>
      </c>
      <c r="G6734" s="2">
        <v>43982</v>
      </c>
      <c r="H6734">
        <v>3.8220000000000001</v>
      </c>
      <c r="J6734" s="2">
        <v>43989</v>
      </c>
      <c r="K6734" s="3">
        <f t="shared" si="210"/>
        <v>4</v>
      </c>
      <c r="L6734" s="3">
        <f t="shared" si="211"/>
        <v>3.7919999999999998</v>
      </c>
    </row>
    <row r="6735" spans="1:12" x14ac:dyDescent="0.3">
      <c r="A6735" s="2">
        <v>43252</v>
      </c>
      <c r="B6735">
        <v>6.91</v>
      </c>
      <c r="D6735" s="2">
        <v>43983</v>
      </c>
      <c r="E6735">
        <v>4</v>
      </c>
      <c r="G6735" s="2">
        <v>43983</v>
      </c>
      <c r="H6735">
        <v>3.8159999999999998</v>
      </c>
      <c r="J6735" s="2">
        <v>43990</v>
      </c>
      <c r="K6735" s="3">
        <f t="shared" si="210"/>
        <v>4</v>
      </c>
      <c r="L6735" s="3">
        <f t="shared" si="211"/>
        <v>3.786</v>
      </c>
    </row>
    <row r="6736" spans="1:12" x14ac:dyDescent="0.3">
      <c r="A6736" s="2">
        <v>43253</v>
      </c>
      <c r="B6736">
        <v>6.91</v>
      </c>
      <c r="D6736" s="2">
        <v>43984</v>
      </c>
      <c r="E6736">
        <v>4</v>
      </c>
      <c r="G6736" s="2">
        <v>43984</v>
      </c>
      <c r="H6736">
        <v>3.8159999999999998</v>
      </c>
      <c r="J6736" s="2">
        <v>43991</v>
      </c>
      <c r="K6736" s="3">
        <f t="shared" si="210"/>
        <v>4</v>
      </c>
      <c r="L6736" s="3">
        <f t="shared" si="211"/>
        <v>3.7909999999999999</v>
      </c>
    </row>
    <row r="6737" spans="1:12" x14ac:dyDescent="0.3">
      <c r="A6737" s="2">
        <v>43254</v>
      </c>
      <c r="B6737">
        <v>6.91</v>
      </c>
      <c r="D6737" s="2">
        <v>43985</v>
      </c>
      <c r="E6737">
        <v>4</v>
      </c>
      <c r="G6737" s="2">
        <v>43985</v>
      </c>
      <c r="H6737">
        <v>3.778</v>
      </c>
      <c r="J6737" s="2">
        <v>43992</v>
      </c>
      <c r="K6737" s="3">
        <f t="shared" si="210"/>
        <v>4</v>
      </c>
      <c r="L6737" s="3">
        <f t="shared" si="211"/>
        <v>3.7839999999999998</v>
      </c>
    </row>
    <row r="6738" spans="1:12" x14ac:dyDescent="0.3">
      <c r="A6738" s="2">
        <v>43255</v>
      </c>
      <c r="B6738">
        <v>6.91</v>
      </c>
      <c r="D6738" s="2">
        <v>43986</v>
      </c>
      <c r="E6738">
        <v>4</v>
      </c>
      <c r="G6738" s="2">
        <v>43986</v>
      </c>
      <c r="H6738">
        <v>3.7730000000000001</v>
      </c>
      <c r="J6738" s="2">
        <v>43993</v>
      </c>
      <c r="K6738" s="3">
        <f t="shared" si="210"/>
        <v>4</v>
      </c>
      <c r="L6738" s="3">
        <f t="shared" si="211"/>
        <v>3.7690000000000001</v>
      </c>
    </row>
    <row r="6739" spans="1:12" x14ac:dyDescent="0.3">
      <c r="A6739" s="2">
        <v>43256</v>
      </c>
      <c r="B6739">
        <v>6.92</v>
      </c>
      <c r="D6739" s="2">
        <v>43987</v>
      </c>
      <c r="E6739">
        <v>4</v>
      </c>
      <c r="G6739" s="2">
        <v>43987</v>
      </c>
      <c r="H6739">
        <v>3.7919999999999998</v>
      </c>
      <c r="J6739" s="2">
        <v>43994</v>
      </c>
      <c r="K6739" s="3">
        <f t="shared" si="210"/>
        <v>4</v>
      </c>
      <c r="L6739" s="3">
        <f t="shared" si="211"/>
        <v>3.7890000000000001</v>
      </c>
    </row>
    <row r="6740" spans="1:12" x14ac:dyDescent="0.3">
      <c r="A6740" s="2">
        <v>43257</v>
      </c>
      <c r="B6740">
        <v>6.99</v>
      </c>
      <c r="D6740" s="2">
        <v>43988</v>
      </c>
      <c r="E6740">
        <v>4</v>
      </c>
      <c r="G6740" s="2">
        <v>43988</v>
      </c>
      <c r="H6740">
        <v>3.7919999999999998</v>
      </c>
      <c r="J6740" s="2">
        <v>43995</v>
      </c>
      <c r="K6740" s="3">
        <f t="shared" si="210"/>
        <v>4</v>
      </c>
      <c r="L6740" s="3">
        <f t="shared" si="211"/>
        <v>3.7890000000000001</v>
      </c>
    </row>
    <row r="6741" spans="1:12" x14ac:dyDescent="0.3">
      <c r="A6741" s="2">
        <v>43258</v>
      </c>
      <c r="B6741">
        <v>6.97</v>
      </c>
      <c r="D6741" s="2">
        <v>43989</v>
      </c>
      <c r="E6741">
        <v>4</v>
      </c>
      <c r="G6741" s="2">
        <v>43989</v>
      </c>
      <c r="H6741">
        <v>3.7919999999999998</v>
      </c>
      <c r="J6741" s="2">
        <v>43996</v>
      </c>
      <c r="K6741" s="3">
        <f t="shared" si="210"/>
        <v>4</v>
      </c>
      <c r="L6741" s="3">
        <f t="shared" si="211"/>
        <v>3.7890000000000001</v>
      </c>
    </row>
    <row r="6742" spans="1:12" x14ac:dyDescent="0.3">
      <c r="A6742" s="2">
        <v>43259</v>
      </c>
      <c r="B6742">
        <v>6.99</v>
      </c>
      <c r="D6742" s="2">
        <v>43990</v>
      </c>
      <c r="E6742">
        <v>4</v>
      </c>
      <c r="G6742" s="2">
        <v>43990</v>
      </c>
      <c r="H6742">
        <v>3.786</v>
      </c>
      <c r="J6742" s="2">
        <v>43997</v>
      </c>
      <c r="K6742" s="3">
        <f t="shared" si="210"/>
        <v>4</v>
      </c>
      <c r="L6742" s="3">
        <f t="shared" si="211"/>
        <v>3.7930000000000001</v>
      </c>
    </row>
    <row r="6743" spans="1:12" x14ac:dyDescent="0.3">
      <c r="A6743" s="2">
        <v>43260</v>
      </c>
      <c r="B6743">
        <v>6.99</v>
      </c>
      <c r="D6743" s="2">
        <v>43991</v>
      </c>
      <c r="E6743">
        <v>4</v>
      </c>
      <c r="G6743" s="2">
        <v>43991</v>
      </c>
      <c r="H6743">
        <v>3.7909999999999999</v>
      </c>
      <c r="J6743" s="2">
        <v>43998</v>
      </c>
      <c r="K6743" s="3">
        <f t="shared" si="210"/>
        <v>4</v>
      </c>
      <c r="L6743" s="3">
        <f t="shared" si="211"/>
        <v>3.8340000000000001</v>
      </c>
    </row>
    <row r="6744" spans="1:12" x14ac:dyDescent="0.3">
      <c r="A6744" s="2">
        <v>43261</v>
      </c>
      <c r="B6744">
        <v>6.99</v>
      </c>
      <c r="D6744" s="2">
        <v>43992</v>
      </c>
      <c r="E6744">
        <v>4</v>
      </c>
      <c r="G6744" s="2">
        <v>43992</v>
      </c>
      <c r="H6744">
        <v>3.7839999999999998</v>
      </c>
      <c r="J6744" s="2">
        <v>43999</v>
      </c>
      <c r="K6744" s="3">
        <f t="shared" si="210"/>
        <v>4</v>
      </c>
      <c r="L6744" s="3">
        <f t="shared" si="211"/>
        <v>3.7719999999999998</v>
      </c>
    </row>
    <row r="6745" spans="1:12" x14ac:dyDescent="0.3">
      <c r="A6745" s="2">
        <v>43262</v>
      </c>
      <c r="B6745">
        <v>6.98</v>
      </c>
      <c r="D6745" s="2">
        <v>43993</v>
      </c>
      <c r="E6745">
        <v>4</v>
      </c>
      <c r="G6745" s="2">
        <v>43993</v>
      </c>
      <c r="H6745">
        <v>3.7690000000000001</v>
      </c>
      <c r="J6745" s="2">
        <v>44000</v>
      </c>
      <c r="K6745" s="3">
        <f t="shared" si="210"/>
        <v>4</v>
      </c>
      <c r="L6745" s="3">
        <f t="shared" si="211"/>
        <v>3.7559999999999998</v>
      </c>
    </row>
    <row r="6746" spans="1:12" x14ac:dyDescent="0.3">
      <c r="A6746" s="2">
        <v>43263</v>
      </c>
      <c r="B6746">
        <v>6.99</v>
      </c>
      <c r="D6746" s="2">
        <v>43994</v>
      </c>
      <c r="E6746">
        <v>4</v>
      </c>
      <c r="G6746" s="2">
        <v>43994</v>
      </c>
      <c r="H6746">
        <v>3.7890000000000001</v>
      </c>
      <c r="J6746" s="2">
        <v>44001</v>
      </c>
      <c r="K6746" s="3">
        <f t="shared" si="210"/>
        <v>4</v>
      </c>
      <c r="L6746" s="3">
        <f t="shared" si="211"/>
        <v>3.738</v>
      </c>
    </row>
    <row r="6747" spans="1:12" x14ac:dyDescent="0.3">
      <c r="A6747" s="2">
        <v>43264</v>
      </c>
      <c r="B6747">
        <v>7.04</v>
      </c>
      <c r="D6747" s="2">
        <v>43995</v>
      </c>
      <c r="E6747">
        <v>4</v>
      </c>
      <c r="G6747" s="2">
        <v>43995</v>
      </c>
      <c r="H6747">
        <v>3.7890000000000001</v>
      </c>
      <c r="J6747" s="2">
        <v>44002</v>
      </c>
      <c r="K6747" s="3">
        <f t="shared" si="210"/>
        <v>4</v>
      </c>
      <c r="L6747" s="3">
        <f t="shared" si="211"/>
        <v>3.738</v>
      </c>
    </row>
    <row r="6748" spans="1:12" x14ac:dyDescent="0.3">
      <c r="A6748" s="2">
        <v>43265</v>
      </c>
      <c r="B6748">
        <v>7.05</v>
      </c>
      <c r="D6748" s="2">
        <v>43996</v>
      </c>
      <c r="E6748">
        <v>4</v>
      </c>
      <c r="G6748" s="2">
        <v>43996</v>
      </c>
      <c r="H6748">
        <v>3.7890000000000001</v>
      </c>
      <c r="J6748" s="2">
        <v>44003</v>
      </c>
      <c r="K6748" s="3">
        <f t="shared" si="210"/>
        <v>4</v>
      </c>
      <c r="L6748" s="3">
        <f t="shared" si="211"/>
        <v>3.738</v>
      </c>
    </row>
    <row r="6749" spans="1:12" x14ac:dyDescent="0.3">
      <c r="A6749" s="2">
        <v>43266</v>
      </c>
      <c r="B6749">
        <v>7.05</v>
      </c>
      <c r="D6749" s="2">
        <v>43997</v>
      </c>
      <c r="E6749">
        <v>4</v>
      </c>
      <c r="G6749" s="2">
        <v>43997</v>
      </c>
      <c r="H6749">
        <v>3.7930000000000001</v>
      </c>
      <c r="J6749" s="2">
        <v>44004</v>
      </c>
      <c r="K6749" s="3">
        <f t="shared" si="210"/>
        <v>4</v>
      </c>
      <c r="L6749" s="3">
        <f t="shared" si="211"/>
        <v>3.7229999999999999</v>
      </c>
    </row>
    <row r="6750" spans="1:12" x14ac:dyDescent="0.3">
      <c r="A6750" s="2">
        <v>43267</v>
      </c>
      <c r="B6750">
        <v>7.05</v>
      </c>
      <c r="D6750" s="2">
        <v>43998</v>
      </c>
      <c r="E6750">
        <v>4</v>
      </c>
      <c r="G6750" s="2">
        <v>43998</v>
      </c>
      <c r="H6750">
        <v>3.8340000000000001</v>
      </c>
      <c r="J6750" s="2">
        <v>44005</v>
      </c>
      <c r="K6750" s="3">
        <f t="shared" si="210"/>
        <v>4</v>
      </c>
      <c r="L6750" s="3">
        <f t="shared" si="211"/>
        <v>3.7240000000000002</v>
      </c>
    </row>
    <row r="6751" spans="1:12" x14ac:dyDescent="0.3">
      <c r="A6751" s="2">
        <v>43268</v>
      </c>
      <c r="B6751">
        <v>7.05</v>
      </c>
      <c r="D6751" s="2">
        <v>43999</v>
      </c>
      <c r="E6751">
        <v>4</v>
      </c>
      <c r="G6751" s="2">
        <v>43999</v>
      </c>
      <c r="H6751">
        <v>3.7719999999999998</v>
      </c>
      <c r="J6751" s="2">
        <v>44006</v>
      </c>
      <c r="K6751" s="3">
        <f t="shared" si="210"/>
        <v>4</v>
      </c>
      <c r="L6751" s="3">
        <f t="shared" si="211"/>
        <v>3.7160000000000002</v>
      </c>
    </row>
    <row r="6752" spans="1:12" x14ac:dyDescent="0.3">
      <c r="A6752" s="2">
        <v>43269</v>
      </c>
      <c r="B6752">
        <v>7.07</v>
      </c>
      <c r="D6752" s="2">
        <v>44000</v>
      </c>
      <c r="E6752">
        <v>4</v>
      </c>
      <c r="G6752" s="2">
        <v>44000</v>
      </c>
      <c r="H6752">
        <v>3.7559999999999998</v>
      </c>
      <c r="J6752" s="2">
        <v>44007</v>
      </c>
      <c r="K6752" s="3">
        <f t="shared" si="210"/>
        <v>4</v>
      </c>
      <c r="L6752" s="3">
        <f t="shared" si="211"/>
        <v>3.7240000000000002</v>
      </c>
    </row>
    <row r="6753" spans="1:12" x14ac:dyDescent="0.3">
      <c r="A6753" s="2">
        <v>43270</v>
      </c>
      <c r="B6753">
        <v>7.05</v>
      </c>
      <c r="D6753" s="2">
        <v>44001</v>
      </c>
      <c r="E6753">
        <v>4</v>
      </c>
      <c r="G6753" s="2">
        <v>44001</v>
      </c>
      <c r="H6753">
        <v>3.738</v>
      </c>
      <c r="J6753" s="2">
        <v>44008</v>
      </c>
      <c r="K6753" s="3">
        <f t="shared" si="210"/>
        <v>4</v>
      </c>
      <c r="L6753" s="3">
        <f t="shared" si="211"/>
        <v>3.6909999999999998</v>
      </c>
    </row>
    <row r="6754" spans="1:12" x14ac:dyDescent="0.3">
      <c r="A6754" s="2">
        <v>43271</v>
      </c>
      <c r="B6754">
        <v>7.09</v>
      </c>
      <c r="D6754" s="2">
        <v>44002</v>
      </c>
      <c r="E6754">
        <v>4</v>
      </c>
      <c r="G6754" s="2">
        <v>44002</v>
      </c>
      <c r="H6754">
        <v>3.738</v>
      </c>
      <c r="J6754" s="2">
        <v>44009</v>
      </c>
      <c r="K6754" s="3">
        <f t="shared" si="210"/>
        <v>4</v>
      </c>
      <c r="L6754" s="3">
        <f t="shared" si="211"/>
        <v>3.6909999999999998</v>
      </c>
    </row>
    <row r="6755" spans="1:12" x14ac:dyDescent="0.3">
      <c r="A6755" s="2">
        <v>43272</v>
      </c>
      <c r="B6755">
        <v>7.03</v>
      </c>
      <c r="D6755" s="2">
        <v>44003</v>
      </c>
      <c r="E6755">
        <v>4</v>
      </c>
      <c r="G6755" s="2">
        <v>44003</v>
      </c>
      <c r="H6755">
        <v>3.738</v>
      </c>
      <c r="J6755" s="2">
        <v>44010</v>
      </c>
      <c r="K6755" s="3">
        <f t="shared" si="210"/>
        <v>4</v>
      </c>
      <c r="L6755" s="3">
        <f t="shared" si="211"/>
        <v>3.6909999999999998</v>
      </c>
    </row>
    <row r="6756" spans="1:12" x14ac:dyDescent="0.3">
      <c r="A6756" s="2">
        <v>43273</v>
      </c>
      <c r="B6756">
        <v>7.02</v>
      </c>
      <c r="D6756" s="2">
        <v>44004</v>
      </c>
      <c r="E6756">
        <v>4</v>
      </c>
      <c r="G6756" s="2">
        <v>44004</v>
      </c>
      <c r="H6756">
        <v>3.7229999999999999</v>
      </c>
      <c r="J6756" s="2">
        <v>44011</v>
      </c>
      <c r="K6756" s="3">
        <f t="shared" si="210"/>
        <v>4</v>
      </c>
      <c r="L6756" s="3">
        <f t="shared" si="211"/>
        <v>3.6970000000000001</v>
      </c>
    </row>
    <row r="6757" spans="1:12" x14ac:dyDescent="0.3">
      <c r="A6757" s="2">
        <v>43274</v>
      </c>
      <c r="B6757">
        <v>7.02</v>
      </c>
      <c r="D6757" s="2">
        <v>44005</v>
      </c>
      <c r="E6757">
        <v>4</v>
      </c>
      <c r="G6757" s="2">
        <v>44005</v>
      </c>
      <c r="H6757">
        <v>3.7240000000000002</v>
      </c>
      <c r="J6757" s="2">
        <v>44012</v>
      </c>
      <c r="K6757" s="3">
        <f t="shared" si="210"/>
        <v>4</v>
      </c>
      <c r="L6757" s="3">
        <f t="shared" si="211"/>
        <v>3.7290000000000001</v>
      </c>
    </row>
    <row r="6758" spans="1:12" x14ac:dyDescent="0.3">
      <c r="A6758" s="2">
        <v>43275</v>
      </c>
      <c r="B6758">
        <v>7.02</v>
      </c>
      <c r="D6758" s="2">
        <v>44006</v>
      </c>
      <c r="E6758">
        <v>4</v>
      </c>
      <c r="G6758" s="2">
        <v>44006</v>
      </c>
      <c r="H6758">
        <v>3.7160000000000002</v>
      </c>
      <c r="J6758" s="2">
        <v>44013</v>
      </c>
      <c r="K6758" s="3">
        <f t="shared" si="210"/>
        <v>4</v>
      </c>
      <c r="L6758" s="3">
        <f t="shared" si="211"/>
        <v>3.6669999999999998</v>
      </c>
    </row>
    <row r="6759" spans="1:12" x14ac:dyDescent="0.3">
      <c r="A6759" s="2">
        <v>43276</v>
      </c>
      <c r="B6759">
        <v>7.06</v>
      </c>
      <c r="D6759" s="2">
        <v>44007</v>
      </c>
      <c r="E6759">
        <v>4</v>
      </c>
      <c r="G6759" s="2">
        <v>44007</v>
      </c>
      <c r="H6759">
        <v>3.7240000000000002</v>
      </c>
      <c r="J6759" s="2">
        <v>44014</v>
      </c>
      <c r="K6759" s="3">
        <f t="shared" si="210"/>
        <v>4</v>
      </c>
      <c r="L6759" s="3">
        <f t="shared" si="211"/>
        <v>3.7040000000000002</v>
      </c>
    </row>
    <row r="6760" spans="1:12" x14ac:dyDescent="0.3">
      <c r="A6760" s="2">
        <v>43277</v>
      </c>
      <c r="B6760">
        <v>7.04</v>
      </c>
      <c r="D6760" s="2">
        <v>44008</v>
      </c>
      <c r="E6760">
        <v>4</v>
      </c>
      <c r="G6760" s="2">
        <v>44008</v>
      </c>
      <c r="H6760">
        <v>3.6909999999999998</v>
      </c>
      <c r="J6760" s="2">
        <v>44015</v>
      </c>
      <c r="K6760" s="3">
        <f t="shared" si="210"/>
        <v>4</v>
      </c>
      <c r="L6760" s="3">
        <f t="shared" si="211"/>
        <v>3.7010000000000001</v>
      </c>
    </row>
    <row r="6761" spans="1:12" x14ac:dyDescent="0.3">
      <c r="A6761" s="2">
        <v>43278</v>
      </c>
      <c r="B6761">
        <v>7.11</v>
      </c>
      <c r="D6761" s="2">
        <v>44009</v>
      </c>
      <c r="E6761">
        <v>4</v>
      </c>
      <c r="G6761" s="2">
        <v>44009</v>
      </c>
      <c r="H6761">
        <v>3.6909999999999998</v>
      </c>
      <c r="J6761" s="2">
        <v>44016</v>
      </c>
      <c r="K6761" s="3">
        <f t="shared" si="210"/>
        <v>4</v>
      </c>
      <c r="L6761" s="3">
        <f t="shared" si="211"/>
        <v>3.7010000000000001</v>
      </c>
    </row>
    <row r="6762" spans="1:12" x14ac:dyDescent="0.3">
      <c r="A6762" s="2">
        <v>43279</v>
      </c>
      <c r="B6762">
        <v>7.09</v>
      </c>
      <c r="D6762" s="2">
        <v>44010</v>
      </c>
      <c r="E6762">
        <v>4</v>
      </c>
      <c r="G6762" s="2">
        <v>44010</v>
      </c>
      <c r="H6762">
        <v>3.6909999999999998</v>
      </c>
      <c r="J6762" s="2">
        <v>44017</v>
      </c>
      <c r="K6762" s="3">
        <f t="shared" si="210"/>
        <v>4</v>
      </c>
      <c r="L6762" s="3">
        <f t="shared" si="211"/>
        <v>3.7010000000000001</v>
      </c>
    </row>
    <row r="6763" spans="1:12" x14ac:dyDescent="0.3">
      <c r="A6763" s="2">
        <v>43280</v>
      </c>
      <c r="B6763">
        <v>7.09</v>
      </c>
      <c r="D6763" s="2">
        <v>44011</v>
      </c>
      <c r="E6763">
        <v>4</v>
      </c>
      <c r="G6763" s="2">
        <v>44011</v>
      </c>
      <c r="H6763">
        <v>3.6970000000000001</v>
      </c>
      <c r="J6763" s="2">
        <v>44018</v>
      </c>
      <c r="K6763" s="3">
        <f t="shared" si="210"/>
        <v>4</v>
      </c>
      <c r="L6763" s="3">
        <f t="shared" si="211"/>
        <v>3.7040000000000002</v>
      </c>
    </row>
    <row r="6764" spans="1:12" x14ac:dyDescent="0.3">
      <c r="A6764" s="2">
        <v>43281</v>
      </c>
      <c r="B6764">
        <v>7.09</v>
      </c>
      <c r="D6764" s="2">
        <v>44012</v>
      </c>
      <c r="E6764">
        <v>4</v>
      </c>
      <c r="G6764" s="2">
        <v>44012</v>
      </c>
      <c r="H6764">
        <v>3.7290000000000001</v>
      </c>
      <c r="J6764" s="2">
        <v>44019</v>
      </c>
      <c r="K6764" s="3">
        <f t="shared" si="210"/>
        <v>4</v>
      </c>
      <c r="L6764" s="3">
        <f t="shared" si="211"/>
        <v>3.6779999999999999</v>
      </c>
    </row>
    <row r="6765" spans="1:12" x14ac:dyDescent="0.3">
      <c r="A6765" s="2">
        <v>43282</v>
      </c>
      <c r="B6765">
        <v>7.09</v>
      </c>
      <c r="D6765" s="2">
        <v>44013</v>
      </c>
      <c r="E6765">
        <v>4</v>
      </c>
      <c r="G6765" s="2">
        <v>44013</v>
      </c>
      <c r="H6765">
        <v>3.6669999999999998</v>
      </c>
      <c r="J6765" s="2">
        <v>44020</v>
      </c>
      <c r="K6765" s="3">
        <f t="shared" si="210"/>
        <v>4</v>
      </c>
      <c r="L6765" s="3">
        <f t="shared" si="211"/>
        <v>3.6720000000000002</v>
      </c>
    </row>
    <row r="6766" spans="1:12" x14ac:dyDescent="0.3">
      <c r="A6766" s="2">
        <v>43283</v>
      </c>
      <c r="B6766">
        <v>7.12</v>
      </c>
      <c r="D6766" s="2">
        <v>44014</v>
      </c>
      <c r="E6766">
        <v>4</v>
      </c>
      <c r="G6766" s="2">
        <v>44014</v>
      </c>
      <c r="H6766">
        <v>3.7040000000000002</v>
      </c>
      <c r="J6766" s="2">
        <v>44021</v>
      </c>
      <c r="K6766" s="3">
        <f t="shared" si="210"/>
        <v>4</v>
      </c>
      <c r="L6766" s="3">
        <f t="shared" si="211"/>
        <v>3.6749999999999998</v>
      </c>
    </row>
    <row r="6767" spans="1:12" x14ac:dyDescent="0.3">
      <c r="A6767" s="2">
        <v>43284</v>
      </c>
      <c r="B6767">
        <v>7.11</v>
      </c>
      <c r="D6767" s="2">
        <v>44015</v>
      </c>
      <c r="E6767">
        <v>4</v>
      </c>
      <c r="G6767" s="2">
        <v>44015</v>
      </c>
      <c r="H6767">
        <v>3.7010000000000001</v>
      </c>
      <c r="J6767" s="2">
        <v>44022</v>
      </c>
      <c r="K6767" s="3">
        <f t="shared" si="210"/>
        <v>4</v>
      </c>
      <c r="L6767" s="3">
        <f t="shared" si="211"/>
        <v>3.6259999999999999</v>
      </c>
    </row>
    <row r="6768" spans="1:12" x14ac:dyDescent="0.3">
      <c r="A6768" s="2">
        <v>43285</v>
      </c>
      <c r="B6768">
        <v>7.14</v>
      </c>
      <c r="D6768" s="2">
        <v>44016</v>
      </c>
      <c r="E6768">
        <v>4</v>
      </c>
      <c r="G6768" s="2">
        <v>44016</v>
      </c>
      <c r="H6768">
        <v>3.7010000000000001</v>
      </c>
      <c r="J6768" s="2">
        <v>44023</v>
      </c>
      <c r="K6768" s="3">
        <f t="shared" si="210"/>
        <v>4</v>
      </c>
      <c r="L6768" s="3">
        <f t="shared" si="211"/>
        <v>3.6259999999999999</v>
      </c>
    </row>
    <row r="6769" spans="1:12" x14ac:dyDescent="0.3">
      <c r="A6769" s="2">
        <v>43286</v>
      </c>
      <c r="B6769">
        <v>7.15</v>
      </c>
      <c r="D6769" s="2">
        <v>44017</v>
      </c>
      <c r="E6769">
        <v>4</v>
      </c>
      <c r="G6769" s="2">
        <v>44017</v>
      </c>
      <c r="H6769">
        <v>3.7010000000000001</v>
      </c>
      <c r="J6769" s="2">
        <v>44024</v>
      </c>
      <c r="K6769" s="3">
        <f t="shared" si="210"/>
        <v>4</v>
      </c>
      <c r="L6769" s="3">
        <f t="shared" si="211"/>
        <v>3.6259999999999999</v>
      </c>
    </row>
    <row r="6770" spans="1:12" x14ac:dyDescent="0.3">
      <c r="A6770" s="2">
        <v>43287</v>
      </c>
      <c r="B6770">
        <v>7.12</v>
      </c>
      <c r="D6770" s="2">
        <v>44018</v>
      </c>
      <c r="E6770">
        <v>4</v>
      </c>
      <c r="G6770" s="2">
        <v>44018</v>
      </c>
      <c r="H6770">
        <v>3.7040000000000002</v>
      </c>
      <c r="J6770" s="2">
        <v>44025</v>
      </c>
      <c r="K6770" s="3">
        <f t="shared" si="210"/>
        <v>4</v>
      </c>
      <c r="L6770" s="3">
        <f t="shared" si="211"/>
        <v>3.649</v>
      </c>
    </row>
    <row r="6771" spans="1:12" x14ac:dyDescent="0.3">
      <c r="A6771" s="2">
        <v>43288</v>
      </c>
      <c r="B6771">
        <v>7.12</v>
      </c>
      <c r="D6771" s="2">
        <v>44019</v>
      </c>
      <c r="E6771">
        <v>4</v>
      </c>
      <c r="G6771" s="2">
        <v>44019</v>
      </c>
      <c r="H6771">
        <v>3.6779999999999999</v>
      </c>
      <c r="J6771" s="2">
        <v>44026</v>
      </c>
      <c r="K6771" s="3">
        <f t="shared" si="210"/>
        <v>4</v>
      </c>
      <c r="L6771" s="3">
        <f t="shared" si="211"/>
        <v>3.653</v>
      </c>
    </row>
    <row r="6772" spans="1:12" x14ac:dyDescent="0.3">
      <c r="A6772" s="2">
        <v>43289</v>
      </c>
      <c r="B6772">
        <v>7.12</v>
      </c>
      <c r="D6772" s="2">
        <v>44020</v>
      </c>
      <c r="E6772">
        <v>4</v>
      </c>
      <c r="G6772" s="2">
        <v>44020</v>
      </c>
      <c r="H6772">
        <v>3.6720000000000002</v>
      </c>
      <c r="J6772" s="2">
        <v>44027</v>
      </c>
      <c r="K6772" s="3">
        <f t="shared" si="210"/>
        <v>4</v>
      </c>
      <c r="L6772" s="3">
        <f t="shared" si="211"/>
        <v>3.6280000000000001</v>
      </c>
    </row>
    <row r="6773" spans="1:12" x14ac:dyDescent="0.3">
      <c r="A6773" s="2">
        <v>43290</v>
      </c>
      <c r="B6773">
        <v>7.15</v>
      </c>
      <c r="D6773" s="2">
        <v>44021</v>
      </c>
      <c r="E6773">
        <v>4</v>
      </c>
      <c r="G6773" s="2">
        <v>44021</v>
      </c>
      <c r="H6773">
        <v>3.6749999999999998</v>
      </c>
      <c r="J6773" s="2">
        <v>44028</v>
      </c>
      <c r="K6773" s="3">
        <f t="shared" si="210"/>
        <v>4</v>
      </c>
      <c r="L6773" s="3">
        <f t="shared" si="211"/>
        <v>3.5880000000000001</v>
      </c>
    </row>
    <row r="6774" spans="1:12" x14ac:dyDescent="0.3">
      <c r="A6774" s="2">
        <v>43291</v>
      </c>
      <c r="B6774">
        <v>7.11</v>
      </c>
      <c r="D6774" s="2">
        <v>44022</v>
      </c>
      <c r="E6774">
        <v>4</v>
      </c>
      <c r="G6774" s="2">
        <v>44022</v>
      </c>
      <c r="H6774">
        <v>3.6259999999999999</v>
      </c>
      <c r="J6774" s="2">
        <v>44029</v>
      </c>
      <c r="K6774" s="3">
        <f t="shared" si="210"/>
        <v>4</v>
      </c>
      <c r="L6774" s="3">
        <f t="shared" si="211"/>
        <v>3.577</v>
      </c>
    </row>
    <row r="6775" spans="1:12" x14ac:dyDescent="0.3">
      <c r="A6775" s="2">
        <v>43292</v>
      </c>
      <c r="B6775">
        <v>7.18</v>
      </c>
      <c r="D6775" s="2">
        <v>44023</v>
      </c>
      <c r="E6775">
        <v>4</v>
      </c>
      <c r="G6775" s="2">
        <v>44023</v>
      </c>
      <c r="H6775">
        <v>3.6259999999999999</v>
      </c>
      <c r="J6775" s="2">
        <v>44030</v>
      </c>
      <c r="K6775" s="3">
        <f t="shared" si="210"/>
        <v>4</v>
      </c>
      <c r="L6775" s="3">
        <f t="shared" si="211"/>
        <v>3.577</v>
      </c>
    </row>
    <row r="6776" spans="1:12" x14ac:dyDescent="0.3">
      <c r="A6776" s="2">
        <v>43293</v>
      </c>
      <c r="B6776">
        <v>7.19</v>
      </c>
      <c r="D6776" s="2">
        <v>44024</v>
      </c>
      <c r="E6776">
        <v>4</v>
      </c>
      <c r="G6776" s="2">
        <v>44024</v>
      </c>
      <c r="H6776">
        <v>3.6259999999999999</v>
      </c>
      <c r="J6776" s="2">
        <v>44031</v>
      </c>
      <c r="K6776" s="3">
        <f t="shared" si="210"/>
        <v>4</v>
      </c>
      <c r="L6776" s="3">
        <f t="shared" si="211"/>
        <v>3.577</v>
      </c>
    </row>
    <row r="6777" spans="1:12" x14ac:dyDescent="0.3">
      <c r="A6777" s="2">
        <v>43294</v>
      </c>
      <c r="B6777">
        <v>7.19</v>
      </c>
      <c r="D6777" s="2">
        <v>44025</v>
      </c>
      <c r="E6777">
        <v>4</v>
      </c>
      <c r="G6777" s="2">
        <v>44025</v>
      </c>
      <c r="H6777">
        <v>3.649</v>
      </c>
      <c r="J6777" s="2">
        <v>44032</v>
      </c>
      <c r="K6777" s="3">
        <f t="shared" si="210"/>
        <v>4</v>
      </c>
      <c r="L6777" s="3">
        <f t="shared" si="211"/>
        <v>3.5950000000000002</v>
      </c>
    </row>
    <row r="6778" spans="1:12" x14ac:dyDescent="0.3">
      <c r="A6778" s="2">
        <v>43295</v>
      </c>
      <c r="B6778">
        <v>7.19</v>
      </c>
      <c r="D6778" s="2">
        <v>44026</v>
      </c>
      <c r="E6778">
        <v>4</v>
      </c>
      <c r="G6778" s="2">
        <v>44026</v>
      </c>
      <c r="H6778">
        <v>3.653</v>
      </c>
      <c r="J6778" s="2">
        <v>44033</v>
      </c>
      <c r="K6778" s="3">
        <f t="shared" si="210"/>
        <v>4</v>
      </c>
      <c r="L6778" s="3">
        <f t="shared" si="211"/>
        <v>3.6139999999999999</v>
      </c>
    </row>
    <row r="6779" spans="1:12" x14ac:dyDescent="0.3">
      <c r="A6779" s="2">
        <v>43296</v>
      </c>
      <c r="B6779">
        <v>7.19</v>
      </c>
      <c r="D6779" s="2">
        <v>44027</v>
      </c>
      <c r="E6779">
        <v>4</v>
      </c>
      <c r="G6779" s="2">
        <v>44027</v>
      </c>
      <c r="H6779">
        <v>3.6280000000000001</v>
      </c>
      <c r="J6779" s="2">
        <v>44034</v>
      </c>
      <c r="K6779" s="3">
        <f t="shared" si="210"/>
        <v>4</v>
      </c>
      <c r="L6779" s="3">
        <f t="shared" si="211"/>
        <v>3.63</v>
      </c>
    </row>
    <row r="6780" spans="1:12" x14ac:dyDescent="0.3">
      <c r="A6780" s="2">
        <v>43297</v>
      </c>
      <c r="B6780">
        <v>7.19</v>
      </c>
      <c r="D6780" s="2">
        <v>44028</v>
      </c>
      <c r="E6780">
        <v>4</v>
      </c>
      <c r="G6780" s="2">
        <v>44028</v>
      </c>
      <c r="H6780">
        <v>3.5880000000000001</v>
      </c>
      <c r="J6780" s="2">
        <v>44035</v>
      </c>
      <c r="K6780" s="3">
        <f t="shared" si="210"/>
        <v>4</v>
      </c>
      <c r="L6780" s="3">
        <f t="shared" si="211"/>
        <v>3.6280000000000001</v>
      </c>
    </row>
    <row r="6781" spans="1:12" x14ac:dyDescent="0.3">
      <c r="A6781" s="2">
        <v>43298</v>
      </c>
      <c r="B6781">
        <v>7.18</v>
      </c>
      <c r="D6781" s="2">
        <v>44029</v>
      </c>
      <c r="E6781">
        <v>4</v>
      </c>
      <c r="G6781" s="2">
        <v>44029</v>
      </c>
      <c r="H6781">
        <v>3.577</v>
      </c>
      <c r="J6781" s="2">
        <v>44036</v>
      </c>
      <c r="K6781" s="3">
        <f t="shared" si="210"/>
        <v>4</v>
      </c>
      <c r="L6781" s="3">
        <f t="shared" si="211"/>
        <v>3.63</v>
      </c>
    </row>
    <row r="6782" spans="1:12" x14ac:dyDescent="0.3">
      <c r="A6782" s="2">
        <v>43299</v>
      </c>
      <c r="B6782">
        <v>7.21</v>
      </c>
      <c r="D6782" s="2">
        <v>44030</v>
      </c>
      <c r="E6782">
        <v>4</v>
      </c>
      <c r="G6782" s="2">
        <v>44030</v>
      </c>
      <c r="H6782">
        <v>3.577</v>
      </c>
      <c r="J6782" s="2">
        <v>44037</v>
      </c>
      <c r="K6782" s="3">
        <f t="shared" si="210"/>
        <v>4</v>
      </c>
      <c r="L6782" s="3">
        <f t="shared" si="211"/>
        <v>3.63</v>
      </c>
    </row>
    <row r="6783" spans="1:12" x14ac:dyDescent="0.3">
      <c r="A6783" s="2">
        <v>43300</v>
      </c>
      <c r="B6783">
        <v>7.2</v>
      </c>
      <c r="D6783" s="2">
        <v>44031</v>
      </c>
      <c r="E6783">
        <v>4</v>
      </c>
      <c r="G6783" s="2">
        <v>44031</v>
      </c>
      <c r="H6783">
        <v>3.577</v>
      </c>
      <c r="J6783" s="2">
        <v>44038</v>
      </c>
      <c r="K6783" s="3">
        <f t="shared" si="210"/>
        <v>4</v>
      </c>
      <c r="L6783" s="3">
        <f t="shared" si="211"/>
        <v>3.63</v>
      </c>
    </row>
    <row r="6784" spans="1:12" x14ac:dyDescent="0.3">
      <c r="A6784" s="2">
        <v>43301</v>
      </c>
      <c r="B6784">
        <v>7.21</v>
      </c>
      <c r="D6784" s="2">
        <v>44032</v>
      </c>
      <c r="E6784">
        <v>4</v>
      </c>
      <c r="G6784" s="2">
        <v>44032</v>
      </c>
      <c r="H6784">
        <v>3.5950000000000002</v>
      </c>
      <c r="J6784" s="2">
        <v>44039</v>
      </c>
      <c r="K6784" s="3">
        <f t="shared" si="210"/>
        <v>4</v>
      </c>
      <c r="L6784" s="3">
        <f t="shared" si="211"/>
        <v>3.6429999999999998</v>
      </c>
    </row>
    <row r="6785" spans="1:12" x14ac:dyDescent="0.3">
      <c r="A6785" s="2">
        <v>43302</v>
      </c>
      <c r="B6785">
        <v>7.21</v>
      </c>
      <c r="D6785" s="2">
        <v>44033</v>
      </c>
      <c r="E6785">
        <v>4</v>
      </c>
      <c r="G6785" s="2">
        <v>44033</v>
      </c>
      <c r="H6785">
        <v>3.6139999999999999</v>
      </c>
      <c r="J6785" s="2">
        <v>44040</v>
      </c>
      <c r="K6785" s="3">
        <f t="shared" si="210"/>
        <v>4</v>
      </c>
      <c r="L6785" s="3">
        <f t="shared" si="211"/>
        <v>3.6680000000000001</v>
      </c>
    </row>
    <row r="6786" spans="1:12" x14ac:dyDescent="0.3">
      <c r="A6786" s="2">
        <v>43303</v>
      </c>
      <c r="B6786">
        <v>7.21</v>
      </c>
      <c r="D6786" s="2">
        <v>44034</v>
      </c>
      <c r="E6786">
        <v>4</v>
      </c>
      <c r="G6786" s="2">
        <v>44034</v>
      </c>
      <c r="H6786">
        <v>3.63</v>
      </c>
      <c r="J6786" s="2">
        <v>44041</v>
      </c>
      <c r="K6786" s="3">
        <f t="shared" si="210"/>
        <v>4</v>
      </c>
      <c r="L6786" s="3">
        <f t="shared" si="211"/>
        <v>3.661</v>
      </c>
    </row>
    <row r="6787" spans="1:12" x14ac:dyDescent="0.3">
      <c r="A6787" s="2">
        <v>43304</v>
      </c>
      <c r="B6787">
        <v>7.19</v>
      </c>
      <c r="D6787" s="2">
        <v>44035</v>
      </c>
      <c r="E6787">
        <v>4</v>
      </c>
      <c r="G6787" s="2">
        <v>44035</v>
      </c>
      <c r="H6787">
        <v>3.6280000000000001</v>
      </c>
      <c r="J6787" s="2">
        <v>44042</v>
      </c>
      <c r="K6787" s="3">
        <f t="shared" ref="K6787:K6850" si="212">E6794</f>
        <v>4</v>
      </c>
      <c r="L6787" s="3">
        <f t="shared" ref="L6787:L6850" si="213">H6794</f>
        <v>3.661</v>
      </c>
    </row>
    <row r="6788" spans="1:12" x14ac:dyDescent="0.3">
      <c r="A6788" s="2">
        <v>43305</v>
      </c>
      <c r="B6788">
        <v>7.2</v>
      </c>
      <c r="D6788" s="2">
        <v>44036</v>
      </c>
      <c r="E6788">
        <v>4</v>
      </c>
      <c r="G6788" s="2">
        <v>44036</v>
      </c>
      <c r="H6788">
        <v>3.63</v>
      </c>
      <c r="J6788" s="2">
        <v>44043</v>
      </c>
      <c r="K6788" s="3">
        <f t="shared" si="212"/>
        <v>4</v>
      </c>
      <c r="L6788" s="3">
        <f t="shared" si="213"/>
        <v>3.66</v>
      </c>
    </row>
    <row r="6789" spans="1:12" x14ac:dyDescent="0.3">
      <c r="A6789" s="2">
        <v>43306</v>
      </c>
      <c r="B6789">
        <v>7.26</v>
      </c>
      <c r="D6789" s="2">
        <v>44037</v>
      </c>
      <c r="E6789">
        <v>4</v>
      </c>
      <c r="G6789" s="2">
        <v>44037</v>
      </c>
      <c r="H6789">
        <v>3.63</v>
      </c>
      <c r="J6789" s="2">
        <v>44044</v>
      </c>
      <c r="K6789" s="3">
        <f t="shared" si="212"/>
        <v>4</v>
      </c>
      <c r="L6789" s="3">
        <f t="shared" si="213"/>
        <v>3.66</v>
      </c>
    </row>
    <row r="6790" spans="1:12" x14ac:dyDescent="0.3">
      <c r="A6790" s="2">
        <v>43307</v>
      </c>
      <c r="B6790">
        <v>7.25</v>
      </c>
      <c r="D6790" s="2">
        <v>44038</v>
      </c>
      <c r="E6790">
        <v>4</v>
      </c>
      <c r="G6790" s="2">
        <v>44038</v>
      </c>
      <c r="H6790">
        <v>3.63</v>
      </c>
      <c r="J6790" s="2">
        <v>44045</v>
      </c>
      <c r="K6790" s="3">
        <f t="shared" si="212"/>
        <v>4</v>
      </c>
      <c r="L6790" s="3">
        <f t="shared" si="213"/>
        <v>3.66</v>
      </c>
    </row>
    <row r="6791" spans="1:12" x14ac:dyDescent="0.3">
      <c r="A6791" s="2">
        <v>43308</v>
      </c>
      <c r="B6791">
        <v>7.23</v>
      </c>
      <c r="D6791" s="2">
        <v>44039</v>
      </c>
      <c r="E6791">
        <v>4</v>
      </c>
      <c r="G6791" s="2">
        <v>44039</v>
      </c>
      <c r="H6791">
        <v>3.6429999999999998</v>
      </c>
      <c r="J6791" s="2">
        <v>44046</v>
      </c>
      <c r="K6791" s="3">
        <f t="shared" si="212"/>
        <v>4</v>
      </c>
      <c r="L6791" s="3">
        <f t="shared" si="213"/>
        <v>3.65</v>
      </c>
    </row>
    <row r="6792" spans="1:12" x14ac:dyDescent="0.3">
      <c r="A6792" s="2">
        <v>43309</v>
      </c>
      <c r="B6792">
        <v>7.23</v>
      </c>
      <c r="D6792" s="2">
        <v>44040</v>
      </c>
      <c r="E6792">
        <v>4</v>
      </c>
      <c r="G6792" s="2">
        <v>44040</v>
      </c>
      <c r="H6792">
        <v>3.6680000000000001</v>
      </c>
      <c r="J6792" s="2">
        <v>44047</v>
      </c>
      <c r="K6792" s="3">
        <f t="shared" si="212"/>
        <v>4</v>
      </c>
      <c r="L6792" s="3">
        <f t="shared" si="213"/>
        <v>3.6349999999999998</v>
      </c>
    </row>
    <row r="6793" spans="1:12" x14ac:dyDescent="0.3">
      <c r="A6793" s="2">
        <v>43310</v>
      </c>
      <c r="B6793">
        <v>7.23</v>
      </c>
      <c r="D6793" s="2">
        <v>44041</v>
      </c>
      <c r="E6793">
        <v>4</v>
      </c>
      <c r="G6793" s="2">
        <v>44041</v>
      </c>
      <c r="H6793">
        <v>3.661</v>
      </c>
      <c r="J6793" s="2">
        <v>44048</v>
      </c>
      <c r="K6793" s="3">
        <f t="shared" si="212"/>
        <v>4</v>
      </c>
      <c r="L6793" s="3">
        <f t="shared" si="213"/>
        <v>3.617</v>
      </c>
    </row>
    <row r="6794" spans="1:12" x14ac:dyDescent="0.3">
      <c r="A6794" s="2">
        <v>43311</v>
      </c>
      <c r="B6794">
        <v>7.16</v>
      </c>
      <c r="D6794" s="2">
        <v>44042</v>
      </c>
      <c r="E6794">
        <v>4</v>
      </c>
      <c r="G6794" s="2">
        <v>44042</v>
      </c>
      <c r="H6794">
        <v>3.661</v>
      </c>
      <c r="J6794" s="2">
        <v>44049</v>
      </c>
      <c r="K6794" s="3">
        <f t="shared" si="212"/>
        <v>4</v>
      </c>
      <c r="L6794" s="3">
        <f t="shared" si="213"/>
        <v>3.5880000000000001</v>
      </c>
    </row>
    <row r="6795" spans="1:12" x14ac:dyDescent="0.3">
      <c r="A6795" s="2">
        <v>43312</v>
      </c>
      <c r="B6795">
        <v>7.22</v>
      </c>
      <c r="D6795" s="2">
        <v>44043</v>
      </c>
      <c r="E6795">
        <v>4</v>
      </c>
      <c r="G6795" s="2">
        <v>44043</v>
      </c>
      <c r="H6795">
        <v>3.66</v>
      </c>
      <c r="J6795" s="2">
        <v>44050</v>
      </c>
      <c r="K6795" s="3">
        <f t="shared" si="212"/>
        <v>4</v>
      </c>
      <c r="L6795" s="3">
        <f t="shared" si="213"/>
        <v>3.6240000000000001</v>
      </c>
    </row>
    <row r="6796" spans="1:12" x14ac:dyDescent="0.3">
      <c r="A6796" s="2">
        <v>43313</v>
      </c>
      <c r="B6796">
        <v>7.26</v>
      </c>
      <c r="D6796" s="2">
        <v>44044</v>
      </c>
      <c r="E6796">
        <v>4</v>
      </c>
      <c r="G6796" s="2">
        <v>44044</v>
      </c>
      <c r="H6796">
        <v>3.66</v>
      </c>
      <c r="J6796" s="2">
        <v>44051</v>
      </c>
      <c r="K6796" s="3">
        <f t="shared" si="212"/>
        <v>4</v>
      </c>
      <c r="L6796" s="3">
        <f t="shared" si="213"/>
        <v>3.6240000000000001</v>
      </c>
    </row>
    <row r="6797" spans="1:12" x14ac:dyDescent="0.3">
      <c r="A6797" s="2">
        <v>43314</v>
      </c>
      <c r="B6797">
        <v>7.23</v>
      </c>
      <c r="D6797" s="2">
        <v>44045</v>
      </c>
      <c r="E6797">
        <v>4</v>
      </c>
      <c r="G6797" s="2">
        <v>44045</v>
      </c>
      <c r="H6797">
        <v>3.66</v>
      </c>
      <c r="J6797" s="2">
        <v>44052</v>
      </c>
      <c r="K6797" s="3">
        <f t="shared" si="212"/>
        <v>4</v>
      </c>
      <c r="L6797" s="3">
        <f t="shared" si="213"/>
        <v>3.6240000000000001</v>
      </c>
    </row>
    <row r="6798" spans="1:12" x14ac:dyDescent="0.3">
      <c r="A6798" s="2">
        <v>43315</v>
      </c>
      <c r="B6798">
        <v>7.25</v>
      </c>
      <c r="D6798" s="2">
        <v>44046</v>
      </c>
      <c r="E6798">
        <v>4</v>
      </c>
      <c r="G6798" s="2">
        <v>44046</v>
      </c>
      <c r="H6798">
        <v>3.65</v>
      </c>
      <c r="J6798" s="2">
        <v>44053</v>
      </c>
      <c r="K6798" s="3">
        <f t="shared" si="212"/>
        <v>4</v>
      </c>
      <c r="L6798" s="3">
        <f t="shared" si="213"/>
        <v>3.6230000000000002</v>
      </c>
    </row>
    <row r="6799" spans="1:12" x14ac:dyDescent="0.3">
      <c r="A6799" s="2">
        <v>43316</v>
      </c>
      <c r="B6799">
        <v>7.25</v>
      </c>
      <c r="D6799" s="2">
        <v>44047</v>
      </c>
      <c r="E6799">
        <v>4</v>
      </c>
      <c r="G6799" s="2">
        <v>44047</v>
      </c>
      <c r="H6799">
        <v>3.6349999999999998</v>
      </c>
      <c r="J6799" s="2">
        <v>44054</v>
      </c>
      <c r="K6799" s="3">
        <f t="shared" si="212"/>
        <v>4</v>
      </c>
      <c r="L6799" s="3">
        <f t="shared" si="213"/>
        <v>3.6480000000000001</v>
      </c>
    </row>
    <row r="6800" spans="1:12" x14ac:dyDescent="0.3">
      <c r="A6800" s="2">
        <v>43317</v>
      </c>
      <c r="B6800">
        <v>7.25</v>
      </c>
      <c r="D6800" s="2">
        <v>44048</v>
      </c>
      <c r="E6800">
        <v>4</v>
      </c>
      <c r="G6800" s="2">
        <v>44048</v>
      </c>
      <c r="H6800">
        <v>3.617</v>
      </c>
      <c r="J6800" s="2">
        <v>44055</v>
      </c>
      <c r="K6800" s="3">
        <f t="shared" si="212"/>
        <v>4</v>
      </c>
      <c r="L6800" s="3">
        <f t="shared" si="213"/>
        <v>3.6349999999999998</v>
      </c>
    </row>
    <row r="6801" spans="1:12" x14ac:dyDescent="0.3">
      <c r="A6801" s="2">
        <v>43318</v>
      </c>
      <c r="B6801">
        <v>7.23</v>
      </c>
      <c r="D6801" s="2">
        <v>44049</v>
      </c>
      <c r="E6801">
        <v>4</v>
      </c>
      <c r="G6801" s="2">
        <v>44049</v>
      </c>
      <c r="H6801">
        <v>3.5880000000000001</v>
      </c>
      <c r="J6801" s="2">
        <v>44056</v>
      </c>
      <c r="K6801" s="3">
        <f t="shared" si="212"/>
        <v>4</v>
      </c>
      <c r="L6801" s="3">
        <f t="shared" si="213"/>
        <v>3.6110000000000002</v>
      </c>
    </row>
    <row r="6802" spans="1:12" x14ac:dyDescent="0.3">
      <c r="A6802" s="2">
        <v>43319</v>
      </c>
      <c r="B6802">
        <v>7.24</v>
      </c>
      <c r="D6802" s="2">
        <v>44050</v>
      </c>
      <c r="E6802">
        <v>4</v>
      </c>
      <c r="G6802" s="2">
        <v>44050</v>
      </c>
      <c r="H6802">
        <v>3.6240000000000001</v>
      </c>
      <c r="J6802" s="2">
        <v>44057</v>
      </c>
      <c r="K6802" s="3">
        <f t="shared" si="212"/>
        <v>4</v>
      </c>
      <c r="L6802" s="3">
        <f t="shared" si="213"/>
        <v>3.6110000000000002</v>
      </c>
    </row>
    <row r="6803" spans="1:12" x14ac:dyDescent="0.3">
      <c r="A6803" s="2">
        <v>43320</v>
      </c>
      <c r="B6803">
        <v>7.27</v>
      </c>
      <c r="D6803" s="2">
        <v>44051</v>
      </c>
      <c r="E6803">
        <v>4</v>
      </c>
      <c r="G6803" s="2">
        <v>44051</v>
      </c>
      <c r="H6803">
        <v>3.6240000000000001</v>
      </c>
      <c r="J6803" s="2">
        <v>44058</v>
      </c>
      <c r="K6803" s="3">
        <f t="shared" si="212"/>
        <v>4</v>
      </c>
      <c r="L6803" s="3">
        <f t="shared" si="213"/>
        <v>3.6110000000000002</v>
      </c>
    </row>
    <row r="6804" spans="1:12" x14ac:dyDescent="0.3">
      <c r="A6804" s="2">
        <v>43321</v>
      </c>
      <c r="B6804">
        <v>7.24</v>
      </c>
      <c r="D6804" s="2">
        <v>44052</v>
      </c>
      <c r="E6804">
        <v>4</v>
      </c>
      <c r="G6804" s="2">
        <v>44052</v>
      </c>
      <c r="H6804">
        <v>3.6240000000000001</v>
      </c>
      <c r="J6804" s="2">
        <v>44059</v>
      </c>
      <c r="K6804" s="3">
        <f t="shared" si="212"/>
        <v>4</v>
      </c>
      <c r="L6804" s="3">
        <f t="shared" si="213"/>
        <v>3.6110000000000002</v>
      </c>
    </row>
    <row r="6805" spans="1:12" x14ac:dyDescent="0.3">
      <c r="A6805" s="2">
        <v>43322</v>
      </c>
      <c r="B6805">
        <v>7.24</v>
      </c>
      <c r="D6805" s="2">
        <v>44053</v>
      </c>
      <c r="E6805">
        <v>4</v>
      </c>
      <c r="G6805" s="2">
        <v>44053</v>
      </c>
      <c r="H6805">
        <v>3.6230000000000002</v>
      </c>
      <c r="J6805" s="2">
        <v>44060</v>
      </c>
      <c r="K6805" s="3">
        <f t="shared" si="212"/>
        <v>4</v>
      </c>
      <c r="L6805" s="3">
        <f t="shared" si="213"/>
        <v>3.6139999999999999</v>
      </c>
    </row>
    <row r="6806" spans="1:12" x14ac:dyDescent="0.3">
      <c r="A6806" s="2">
        <v>43323</v>
      </c>
      <c r="B6806">
        <v>7.24</v>
      </c>
      <c r="D6806" s="2">
        <v>44054</v>
      </c>
      <c r="E6806">
        <v>4</v>
      </c>
      <c r="G6806" s="2">
        <v>44054</v>
      </c>
      <c r="H6806">
        <v>3.6480000000000001</v>
      </c>
      <c r="J6806" s="2">
        <v>44061</v>
      </c>
      <c r="K6806" s="3">
        <f t="shared" si="212"/>
        <v>4</v>
      </c>
      <c r="L6806" s="3">
        <f t="shared" si="213"/>
        <v>3.617</v>
      </c>
    </row>
    <row r="6807" spans="1:12" x14ac:dyDescent="0.3">
      <c r="A6807" s="2">
        <v>43324</v>
      </c>
      <c r="B6807">
        <v>7.24</v>
      </c>
      <c r="D6807" s="2">
        <v>44055</v>
      </c>
      <c r="E6807">
        <v>4</v>
      </c>
      <c r="G6807" s="2">
        <v>44055</v>
      </c>
      <c r="H6807">
        <v>3.6349999999999998</v>
      </c>
      <c r="J6807" s="2">
        <v>44062</v>
      </c>
      <c r="K6807" s="3">
        <f t="shared" si="212"/>
        <v>4</v>
      </c>
      <c r="L6807" s="3">
        <f t="shared" si="213"/>
        <v>3.6150000000000002</v>
      </c>
    </row>
    <row r="6808" spans="1:12" x14ac:dyDescent="0.3">
      <c r="A6808" s="2">
        <v>43325</v>
      </c>
      <c r="B6808">
        <v>7.22</v>
      </c>
      <c r="D6808" s="2">
        <v>44056</v>
      </c>
      <c r="E6808">
        <v>4</v>
      </c>
      <c r="G6808" s="2">
        <v>44056</v>
      </c>
      <c r="H6808">
        <v>3.6110000000000002</v>
      </c>
      <c r="J6808" s="2">
        <v>44063</v>
      </c>
      <c r="K6808" s="3">
        <f t="shared" si="212"/>
        <v>4</v>
      </c>
      <c r="L6808" s="3">
        <f t="shared" si="213"/>
        <v>3.61</v>
      </c>
    </row>
    <row r="6809" spans="1:12" x14ac:dyDescent="0.3">
      <c r="A6809" s="2">
        <v>43326</v>
      </c>
      <c r="B6809">
        <v>7.26</v>
      </c>
      <c r="D6809" s="2">
        <v>44057</v>
      </c>
      <c r="E6809">
        <v>4</v>
      </c>
      <c r="G6809" s="2">
        <v>44057</v>
      </c>
      <c r="H6809">
        <v>3.6110000000000002</v>
      </c>
      <c r="J6809" s="2">
        <v>44064</v>
      </c>
      <c r="K6809" s="3">
        <f t="shared" si="212"/>
        <v>4</v>
      </c>
      <c r="L6809" s="3">
        <f t="shared" si="213"/>
        <v>3.7480000000000002</v>
      </c>
    </row>
    <row r="6810" spans="1:12" x14ac:dyDescent="0.3">
      <c r="A6810" s="2">
        <v>43327</v>
      </c>
      <c r="B6810">
        <v>7.26</v>
      </c>
      <c r="D6810" s="2">
        <v>44058</v>
      </c>
      <c r="E6810">
        <v>4</v>
      </c>
      <c r="G6810" s="2">
        <v>44058</v>
      </c>
      <c r="H6810">
        <v>3.6110000000000002</v>
      </c>
      <c r="J6810" s="2">
        <v>44065</v>
      </c>
      <c r="K6810" s="3">
        <f t="shared" si="212"/>
        <v>4</v>
      </c>
      <c r="L6810" s="3">
        <f t="shared" si="213"/>
        <v>3.7480000000000002</v>
      </c>
    </row>
    <row r="6811" spans="1:12" x14ac:dyDescent="0.3">
      <c r="A6811" s="2">
        <v>43328</v>
      </c>
      <c r="B6811">
        <v>7.15</v>
      </c>
      <c r="D6811" s="2">
        <v>44059</v>
      </c>
      <c r="E6811">
        <v>4</v>
      </c>
      <c r="G6811" s="2">
        <v>44059</v>
      </c>
      <c r="H6811">
        <v>3.6110000000000002</v>
      </c>
      <c r="J6811" s="2">
        <v>44066</v>
      </c>
      <c r="K6811" s="3">
        <f t="shared" si="212"/>
        <v>4</v>
      </c>
      <c r="L6811" s="3">
        <f t="shared" si="213"/>
        <v>3.7480000000000002</v>
      </c>
    </row>
    <row r="6812" spans="1:12" x14ac:dyDescent="0.3">
      <c r="A6812" s="2">
        <v>43329</v>
      </c>
      <c r="B6812">
        <v>7.15</v>
      </c>
      <c r="D6812" s="2">
        <v>44060</v>
      </c>
      <c r="E6812">
        <v>4</v>
      </c>
      <c r="G6812" s="2">
        <v>44060</v>
      </c>
      <c r="H6812">
        <v>3.6139999999999999</v>
      </c>
      <c r="J6812" s="2">
        <v>44067</v>
      </c>
      <c r="K6812" s="3">
        <f t="shared" si="212"/>
        <v>4</v>
      </c>
      <c r="L6812" s="3">
        <f t="shared" si="213"/>
        <v>3.74</v>
      </c>
    </row>
    <row r="6813" spans="1:12" x14ac:dyDescent="0.3">
      <c r="A6813" s="2">
        <v>43330</v>
      </c>
      <c r="B6813">
        <v>7.15</v>
      </c>
      <c r="D6813" s="2">
        <v>44061</v>
      </c>
      <c r="E6813">
        <v>4</v>
      </c>
      <c r="G6813" s="2">
        <v>44061</v>
      </c>
      <c r="H6813">
        <v>3.617</v>
      </c>
      <c r="J6813" s="2">
        <v>44068</v>
      </c>
      <c r="K6813" s="3">
        <f t="shared" si="212"/>
        <v>4</v>
      </c>
      <c r="L6813" s="3">
        <f t="shared" si="213"/>
        <v>3.71</v>
      </c>
    </row>
    <row r="6814" spans="1:12" x14ac:dyDescent="0.3">
      <c r="A6814" s="2">
        <v>43331</v>
      </c>
      <c r="B6814">
        <v>7.15</v>
      </c>
      <c r="D6814" s="2">
        <v>44062</v>
      </c>
      <c r="E6814">
        <v>4</v>
      </c>
      <c r="G6814" s="2">
        <v>44062</v>
      </c>
      <c r="H6814">
        <v>3.6150000000000002</v>
      </c>
      <c r="J6814" s="2">
        <v>44069</v>
      </c>
      <c r="K6814" s="3">
        <f t="shared" si="212"/>
        <v>4</v>
      </c>
      <c r="L6814" s="3">
        <f t="shared" si="213"/>
        <v>3.7480000000000002</v>
      </c>
    </row>
    <row r="6815" spans="1:12" x14ac:dyDescent="0.3">
      <c r="A6815" s="2">
        <v>43332</v>
      </c>
      <c r="B6815">
        <v>7.28</v>
      </c>
      <c r="D6815" s="2">
        <v>44063</v>
      </c>
      <c r="E6815">
        <v>4</v>
      </c>
      <c r="G6815" s="2">
        <v>44063</v>
      </c>
      <c r="H6815">
        <v>3.61</v>
      </c>
      <c r="J6815" s="2">
        <v>44070</v>
      </c>
      <c r="K6815" s="3">
        <f t="shared" si="212"/>
        <v>4</v>
      </c>
      <c r="L6815" s="3">
        <f t="shared" si="213"/>
        <v>3.72</v>
      </c>
    </row>
    <row r="6816" spans="1:12" x14ac:dyDescent="0.3">
      <c r="A6816" s="2">
        <v>43333</v>
      </c>
      <c r="B6816">
        <v>7.31</v>
      </c>
      <c r="D6816" s="2">
        <v>44064</v>
      </c>
      <c r="E6816">
        <v>4</v>
      </c>
      <c r="G6816" s="2">
        <v>44064</v>
      </c>
      <c r="H6816">
        <v>3.7480000000000002</v>
      </c>
      <c r="J6816" s="2">
        <v>44071</v>
      </c>
      <c r="K6816" s="3">
        <f t="shared" si="212"/>
        <v>4</v>
      </c>
      <c r="L6816" s="3">
        <f t="shared" si="213"/>
        <v>3.7490000000000001</v>
      </c>
    </row>
    <row r="6817" spans="1:12" x14ac:dyDescent="0.3">
      <c r="A6817" s="2">
        <v>43334</v>
      </c>
      <c r="B6817">
        <v>7.31</v>
      </c>
      <c r="D6817" s="2">
        <v>44065</v>
      </c>
      <c r="E6817">
        <v>4</v>
      </c>
      <c r="G6817" s="2">
        <v>44065</v>
      </c>
      <c r="H6817">
        <v>3.7480000000000002</v>
      </c>
      <c r="J6817" s="2">
        <v>44072</v>
      </c>
      <c r="K6817" s="3">
        <f t="shared" si="212"/>
        <v>4</v>
      </c>
      <c r="L6817" s="3">
        <f t="shared" si="213"/>
        <v>3.7490000000000001</v>
      </c>
    </row>
    <row r="6818" spans="1:12" x14ac:dyDescent="0.3">
      <c r="A6818" s="2">
        <v>43335</v>
      </c>
      <c r="B6818">
        <v>7.3</v>
      </c>
      <c r="D6818" s="2">
        <v>44066</v>
      </c>
      <c r="E6818">
        <v>4</v>
      </c>
      <c r="G6818" s="2">
        <v>44066</v>
      </c>
      <c r="H6818">
        <v>3.7480000000000002</v>
      </c>
      <c r="J6818" s="2">
        <v>44073</v>
      </c>
      <c r="K6818" s="3">
        <f t="shared" si="212"/>
        <v>4</v>
      </c>
      <c r="L6818" s="3">
        <f t="shared" si="213"/>
        <v>3.7490000000000001</v>
      </c>
    </row>
    <row r="6819" spans="1:12" x14ac:dyDescent="0.3">
      <c r="A6819" s="2">
        <v>43336</v>
      </c>
      <c r="B6819">
        <v>7.3</v>
      </c>
      <c r="D6819" s="2">
        <v>44067</v>
      </c>
      <c r="E6819">
        <v>4</v>
      </c>
      <c r="G6819" s="2">
        <v>44067</v>
      </c>
      <c r="H6819">
        <v>3.74</v>
      </c>
      <c r="J6819" s="2">
        <v>44074</v>
      </c>
      <c r="K6819" s="3">
        <f t="shared" si="212"/>
        <v>4</v>
      </c>
      <c r="L6819" s="3">
        <f t="shared" si="213"/>
        <v>3.7469999999999999</v>
      </c>
    </row>
    <row r="6820" spans="1:12" x14ac:dyDescent="0.3">
      <c r="A6820" s="2">
        <v>43337</v>
      </c>
      <c r="B6820">
        <v>7.3</v>
      </c>
      <c r="D6820" s="2">
        <v>44068</v>
      </c>
      <c r="E6820">
        <v>4</v>
      </c>
      <c r="G6820" s="2">
        <v>44068</v>
      </c>
      <c r="H6820">
        <v>3.71</v>
      </c>
      <c r="J6820" s="2">
        <v>44075</v>
      </c>
      <c r="K6820" s="3">
        <f t="shared" si="212"/>
        <v>4</v>
      </c>
      <c r="L6820" s="3">
        <f t="shared" si="213"/>
        <v>3.6869999999999998</v>
      </c>
    </row>
    <row r="6821" spans="1:12" x14ac:dyDescent="0.3">
      <c r="A6821" s="2">
        <v>43338</v>
      </c>
      <c r="B6821">
        <v>7.3</v>
      </c>
      <c r="D6821" s="2">
        <v>44069</v>
      </c>
      <c r="E6821">
        <v>4</v>
      </c>
      <c r="G6821" s="2">
        <v>44069</v>
      </c>
      <c r="H6821">
        <v>3.7480000000000002</v>
      </c>
      <c r="J6821" s="2">
        <v>44076</v>
      </c>
      <c r="K6821" s="3">
        <f t="shared" si="212"/>
        <v>4</v>
      </c>
      <c r="L6821" s="3">
        <f t="shared" si="213"/>
        <v>3.633</v>
      </c>
    </row>
    <row r="6822" spans="1:12" x14ac:dyDescent="0.3">
      <c r="A6822" s="2">
        <v>43339</v>
      </c>
      <c r="B6822">
        <v>7.27</v>
      </c>
      <c r="D6822" s="2">
        <v>44070</v>
      </c>
      <c r="E6822">
        <v>4</v>
      </c>
      <c r="G6822" s="2">
        <v>44070</v>
      </c>
      <c r="H6822">
        <v>3.72</v>
      </c>
      <c r="J6822" s="2">
        <v>44077</v>
      </c>
      <c r="K6822" s="3">
        <f t="shared" si="212"/>
        <v>4</v>
      </c>
      <c r="L6822" s="3">
        <f t="shared" si="213"/>
        <v>3.6949999999999998</v>
      </c>
    </row>
    <row r="6823" spans="1:12" x14ac:dyDescent="0.3">
      <c r="A6823" s="2">
        <v>43340</v>
      </c>
      <c r="B6823">
        <v>7.28</v>
      </c>
      <c r="D6823" s="2">
        <v>44071</v>
      </c>
      <c r="E6823">
        <v>4</v>
      </c>
      <c r="G6823" s="2">
        <v>44071</v>
      </c>
      <c r="H6823">
        <v>3.7490000000000001</v>
      </c>
      <c r="J6823" s="2">
        <v>44078</v>
      </c>
      <c r="K6823" s="3">
        <f t="shared" si="212"/>
        <v>4</v>
      </c>
      <c r="L6823" s="3">
        <f t="shared" si="213"/>
        <v>3.6419999999999999</v>
      </c>
    </row>
    <row r="6824" spans="1:12" x14ac:dyDescent="0.3">
      <c r="A6824" s="2">
        <v>43341</v>
      </c>
      <c r="B6824">
        <v>7.32</v>
      </c>
      <c r="D6824" s="2">
        <v>44072</v>
      </c>
      <c r="E6824">
        <v>4</v>
      </c>
      <c r="G6824" s="2">
        <v>44072</v>
      </c>
      <c r="H6824">
        <v>3.7490000000000001</v>
      </c>
      <c r="J6824" s="2">
        <v>44079</v>
      </c>
      <c r="K6824" s="3">
        <f t="shared" si="212"/>
        <v>4</v>
      </c>
      <c r="L6824" s="3">
        <f t="shared" si="213"/>
        <v>3.6419999999999999</v>
      </c>
    </row>
    <row r="6825" spans="1:12" x14ac:dyDescent="0.3">
      <c r="A6825" s="2">
        <v>43342</v>
      </c>
      <c r="B6825">
        <v>7.3</v>
      </c>
      <c r="D6825" s="2">
        <v>44073</v>
      </c>
      <c r="E6825">
        <v>4</v>
      </c>
      <c r="G6825" s="2">
        <v>44073</v>
      </c>
      <c r="H6825">
        <v>3.7490000000000001</v>
      </c>
      <c r="J6825" s="2">
        <v>44080</v>
      </c>
      <c r="K6825" s="3">
        <f t="shared" si="212"/>
        <v>4</v>
      </c>
      <c r="L6825" s="3">
        <f t="shared" si="213"/>
        <v>3.6419999999999999</v>
      </c>
    </row>
    <row r="6826" spans="1:12" x14ac:dyDescent="0.3">
      <c r="A6826" s="2">
        <v>43343</v>
      </c>
      <c r="B6826">
        <v>7.31</v>
      </c>
      <c r="D6826" s="2">
        <v>44074</v>
      </c>
      <c r="E6826">
        <v>4</v>
      </c>
      <c r="G6826" s="2">
        <v>44074</v>
      </c>
      <c r="H6826">
        <v>3.7469999999999999</v>
      </c>
      <c r="J6826" s="2">
        <v>44081</v>
      </c>
      <c r="K6826" s="3">
        <f t="shared" si="212"/>
        <v>4</v>
      </c>
      <c r="L6826" s="3">
        <f t="shared" si="213"/>
        <v>3.6749999999999998</v>
      </c>
    </row>
    <row r="6827" spans="1:12" x14ac:dyDescent="0.3">
      <c r="A6827" s="2">
        <v>43344</v>
      </c>
      <c r="B6827">
        <v>7.31</v>
      </c>
      <c r="D6827" s="2">
        <v>44075</v>
      </c>
      <c r="E6827">
        <v>4</v>
      </c>
      <c r="G6827" s="2">
        <v>44075</v>
      </c>
      <c r="H6827">
        <v>3.6869999999999998</v>
      </c>
      <c r="J6827" s="2">
        <v>44082</v>
      </c>
      <c r="K6827" s="3">
        <f t="shared" si="212"/>
        <v>4</v>
      </c>
      <c r="L6827" s="3">
        <f t="shared" si="213"/>
        <v>3.726</v>
      </c>
    </row>
    <row r="6828" spans="1:12" x14ac:dyDescent="0.3">
      <c r="A6828" s="2">
        <v>43345</v>
      </c>
      <c r="B6828">
        <v>7.31</v>
      </c>
      <c r="D6828" s="2">
        <v>44076</v>
      </c>
      <c r="E6828">
        <v>4</v>
      </c>
      <c r="G6828" s="2">
        <v>44076</v>
      </c>
      <c r="H6828">
        <v>3.633</v>
      </c>
      <c r="J6828" s="2">
        <v>44083</v>
      </c>
      <c r="K6828" s="3">
        <f t="shared" si="212"/>
        <v>4</v>
      </c>
      <c r="L6828" s="3">
        <f t="shared" si="213"/>
        <v>3.7010000000000001</v>
      </c>
    </row>
    <row r="6829" spans="1:12" x14ac:dyDescent="0.3">
      <c r="A6829" s="2">
        <v>43346</v>
      </c>
      <c r="B6829">
        <v>7.31</v>
      </c>
      <c r="D6829" s="2">
        <v>44077</v>
      </c>
      <c r="E6829">
        <v>4</v>
      </c>
      <c r="G6829" s="2">
        <v>44077</v>
      </c>
      <c r="H6829">
        <v>3.6949999999999998</v>
      </c>
      <c r="J6829" s="2">
        <v>44084</v>
      </c>
      <c r="K6829" s="3">
        <f t="shared" si="212"/>
        <v>4</v>
      </c>
      <c r="L6829" s="3">
        <f t="shared" si="213"/>
        <v>3.746</v>
      </c>
    </row>
    <row r="6830" spans="1:12" x14ac:dyDescent="0.3">
      <c r="A6830" s="2">
        <v>43347</v>
      </c>
      <c r="B6830">
        <v>7.33</v>
      </c>
      <c r="D6830" s="2">
        <v>44078</v>
      </c>
      <c r="E6830">
        <v>4</v>
      </c>
      <c r="G6830" s="2">
        <v>44078</v>
      </c>
      <c r="H6830">
        <v>3.6419999999999999</v>
      </c>
      <c r="J6830" s="2">
        <v>44085</v>
      </c>
      <c r="K6830" s="3">
        <f t="shared" si="212"/>
        <v>4</v>
      </c>
      <c r="L6830" s="3">
        <f t="shared" si="213"/>
        <v>3.746</v>
      </c>
    </row>
    <row r="6831" spans="1:12" x14ac:dyDescent="0.3">
      <c r="A6831" s="2">
        <v>43348</v>
      </c>
      <c r="B6831">
        <v>7.35</v>
      </c>
      <c r="D6831" s="2">
        <v>44079</v>
      </c>
      <c r="E6831">
        <v>4</v>
      </c>
      <c r="G6831" s="2">
        <v>44079</v>
      </c>
      <c r="H6831">
        <v>3.6419999999999999</v>
      </c>
      <c r="J6831" s="2">
        <v>44086</v>
      </c>
      <c r="K6831" s="3">
        <f t="shared" si="212"/>
        <v>4</v>
      </c>
      <c r="L6831" s="3">
        <f t="shared" si="213"/>
        <v>3.746</v>
      </c>
    </row>
    <row r="6832" spans="1:12" x14ac:dyDescent="0.3">
      <c r="A6832" s="2">
        <v>43349</v>
      </c>
      <c r="B6832">
        <v>7.47</v>
      </c>
      <c r="D6832" s="2">
        <v>44080</v>
      </c>
      <c r="E6832">
        <v>4</v>
      </c>
      <c r="G6832" s="2">
        <v>44080</v>
      </c>
      <c r="H6832">
        <v>3.6419999999999999</v>
      </c>
      <c r="J6832" s="2">
        <v>44087</v>
      </c>
      <c r="K6832" s="3">
        <f t="shared" si="212"/>
        <v>4</v>
      </c>
      <c r="L6832" s="3">
        <f t="shared" si="213"/>
        <v>3.746</v>
      </c>
    </row>
    <row r="6833" spans="1:12" x14ac:dyDescent="0.3">
      <c r="A6833" s="2">
        <v>43350</v>
      </c>
      <c r="B6833">
        <v>7.47</v>
      </c>
      <c r="D6833" s="2">
        <v>44081</v>
      </c>
      <c r="E6833">
        <v>4</v>
      </c>
      <c r="G6833" s="2">
        <v>44081</v>
      </c>
      <c r="H6833">
        <v>3.6749999999999998</v>
      </c>
      <c r="J6833" s="2">
        <v>44088</v>
      </c>
      <c r="K6833" s="3">
        <f t="shared" si="212"/>
        <v>4</v>
      </c>
      <c r="L6833" s="3">
        <f t="shared" si="213"/>
        <v>3.7269999999999999</v>
      </c>
    </row>
    <row r="6834" spans="1:12" x14ac:dyDescent="0.3">
      <c r="A6834" s="2">
        <v>43351</v>
      </c>
      <c r="B6834">
        <v>7.47</v>
      </c>
      <c r="D6834" s="2">
        <v>44082</v>
      </c>
      <c r="E6834">
        <v>4</v>
      </c>
      <c r="G6834" s="2">
        <v>44082</v>
      </c>
      <c r="H6834">
        <v>3.726</v>
      </c>
      <c r="J6834" s="2">
        <v>44089</v>
      </c>
      <c r="K6834" s="3">
        <f t="shared" si="212"/>
        <v>4</v>
      </c>
      <c r="L6834" s="3">
        <f t="shared" si="213"/>
        <v>3.7269999999999999</v>
      </c>
    </row>
    <row r="6835" spans="1:12" x14ac:dyDescent="0.3">
      <c r="A6835" s="2">
        <v>43352</v>
      </c>
      <c r="B6835">
        <v>7.47</v>
      </c>
      <c r="D6835" s="2">
        <v>44083</v>
      </c>
      <c r="E6835">
        <v>4</v>
      </c>
      <c r="G6835" s="2">
        <v>44083</v>
      </c>
      <c r="H6835">
        <v>3.7010000000000001</v>
      </c>
      <c r="J6835" s="2">
        <v>44090</v>
      </c>
      <c r="K6835" s="3">
        <f t="shared" si="212"/>
        <v>4</v>
      </c>
      <c r="L6835" s="3">
        <f t="shared" si="213"/>
        <v>3.7269999999999999</v>
      </c>
    </row>
    <row r="6836" spans="1:12" x14ac:dyDescent="0.3">
      <c r="A6836" s="2">
        <v>43353</v>
      </c>
      <c r="B6836">
        <v>7.5</v>
      </c>
      <c r="D6836" s="2">
        <v>44084</v>
      </c>
      <c r="E6836">
        <v>4</v>
      </c>
      <c r="G6836" s="2">
        <v>44084</v>
      </c>
      <c r="H6836">
        <v>3.746</v>
      </c>
      <c r="J6836" s="2">
        <v>44091</v>
      </c>
      <c r="K6836" s="3">
        <f t="shared" si="212"/>
        <v>4</v>
      </c>
      <c r="L6836" s="3">
        <f t="shared" si="213"/>
        <v>3.7269999999999999</v>
      </c>
    </row>
    <row r="6837" spans="1:12" x14ac:dyDescent="0.3">
      <c r="A6837" s="2">
        <v>43354</v>
      </c>
      <c r="B6837">
        <v>7.61</v>
      </c>
      <c r="D6837" s="2">
        <v>44085</v>
      </c>
      <c r="E6837">
        <v>4</v>
      </c>
      <c r="G6837" s="2">
        <v>44085</v>
      </c>
      <c r="H6837">
        <v>3.746</v>
      </c>
      <c r="J6837" s="2">
        <v>44092</v>
      </c>
      <c r="K6837" s="3">
        <f t="shared" si="212"/>
        <v>4</v>
      </c>
      <c r="L6837" s="3">
        <f t="shared" si="213"/>
        <v>3.6659999999999999</v>
      </c>
    </row>
    <row r="6838" spans="1:12" x14ac:dyDescent="0.3">
      <c r="A6838" s="2">
        <v>43355</v>
      </c>
      <c r="B6838">
        <v>7.64</v>
      </c>
      <c r="D6838" s="2">
        <v>44086</v>
      </c>
      <c r="E6838">
        <v>4</v>
      </c>
      <c r="G6838" s="2">
        <v>44086</v>
      </c>
      <c r="H6838">
        <v>3.746</v>
      </c>
      <c r="J6838" s="2">
        <v>44093</v>
      </c>
      <c r="K6838" s="3">
        <f t="shared" si="212"/>
        <v>4</v>
      </c>
      <c r="L6838" s="3">
        <f t="shared" si="213"/>
        <v>3.6659999999999999</v>
      </c>
    </row>
    <row r="6839" spans="1:12" x14ac:dyDescent="0.3">
      <c r="A6839" s="2">
        <v>43356</v>
      </c>
      <c r="B6839">
        <v>7.64</v>
      </c>
      <c r="D6839" s="2">
        <v>44087</v>
      </c>
      <c r="E6839">
        <v>4</v>
      </c>
      <c r="G6839" s="2">
        <v>44087</v>
      </c>
      <c r="H6839">
        <v>3.746</v>
      </c>
      <c r="J6839" s="2">
        <v>44094</v>
      </c>
      <c r="K6839" s="3">
        <f t="shared" si="212"/>
        <v>4</v>
      </c>
      <c r="L6839" s="3">
        <f t="shared" si="213"/>
        <v>3.6659999999999999</v>
      </c>
    </row>
    <row r="6840" spans="1:12" x14ac:dyDescent="0.3">
      <c r="A6840" s="2">
        <v>43357</v>
      </c>
      <c r="B6840">
        <v>7.65</v>
      </c>
      <c r="D6840" s="2">
        <v>44088</v>
      </c>
      <c r="E6840">
        <v>4</v>
      </c>
      <c r="G6840" s="2">
        <v>44088</v>
      </c>
      <c r="H6840">
        <v>3.7269999999999999</v>
      </c>
      <c r="J6840" s="2">
        <v>44095</v>
      </c>
      <c r="K6840" s="3">
        <f t="shared" si="212"/>
        <v>4</v>
      </c>
      <c r="L6840" s="3">
        <f t="shared" si="213"/>
        <v>3.7010000000000001</v>
      </c>
    </row>
    <row r="6841" spans="1:12" x14ac:dyDescent="0.3">
      <c r="A6841" s="2">
        <v>43358</v>
      </c>
      <c r="B6841">
        <v>7.65</v>
      </c>
      <c r="D6841" s="2">
        <v>44089</v>
      </c>
      <c r="E6841">
        <v>4</v>
      </c>
      <c r="G6841" s="2">
        <v>44089</v>
      </c>
      <c r="H6841">
        <v>3.7269999999999999</v>
      </c>
      <c r="J6841" s="2">
        <v>44096</v>
      </c>
      <c r="K6841" s="3">
        <f t="shared" si="212"/>
        <v>4</v>
      </c>
      <c r="L6841" s="3">
        <f t="shared" si="213"/>
        <v>3.73</v>
      </c>
    </row>
    <row r="6842" spans="1:12" x14ac:dyDescent="0.3">
      <c r="A6842" s="2">
        <v>43359</v>
      </c>
      <c r="B6842">
        <v>7.65</v>
      </c>
      <c r="D6842" s="2">
        <v>44090</v>
      </c>
      <c r="E6842">
        <v>4</v>
      </c>
      <c r="G6842" s="2">
        <v>44090</v>
      </c>
      <c r="H6842">
        <v>3.7269999999999999</v>
      </c>
      <c r="J6842" s="2">
        <v>44097</v>
      </c>
      <c r="K6842" s="3">
        <f t="shared" si="212"/>
        <v>4</v>
      </c>
      <c r="L6842" s="3">
        <f t="shared" si="213"/>
        <v>3.734</v>
      </c>
    </row>
    <row r="6843" spans="1:12" x14ac:dyDescent="0.3">
      <c r="A6843" s="2">
        <v>43360</v>
      </c>
      <c r="B6843">
        <v>7.63</v>
      </c>
      <c r="D6843" s="2">
        <v>44091</v>
      </c>
      <c r="E6843">
        <v>4</v>
      </c>
      <c r="G6843" s="2">
        <v>44091</v>
      </c>
      <c r="H6843">
        <v>3.7269999999999999</v>
      </c>
      <c r="J6843" s="2">
        <v>44098</v>
      </c>
      <c r="K6843" s="3">
        <f t="shared" si="212"/>
        <v>4</v>
      </c>
      <c r="L6843" s="3">
        <f t="shared" si="213"/>
        <v>3.7480000000000002</v>
      </c>
    </row>
    <row r="6844" spans="1:12" x14ac:dyDescent="0.3">
      <c r="A6844" s="2">
        <v>43361</v>
      </c>
      <c r="B6844">
        <v>7.64</v>
      </c>
      <c r="D6844" s="2">
        <v>44092</v>
      </c>
      <c r="E6844">
        <v>4</v>
      </c>
      <c r="G6844" s="2">
        <v>44092</v>
      </c>
      <c r="H6844">
        <v>3.6659999999999999</v>
      </c>
      <c r="J6844" s="2">
        <v>44099</v>
      </c>
      <c r="K6844" s="3">
        <f t="shared" si="212"/>
        <v>4</v>
      </c>
      <c r="L6844" s="3">
        <f t="shared" si="213"/>
        <v>3.7330000000000001</v>
      </c>
    </row>
    <row r="6845" spans="1:12" x14ac:dyDescent="0.3">
      <c r="A6845" s="2">
        <v>43362</v>
      </c>
      <c r="B6845">
        <v>7.64</v>
      </c>
      <c r="D6845" s="2">
        <v>44093</v>
      </c>
      <c r="E6845">
        <v>4</v>
      </c>
      <c r="G6845" s="2">
        <v>44093</v>
      </c>
      <c r="H6845">
        <v>3.6659999999999999</v>
      </c>
      <c r="J6845" s="2">
        <v>44100</v>
      </c>
      <c r="K6845" s="3">
        <f t="shared" si="212"/>
        <v>4</v>
      </c>
      <c r="L6845" s="3">
        <f t="shared" si="213"/>
        <v>3.7330000000000001</v>
      </c>
    </row>
    <row r="6846" spans="1:12" x14ac:dyDescent="0.3">
      <c r="A6846" s="2">
        <v>43363</v>
      </c>
      <c r="B6846">
        <v>7.64</v>
      </c>
      <c r="D6846" s="2">
        <v>44094</v>
      </c>
      <c r="E6846">
        <v>4</v>
      </c>
      <c r="G6846" s="2">
        <v>44094</v>
      </c>
      <c r="H6846">
        <v>3.6659999999999999</v>
      </c>
      <c r="J6846" s="2">
        <v>44101</v>
      </c>
      <c r="K6846" s="3">
        <f t="shared" si="212"/>
        <v>4</v>
      </c>
      <c r="L6846" s="3">
        <f t="shared" si="213"/>
        <v>3.7330000000000001</v>
      </c>
    </row>
    <row r="6847" spans="1:12" x14ac:dyDescent="0.3">
      <c r="A6847" s="2">
        <v>43364</v>
      </c>
      <c r="B6847">
        <v>7.6</v>
      </c>
      <c r="D6847" s="2">
        <v>44095</v>
      </c>
      <c r="E6847">
        <v>4</v>
      </c>
      <c r="G6847" s="2">
        <v>44095</v>
      </c>
      <c r="H6847">
        <v>3.7010000000000001</v>
      </c>
      <c r="J6847" s="2">
        <v>44102</v>
      </c>
      <c r="K6847" s="3">
        <f t="shared" si="212"/>
        <v>4</v>
      </c>
      <c r="L6847" s="3">
        <f t="shared" si="213"/>
        <v>3.75</v>
      </c>
    </row>
    <row r="6848" spans="1:12" x14ac:dyDescent="0.3">
      <c r="A6848" s="2">
        <v>43365</v>
      </c>
      <c r="B6848">
        <v>7.6</v>
      </c>
      <c r="D6848" s="2">
        <v>44096</v>
      </c>
      <c r="E6848">
        <v>4</v>
      </c>
      <c r="G6848" s="2">
        <v>44096</v>
      </c>
      <c r="H6848">
        <v>3.73</v>
      </c>
      <c r="J6848" s="2">
        <v>44103</v>
      </c>
      <c r="K6848" s="3">
        <f t="shared" si="212"/>
        <v>4</v>
      </c>
      <c r="L6848" s="3">
        <f t="shared" si="213"/>
        <v>3.754</v>
      </c>
    </row>
    <row r="6849" spans="1:12" x14ac:dyDescent="0.3">
      <c r="A6849" s="2">
        <v>43366</v>
      </c>
      <c r="B6849">
        <v>7.6</v>
      </c>
      <c r="D6849" s="2">
        <v>44097</v>
      </c>
      <c r="E6849">
        <v>4</v>
      </c>
      <c r="G6849" s="2">
        <v>44097</v>
      </c>
      <c r="H6849">
        <v>3.734</v>
      </c>
      <c r="J6849" s="2">
        <v>44104</v>
      </c>
      <c r="K6849" s="3">
        <f t="shared" si="212"/>
        <v>4</v>
      </c>
      <c r="L6849" s="3">
        <f t="shared" si="213"/>
        <v>3.7080000000000002</v>
      </c>
    </row>
    <row r="6850" spans="1:12" x14ac:dyDescent="0.3">
      <c r="A6850" s="2">
        <v>43367</v>
      </c>
      <c r="B6850">
        <v>7.58</v>
      </c>
      <c r="D6850" s="2">
        <v>44098</v>
      </c>
      <c r="E6850">
        <v>4</v>
      </c>
      <c r="G6850" s="2">
        <v>44098</v>
      </c>
      <c r="H6850">
        <v>3.7480000000000002</v>
      </c>
      <c r="J6850" s="2">
        <v>44105</v>
      </c>
      <c r="K6850" s="3">
        <f t="shared" si="212"/>
        <v>4</v>
      </c>
      <c r="L6850" s="3">
        <f t="shared" si="213"/>
        <v>3.7080000000000002</v>
      </c>
    </row>
    <row r="6851" spans="1:12" x14ac:dyDescent="0.3">
      <c r="A6851" s="2">
        <v>43368</v>
      </c>
      <c r="B6851">
        <v>7.61</v>
      </c>
      <c r="D6851" s="2">
        <v>44099</v>
      </c>
      <c r="E6851">
        <v>4</v>
      </c>
      <c r="G6851" s="2">
        <v>44099</v>
      </c>
      <c r="H6851">
        <v>3.7330000000000001</v>
      </c>
      <c r="J6851" s="2">
        <v>44106</v>
      </c>
      <c r="K6851" s="3">
        <f t="shared" ref="K6851:K6914" si="214">E6858</f>
        <v>4</v>
      </c>
      <c r="L6851" s="3">
        <f t="shared" ref="L6851:L6914" si="215">H6858</f>
        <v>3.7080000000000002</v>
      </c>
    </row>
    <row r="6852" spans="1:12" x14ac:dyDescent="0.3">
      <c r="A6852" s="2">
        <v>43369</v>
      </c>
      <c r="B6852">
        <v>7.69</v>
      </c>
      <c r="D6852" s="2">
        <v>44100</v>
      </c>
      <c r="E6852">
        <v>4</v>
      </c>
      <c r="G6852" s="2">
        <v>44100</v>
      </c>
      <c r="H6852">
        <v>3.7330000000000001</v>
      </c>
      <c r="J6852" s="2">
        <v>44107</v>
      </c>
      <c r="K6852" s="3">
        <f t="shared" si="214"/>
        <v>4</v>
      </c>
      <c r="L6852" s="3">
        <f t="shared" si="215"/>
        <v>3.7080000000000002</v>
      </c>
    </row>
    <row r="6853" spans="1:12" x14ac:dyDescent="0.3">
      <c r="A6853" s="2">
        <v>43370</v>
      </c>
      <c r="B6853">
        <v>7.65</v>
      </c>
      <c r="D6853" s="2">
        <v>44101</v>
      </c>
      <c r="E6853">
        <v>4</v>
      </c>
      <c r="G6853" s="2">
        <v>44101</v>
      </c>
      <c r="H6853">
        <v>3.7330000000000001</v>
      </c>
      <c r="J6853" s="2">
        <v>44108</v>
      </c>
      <c r="K6853" s="3">
        <f t="shared" si="214"/>
        <v>4</v>
      </c>
      <c r="L6853" s="3">
        <f t="shared" si="215"/>
        <v>3.7080000000000002</v>
      </c>
    </row>
    <row r="6854" spans="1:12" x14ac:dyDescent="0.3">
      <c r="A6854" s="2">
        <v>43371</v>
      </c>
      <c r="B6854">
        <v>7.65</v>
      </c>
      <c r="D6854" s="2">
        <v>44102</v>
      </c>
      <c r="E6854">
        <v>4</v>
      </c>
      <c r="G6854" s="2">
        <v>44102</v>
      </c>
      <c r="H6854">
        <v>3.75</v>
      </c>
      <c r="J6854" s="2">
        <v>44109</v>
      </c>
      <c r="K6854" s="3">
        <f t="shared" si="214"/>
        <v>4</v>
      </c>
      <c r="L6854" s="3">
        <f t="shared" si="215"/>
        <v>3.6259999999999999</v>
      </c>
    </row>
    <row r="6855" spans="1:12" x14ac:dyDescent="0.3">
      <c r="A6855" s="2">
        <v>43372</v>
      </c>
      <c r="B6855">
        <v>7.65</v>
      </c>
      <c r="D6855" s="2">
        <v>44103</v>
      </c>
      <c r="E6855">
        <v>4</v>
      </c>
      <c r="G6855" s="2">
        <v>44103</v>
      </c>
      <c r="H6855">
        <v>3.754</v>
      </c>
      <c r="J6855" s="2">
        <v>44110</v>
      </c>
      <c r="K6855" s="3">
        <f t="shared" si="214"/>
        <v>4</v>
      </c>
      <c r="L6855" s="3">
        <f t="shared" si="215"/>
        <v>3.617</v>
      </c>
    </row>
    <row r="6856" spans="1:12" x14ac:dyDescent="0.3">
      <c r="A6856" s="2">
        <v>43373</v>
      </c>
      <c r="B6856">
        <v>7.65</v>
      </c>
      <c r="D6856" s="2">
        <v>44104</v>
      </c>
      <c r="E6856">
        <v>4</v>
      </c>
      <c r="G6856" s="2">
        <v>44104</v>
      </c>
      <c r="H6856">
        <v>3.7080000000000002</v>
      </c>
      <c r="J6856" s="2">
        <v>44111</v>
      </c>
      <c r="K6856" s="3">
        <f t="shared" si="214"/>
        <v>4</v>
      </c>
      <c r="L6856" s="3">
        <f t="shared" si="215"/>
        <v>3.5819999999999999</v>
      </c>
    </row>
    <row r="6857" spans="1:12" x14ac:dyDescent="0.3">
      <c r="A6857" s="2">
        <v>43374</v>
      </c>
      <c r="B6857">
        <v>7.6</v>
      </c>
      <c r="D6857" s="2">
        <v>44105</v>
      </c>
      <c r="E6857">
        <v>4</v>
      </c>
      <c r="G6857" s="2">
        <v>44105</v>
      </c>
      <c r="H6857">
        <v>3.7080000000000002</v>
      </c>
      <c r="J6857" s="2">
        <v>44112</v>
      </c>
      <c r="K6857" s="3">
        <f t="shared" si="214"/>
        <v>4</v>
      </c>
      <c r="L6857" s="3">
        <f t="shared" si="215"/>
        <v>3.5859999999999999</v>
      </c>
    </row>
    <row r="6858" spans="1:12" x14ac:dyDescent="0.3">
      <c r="A6858" s="2">
        <v>43375</v>
      </c>
      <c r="B6858">
        <v>7.6</v>
      </c>
      <c r="D6858" s="2">
        <v>44106</v>
      </c>
      <c r="E6858">
        <v>4</v>
      </c>
      <c r="G6858" s="2">
        <v>44106</v>
      </c>
      <c r="H6858">
        <v>3.7080000000000002</v>
      </c>
      <c r="J6858" s="2">
        <v>44113</v>
      </c>
      <c r="K6858" s="3">
        <f t="shared" si="214"/>
        <v>4</v>
      </c>
      <c r="L6858" s="3">
        <f t="shared" si="215"/>
        <v>3.5720000000000001</v>
      </c>
    </row>
    <row r="6859" spans="1:12" x14ac:dyDescent="0.3">
      <c r="A6859" s="2">
        <v>43376</v>
      </c>
      <c r="B6859">
        <v>7.73</v>
      </c>
      <c r="D6859" s="2">
        <v>44107</v>
      </c>
      <c r="E6859">
        <v>4</v>
      </c>
      <c r="G6859" s="2">
        <v>44107</v>
      </c>
      <c r="H6859">
        <v>3.7080000000000002</v>
      </c>
      <c r="J6859" s="2">
        <v>44114</v>
      </c>
      <c r="K6859" s="3">
        <f t="shared" si="214"/>
        <v>4</v>
      </c>
      <c r="L6859" s="3">
        <f t="shared" si="215"/>
        <v>3.5720000000000001</v>
      </c>
    </row>
    <row r="6860" spans="1:12" x14ac:dyDescent="0.3">
      <c r="A6860" s="2">
        <v>43377</v>
      </c>
      <c r="B6860">
        <v>7.72</v>
      </c>
      <c r="D6860" s="2">
        <v>44108</v>
      </c>
      <c r="E6860">
        <v>4</v>
      </c>
      <c r="G6860" s="2">
        <v>44108</v>
      </c>
      <c r="H6860">
        <v>3.7080000000000002</v>
      </c>
      <c r="J6860" s="2">
        <v>44115</v>
      </c>
      <c r="K6860" s="3">
        <f t="shared" si="214"/>
        <v>4</v>
      </c>
      <c r="L6860" s="3">
        <f t="shared" si="215"/>
        <v>3.5720000000000001</v>
      </c>
    </row>
    <row r="6861" spans="1:12" x14ac:dyDescent="0.3">
      <c r="A6861" s="2">
        <v>43378</v>
      </c>
      <c r="B6861">
        <v>7.65</v>
      </c>
      <c r="D6861" s="2">
        <v>44109</v>
      </c>
      <c r="E6861">
        <v>4</v>
      </c>
      <c r="G6861" s="2">
        <v>44109</v>
      </c>
      <c r="H6861">
        <v>3.6259999999999999</v>
      </c>
      <c r="J6861" s="2">
        <v>44116</v>
      </c>
      <c r="K6861" s="3">
        <f t="shared" si="214"/>
        <v>4</v>
      </c>
      <c r="L6861" s="3">
        <f t="shared" si="215"/>
        <v>3.589</v>
      </c>
    </row>
    <row r="6862" spans="1:12" x14ac:dyDescent="0.3">
      <c r="A6862" s="2">
        <v>43379</v>
      </c>
      <c r="B6862">
        <v>7.65</v>
      </c>
      <c r="D6862" s="2">
        <v>44110</v>
      </c>
      <c r="E6862">
        <v>4</v>
      </c>
      <c r="G6862" s="2">
        <v>44110</v>
      </c>
      <c r="H6862">
        <v>3.617</v>
      </c>
      <c r="J6862" s="2">
        <v>44117</v>
      </c>
      <c r="K6862" s="3">
        <f t="shared" si="214"/>
        <v>4</v>
      </c>
      <c r="L6862" s="3">
        <f t="shared" si="215"/>
        <v>3.5529999999999999</v>
      </c>
    </row>
    <row r="6863" spans="1:12" x14ac:dyDescent="0.3">
      <c r="A6863" s="2">
        <v>43380</v>
      </c>
      <c r="B6863">
        <v>7.65</v>
      </c>
      <c r="D6863" s="2">
        <v>44111</v>
      </c>
      <c r="E6863">
        <v>4</v>
      </c>
      <c r="G6863" s="2">
        <v>44111</v>
      </c>
      <c r="H6863">
        <v>3.5819999999999999</v>
      </c>
      <c r="J6863" s="2">
        <v>44118</v>
      </c>
      <c r="K6863" s="3">
        <f t="shared" si="214"/>
        <v>4</v>
      </c>
      <c r="L6863" s="3">
        <f t="shared" si="215"/>
        <v>3.5310000000000001</v>
      </c>
    </row>
    <row r="6864" spans="1:12" x14ac:dyDescent="0.3">
      <c r="A6864" s="2">
        <v>43381</v>
      </c>
      <c r="B6864">
        <v>7.51</v>
      </c>
      <c r="D6864" s="2">
        <v>44112</v>
      </c>
      <c r="E6864">
        <v>4</v>
      </c>
      <c r="G6864" s="2">
        <v>44112</v>
      </c>
      <c r="H6864">
        <v>3.5859999999999999</v>
      </c>
      <c r="J6864" s="2">
        <v>44119</v>
      </c>
      <c r="K6864" s="3">
        <f t="shared" si="214"/>
        <v>4</v>
      </c>
      <c r="L6864" s="3">
        <f t="shared" si="215"/>
        <v>3.528</v>
      </c>
    </row>
    <row r="6865" spans="1:12" x14ac:dyDescent="0.3">
      <c r="A6865" s="2">
        <v>43382</v>
      </c>
      <c r="B6865">
        <v>7.5</v>
      </c>
      <c r="D6865" s="2">
        <v>44113</v>
      </c>
      <c r="E6865">
        <v>4</v>
      </c>
      <c r="G6865" s="2">
        <v>44113</v>
      </c>
      <c r="H6865">
        <v>3.5720000000000001</v>
      </c>
      <c r="J6865" s="2">
        <v>44120</v>
      </c>
      <c r="K6865" s="3">
        <f t="shared" si="214"/>
        <v>4</v>
      </c>
      <c r="L6865" s="3">
        <f t="shared" si="215"/>
        <v>3.53</v>
      </c>
    </row>
    <row r="6866" spans="1:12" x14ac:dyDescent="0.3">
      <c r="A6866" s="2">
        <v>43383</v>
      </c>
      <c r="B6866">
        <v>7.58</v>
      </c>
      <c r="D6866" s="2">
        <v>44114</v>
      </c>
      <c r="E6866">
        <v>4</v>
      </c>
      <c r="G6866" s="2">
        <v>44114</v>
      </c>
      <c r="H6866">
        <v>3.5720000000000001</v>
      </c>
      <c r="J6866" s="2">
        <v>44121</v>
      </c>
      <c r="K6866" s="3">
        <f t="shared" si="214"/>
        <v>4</v>
      </c>
      <c r="L6866" s="3">
        <f t="shared" si="215"/>
        <v>3.53</v>
      </c>
    </row>
    <row r="6867" spans="1:12" x14ac:dyDescent="0.3">
      <c r="A6867" s="2">
        <v>43384</v>
      </c>
      <c r="B6867">
        <v>7.52</v>
      </c>
      <c r="D6867" s="2">
        <v>44115</v>
      </c>
      <c r="E6867">
        <v>4</v>
      </c>
      <c r="G6867" s="2">
        <v>44115</v>
      </c>
      <c r="H6867">
        <v>3.5720000000000001</v>
      </c>
      <c r="J6867" s="2">
        <v>44122</v>
      </c>
      <c r="K6867" s="3">
        <f t="shared" si="214"/>
        <v>4</v>
      </c>
      <c r="L6867" s="3">
        <f t="shared" si="215"/>
        <v>3.53</v>
      </c>
    </row>
    <row r="6868" spans="1:12" x14ac:dyDescent="0.3">
      <c r="A6868" s="2">
        <v>43385</v>
      </c>
      <c r="B6868">
        <v>7.5</v>
      </c>
      <c r="D6868" s="2">
        <v>44116</v>
      </c>
      <c r="E6868">
        <v>4</v>
      </c>
      <c r="G6868" s="2">
        <v>44116</v>
      </c>
      <c r="H6868">
        <v>3.589</v>
      </c>
      <c r="J6868" s="2">
        <v>44123</v>
      </c>
      <c r="K6868" s="3">
        <f t="shared" si="214"/>
        <v>4</v>
      </c>
      <c r="L6868" s="3">
        <f t="shared" si="215"/>
        <v>3.516</v>
      </c>
    </row>
    <row r="6869" spans="1:12" x14ac:dyDescent="0.3">
      <c r="A6869" s="2">
        <v>43386</v>
      </c>
      <c r="B6869">
        <v>7.5</v>
      </c>
      <c r="D6869" s="2">
        <v>44117</v>
      </c>
      <c r="E6869">
        <v>4</v>
      </c>
      <c r="G6869" s="2">
        <v>44117</v>
      </c>
      <c r="H6869">
        <v>3.5529999999999999</v>
      </c>
      <c r="J6869" s="2">
        <v>44124</v>
      </c>
      <c r="K6869" s="3">
        <f t="shared" si="214"/>
        <v>4</v>
      </c>
      <c r="L6869" s="3">
        <f t="shared" si="215"/>
        <v>3.5030000000000001</v>
      </c>
    </row>
    <row r="6870" spans="1:12" x14ac:dyDescent="0.3">
      <c r="A6870" s="2">
        <v>43387</v>
      </c>
      <c r="B6870">
        <v>7.5</v>
      </c>
      <c r="D6870" s="2">
        <v>44118</v>
      </c>
      <c r="E6870">
        <v>4</v>
      </c>
      <c r="G6870" s="2">
        <v>44118</v>
      </c>
      <c r="H6870">
        <v>3.5310000000000001</v>
      </c>
      <c r="J6870" s="2">
        <v>44125</v>
      </c>
      <c r="K6870" s="3">
        <f t="shared" si="214"/>
        <v>4</v>
      </c>
      <c r="L6870" s="3">
        <f t="shared" si="215"/>
        <v>3.49</v>
      </c>
    </row>
    <row r="6871" spans="1:12" x14ac:dyDescent="0.3">
      <c r="A6871" s="2">
        <v>43388</v>
      </c>
      <c r="B6871">
        <v>7.5</v>
      </c>
      <c r="D6871" s="2">
        <v>44119</v>
      </c>
      <c r="E6871">
        <v>4</v>
      </c>
      <c r="G6871" s="2">
        <v>44119</v>
      </c>
      <c r="H6871">
        <v>3.528</v>
      </c>
      <c r="J6871" s="2">
        <v>44126</v>
      </c>
      <c r="K6871" s="3">
        <f t="shared" si="214"/>
        <v>4</v>
      </c>
      <c r="L6871" s="3">
        <f t="shared" si="215"/>
        <v>3.456</v>
      </c>
    </row>
    <row r="6872" spans="1:12" x14ac:dyDescent="0.3">
      <c r="A6872" s="2">
        <v>43389</v>
      </c>
      <c r="B6872">
        <v>7.49</v>
      </c>
      <c r="D6872" s="2">
        <v>44120</v>
      </c>
      <c r="E6872">
        <v>4</v>
      </c>
      <c r="G6872" s="2">
        <v>44120</v>
      </c>
      <c r="H6872">
        <v>3.53</v>
      </c>
      <c r="J6872" s="2">
        <v>44127</v>
      </c>
      <c r="K6872" s="3">
        <f t="shared" si="214"/>
        <v>4</v>
      </c>
      <c r="L6872" s="3">
        <f t="shared" si="215"/>
        <v>3.4359999999999999</v>
      </c>
    </row>
    <row r="6873" spans="1:12" x14ac:dyDescent="0.3">
      <c r="A6873" s="2">
        <v>43390</v>
      </c>
      <c r="B6873">
        <v>7.47</v>
      </c>
      <c r="D6873" s="2">
        <v>44121</v>
      </c>
      <c r="E6873">
        <v>4</v>
      </c>
      <c r="G6873" s="2">
        <v>44121</v>
      </c>
      <c r="H6873">
        <v>3.53</v>
      </c>
      <c r="J6873" s="2">
        <v>44128</v>
      </c>
      <c r="K6873" s="3">
        <f t="shared" si="214"/>
        <v>4</v>
      </c>
      <c r="L6873" s="3">
        <f t="shared" si="215"/>
        <v>3.4359999999999999</v>
      </c>
    </row>
    <row r="6874" spans="1:12" x14ac:dyDescent="0.3">
      <c r="A6874" s="2">
        <v>43391</v>
      </c>
      <c r="B6874">
        <v>7.47</v>
      </c>
      <c r="D6874" s="2">
        <v>44122</v>
      </c>
      <c r="E6874">
        <v>4</v>
      </c>
      <c r="G6874" s="2">
        <v>44122</v>
      </c>
      <c r="H6874">
        <v>3.53</v>
      </c>
      <c r="J6874" s="2">
        <v>44129</v>
      </c>
      <c r="K6874" s="3">
        <f t="shared" si="214"/>
        <v>4</v>
      </c>
      <c r="L6874" s="3">
        <f t="shared" si="215"/>
        <v>3.4359999999999999</v>
      </c>
    </row>
    <row r="6875" spans="1:12" x14ac:dyDescent="0.3">
      <c r="A6875" s="2">
        <v>43392</v>
      </c>
      <c r="B6875">
        <v>7.46</v>
      </c>
      <c r="D6875" s="2">
        <v>44123</v>
      </c>
      <c r="E6875">
        <v>4</v>
      </c>
      <c r="G6875" s="2">
        <v>44123</v>
      </c>
      <c r="H6875">
        <v>3.516</v>
      </c>
      <c r="J6875" s="2">
        <v>44130</v>
      </c>
      <c r="K6875" s="3">
        <f t="shared" si="214"/>
        <v>4</v>
      </c>
      <c r="L6875" s="3">
        <f t="shared" si="215"/>
        <v>3.4540000000000002</v>
      </c>
    </row>
    <row r="6876" spans="1:12" x14ac:dyDescent="0.3">
      <c r="A6876" s="2">
        <v>43393</v>
      </c>
      <c r="B6876">
        <v>7.46</v>
      </c>
      <c r="D6876" s="2">
        <v>44124</v>
      </c>
      <c r="E6876">
        <v>4</v>
      </c>
      <c r="G6876" s="2">
        <v>44124</v>
      </c>
      <c r="H6876">
        <v>3.5030000000000001</v>
      </c>
      <c r="J6876" s="2">
        <v>44131</v>
      </c>
      <c r="K6876" s="3">
        <f t="shared" si="214"/>
        <v>4</v>
      </c>
      <c r="L6876" s="3">
        <f t="shared" si="215"/>
        <v>3.43</v>
      </c>
    </row>
    <row r="6877" spans="1:12" x14ac:dyDescent="0.3">
      <c r="A6877" s="2">
        <v>43394</v>
      </c>
      <c r="B6877">
        <v>7.46</v>
      </c>
      <c r="D6877" s="2">
        <v>44125</v>
      </c>
      <c r="E6877">
        <v>4</v>
      </c>
      <c r="G6877" s="2">
        <v>44125</v>
      </c>
      <c r="H6877">
        <v>3.49</v>
      </c>
      <c r="J6877" s="2">
        <v>44132</v>
      </c>
      <c r="K6877" s="3">
        <f t="shared" si="214"/>
        <v>4</v>
      </c>
      <c r="L6877" s="3">
        <f t="shared" si="215"/>
        <v>3.444</v>
      </c>
    </row>
    <row r="6878" spans="1:12" x14ac:dyDescent="0.3">
      <c r="A6878" s="2">
        <v>43395</v>
      </c>
      <c r="B6878">
        <v>7.46</v>
      </c>
      <c r="D6878" s="2">
        <v>44126</v>
      </c>
      <c r="E6878">
        <v>4</v>
      </c>
      <c r="G6878" s="2">
        <v>44126</v>
      </c>
      <c r="H6878">
        <v>3.456</v>
      </c>
      <c r="J6878" s="2">
        <v>44133</v>
      </c>
      <c r="K6878" s="3">
        <f t="shared" si="214"/>
        <v>4</v>
      </c>
      <c r="L6878" s="3">
        <f t="shared" si="215"/>
        <v>3.4729999999999999</v>
      </c>
    </row>
    <row r="6879" spans="1:12" x14ac:dyDescent="0.3">
      <c r="A6879" s="2">
        <v>43396</v>
      </c>
      <c r="B6879">
        <v>7.45</v>
      </c>
      <c r="D6879" s="2">
        <v>44127</v>
      </c>
      <c r="E6879">
        <v>4</v>
      </c>
      <c r="G6879" s="2">
        <v>44127</v>
      </c>
      <c r="H6879">
        <v>3.4359999999999999</v>
      </c>
      <c r="J6879" s="2">
        <v>44134</v>
      </c>
      <c r="K6879" s="3">
        <f t="shared" si="214"/>
        <v>4</v>
      </c>
      <c r="L6879" s="3">
        <f t="shared" si="215"/>
        <v>3.4729999999999999</v>
      </c>
    </row>
    <row r="6880" spans="1:12" x14ac:dyDescent="0.3">
      <c r="A6880" s="2">
        <v>43397</v>
      </c>
      <c r="B6880">
        <v>7.45</v>
      </c>
      <c r="D6880" s="2">
        <v>44128</v>
      </c>
      <c r="E6880">
        <v>4</v>
      </c>
      <c r="G6880" s="2">
        <v>44128</v>
      </c>
      <c r="H6880">
        <v>3.4359999999999999</v>
      </c>
      <c r="J6880" s="2">
        <v>44135</v>
      </c>
      <c r="K6880" s="3">
        <f t="shared" si="214"/>
        <v>4</v>
      </c>
      <c r="L6880" s="3">
        <f t="shared" si="215"/>
        <v>3.4729999999999999</v>
      </c>
    </row>
    <row r="6881" spans="1:12" x14ac:dyDescent="0.3">
      <c r="A6881" s="2">
        <v>43398</v>
      </c>
      <c r="B6881">
        <v>7.42</v>
      </c>
      <c r="D6881" s="2">
        <v>44129</v>
      </c>
      <c r="E6881">
        <v>4</v>
      </c>
      <c r="G6881" s="2">
        <v>44129</v>
      </c>
      <c r="H6881">
        <v>3.4359999999999999</v>
      </c>
      <c r="J6881" s="2">
        <v>44136</v>
      </c>
      <c r="K6881" s="3">
        <f t="shared" si="214"/>
        <v>4</v>
      </c>
      <c r="L6881" s="3">
        <f t="shared" si="215"/>
        <v>3.4729999999999999</v>
      </c>
    </row>
    <row r="6882" spans="1:12" x14ac:dyDescent="0.3">
      <c r="A6882" s="2">
        <v>43399</v>
      </c>
      <c r="B6882">
        <v>7.42</v>
      </c>
      <c r="D6882" s="2">
        <v>44130</v>
      </c>
      <c r="E6882">
        <v>4</v>
      </c>
      <c r="G6882" s="2">
        <v>44130</v>
      </c>
      <c r="H6882">
        <v>3.4540000000000002</v>
      </c>
      <c r="J6882" s="2">
        <v>44137</v>
      </c>
      <c r="K6882" s="3">
        <f t="shared" si="214"/>
        <v>4</v>
      </c>
      <c r="L6882" s="3">
        <f t="shared" si="215"/>
        <v>3.5419999999999998</v>
      </c>
    </row>
    <row r="6883" spans="1:12" x14ac:dyDescent="0.3">
      <c r="A6883" s="2">
        <v>43400</v>
      </c>
      <c r="B6883">
        <v>7.42</v>
      </c>
      <c r="D6883" s="2">
        <v>44131</v>
      </c>
      <c r="E6883">
        <v>4</v>
      </c>
      <c r="G6883" s="2">
        <v>44131</v>
      </c>
      <c r="H6883">
        <v>3.43</v>
      </c>
      <c r="J6883" s="2">
        <v>44138</v>
      </c>
      <c r="K6883" s="3">
        <f t="shared" si="214"/>
        <v>4</v>
      </c>
      <c r="L6883" s="3">
        <f t="shared" si="215"/>
        <v>3.524</v>
      </c>
    </row>
    <row r="6884" spans="1:12" x14ac:dyDescent="0.3">
      <c r="A6884" s="2">
        <v>43401</v>
      </c>
      <c r="B6884">
        <v>7.42</v>
      </c>
      <c r="D6884" s="2">
        <v>44132</v>
      </c>
      <c r="E6884">
        <v>4</v>
      </c>
      <c r="G6884" s="2">
        <v>44132</v>
      </c>
      <c r="H6884">
        <v>3.444</v>
      </c>
      <c r="J6884" s="2">
        <v>44139</v>
      </c>
      <c r="K6884" s="3">
        <f t="shared" si="214"/>
        <v>4</v>
      </c>
      <c r="L6884" s="3">
        <f t="shared" si="215"/>
        <v>3.4849999999999999</v>
      </c>
    </row>
    <row r="6885" spans="1:12" x14ac:dyDescent="0.3">
      <c r="A6885" s="2">
        <v>43402</v>
      </c>
      <c r="B6885">
        <v>7.43</v>
      </c>
      <c r="D6885" s="2">
        <v>44133</v>
      </c>
      <c r="E6885">
        <v>4</v>
      </c>
      <c r="G6885" s="2">
        <v>44133</v>
      </c>
      <c r="H6885">
        <v>3.4729999999999999</v>
      </c>
      <c r="J6885" s="2">
        <v>44140</v>
      </c>
      <c r="K6885" s="3">
        <f t="shared" si="214"/>
        <v>4</v>
      </c>
      <c r="L6885" s="3">
        <f t="shared" si="215"/>
        <v>3.46</v>
      </c>
    </row>
    <row r="6886" spans="1:12" x14ac:dyDescent="0.3">
      <c r="A6886" s="2">
        <v>43403</v>
      </c>
      <c r="B6886">
        <v>7.44</v>
      </c>
      <c r="D6886" s="2">
        <v>44134</v>
      </c>
      <c r="E6886">
        <v>4</v>
      </c>
      <c r="G6886" s="2">
        <v>44134</v>
      </c>
      <c r="H6886">
        <v>3.4729999999999999</v>
      </c>
      <c r="J6886" s="2">
        <v>44141</v>
      </c>
      <c r="K6886" s="3">
        <f t="shared" si="214"/>
        <v>4</v>
      </c>
      <c r="L6886" s="3">
        <f t="shared" si="215"/>
        <v>3.4609999999999999</v>
      </c>
    </row>
    <row r="6887" spans="1:12" x14ac:dyDescent="0.3">
      <c r="A6887" s="2">
        <v>43404</v>
      </c>
      <c r="B6887">
        <v>7.47</v>
      </c>
      <c r="D6887" s="2">
        <v>44135</v>
      </c>
      <c r="E6887">
        <v>4</v>
      </c>
      <c r="G6887" s="2">
        <v>44135</v>
      </c>
      <c r="H6887">
        <v>3.4729999999999999</v>
      </c>
      <c r="J6887" s="2">
        <v>44142</v>
      </c>
      <c r="K6887" s="3">
        <f t="shared" si="214"/>
        <v>4</v>
      </c>
      <c r="L6887" s="3">
        <f t="shared" si="215"/>
        <v>3.4609999999999999</v>
      </c>
    </row>
    <row r="6888" spans="1:12" x14ac:dyDescent="0.3">
      <c r="A6888" s="2">
        <v>43405</v>
      </c>
      <c r="B6888">
        <v>7.44</v>
      </c>
      <c r="D6888" s="2">
        <v>44136</v>
      </c>
      <c r="E6888">
        <v>4</v>
      </c>
      <c r="G6888" s="2">
        <v>44136</v>
      </c>
      <c r="H6888">
        <v>3.4729999999999999</v>
      </c>
      <c r="J6888" s="2">
        <v>44143</v>
      </c>
      <c r="K6888" s="3">
        <f t="shared" si="214"/>
        <v>4</v>
      </c>
      <c r="L6888" s="3">
        <f t="shared" si="215"/>
        <v>3.4609999999999999</v>
      </c>
    </row>
    <row r="6889" spans="1:12" x14ac:dyDescent="0.3">
      <c r="A6889" s="2">
        <v>43406</v>
      </c>
      <c r="B6889">
        <v>7.42</v>
      </c>
      <c r="D6889" s="2">
        <v>44137</v>
      </c>
      <c r="E6889">
        <v>4</v>
      </c>
      <c r="G6889" s="2">
        <v>44137</v>
      </c>
      <c r="H6889">
        <v>3.5419999999999998</v>
      </c>
      <c r="J6889" s="2">
        <v>44144</v>
      </c>
      <c r="K6889" s="3">
        <f t="shared" si="214"/>
        <v>4</v>
      </c>
      <c r="L6889" s="3">
        <f t="shared" si="215"/>
        <v>3.3740000000000001</v>
      </c>
    </row>
    <row r="6890" spans="1:12" x14ac:dyDescent="0.3">
      <c r="A6890" s="2">
        <v>43407</v>
      </c>
      <c r="B6890">
        <v>7.42</v>
      </c>
      <c r="D6890" s="2">
        <v>44138</v>
      </c>
      <c r="E6890">
        <v>4</v>
      </c>
      <c r="G6890" s="2">
        <v>44138</v>
      </c>
      <c r="H6890">
        <v>3.524</v>
      </c>
      <c r="J6890" s="2">
        <v>44145</v>
      </c>
      <c r="K6890" s="3">
        <f t="shared" si="214"/>
        <v>4</v>
      </c>
      <c r="L6890" s="3">
        <f t="shared" si="215"/>
        <v>3.4660000000000002</v>
      </c>
    </row>
    <row r="6891" spans="1:12" x14ac:dyDescent="0.3">
      <c r="A6891" s="2">
        <v>43408</v>
      </c>
      <c r="B6891">
        <v>7.42</v>
      </c>
      <c r="D6891" s="2">
        <v>44139</v>
      </c>
      <c r="E6891">
        <v>4</v>
      </c>
      <c r="G6891" s="2">
        <v>44139</v>
      </c>
      <c r="H6891">
        <v>3.4849999999999999</v>
      </c>
      <c r="J6891" s="2">
        <v>44146</v>
      </c>
      <c r="K6891" s="3">
        <f t="shared" si="214"/>
        <v>4</v>
      </c>
      <c r="L6891" s="3">
        <f t="shared" si="215"/>
        <v>3.4660000000000002</v>
      </c>
    </row>
    <row r="6892" spans="1:12" x14ac:dyDescent="0.3">
      <c r="A6892" s="2">
        <v>43409</v>
      </c>
      <c r="B6892">
        <v>7.4</v>
      </c>
      <c r="D6892" s="2">
        <v>44140</v>
      </c>
      <c r="E6892">
        <v>4</v>
      </c>
      <c r="G6892" s="2">
        <v>44140</v>
      </c>
      <c r="H6892">
        <v>3.46</v>
      </c>
      <c r="J6892" s="2">
        <v>44147</v>
      </c>
      <c r="K6892" s="3">
        <f t="shared" si="214"/>
        <v>4</v>
      </c>
      <c r="L6892" s="3">
        <f t="shared" si="215"/>
        <v>3.4</v>
      </c>
    </row>
    <row r="6893" spans="1:12" x14ac:dyDescent="0.3">
      <c r="A6893" s="2">
        <v>43410</v>
      </c>
      <c r="B6893">
        <v>7.42</v>
      </c>
      <c r="D6893" s="2">
        <v>44141</v>
      </c>
      <c r="E6893">
        <v>4</v>
      </c>
      <c r="G6893" s="2">
        <v>44141</v>
      </c>
      <c r="H6893">
        <v>3.4609999999999999</v>
      </c>
      <c r="J6893" s="2">
        <v>44148</v>
      </c>
      <c r="K6893" s="3">
        <f t="shared" si="214"/>
        <v>4</v>
      </c>
      <c r="L6893" s="3">
        <f t="shared" si="215"/>
        <v>3.3279999999999998</v>
      </c>
    </row>
    <row r="6894" spans="1:12" x14ac:dyDescent="0.3">
      <c r="A6894" s="2">
        <v>43411</v>
      </c>
      <c r="B6894">
        <v>7.42</v>
      </c>
      <c r="D6894" s="2">
        <v>44142</v>
      </c>
      <c r="E6894">
        <v>4</v>
      </c>
      <c r="G6894" s="2">
        <v>44142</v>
      </c>
      <c r="H6894">
        <v>3.4609999999999999</v>
      </c>
      <c r="J6894" s="2">
        <v>44149</v>
      </c>
      <c r="K6894" s="3">
        <f t="shared" si="214"/>
        <v>4</v>
      </c>
      <c r="L6894" s="3">
        <f t="shared" si="215"/>
        <v>3.3279999999999998</v>
      </c>
    </row>
    <row r="6895" spans="1:12" x14ac:dyDescent="0.3">
      <c r="A6895" s="2">
        <v>43412</v>
      </c>
      <c r="B6895">
        <v>7.42</v>
      </c>
      <c r="D6895" s="2">
        <v>44143</v>
      </c>
      <c r="E6895">
        <v>4</v>
      </c>
      <c r="G6895" s="2">
        <v>44143</v>
      </c>
      <c r="H6895">
        <v>3.4609999999999999</v>
      </c>
      <c r="J6895" s="2">
        <v>44150</v>
      </c>
      <c r="K6895" s="3">
        <f t="shared" si="214"/>
        <v>4</v>
      </c>
      <c r="L6895" s="3">
        <f t="shared" si="215"/>
        <v>3.3279999999999998</v>
      </c>
    </row>
    <row r="6896" spans="1:12" x14ac:dyDescent="0.3">
      <c r="A6896" s="2">
        <v>43413</v>
      </c>
      <c r="B6896">
        <v>7.39</v>
      </c>
      <c r="D6896" s="2">
        <v>44144</v>
      </c>
      <c r="E6896">
        <v>4</v>
      </c>
      <c r="G6896" s="2">
        <v>44144</v>
      </c>
      <c r="H6896">
        <v>3.3740000000000001</v>
      </c>
      <c r="J6896" s="2">
        <v>44151</v>
      </c>
      <c r="K6896" s="3">
        <f t="shared" si="214"/>
        <v>4</v>
      </c>
      <c r="L6896" s="3">
        <f t="shared" si="215"/>
        <v>3.3279999999999998</v>
      </c>
    </row>
    <row r="6897" spans="1:12" x14ac:dyDescent="0.3">
      <c r="A6897" s="2">
        <v>43414</v>
      </c>
      <c r="B6897">
        <v>7.39</v>
      </c>
      <c r="D6897" s="2">
        <v>44145</v>
      </c>
      <c r="E6897">
        <v>4</v>
      </c>
      <c r="G6897" s="2">
        <v>44145</v>
      </c>
      <c r="H6897">
        <v>3.4660000000000002</v>
      </c>
      <c r="J6897" s="2">
        <v>44152</v>
      </c>
      <c r="K6897" s="3">
        <f t="shared" si="214"/>
        <v>4</v>
      </c>
      <c r="L6897" s="3">
        <f t="shared" si="215"/>
        <v>3.3170000000000002</v>
      </c>
    </row>
    <row r="6898" spans="1:12" x14ac:dyDescent="0.3">
      <c r="A6898" s="2">
        <v>43415</v>
      </c>
      <c r="B6898">
        <v>7.39</v>
      </c>
      <c r="D6898" s="2">
        <v>44146</v>
      </c>
      <c r="E6898">
        <v>4</v>
      </c>
      <c r="G6898" s="2">
        <v>44146</v>
      </c>
      <c r="H6898">
        <v>3.4660000000000002</v>
      </c>
      <c r="J6898" s="2">
        <v>44153</v>
      </c>
      <c r="K6898" s="3">
        <f t="shared" si="214"/>
        <v>4</v>
      </c>
      <c r="L6898" s="3">
        <f t="shared" si="215"/>
        <v>3.3170000000000002</v>
      </c>
    </row>
    <row r="6899" spans="1:12" x14ac:dyDescent="0.3">
      <c r="A6899" s="2">
        <v>43416</v>
      </c>
      <c r="B6899">
        <v>7.38</v>
      </c>
      <c r="D6899" s="2">
        <v>44147</v>
      </c>
      <c r="E6899">
        <v>4</v>
      </c>
      <c r="G6899" s="2">
        <v>44147</v>
      </c>
      <c r="H6899">
        <v>3.4</v>
      </c>
      <c r="J6899" s="2">
        <v>44154</v>
      </c>
      <c r="K6899" s="3">
        <f t="shared" si="214"/>
        <v>4</v>
      </c>
      <c r="L6899" s="3">
        <f t="shared" si="215"/>
        <v>3.3660000000000001</v>
      </c>
    </row>
    <row r="6900" spans="1:12" x14ac:dyDescent="0.3">
      <c r="A6900" s="2">
        <v>43417</v>
      </c>
      <c r="B6900">
        <v>7.37</v>
      </c>
      <c r="D6900" s="2">
        <v>44148</v>
      </c>
      <c r="E6900">
        <v>4</v>
      </c>
      <c r="G6900" s="2">
        <v>44148</v>
      </c>
      <c r="H6900">
        <v>3.3279999999999998</v>
      </c>
      <c r="J6900" s="2">
        <v>44155</v>
      </c>
      <c r="K6900" s="3">
        <f t="shared" si="214"/>
        <v>4</v>
      </c>
      <c r="L6900" s="3">
        <f t="shared" si="215"/>
        <v>3.3780000000000001</v>
      </c>
    </row>
    <row r="6901" spans="1:12" x14ac:dyDescent="0.3">
      <c r="A6901" s="2">
        <v>43418</v>
      </c>
      <c r="B6901">
        <v>7.3</v>
      </c>
      <c r="D6901" s="2">
        <v>44149</v>
      </c>
      <c r="E6901">
        <v>4</v>
      </c>
      <c r="G6901" s="2">
        <v>44149</v>
      </c>
      <c r="H6901">
        <v>3.3279999999999998</v>
      </c>
      <c r="J6901" s="2">
        <v>44156</v>
      </c>
      <c r="K6901" s="3">
        <f t="shared" si="214"/>
        <v>4</v>
      </c>
      <c r="L6901" s="3">
        <f t="shared" si="215"/>
        <v>3.3780000000000001</v>
      </c>
    </row>
    <row r="6902" spans="1:12" x14ac:dyDescent="0.3">
      <c r="A6902" s="2">
        <v>43419</v>
      </c>
      <c r="B6902">
        <v>7.27</v>
      </c>
      <c r="D6902" s="2">
        <v>44150</v>
      </c>
      <c r="E6902">
        <v>4</v>
      </c>
      <c r="G6902" s="2">
        <v>44150</v>
      </c>
      <c r="H6902">
        <v>3.3279999999999998</v>
      </c>
      <c r="J6902" s="2">
        <v>44157</v>
      </c>
      <c r="K6902" s="3">
        <f t="shared" si="214"/>
        <v>4</v>
      </c>
      <c r="L6902" s="3">
        <f t="shared" si="215"/>
        <v>3.3780000000000001</v>
      </c>
    </row>
    <row r="6903" spans="1:12" x14ac:dyDescent="0.3">
      <c r="A6903" s="2">
        <v>43420</v>
      </c>
      <c r="B6903">
        <v>7.25</v>
      </c>
      <c r="D6903" s="2">
        <v>44151</v>
      </c>
      <c r="E6903">
        <v>4</v>
      </c>
      <c r="G6903" s="2">
        <v>44151</v>
      </c>
      <c r="H6903">
        <v>3.3279999999999998</v>
      </c>
      <c r="J6903" s="2">
        <v>44158</v>
      </c>
      <c r="K6903" s="3">
        <f t="shared" si="214"/>
        <v>4</v>
      </c>
      <c r="L6903" s="3">
        <f t="shared" si="215"/>
        <v>3.3780000000000001</v>
      </c>
    </row>
    <row r="6904" spans="1:12" x14ac:dyDescent="0.3">
      <c r="A6904" s="2">
        <v>43421</v>
      </c>
      <c r="B6904">
        <v>7.25</v>
      </c>
      <c r="D6904" s="2">
        <v>44152</v>
      </c>
      <c r="E6904">
        <v>4</v>
      </c>
      <c r="G6904" s="2">
        <v>44152</v>
      </c>
      <c r="H6904">
        <v>3.3170000000000002</v>
      </c>
      <c r="J6904" s="2">
        <v>44159</v>
      </c>
      <c r="K6904" s="3">
        <f t="shared" si="214"/>
        <v>4</v>
      </c>
      <c r="L6904" s="3">
        <f t="shared" si="215"/>
        <v>3.3540000000000001</v>
      </c>
    </row>
    <row r="6905" spans="1:12" x14ac:dyDescent="0.3">
      <c r="A6905" s="2">
        <v>43422</v>
      </c>
      <c r="B6905">
        <v>7.25</v>
      </c>
      <c r="D6905" s="2">
        <v>44153</v>
      </c>
      <c r="E6905">
        <v>4</v>
      </c>
      <c r="G6905" s="2">
        <v>44153</v>
      </c>
      <c r="H6905">
        <v>3.3170000000000002</v>
      </c>
      <c r="J6905" s="2">
        <v>44160</v>
      </c>
      <c r="K6905" s="3">
        <f t="shared" si="214"/>
        <v>4</v>
      </c>
      <c r="L6905" s="3">
        <f t="shared" si="215"/>
        <v>3.319</v>
      </c>
    </row>
    <row r="6906" spans="1:12" x14ac:dyDescent="0.3">
      <c r="A6906" s="2">
        <v>43423</v>
      </c>
      <c r="B6906">
        <v>7.25</v>
      </c>
      <c r="D6906" s="2">
        <v>44154</v>
      </c>
      <c r="E6906">
        <v>4</v>
      </c>
      <c r="G6906" s="2">
        <v>44154</v>
      </c>
      <c r="H6906">
        <v>3.3660000000000001</v>
      </c>
      <c r="J6906" s="2">
        <v>44161</v>
      </c>
      <c r="K6906" s="3">
        <f t="shared" si="214"/>
        <v>4</v>
      </c>
      <c r="L6906" s="3">
        <f t="shared" si="215"/>
        <v>3.3149999999999999</v>
      </c>
    </row>
    <row r="6907" spans="1:12" x14ac:dyDescent="0.3">
      <c r="A6907" s="2">
        <v>43424</v>
      </c>
      <c r="B6907">
        <v>7.25</v>
      </c>
      <c r="D6907" s="2">
        <v>44155</v>
      </c>
      <c r="E6907">
        <v>4</v>
      </c>
      <c r="G6907" s="2">
        <v>44155</v>
      </c>
      <c r="H6907">
        <v>3.3780000000000001</v>
      </c>
      <c r="J6907" s="2">
        <v>44162</v>
      </c>
      <c r="K6907" s="3">
        <f t="shared" si="214"/>
        <v>4</v>
      </c>
      <c r="L6907" s="3">
        <f t="shared" si="215"/>
        <v>3.33</v>
      </c>
    </row>
    <row r="6908" spans="1:12" x14ac:dyDescent="0.3">
      <c r="A6908" s="2">
        <v>43425</v>
      </c>
      <c r="B6908">
        <v>7.25</v>
      </c>
      <c r="D6908" s="2">
        <v>44156</v>
      </c>
      <c r="E6908">
        <v>4</v>
      </c>
      <c r="G6908" s="2">
        <v>44156</v>
      </c>
      <c r="H6908">
        <v>3.3780000000000001</v>
      </c>
      <c r="J6908" s="2">
        <v>44163</v>
      </c>
      <c r="K6908" s="3">
        <f t="shared" si="214"/>
        <v>4</v>
      </c>
      <c r="L6908" s="3">
        <f t="shared" si="215"/>
        <v>3.33</v>
      </c>
    </row>
    <row r="6909" spans="1:12" x14ac:dyDescent="0.3">
      <c r="A6909" s="2">
        <v>43426</v>
      </c>
      <c r="B6909">
        <v>7.2</v>
      </c>
      <c r="D6909" s="2">
        <v>44157</v>
      </c>
      <c r="E6909">
        <v>4</v>
      </c>
      <c r="G6909" s="2">
        <v>44157</v>
      </c>
      <c r="H6909">
        <v>3.3780000000000001</v>
      </c>
      <c r="J6909" s="2">
        <v>44164</v>
      </c>
      <c r="K6909" s="3">
        <f t="shared" si="214"/>
        <v>4</v>
      </c>
      <c r="L6909" s="3">
        <f t="shared" si="215"/>
        <v>3.33</v>
      </c>
    </row>
    <row r="6910" spans="1:12" x14ac:dyDescent="0.3">
      <c r="A6910" s="2">
        <v>43427</v>
      </c>
      <c r="B6910">
        <v>7.2</v>
      </c>
      <c r="D6910" s="2">
        <v>44158</v>
      </c>
      <c r="E6910">
        <v>4</v>
      </c>
      <c r="G6910" s="2">
        <v>44158</v>
      </c>
      <c r="H6910">
        <v>3.3780000000000001</v>
      </c>
      <c r="J6910" s="2">
        <v>44165</v>
      </c>
      <c r="K6910" s="3">
        <f t="shared" si="214"/>
        <v>4</v>
      </c>
      <c r="L6910" s="3">
        <f t="shared" si="215"/>
        <v>3.33</v>
      </c>
    </row>
    <row r="6911" spans="1:12" x14ac:dyDescent="0.3">
      <c r="A6911" s="2">
        <v>43428</v>
      </c>
      <c r="B6911">
        <v>7.2</v>
      </c>
      <c r="D6911" s="2">
        <v>44159</v>
      </c>
      <c r="E6911">
        <v>4</v>
      </c>
      <c r="G6911" s="2">
        <v>44159</v>
      </c>
      <c r="H6911">
        <v>3.3540000000000001</v>
      </c>
      <c r="J6911" s="2">
        <v>44166</v>
      </c>
      <c r="K6911" s="3">
        <f t="shared" si="214"/>
        <v>4</v>
      </c>
      <c r="L6911" s="3">
        <f t="shared" si="215"/>
        <v>3.33</v>
      </c>
    </row>
    <row r="6912" spans="1:12" x14ac:dyDescent="0.3">
      <c r="A6912" s="2">
        <v>43429</v>
      </c>
      <c r="B6912">
        <v>7.2</v>
      </c>
      <c r="D6912" s="2">
        <v>44160</v>
      </c>
      <c r="E6912">
        <v>4</v>
      </c>
      <c r="G6912" s="2">
        <v>44160</v>
      </c>
      <c r="H6912">
        <v>3.319</v>
      </c>
      <c r="J6912" s="2">
        <v>44167</v>
      </c>
      <c r="K6912" s="3">
        <f t="shared" si="214"/>
        <v>4</v>
      </c>
      <c r="L6912" s="3">
        <f t="shared" si="215"/>
        <v>3.33</v>
      </c>
    </row>
    <row r="6913" spans="1:12" x14ac:dyDescent="0.3">
      <c r="A6913" s="2">
        <v>43430</v>
      </c>
      <c r="B6913">
        <v>7.2</v>
      </c>
      <c r="D6913" s="2">
        <v>44161</v>
      </c>
      <c r="E6913">
        <v>4</v>
      </c>
      <c r="G6913" s="2">
        <v>44161</v>
      </c>
      <c r="H6913">
        <v>3.3149999999999999</v>
      </c>
      <c r="J6913" s="2">
        <v>44168</v>
      </c>
      <c r="K6913" s="3">
        <f t="shared" si="214"/>
        <v>4</v>
      </c>
      <c r="L6913" s="3">
        <f t="shared" si="215"/>
        <v>3.33</v>
      </c>
    </row>
    <row r="6914" spans="1:12" x14ac:dyDescent="0.3">
      <c r="A6914" s="2">
        <v>43431</v>
      </c>
      <c r="B6914">
        <v>7.21</v>
      </c>
      <c r="D6914" s="2">
        <v>44162</v>
      </c>
      <c r="E6914">
        <v>4</v>
      </c>
      <c r="G6914" s="2">
        <v>44162</v>
      </c>
      <c r="H6914">
        <v>3.33</v>
      </c>
      <c r="J6914" s="2">
        <v>44169</v>
      </c>
      <c r="K6914" s="3">
        <f t="shared" si="214"/>
        <v>4</v>
      </c>
      <c r="L6914" s="3">
        <f t="shared" si="215"/>
        <v>3.33</v>
      </c>
    </row>
    <row r="6915" spans="1:12" x14ac:dyDescent="0.3">
      <c r="A6915" s="2">
        <v>43432</v>
      </c>
      <c r="B6915">
        <v>7.2</v>
      </c>
      <c r="D6915" s="2">
        <v>44163</v>
      </c>
      <c r="E6915">
        <v>4</v>
      </c>
      <c r="G6915" s="2">
        <v>44163</v>
      </c>
      <c r="H6915">
        <v>3.33</v>
      </c>
      <c r="J6915" s="2">
        <v>44170</v>
      </c>
      <c r="K6915" s="3">
        <f t="shared" ref="K6915:K6978" si="216">E6922</f>
        <v>4</v>
      </c>
      <c r="L6915" s="3">
        <f t="shared" ref="L6915:L6978" si="217">H6922</f>
        <v>3.33</v>
      </c>
    </row>
    <row r="6916" spans="1:12" x14ac:dyDescent="0.3">
      <c r="A6916" s="2">
        <v>43433</v>
      </c>
      <c r="B6916">
        <v>7.18</v>
      </c>
      <c r="D6916" s="2">
        <v>44164</v>
      </c>
      <c r="E6916">
        <v>4</v>
      </c>
      <c r="G6916" s="2">
        <v>44164</v>
      </c>
      <c r="H6916">
        <v>3.33</v>
      </c>
      <c r="J6916" s="2">
        <v>44171</v>
      </c>
      <c r="K6916" s="3">
        <f t="shared" si="216"/>
        <v>4</v>
      </c>
      <c r="L6916" s="3">
        <f t="shared" si="217"/>
        <v>3.33</v>
      </c>
    </row>
    <row r="6917" spans="1:12" x14ac:dyDescent="0.3">
      <c r="A6917" s="2">
        <v>43434</v>
      </c>
      <c r="B6917">
        <v>7.19</v>
      </c>
      <c r="D6917" s="2">
        <v>44165</v>
      </c>
      <c r="E6917">
        <v>4</v>
      </c>
      <c r="G6917" s="2">
        <v>44165</v>
      </c>
      <c r="H6917">
        <v>3.33</v>
      </c>
      <c r="J6917" s="2">
        <v>44172</v>
      </c>
      <c r="K6917" s="3">
        <f t="shared" si="216"/>
        <v>4</v>
      </c>
      <c r="L6917" s="3">
        <f t="shared" si="217"/>
        <v>3.383</v>
      </c>
    </row>
    <row r="6918" spans="1:12" x14ac:dyDescent="0.3">
      <c r="A6918" s="2">
        <v>43435</v>
      </c>
      <c r="B6918">
        <v>7.19</v>
      </c>
      <c r="D6918" s="2">
        <v>44166</v>
      </c>
      <c r="E6918">
        <v>4</v>
      </c>
      <c r="G6918" s="2">
        <v>44166</v>
      </c>
      <c r="H6918">
        <v>3.33</v>
      </c>
      <c r="J6918" s="2">
        <v>44173</v>
      </c>
      <c r="K6918" s="3">
        <f t="shared" si="216"/>
        <v>4</v>
      </c>
      <c r="L6918" s="3">
        <f t="shared" si="217"/>
        <v>3.3620000000000001</v>
      </c>
    </row>
    <row r="6919" spans="1:12" x14ac:dyDescent="0.3">
      <c r="A6919" s="2">
        <v>43436</v>
      </c>
      <c r="B6919">
        <v>7.19</v>
      </c>
      <c r="D6919" s="2">
        <v>44167</v>
      </c>
      <c r="E6919">
        <v>4</v>
      </c>
      <c r="G6919" s="2">
        <v>44167</v>
      </c>
      <c r="H6919">
        <v>3.33</v>
      </c>
      <c r="J6919" s="2">
        <v>44174</v>
      </c>
      <c r="K6919" s="3">
        <f t="shared" si="216"/>
        <v>4</v>
      </c>
      <c r="L6919" s="3">
        <f t="shared" si="217"/>
        <v>3.3620000000000001</v>
      </c>
    </row>
    <row r="6920" spans="1:12" x14ac:dyDescent="0.3">
      <c r="A6920" s="2">
        <v>43437</v>
      </c>
      <c r="B6920">
        <v>7.19</v>
      </c>
      <c r="D6920" s="2">
        <v>44168</v>
      </c>
      <c r="E6920">
        <v>4</v>
      </c>
      <c r="G6920" s="2">
        <v>44168</v>
      </c>
      <c r="H6920">
        <v>3.33</v>
      </c>
      <c r="J6920" s="2">
        <v>44175</v>
      </c>
      <c r="K6920" s="3">
        <f t="shared" si="216"/>
        <v>4</v>
      </c>
      <c r="L6920" s="3">
        <f t="shared" si="217"/>
        <v>3.387</v>
      </c>
    </row>
    <row r="6921" spans="1:12" x14ac:dyDescent="0.3">
      <c r="A6921" s="2">
        <v>43438</v>
      </c>
      <c r="B6921">
        <v>7.18</v>
      </c>
      <c r="D6921" s="2">
        <v>44169</v>
      </c>
      <c r="E6921">
        <v>4</v>
      </c>
      <c r="G6921" s="2">
        <v>44169</v>
      </c>
      <c r="H6921">
        <v>3.33</v>
      </c>
      <c r="J6921" s="2">
        <v>44176</v>
      </c>
      <c r="K6921" s="3">
        <f t="shared" si="216"/>
        <v>4</v>
      </c>
      <c r="L6921" s="3">
        <f t="shared" si="217"/>
        <v>3.387</v>
      </c>
    </row>
    <row r="6922" spans="1:12" x14ac:dyDescent="0.3">
      <c r="A6922" s="2">
        <v>43439</v>
      </c>
      <c r="B6922">
        <v>7.15</v>
      </c>
      <c r="D6922" s="2">
        <v>44170</v>
      </c>
      <c r="E6922">
        <v>4</v>
      </c>
      <c r="G6922" s="2">
        <v>44170</v>
      </c>
      <c r="H6922">
        <v>3.33</v>
      </c>
      <c r="J6922" s="2">
        <v>44177</v>
      </c>
      <c r="K6922" s="3">
        <f t="shared" si="216"/>
        <v>4</v>
      </c>
      <c r="L6922" s="3">
        <f t="shared" si="217"/>
        <v>3.387</v>
      </c>
    </row>
    <row r="6923" spans="1:12" x14ac:dyDescent="0.3">
      <c r="A6923" s="2">
        <v>43440</v>
      </c>
      <c r="B6923">
        <v>7.1</v>
      </c>
      <c r="D6923" s="2">
        <v>44171</v>
      </c>
      <c r="E6923">
        <v>4</v>
      </c>
      <c r="G6923" s="2">
        <v>44171</v>
      </c>
      <c r="H6923">
        <v>3.33</v>
      </c>
      <c r="J6923" s="2">
        <v>44178</v>
      </c>
      <c r="K6923" s="3">
        <f t="shared" si="216"/>
        <v>4</v>
      </c>
      <c r="L6923" s="3">
        <f t="shared" si="217"/>
        <v>3.387</v>
      </c>
    </row>
    <row r="6924" spans="1:12" x14ac:dyDescent="0.3">
      <c r="A6924" s="2">
        <v>43441</v>
      </c>
      <c r="B6924">
        <v>7.08</v>
      </c>
      <c r="D6924" s="2">
        <v>44172</v>
      </c>
      <c r="E6924">
        <v>4</v>
      </c>
      <c r="G6924" s="2">
        <v>44172</v>
      </c>
      <c r="H6924">
        <v>3.383</v>
      </c>
      <c r="J6924" s="2">
        <v>44179</v>
      </c>
      <c r="K6924" s="3">
        <f t="shared" si="216"/>
        <v>4</v>
      </c>
      <c r="L6924" s="3">
        <f t="shared" si="217"/>
        <v>3.387</v>
      </c>
    </row>
    <row r="6925" spans="1:12" x14ac:dyDescent="0.3">
      <c r="A6925" s="2">
        <v>43442</v>
      </c>
      <c r="B6925">
        <v>7.08</v>
      </c>
      <c r="D6925" s="2">
        <v>44173</v>
      </c>
      <c r="E6925">
        <v>4</v>
      </c>
      <c r="G6925" s="2">
        <v>44173</v>
      </c>
      <c r="H6925">
        <v>3.3620000000000001</v>
      </c>
      <c r="J6925" s="2">
        <v>44180</v>
      </c>
      <c r="K6925" s="3">
        <f t="shared" si="216"/>
        <v>4</v>
      </c>
      <c r="L6925" s="3">
        <f t="shared" si="217"/>
        <v>3.387</v>
      </c>
    </row>
    <row r="6926" spans="1:12" x14ac:dyDescent="0.3">
      <c r="A6926" s="2">
        <v>43443</v>
      </c>
      <c r="B6926">
        <v>7.08</v>
      </c>
      <c r="D6926" s="2">
        <v>44174</v>
      </c>
      <c r="E6926">
        <v>4</v>
      </c>
      <c r="G6926" s="2">
        <v>44174</v>
      </c>
      <c r="H6926">
        <v>3.3620000000000001</v>
      </c>
      <c r="J6926" s="2">
        <v>44181</v>
      </c>
      <c r="K6926" s="3">
        <f t="shared" si="216"/>
        <v>4</v>
      </c>
      <c r="L6926" s="3">
        <f t="shared" si="217"/>
        <v>3.3969999999999998</v>
      </c>
    </row>
    <row r="6927" spans="1:12" x14ac:dyDescent="0.3">
      <c r="A6927" s="2">
        <v>43444</v>
      </c>
      <c r="B6927">
        <v>7.1</v>
      </c>
      <c r="D6927" s="2">
        <v>44175</v>
      </c>
      <c r="E6927">
        <v>4</v>
      </c>
      <c r="G6927" s="2">
        <v>44175</v>
      </c>
      <c r="H6927">
        <v>3.387</v>
      </c>
      <c r="J6927" s="2">
        <v>44182</v>
      </c>
      <c r="K6927" s="3">
        <f t="shared" si="216"/>
        <v>4</v>
      </c>
      <c r="L6927" s="3">
        <f t="shared" si="217"/>
        <v>3.3969999999999998</v>
      </c>
    </row>
    <row r="6928" spans="1:12" x14ac:dyDescent="0.3">
      <c r="A6928" s="2">
        <v>43445</v>
      </c>
      <c r="B6928">
        <v>7.11</v>
      </c>
      <c r="D6928" s="2">
        <v>44176</v>
      </c>
      <c r="E6928">
        <v>4</v>
      </c>
      <c r="G6928" s="2">
        <v>44176</v>
      </c>
      <c r="H6928">
        <v>3.387</v>
      </c>
      <c r="J6928" s="2">
        <v>44183</v>
      </c>
      <c r="K6928" s="3">
        <f t="shared" si="216"/>
        <v>4</v>
      </c>
      <c r="L6928" s="3">
        <f t="shared" si="217"/>
        <v>3.4769999999999999</v>
      </c>
    </row>
    <row r="6929" spans="1:12" x14ac:dyDescent="0.3">
      <c r="A6929" s="2">
        <v>43446</v>
      </c>
      <c r="B6929">
        <v>7.04</v>
      </c>
      <c r="D6929" s="2">
        <v>44177</v>
      </c>
      <c r="E6929">
        <v>4</v>
      </c>
      <c r="G6929" s="2">
        <v>44177</v>
      </c>
      <c r="H6929">
        <v>3.387</v>
      </c>
      <c r="J6929" s="2">
        <v>44184</v>
      </c>
      <c r="K6929" s="3">
        <f t="shared" si="216"/>
        <v>4</v>
      </c>
      <c r="L6929" s="3">
        <f t="shared" si="217"/>
        <v>3.4769999999999999</v>
      </c>
    </row>
    <row r="6930" spans="1:12" x14ac:dyDescent="0.3">
      <c r="A6930" s="2">
        <v>43447</v>
      </c>
      <c r="B6930">
        <v>7.04</v>
      </c>
      <c r="D6930" s="2">
        <v>44178</v>
      </c>
      <c r="E6930">
        <v>4</v>
      </c>
      <c r="G6930" s="2">
        <v>44178</v>
      </c>
      <c r="H6930">
        <v>3.387</v>
      </c>
      <c r="J6930" s="2">
        <v>44185</v>
      </c>
      <c r="K6930" s="3">
        <f t="shared" si="216"/>
        <v>4</v>
      </c>
      <c r="L6930" s="3">
        <f t="shared" si="217"/>
        <v>3.4769999999999999</v>
      </c>
    </row>
    <row r="6931" spans="1:12" x14ac:dyDescent="0.3">
      <c r="A6931" s="2">
        <v>43448</v>
      </c>
      <c r="B6931">
        <v>7</v>
      </c>
      <c r="D6931" s="2">
        <v>44179</v>
      </c>
      <c r="E6931">
        <v>4</v>
      </c>
      <c r="G6931" s="2">
        <v>44179</v>
      </c>
      <c r="H6931">
        <v>3.387</v>
      </c>
      <c r="J6931" s="2">
        <v>44186</v>
      </c>
      <c r="K6931" s="3">
        <f t="shared" si="216"/>
        <v>4</v>
      </c>
      <c r="L6931" s="3">
        <f t="shared" si="217"/>
        <v>3.4289999999999998</v>
      </c>
    </row>
    <row r="6932" spans="1:12" x14ac:dyDescent="0.3">
      <c r="A6932" s="2">
        <v>43449</v>
      </c>
      <c r="B6932">
        <v>7</v>
      </c>
      <c r="D6932" s="2">
        <v>44180</v>
      </c>
      <c r="E6932">
        <v>4</v>
      </c>
      <c r="G6932" s="2">
        <v>44180</v>
      </c>
      <c r="H6932">
        <v>3.387</v>
      </c>
      <c r="J6932" s="2">
        <v>44187</v>
      </c>
      <c r="K6932" s="3">
        <f t="shared" si="216"/>
        <v>4</v>
      </c>
      <c r="L6932" s="3">
        <f t="shared" si="217"/>
        <v>3.4249999999999998</v>
      </c>
    </row>
    <row r="6933" spans="1:12" x14ac:dyDescent="0.3">
      <c r="A6933" s="2">
        <v>43450</v>
      </c>
      <c r="B6933">
        <v>7</v>
      </c>
      <c r="D6933" s="2">
        <v>44181</v>
      </c>
      <c r="E6933">
        <v>4</v>
      </c>
      <c r="G6933" s="2">
        <v>44181</v>
      </c>
      <c r="H6933">
        <v>3.3969999999999998</v>
      </c>
      <c r="J6933" s="2">
        <v>44188</v>
      </c>
      <c r="K6933" s="3">
        <f t="shared" si="216"/>
        <v>4</v>
      </c>
      <c r="L6933" s="3">
        <f t="shared" si="217"/>
        <v>3.3940000000000001</v>
      </c>
    </row>
    <row r="6934" spans="1:12" x14ac:dyDescent="0.3">
      <c r="A6934" s="2">
        <v>43451</v>
      </c>
      <c r="B6934">
        <v>7.05</v>
      </c>
      <c r="D6934" s="2">
        <v>44182</v>
      </c>
      <c r="E6934">
        <v>4</v>
      </c>
      <c r="G6934" s="2">
        <v>44182</v>
      </c>
      <c r="H6934">
        <v>3.3969999999999998</v>
      </c>
      <c r="J6934" s="2">
        <v>44189</v>
      </c>
      <c r="K6934" s="3">
        <f t="shared" si="216"/>
        <v>4</v>
      </c>
      <c r="L6934" s="3">
        <f t="shared" si="217"/>
        <v>3.363</v>
      </c>
    </row>
    <row r="6935" spans="1:12" x14ac:dyDescent="0.3">
      <c r="A6935" s="2">
        <v>43452</v>
      </c>
      <c r="B6935">
        <v>7.04</v>
      </c>
      <c r="D6935" s="2">
        <v>44183</v>
      </c>
      <c r="E6935">
        <v>4</v>
      </c>
      <c r="G6935" s="2">
        <v>44183</v>
      </c>
      <c r="H6935">
        <v>3.4769999999999999</v>
      </c>
      <c r="J6935" s="2">
        <v>44190</v>
      </c>
      <c r="K6935" s="3">
        <f t="shared" si="216"/>
        <v>4</v>
      </c>
      <c r="L6935" s="3">
        <f t="shared" si="217"/>
        <v>3.363</v>
      </c>
    </row>
    <row r="6936" spans="1:12" x14ac:dyDescent="0.3">
      <c r="A6936" s="2">
        <v>43453</v>
      </c>
      <c r="B6936">
        <v>6.95</v>
      </c>
      <c r="D6936" s="2">
        <v>44184</v>
      </c>
      <c r="E6936">
        <v>4</v>
      </c>
      <c r="G6936" s="2">
        <v>44184</v>
      </c>
      <c r="H6936">
        <v>3.4769999999999999</v>
      </c>
      <c r="J6936" s="2">
        <v>44191</v>
      </c>
      <c r="K6936" s="3">
        <f t="shared" si="216"/>
        <v>4</v>
      </c>
      <c r="L6936" s="3">
        <f t="shared" si="217"/>
        <v>3.363</v>
      </c>
    </row>
    <row r="6937" spans="1:12" x14ac:dyDescent="0.3">
      <c r="A6937" s="2">
        <v>43454</v>
      </c>
      <c r="B6937">
        <v>6.95</v>
      </c>
      <c r="D6937" s="2">
        <v>44185</v>
      </c>
      <c r="E6937">
        <v>4</v>
      </c>
      <c r="G6937" s="2">
        <v>44185</v>
      </c>
      <c r="H6937">
        <v>3.4769999999999999</v>
      </c>
      <c r="J6937" s="2">
        <v>44192</v>
      </c>
      <c r="K6937" s="3">
        <f t="shared" si="216"/>
        <v>4</v>
      </c>
      <c r="L6937" s="3">
        <f t="shared" si="217"/>
        <v>3.363</v>
      </c>
    </row>
    <row r="6938" spans="1:12" x14ac:dyDescent="0.3">
      <c r="A6938" s="2">
        <v>43455</v>
      </c>
      <c r="B6938">
        <v>6.95</v>
      </c>
      <c r="D6938" s="2">
        <v>44186</v>
      </c>
      <c r="E6938">
        <v>4</v>
      </c>
      <c r="G6938" s="2">
        <v>44186</v>
      </c>
      <c r="H6938">
        <v>3.4289999999999998</v>
      </c>
      <c r="J6938" s="2">
        <v>44193</v>
      </c>
      <c r="K6938" s="3">
        <f t="shared" si="216"/>
        <v>4</v>
      </c>
      <c r="L6938" s="3">
        <f t="shared" si="217"/>
        <v>3.367</v>
      </c>
    </row>
    <row r="6939" spans="1:12" x14ac:dyDescent="0.3">
      <c r="A6939" s="2">
        <v>43456</v>
      </c>
      <c r="B6939">
        <v>6.95</v>
      </c>
      <c r="D6939" s="2">
        <v>44187</v>
      </c>
      <c r="E6939">
        <v>4</v>
      </c>
      <c r="G6939" s="2">
        <v>44187</v>
      </c>
      <c r="H6939">
        <v>3.4249999999999998</v>
      </c>
      <c r="J6939" s="2">
        <v>44194</v>
      </c>
      <c r="K6939" s="3">
        <f t="shared" si="216"/>
        <v>4</v>
      </c>
      <c r="L6939" s="3">
        <f t="shared" si="217"/>
        <v>3.367</v>
      </c>
    </row>
    <row r="6940" spans="1:12" x14ac:dyDescent="0.3">
      <c r="A6940" s="2">
        <v>43457</v>
      </c>
      <c r="B6940">
        <v>6.95</v>
      </c>
      <c r="D6940" s="2">
        <v>44188</v>
      </c>
      <c r="E6940">
        <v>4</v>
      </c>
      <c r="G6940" s="2">
        <v>44188</v>
      </c>
      <c r="H6940">
        <v>3.3940000000000001</v>
      </c>
      <c r="J6940" s="2">
        <v>44195</v>
      </c>
      <c r="K6940" s="3">
        <f t="shared" si="216"/>
        <v>4</v>
      </c>
      <c r="L6940" s="3">
        <f t="shared" si="217"/>
        <v>3.3719999999999999</v>
      </c>
    </row>
    <row r="6941" spans="1:12" x14ac:dyDescent="0.3">
      <c r="A6941" s="2">
        <v>43458</v>
      </c>
      <c r="B6941">
        <v>6.96</v>
      </c>
      <c r="D6941" s="2">
        <v>44189</v>
      </c>
      <c r="E6941">
        <v>4</v>
      </c>
      <c r="G6941" s="2">
        <v>44189</v>
      </c>
      <c r="H6941">
        <v>3.363</v>
      </c>
      <c r="J6941" s="2">
        <v>44196</v>
      </c>
      <c r="K6941" s="3">
        <f t="shared" si="216"/>
        <v>4</v>
      </c>
      <c r="L6941" s="3">
        <f t="shared" si="217"/>
        <v>3.4</v>
      </c>
    </row>
    <row r="6942" spans="1:12" x14ac:dyDescent="0.3">
      <c r="A6942" s="2">
        <v>43459</v>
      </c>
      <c r="B6942">
        <v>6.96</v>
      </c>
      <c r="D6942" s="2">
        <v>44190</v>
      </c>
      <c r="E6942">
        <v>4</v>
      </c>
      <c r="G6942" s="2">
        <v>44190</v>
      </c>
      <c r="H6942">
        <v>3.363</v>
      </c>
      <c r="J6942" s="2">
        <v>44197</v>
      </c>
      <c r="K6942" s="3">
        <f t="shared" si="216"/>
        <v>4</v>
      </c>
      <c r="L6942" s="3">
        <f t="shared" si="217"/>
        <v>3.3679999999999999</v>
      </c>
    </row>
    <row r="6943" spans="1:12" x14ac:dyDescent="0.3">
      <c r="A6943" s="2">
        <v>43460</v>
      </c>
      <c r="B6943">
        <v>6.91</v>
      </c>
      <c r="D6943" s="2">
        <v>44191</v>
      </c>
      <c r="E6943">
        <v>4</v>
      </c>
      <c r="G6943" s="2">
        <v>44191</v>
      </c>
      <c r="H6943">
        <v>3.363</v>
      </c>
      <c r="J6943" s="2">
        <v>44198</v>
      </c>
      <c r="K6943" s="3">
        <f t="shared" si="216"/>
        <v>4</v>
      </c>
      <c r="L6943" s="3">
        <f t="shared" si="217"/>
        <v>3.3679999999999999</v>
      </c>
    </row>
    <row r="6944" spans="1:12" x14ac:dyDescent="0.3">
      <c r="A6944" s="2">
        <v>43461</v>
      </c>
      <c r="B6944">
        <v>6.92</v>
      </c>
      <c r="D6944" s="2">
        <v>44192</v>
      </c>
      <c r="E6944">
        <v>4</v>
      </c>
      <c r="G6944" s="2">
        <v>44192</v>
      </c>
      <c r="H6944">
        <v>3.363</v>
      </c>
      <c r="J6944" s="2">
        <v>44199</v>
      </c>
      <c r="K6944" s="3">
        <f t="shared" si="216"/>
        <v>4</v>
      </c>
      <c r="L6944" s="3">
        <f t="shared" si="217"/>
        <v>3.3679999999999999</v>
      </c>
    </row>
    <row r="6945" spans="1:12" x14ac:dyDescent="0.3">
      <c r="A6945" s="2">
        <v>43462</v>
      </c>
      <c r="B6945">
        <v>6.93</v>
      </c>
      <c r="D6945" s="2">
        <v>44193</v>
      </c>
      <c r="E6945">
        <v>4</v>
      </c>
      <c r="G6945" s="2">
        <v>44193</v>
      </c>
      <c r="H6945">
        <v>3.367</v>
      </c>
      <c r="J6945" s="2">
        <v>44200</v>
      </c>
      <c r="K6945" s="3">
        <f t="shared" si="216"/>
        <v>4</v>
      </c>
      <c r="L6945" s="3">
        <f t="shared" si="217"/>
        <v>3.391</v>
      </c>
    </row>
    <row r="6946" spans="1:12" x14ac:dyDescent="0.3">
      <c r="A6946" s="2">
        <v>43463</v>
      </c>
      <c r="B6946">
        <v>6.93</v>
      </c>
      <c r="D6946" s="2">
        <v>44194</v>
      </c>
      <c r="E6946">
        <v>4</v>
      </c>
      <c r="G6946" s="2">
        <v>44194</v>
      </c>
      <c r="H6946">
        <v>3.367</v>
      </c>
      <c r="J6946" s="2">
        <v>44201</v>
      </c>
      <c r="K6946" s="3">
        <f t="shared" si="216"/>
        <v>4</v>
      </c>
      <c r="L6946" s="3">
        <f t="shared" si="217"/>
        <v>3.339</v>
      </c>
    </row>
    <row r="6947" spans="1:12" x14ac:dyDescent="0.3">
      <c r="A6947" s="2">
        <v>43464</v>
      </c>
      <c r="B6947">
        <v>6.93</v>
      </c>
      <c r="D6947" s="2">
        <v>44195</v>
      </c>
      <c r="E6947">
        <v>4</v>
      </c>
      <c r="G6947" s="2">
        <v>44195</v>
      </c>
      <c r="H6947">
        <v>3.3719999999999999</v>
      </c>
      <c r="J6947" s="2">
        <v>44202</v>
      </c>
      <c r="K6947" s="3">
        <f t="shared" si="216"/>
        <v>4</v>
      </c>
      <c r="L6947" s="3">
        <f t="shared" si="217"/>
        <v>3.8879999999999999</v>
      </c>
    </row>
    <row r="6948" spans="1:12" x14ac:dyDescent="0.3">
      <c r="A6948" s="2">
        <v>43465</v>
      </c>
      <c r="B6948">
        <v>6.92</v>
      </c>
      <c r="D6948" s="2">
        <v>44196</v>
      </c>
      <c r="E6948">
        <v>4</v>
      </c>
      <c r="G6948" s="2">
        <v>44196</v>
      </c>
      <c r="H6948">
        <v>3.4</v>
      </c>
      <c r="J6948" s="2">
        <v>44203</v>
      </c>
      <c r="K6948" s="3">
        <f t="shared" si="216"/>
        <v>4</v>
      </c>
      <c r="L6948" s="3">
        <f t="shared" si="217"/>
        <v>3.8919999999999999</v>
      </c>
    </row>
    <row r="6949" spans="1:12" x14ac:dyDescent="0.3">
      <c r="A6949" s="2">
        <v>43466</v>
      </c>
      <c r="B6949">
        <v>6.93</v>
      </c>
      <c r="D6949" s="2">
        <v>44197</v>
      </c>
      <c r="E6949">
        <v>4</v>
      </c>
      <c r="G6949" s="2">
        <v>44197</v>
      </c>
      <c r="H6949">
        <v>3.3679999999999999</v>
      </c>
      <c r="J6949" s="2">
        <v>44204</v>
      </c>
      <c r="K6949" s="3">
        <f t="shared" si="216"/>
        <v>4</v>
      </c>
      <c r="L6949" s="3">
        <f t="shared" si="217"/>
        <v>3.903</v>
      </c>
    </row>
    <row r="6950" spans="1:12" x14ac:dyDescent="0.3">
      <c r="A6950" s="2">
        <v>43467</v>
      </c>
      <c r="B6950">
        <v>6.9</v>
      </c>
      <c r="D6950" s="2">
        <v>44198</v>
      </c>
      <c r="E6950">
        <v>4</v>
      </c>
      <c r="G6950" s="2">
        <v>44198</v>
      </c>
      <c r="H6950">
        <v>3.3679999999999999</v>
      </c>
      <c r="J6950" s="2">
        <v>44205</v>
      </c>
      <c r="K6950" s="3">
        <f t="shared" si="216"/>
        <v>4</v>
      </c>
      <c r="L6950" s="3">
        <f t="shared" si="217"/>
        <v>3.903</v>
      </c>
    </row>
    <row r="6951" spans="1:12" x14ac:dyDescent="0.3">
      <c r="A6951" s="2">
        <v>43468</v>
      </c>
      <c r="B6951">
        <v>6.88</v>
      </c>
      <c r="D6951" s="2">
        <v>44199</v>
      </c>
      <c r="E6951">
        <v>4</v>
      </c>
      <c r="G6951" s="2">
        <v>44199</v>
      </c>
      <c r="H6951">
        <v>3.3679999999999999</v>
      </c>
      <c r="J6951" s="2">
        <v>44206</v>
      </c>
      <c r="K6951" s="3">
        <f t="shared" si="216"/>
        <v>4</v>
      </c>
      <c r="L6951" s="3">
        <f t="shared" si="217"/>
        <v>3.903</v>
      </c>
    </row>
    <row r="6952" spans="1:12" x14ac:dyDescent="0.3">
      <c r="A6952" s="2">
        <v>43469</v>
      </c>
      <c r="B6952">
        <v>6.86</v>
      </c>
      <c r="D6952" s="2">
        <v>44200</v>
      </c>
      <c r="E6952">
        <v>4</v>
      </c>
      <c r="G6952" s="2">
        <v>44200</v>
      </c>
      <c r="H6952">
        <v>3.391</v>
      </c>
      <c r="J6952" s="2">
        <v>44207</v>
      </c>
      <c r="K6952" s="3">
        <f t="shared" si="216"/>
        <v>4</v>
      </c>
      <c r="L6952" s="3">
        <f t="shared" si="217"/>
        <v>4.0460000000000003</v>
      </c>
    </row>
    <row r="6953" spans="1:12" x14ac:dyDescent="0.3">
      <c r="A6953" s="2">
        <v>43470</v>
      </c>
      <c r="B6953">
        <v>6.86</v>
      </c>
      <c r="D6953" s="2">
        <v>44201</v>
      </c>
      <c r="E6953">
        <v>4</v>
      </c>
      <c r="G6953" s="2">
        <v>44201</v>
      </c>
      <c r="H6953">
        <v>3.339</v>
      </c>
      <c r="J6953" s="2">
        <v>44208</v>
      </c>
      <c r="K6953" s="3">
        <f t="shared" si="216"/>
        <v>4</v>
      </c>
      <c r="L6953" s="3">
        <f t="shared" si="217"/>
        <v>4.2</v>
      </c>
    </row>
    <row r="6954" spans="1:12" x14ac:dyDescent="0.3">
      <c r="A6954" s="2">
        <v>43471</v>
      </c>
      <c r="B6954">
        <v>6.86</v>
      </c>
      <c r="D6954" s="2">
        <v>44202</v>
      </c>
      <c r="E6954">
        <v>4</v>
      </c>
      <c r="G6954" s="2">
        <v>44202</v>
      </c>
      <c r="H6954">
        <v>3.8879999999999999</v>
      </c>
      <c r="J6954" s="2">
        <v>44209</v>
      </c>
      <c r="K6954" s="3">
        <f t="shared" si="216"/>
        <v>4</v>
      </c>
      <c r="L6954" s="3">
        <f t="shared" si="217"/>
        <v>4.1959999999999997</v>
      </c>
    </row>
    <row r="6955" spans="1:12" x14ac:dyDescent="0.3">
      <c r="A6955" s="2">
        <v>43472</v>
      </c>
      <c r="B6955">
        <v>6.87</v>
      </c>
      <c r="D6955" s="2">
        <v>44203</v>
      </c>
      <c r="E6955">
        <v>4</v>
      </c>
      <c r="G6955" s="2">
        <v>44203</v>
      </c>
      <c r="H6955">
        <v>3.8919999999999999</v>
      </c>
      <c r="J6955" s="2">
        <v>44210</v>
      </c>
      <c r="K6955" s="3">
        <f t="shared" si="216"/>
        <v>4</v>
      </c>
      <c r="L6955" s="3">
        <f t="shared" si="217"/>
        <v>4.1920000000000002</v>
      </c>
    </row>
    <row r="6956" spans="1:12" x14ac:dyDescent="0.3">
      <c r="A6956" s="2">
        <v>43473</v>
      </c>
      <c r="B6956">
        <v>6.85</v>
      </c>
      <c r="D6956" s="2">
        <v>44204</v>
      </c>
      <c r="E6956">
        <v>4</v>
      </c>
      <c r="G6956" s="2">
        <v>44204</v>
      </c>
      <c r="H6956">
        <v>3.903</v>
      </c>
      <c r="J6956" s="2">
        <v>44211</v>
      </c>
      <c r="K6956" s="3">
        <f t="shared" si="216"/>
        <v>4</v>
      </c>
      <c r="L6956" s="3">
        <f t="shared" si="217"/>
        <v>4.1829999999999998</v>
      </c>
    </row>
    <row r="6957" spans="1:12" x14ac:dyDescent="0.3">
      <c r="A6957" s="2">
        <v>43474</v>
      </c>
      <c r="B6957">
        <v>6.87</v>
      </c>
      <c r="D6957" s="2">
        <v>44205</v>
      </c>
      <c r="E6957">
        <v>4</v>
      </c>
      <c r="G6957" s="2">
        <v>44205</v>
      </c>
      <c r="H6957">
        <v>3.903</v>
      </c>
      <c r="J6957" s="2">
        <v>44212</v>
      </c>
      <c r="K6957" s="3">
        <f t="shared" si="216"/>
        <v>4</v>
      </c>
      <c r="L6957" s="3">
        <f t="shared" si="217"/>
        <v>4.1829999999999998</v>
      </c>
    </row>
    <row r="6958" spans="1:12" x14ac:dyDescent="0.3">
      <c r="A6958" s="2">
        <v>43475</v>
      </c>
      <c r="B6958">
        <v>6.85</v>
      </c>
      <c r="D6958" s="2">
        <v>44206</v>
      </c>
      <c r="E6958">
        <v>4</v>
      </c>
      <c r="G6958" s="2">
        <v>44206</v>
      </c>
      <c r="H6958">
        <v>3.903</v>
      </c>
      <c r="J6958" s="2">
        <v>44213</v>
      </c>
      <c r="K6958" s="3">
        <f t="shared" si="216"/>
        <v>4</v>
      </c>
      <c r="L6958" s="3">
        <f t="shared" si="217"/>
        <v>4.1829999999999998</v>
      </c>
    </row>
    <row r="6959" spans="1:12" x14ac:dyDescent="0.3">
      <c r="A6959" s="2">
        <v>43476</v>
      </c>
      <c r="B6959">
        <v>6.87</v>
      </c>
      <c r="D6959" s="2">
        <v>44207</v>
      </c>
      <c r="E6959">
        <v>4</v>
      </c>
      <c r="G6959" s="2">
        <v>44207</v>
      </c>
      <c r="H6959">
        <v>4.0460000000000003</v>
      </c>
      <c r="J6959" s="2">
        <v>44214</v>
      </c>
      <c r="K6959" s="3">
        <f t="shared" si="216"/>
        <v>4</v>
      </c>
      <c r="L6959" s="3">
        <f t="shared" si="217"/>
        <v>4.194</v>
      </c>
    </row>
    <row r="6960" spans="1:12" x14ac:dyDescent="0.3">
      <c r="A6960" s="2">
        <v>43477</v>
      </c>
      <c r="B6960">
        <v>6.87</v>
      </c>
      <c r="D6960" s="2">
        <v>44208</v>
      </c>
      <c r="E6960">
        <v>4</v>
      </c>
      <c r="G6960" s="2">
        <v>44208</v>
      </c>
      <c r="H6960">
        <v>4.2</v>
      </c>
      <c r="J6960" s="2">
        <v>44215</v>
      </c>
      <c r="K6960" s="3">
        <f t="shared" si="216"/>
        <v>4</v>
      </c>
      <c r="L6960" s="3">
        <f t="shared" si="217"/>
        <v>4.2110000000000003</v>
      </c>
    </row>
    <row r="6961" spans="1:12" x14ac:dyDescent="0.3">
      <c r="A6961" s="2">
        <v>43478</v>
      </c>
      <c r="B6961">
        <v>6.87</v>
      </c>
      <c r="D6961" s="2">
        <v>44209</v>
      </c>
      <c r="E6961">
        <v>4</v>
      </c>
      <c r="G6961" s="2">
        <v>44209</v>
      </c>
      <c r="H6961">
        <v>4.1959999999999997</v>
      </c>
      <c r="J6961" s="2">
        <v>44216</v>
      </c>
      <c r="K6961" s="3">
        <f t="shared" si="216"/>
        <v>4</v>
      </c>
      <c r="L6961" s="3">
        <f t="shared" si="217"/>
        <v>4.2080000000000002</v>
      </c>
    </row>
    <row r="6962" spans="1:12" x14ac:dyDescent="0.3">
      <c r="A6962" s="2">
        <v>43479</v>
      </c>
      <c r="B6962">
        <v>6.84</v>
      </c>
      <c r="D6962" s="2">
        <v>44210</v>
      </c>
      <c r="E6962">
        <v>4</v>
      </c>
      <c r="G6962" s="2">
        <v>44210</v>
      </c>
      <c r="H6962">
        <v>4.1920000000000002</v>
      </c>
      <c r="J6962" s="2">
        <v>44217</v>
      </c>
      <c r="K6962" s="3">
        <f t="shared" si="216"/>
        <v>4</v>
      </c>
      <c r="L6962" s="3">
        <f t="shared" si="217"/>
        <v>4.22</v>
      </c>
    </row>
    <row r="6963" spans="1:12" x14ac:dyDescent="0.3">
      <c r="A6963" s="2">
        <v>43480</v>
      </c>
      <c r="B6963">
        <v>6.83</v>
      </c>
      <c r="D6963" s="2">
        <v>44211</v>
      </c>
      <c r="E6963">
        <v>4</v>
      </c>
      <c r="G6963" s="2">
        <v>44211</v>
      </c>
      <c r="H6963">
        <v>4.1829999999999998</v>
      </c>
      <c r="J6963" s="2">
        <v>44218</v>
      </c>
      <c r="K6963" s="3">
        <f t="shared" si="216"/>
        <v>4</v>
      </c>
      <c r="L6963" s="3">
        <f t="shared" si="217"/>
        <v>4.2149999999999999</v>
      </c>
    </row>
    <row r="6964" spans="1:12" x14ac:dyDescent="0.3">
      <c r="A6964" s="2">
        <v>43481</v>
      </c>
      <c r="B6964">
        <v>6.84</v>
      </c>
      <c r="D6964" s="2">
        <v>44212</v>
      </c>
      <c r="E6964">
        <v>4</v>
      </c>
      <c r="G6964" s="2">
        <v>44212</v>
      </c>
      <c r="H6964">
        <v>4.1829999999999998</v>
      </c>
      <c r="J6964" s="2">
        <v>44219</v>
      </c>
      <c r="K6964" s="3">
        <f t="shared" si="216"/>
        <v>4</v>
      </c>
      <c r="L6964" s="3">
        <f t="shared" si="217"/>
        <v>4.2149999999999999</v>
      </c>
    </row>
    <row r="6965" spans="1:12" x14ac:dyDescent="0.3">
      <c r="A6965" s="2">
        <v>43482</v>
      </c>
      <c r="B6965">
        <v>6.8</v>
      </c>
      <c r="D6965" s="2">
        <v>44213</v>
      </c>
      <c r="E6965">
        <v>4</v>
      </c>
      <c r="G6965" s="2">
        <v>44213</v>
      </c>
      <c r="H6965">
        <v>4.1829999999999998</v>
      </c>
      <c r="J6965" s="2">
        <v>44220</v>
      </c>
      <c r="K6965" s="3">
        <f t="shared" si="216"/>
        <v>4</v>
      </c>
      <c r="L6965" s="3">
        <f t="shared" si="217"/>
        <v>4.2149999999999999</v>
      </c>
    </row>
    <row r="6966" spans="1:12" x14ac:dyDescent="0.3">
      <c r="A6966" s="2">
        <v>43483</v>
      </c>
      <c r="B6966">
        <v>6.8</v>
      </c>
      <c r="D6966" s="2">
        <v>44214</v>
      </c>
      <c r="E6966">
        <v>4</v>
      </c>
      <c r="G6966" s="2">
        <v>44214</v>
      </c>
      <c r="H6966">
        <v>4.194</v>
      </c>
      <c r="J6966" s="2">
        <v>44221</v>
      </c>
      <c r="K6966" s="3">
        <f t="shared" si="216"/>
        <v>4</v>
      </c>
      <c r="L6966" s="3">
        <f t="shared" si="217"/>
        <v>4.2149999999999999</v>
      </c>
    </row>
    <row r="6967" spans="1:12" x14ac:dyDescent="0.3">
      <c r="A6967" s="2">
        <v>43484</v>
      </c>
      <c r="B6967">
        <v>6.8</v>
      </c>
      <c r="D6967" s="2">
        <v>44215</v>
      </c>
      <c r="E6967">
        <v>4</v>
      </c>
      <c r="G6967" s="2">
        <v>44215</v>
      </c>
      <c r="H6967">
        <v>4.2110000000000003</v>
      </c>
      <c r="J6967" s="2">
        <v>44222</v>
      </c>
      <c r="K6967" s="3">
        <f t="shared" si="216"/>
        <v>4</v>
      </c>
      <c r="L6967" s="3">
        <f t="shared" si="217"/>
        <v>4.2149999999999999</v>
      </c>
    </row>
    <row r="6968" spans="1:12" x14ac:dyDescent="0.3">
      <c r="A6968" s="2">
        <v>43485</v>
      </c>
      <c r="B6968">
        <v>6.8</v>
      </c>
      <c r="D6968" s="2">
        <v>44216</v>
      </c>
      <c r="E6968">
        <v>4</v>
      </c>
      <c r="G6968" s="2">
        <v>44216</v>
      </c>
      <c r="H6968">
        <v>4.2080000000000002</v>
      </c>
      <c r="J6968" s="2">
        <v>44223</v>
      </c>
      <c r="K6968" s="3">
        <f t="shared" si="216"/>
        <v>4</v>
      </c>
      <c r="L6968" s="3">
        <f t="shared" si="217"/>
        <v>4.2149999999999999</v>
      </c>
    </row>
    <row r="6969" spans="1:12" x14ac:dyDescent="0.3">
      <c r="A6969" s="2">
        <v>43486</v>
      </c>
      <c r="B6969">
        <v>6.8</v>
      </c>
      <c r="D6969" s="2">
        <v>44217</v>
      </c>
      <c r="E6969">
        <v>4</v>
      </c>
      <c r="G6969" s="2">
        <v>44217</v>
      </c>
      <c r="H6969">
        <v>4.22</v>
      </c>
      <c r="J6969" s="2">
        <v>44224</v>
      </c>
      <c r="K6969" s="3">
        <f t="shared" si="216"/>
        <v>4</v>
      </c>
      <c r="L6969" s="3">
        <f t="shared" si="217"/>
        <v>4.1950000000000003</v>
      </c>
    </row>
    <row r="6970" spans="1:12" x14ac:dyDescent="0.3">
      <c r="A6970" s="2">
        <v>43487</v>
      </c>
      <c r="B6970">
        <v>6.8</v>
      </c>
      <c r="D6970" s="2">
        <v>44218</v>
      </c>
      <c r="E6970">
        <v>4</v>
      </c>
      <c r="G6970" s="2">
        <v>44218</v>
      </c>
      <c r="H6970">
        <v>4.2149999999999999</v>
      </c>
      <c r="J6970" s="2">
        <v>44225</v>
      </c>
      <c r="K6970" s="3">
        <f t="shared" si="216"/>
        <v>4</v>
      </c>
      <c r="L6970" s="3">
        <f t="shared" si="217"/>
        <v>4.1870000000000003</v>
      </c>
    </row>
    <row r="6971" spans="1:12" x14ac:dyDescent="0.3">
      <c r="A6971" s="2">
        <v>43488</v>
      </c>
      <c r="B6971">
        <v>6.81</v>
      </c>
      <c r="D6971" s="2">
        <v>44219</v>
      </c>
      <c r="E6971">
        <v>4</v>
      </c>
      <c r="G6971" s="2">
        <v>44219</v>
      </c>
      <c r="H6971">
        <v>4.2149999999999999</v>
      </c>
      <c r="J6971" s="2">
        <v>44226</v>
      </c>
      <c r="K6971" s="3">
        <f t="shared" si="216"/>
        <v>4</v>
      </c>
      <c r="L6971" s="3">
        <f t="shared" si="217"/>
        <v>4.1870000000000003</v>
      </c>
    </row>
    <row r="6972" spans="1:12" x14ac:dyDescent="0.3">
      <c r="A6972" s="2">
        <v>43489</v>
      </c>
      <c r="B6972">
        <v>6.77</v>
      </c>
      <c r="D6972" s="2">
        <v>44220</v>
      </c>
      <c r="E6972">
        <v>4</v>
      </c>
      <c r="G6972" s="2">
        <v>44220</v>
      </c>
      <c r="H6972">
        <v>4.2149999999999999</v>
      </c>
      <c r="J6972" s="2">
        <v>44227</v>
      </c>
      <c r="K6972" s="3">
        <f t="shared" si="216"/>
        <v>4</v>
      </c>
      <c r="L6972" s="3">
        <f t="shared" si="217"/>
        <v>4.1870000000000003</v>
      </c>
    </row>
    <row r="6973" spans="1:12" x14ac:dyDescent="0.3">
      <c r="A6973" s="2">
        <v>43490</v>
      </c>
      <c r="B6973">
        <v>6.76</v>
      </c>
      <c r="D6973" s="2">
        <v>44221</v>
      </c>
      <c r="E6973">
        <v>4</v>
      </c>
      <c r="G6973" s="2">
        <v>44221</v>
      </c>
      <c r="H6973">
        <v>4.2149999999999999</v>
      </c>
      <c r="J6973" s="2">
        <v>44228</v>
      </c>
      <c r="K6973" s="3">
        <f t="shared" si="216"/>
        <v>4</v>
      </c>
      <c r="L6973" s="3">
        <f t="shared" si="217"/>
        <v>4.2380000000000004</v>
      </c>
    </row>
    <row r="6974" spans="1:12" x14ac:dyDescent="0.3">
      <c r="A6974" s="2">
        <v>43491</v>
      </c>
      <c r="B6974">
        <v>6.76</v>
      </c>
      <c r="D6974" s="2">
        <v>44222</v>
      </c>
      <c r="E6974">
        <v>4</v>
      </c>
      <c r="G6974" s="2">
        <v>44222</v>
      </c>
      <c r="H6974">
        <v>4.2149999999999999</v>
      </c>
      <c r="J6974" s="2">
        <v>44229</v>
      </c>
      <c r="K6974" s="3">
        <f t="shared" si="216"/>
        <v>4</v>
      </c>
      <c r="L6974" s="3">
        <f t="shared" si="217"/>
        <v>4.2610000000000001</v>
      </c>
    </row>
    <row r="6975" spans="1:12" x14ac:dyDescent="0.3">
      <c r="A6975" s="2">
        <v>43492</v>
      </c>
      <c r="B6975">
        <v>6.76</v>
      </c>
      <c r="D6975" s="2">
        <v>44223</v>
      </c>
      <c r="E6975">
        <v>4</v>
      </c>
      <c r="G6975" s="2">
        <v>44223</v>
      </c>
      <c r="H6975">
        <v>4.2149999999999999</v>
      </c>
      <c r="J6975" s="2">
        <v>44230</v>
      </c>
      <c r="K6975" s="3">
        <f t="shared" si="216"/>
        <v>4</v>
      </c>
      <c r="L6975" s="3">
        <f t="shared" si="217"/>
        <v>4</v>
      </c>
    </row>
    <row r="6976" spans="1:12" x14ac:dyDescent="0.3">
      <c r="A6976" s="2">
        <v>43493</v>
      </c>
      <c r="B6976">
        <v>6.76</v>
      </c>
      <c r="D6976" s="2">
        <v>44224</v>
      </c>
      <c r="E6976">
        <v>4</v>
      </c>
      <c r="G6976" s="2">
        <v>44224</v>
      </c>
      <c r="H6976">
        <v>4.1950000000000003</v>
      </c>
      <c r="J6976" s="2">
        <v>44231</v>
      </c>
      <c r="K6976" s="3">
        <f t="shared" si="216"/>
        <v>4</v>
      </c>
      <c r="L6976" s="3">
        <f t="shared" si="217"/>
        <v>4.0019999999999998</v>
      </c>
    </row>
    <row r="6977" spans="1:12" x14ac:dyDescent="0.3">
      <c r="A6977" s="2">
        <v>43494</v>
      </c>
      <c r="B6977">
        <v>6.75</v>
      </c>
      <c r="D6977" s="2">
        <v>44225</v>
      </c>
      <c r="E6977">
        <v>4</v>
      </c>
      <c r="G6977" s="2">
        <v>44225</v>
      </c>
      <c r="H6977">
        <v>4.1870000000000003</v>
      </c>
      <c r="J6977" s="2">
        <v>44232</v>
      </c>
      <c r="K6977" s="3">
        <f t="shared" si="216"/>
        <v>4</v>
      </c>
      <c r="L6977" s="3">
        <f t="shared" si="217"/>
        <v>4.077</v>
      </c>
    </row>
    <row r="6978" spans="1:12" x14ac:dyDescent="0.3">
      <c r="A6978" s="2">
        <v>43495</v>
      </c>
      <c r="B6978">
        <v>6.77</v>
      </c>
      <c r="D6978" s="2">
        <v>44226</v>
      </c>
      <c r="E6978">
        <v>4</v>
      </c>
      <c r="G6978" s="2">
        <v>44226</v>
      </c>
      <c r="H6978">
        <v>4.1870000000000003</v>
      </c>
      <c r="J6978" s="2">
        <v>44233</v>
      </c>
      <c r="K6978" s="3">
        <f t="shared" si="216"/>
        <v>4</v>
      </c>
      <c r="L6978" s="3">
        <f t="shared" si="217"/>
        <v>4.077</v>
      </c>
    </row>
    <row r="6979" spans="1:12" x14ac:dyDescent="0.3">
      <c r="A6979" s="2">
        <v>43496</v>
      </c>
      <c r="B6979">
        <v>6.73</v>
      </c>
      <c r="D6979" s="2">
        <v>44227</v>
      </c>
      <c r="E6979">
        <v>4</v>
      </c>
      <c r="G6979" s="2">
        <v>44227</v>
      </c>
      <c r="H6979">
        <v>4.1870000000000003</v>
      </c>
      <c r="J6979" s="2">
        <v>44234</v>
      </c>
      <c r="K6979" s="3">
        <f t="shared" ref="K6979:K7042" si="218">E6986</f>
        <v>4</v>
      </c>
      <c r="L6979" s="3">
        <f t="shared" ref="L6979:L7042" si="219">H6986</f>
        <v>4.077</v>
      </c>
    </row>
    <row r="6980" spans="1:12" x14ac:dyDescent="0.3">
      <c r="A6980" s="2">
        <v>43497</v>
      </c>
      <c r="B6980">
        <v>6.8</v>
      </c>
      <c r="D6980" s="2">
        <v>44228</v>
      </c>
      <c r="E6980">
        <v>4</v>
      </c>
      <c r="G6980" s="2">
        <v>44228</v>
      </c>
      <c r="H6980">
        <v>4.2380000000000004</v>
      </c>
      <c r="J6980" s="2">
        <v>44235</v>
      </c>
      <c r="K6980" s="3">
        <f t="shared" si="218"/>
        <v>4</v>
      </c>
      <c r="L6980" s="3">
        <f t="shared" si="219"/>
        <v>4.1079999999999997</v>
      </c>
    </row>
    <row r="6981" spans="1:12" x14ac:dyDescent="0.3">
      <c r="A6981" s="2">
        <v>43498</v>
      </c>
      <c r="B6981">
        <v>6.8</v>
      </c>
      <c r="D6981" s="2">
        <v>44229</v>
      </c>
      <c r="E6981">
        <v>4</v>
      </c>
      <c r="G6981" s="2">
        <v>44229</v>
      </c>
      <c r="H6981">
        <v>4.2610000000000001</v>
      </c>
      <c r="J6981" s="2">
        <v>44236</v>
      </c>
      <c r="K6981" s="3">
        <f t="shared" si="218"/>
        <v>4</v>
      </c>
      <c r="L6981" s="3">
        <f t="shared" si="219"/>
        <v>4.0949999999999998</v>
      </c>
    </row>
    <row r="6982" spans="1:12" x14ac:dyDescent="0.3">
      <c r="A6982" s="2">
        <v>43499</v>
      </c>
      <c r="B6982">
        <v>6.8</v>
      </c>
      <c r="D6982" s="2">
        <v>44230</v>
      </c>
      <c r="E6982">
        <v>4</v>
      </c>
      <c r="G6982" s="2">
        <v>44230</v>
      </c>
      <c r="H6982">
        <v>4</v>
      </c>
      <c r="J6982" s="2">
        <v>44237</v>
      </c>
      <c r="K6982" s="3">
        <f t="shared" si="218"/>
        <v>4</v>
      </c>
      <c r="L6982" s="3">
        <f t="shared" si="219"/>
        <v>4.0350000000000001</v>
      </c>
    </row>
    <row r="6983" spans="1:12" x14ac:dyDescent="0.3">
      <c r="A6983" s="2">
        <v>43500</v>
      </c>
      <c r="B6983">
        <v>6.75</v>
      </c>
      <c r="D6983" s="2">
        <v>44231</v>
      </c>
      <c r="E6983">
        <v>4</v>
      </c>
      <c r="G6983" s="2">
        <v>44231</v>
      </c>
      <c r="H6983">
        <v>4.0019999999999998</v>
      </c>
      <c r="J6983" s="2">
        <v>44238</v>
      </c>
      <c r="K6983" s="3">
        <f t="shared" si="218"/>
        <v>4</v>
      </c>
      <c r="L6983" s="3">
        <f t="shared" si="219"/>
        <v>4.0419999999999998</v>
      </c>
    </row>
    <row r="6984" spans="1:12" x14ac:dyDescent="0.3">
      <c r="A6984" s="2">
        <v>43501</v>
      </c>
      <c r="B6984">
        <v>6.75</v>
      </c>
      <c r="D6984" s="2">
        <v>44232</v>
      </c>
      <c r="E6984">
        <v>4</v>
      </c>
      <c r="G6984" s="2">
        <v>44232</v>
      </c>
      <c r="H6984">
        <v>4.077</v>
      </c>
      <c r="J6984" s="2">
        <v>44239</v>
      </c>
      <c r="K6984" s="3">
        <f t="shared" si="218"/>
        <v>4</v>
      </c>
      <c r="L6984" s="3">
        <f t="shared" si="219"/>
        <v>4.0819999999999999</v>
      </c>
    </row>
    <row r="6985" spans="1:12" x14ac:dyDescent="0.3">
      <c r="A6985" s="2">
        <v>43502</v>
      </c>
      <c r="B6985">
        <v>6.77</v>
      </c>
      <c r="D6985" s="2">
        <v>44233</v>
      </c>
      <c r="E6985">
        <v>4</v>
      </c>
      <c r="G6985" s="2">
        <v>44233</v>
      </c>
      <c r="H6985">
        <v>4.077</v>
      </c>
      <c r="J6985" s="2">
        <v>44240</v>
      </c>
      <c r="K6985" s="3">
        <f t="shared" si="218"/>
        <v>4</v>
      </c>
      <c r="L6985" s="3">
        <f t="shared" si="219"/>
        <v>4.0819999999999999</v>
      </c>
    </row>
    <row r="6986" spans="1:12" x14ac:dyDescent="0.3">
      <c r="A6986" s="2">
        <v>43503</v>
      </c>
      <c r="B6986">
        <v>6.6</v>
      </c>
      <c r="D6986" s="2">
        <v>44234</v>
      </c>
      <c r="E6986">
        <v>4</v>
      </c>
      <c r="G6986" s="2">
        <v>44234</v>
      </c>
      <c r="H6986">
        <v>4.077</v>
      </c>
      <c r="J6986" s="2">
        <v>44241</v>
      </c>
      <c r="K6986" s="3">
        <f t="shared" si="218"/>
        <v>4</v>
      </c>
      <c r="L6986" s="3">
        <f t="shared" si="219"/>
        <v>4.0819999999999999</v>
      </c>
    </row>
    <row r="6987" spans="1:12" x14ac:dyDescent="0.3">
      <c r="A6987" s="2">
        <v>43504</v>
      </c>
      <c r="B6987">
        <v>6.55</v>
      </c>
      <c r="D6987" s="2">
        <v>44235</v>
      </c>
      <c r="E6987">
        <v>4</v>
      </c>
      <c r="G6987" s="2">
        <v>44235</v>
      </c>
      <c r="H6987">
        <v>4.1079999999999997</v>
      </c>
      <c r="J6987" s="2">
        <v>44242</v>
      </c>
      <c r="K6987" s="3">
        <f t="shared" si="218"/>
        <v>4</v>
      </c>
      <c r="L6987" s="3">
        <f t="shared" si="219"/>
        <v>4.0570000000000004</v>
      </c>
    </row>
    <row r="6988" spans="1:12" x14ac:dyDescent="0.3">
      <c r="A6988" s="2">
        <v>43505</v>
      </c>
      <c r="B6988">
        <v>6.55</v>
      </c>
      <c r="D6988" s="2">
        <v>44236</v>
      </c>
      <c r="E6988">
        <v>4</v>
      </c>
      <c r="G6988" s="2">
        <v>44236</v>
      </c>
      <c r="H6988">
        <v>4.0949999999999998</v>
      </c>
      <c r="J6988" s="2">
        <v>44243</v>
      </c>
      <c r="K6988" s="3">
        <f t="shared" si="218"/>
        <v>4</v>
      </c>
      <c r="L6988" s="3">
        <f t="shared" si="219"/>
        <v>4.0380000000000003</v>
      </c>
    </row>
    <row r="6989" spans="1:12" x14ac:dyDescent="0.3">
      <c r="A6989" s="2">
        <v>43506</v>
      </c>
      <c r="B6989">
        <v>6.55</v>
      </c>
      <c r="D6989" s="2">
        <v>44237</v>
      </c>
      <c r="E6989">
        <v>4</v>
      </c>
      <c r="G6989" s="2">
        <v>44237</v>
      </c>
      <c r="H6989">
        <v>4.0350000000000001</v>
      </c>
      <c r="J6989" s="2">
        <v>44244</v>
      </c>
      <c r="K6989" s="3">
        <f t="shared" si="218"/>
        <v>4</v>
      </c>
      <c r="L6989" s="3">
        <f t="shared" si="219"/>
        <v>4.0380000000000003</v>
      </c>
    </row>
    <row r="6990" spans="1:12" x14ac:dyDescent="0.3">
      <c r="A6990" s="2">
        <v>43507</v>
      </c>
      <c r="B6990">
        <v>6.58</v>
      </c>
      <c r="D6990" s="2">
        <v>44238</v>
      </c>
      <c r="E6990">
        <v>4</v>
      </c>
      <c r="G6990" s="2">
        <v>44238</v>
      </c>
      <c r="H6990">
        <v>4.0419999999999998</v>
      </c>
      <c r="J6990" s="2">
        <v>44245</v>
      </c>
      <c r="K6990" s="3">
        <f t="shared" si="218"/>
        <v>4</v>
      </c>
      <c r="L6990" s="3">
        <f t="shared" si="219"/>
        <v>4.0439999999999996</v>
      </c>
    </row>
    <row r="6991" spans="1:12" x14ac:dyDescent="0.3">
      <c r="A6991" s="2">
        <v>43508</v>
      </c>
      <c r="B6991">
        <v>6.6</v>
      </c>
      <c r="D6991" s="2">
        <v>44239</v>
      </c>
      <c r="E6991">
        <v>4</v>
      </c>
      <c r="G6991" s="2">
        <v>44239</v>
      </c>
      <c r="H6991">
        <v>4.0819999999999999</v>
      </c>
      <c r="J6991" s="2">
        <v>44246</v>
      </c>
      <c r="K6991" s="3">
        <f t="shared" si="218"/>
        <v>4</v>
      </c>
      <c r="L6991" s="3">
        <f t="shared" si="219"/>
        <v>4.0439999999999996</v>
      </c>
    </row>
    <row r="6992" spans="1:12" x14ac:dyDescent="0.3">
      <c r="A6992" s="2">
        <v>43509</v>
      </c>
      <c r="B6992">
        <v>6.49</v>
      </c>
      <c r="D6992" s="2">
        <v>44240</v>
      </c>
      <c r="E6992">
        <v>4</v>
      </c>
      <c r="G6992" s="2">
        <v>44240</v>
      </c>
      <c r="H6992">
        <v>4.0819999999999999</v>
      </c>
      <c r="J6992" s="2">
        <v>44247</v>
      </c>
      <c r="K6992" s="3">
        <f t="shared" si="218"/>
        <v>4</v>
      </c>
      <c r="L6992" s="3">
        <f t="shared" si="219"/>
        <v>4.0439999999999996</v>
      </c>
    </row>
    <row r="6993" spans="1:12" x14ac:dyDescent="0.3">
      <c r="A6993" s="2">
        <v>43510</v>
      </c>
      <c r="B6993">
        <v>6.48</v>
      </c>
      <c r="D6993" s="2">
        <v>44241</v>
      </c>
      <c r="E6993">
        <v>4</v>
      </c>
      <c r="G6993" s="2">
        <v>44241</v>
      </c>
      <c r="H6993">
        <v>4.0819999999999999</v>
      </c>
      <c r="J6993" s="2">
        <v>44248</v>
      </c>
      <c r="K6993" s="3">
        <f t="shared" si="218"/>
        <v>4</v>
      </c>
      <c r="L6993" s="3">
        <f t="shared" si="219"/>
        <v>4.0439999999999996</v>
      </c>
    </row>
    <row r="6994" spans="1:12" x14ac:dyDescent="0.3">
      <c r="A6994" s="2">
        <v>43511</v>
      </c>
      <c r="B6994">
        <v>6.46</v>
      </c>
      <c r="D6994" s="2">
        <v>44242</v>
      </c>
      <c r="E6994">
        <v>4</v>
      </c>
      <c r="G6994" s="2">
        <v>44242</v>
      </c>
      <c r="H6994">
        <v>4.0570000000000004</v>
      </c>
      <c r="J6994" s="2">
        <v>44249</v>
      </c>
      <c r="K6994" s="3">
        <f t="shared" si="218"/>
        <v>4</v>
      </c>
      <c r="L6994" s="3">
        <f t="shared" si="219"/>
        <v>4.0869999999999997</v>
      </c>
    </row>
    <row r="6995" spans="1:12" x14ac:dyDescent="0.3">
      <c r="A6995" s="2">
        <v>43512</v>
      </c>
      <c r="B6995">
        <v>6.46</v>
      </c>
      <c r="D6995" s="2">
        <v>44243</v>
      </c>
      <c r="E6995">
        <v>4</v>
      </c>
      <c r="G6995" s="2">
        <v>44243</v>
      </c>
      <c r="H6995">
        <v>4.0380000000000003</v>
      </c>
      <c r="J6995" s="2">
        <v>44250</v>
      </c>
      <c r="K6995" s="3">
        <f t="shared" si="218"/>
        <v>4</v>
      </c>
      <c r="L6995" s="3">
        <f t="shared" si="219"/>
        <v>4.085</v>
      </c>
    </row>
    <row r="6996" spans="1:12" x14ac:dyDescent="0.3">
      <c r="A6996" s="2">
        <v>43513</v>
      </c>
      <c r="B6996">
        <v>6.46</v>
      </c>
      <c r="D6996" s="2">
        <v>44244</v>
      </c>
      <c r="E6996">
        <v>4</v>
      </c>
      <c r="G6996" s="2">
        <v>44244</v>
      </c>
      <c r="H6996">
        <v>4.0380000000000003</v>
      </c>
      <c r="J6996" s="2">
        <v>44251</v>
      </c>
      <c r="K6996" s="3">
        <f t="shared" si="218"/>
        <v>4</v>
      </c>
      <c r="L6996" s="3">
        <f t="shared" si="219"/>
        <v>4.0369999999999999</v>
      </c>
    </row>
    <row r="6997" spans="1:12" x14ac:dyDescent="0.3">
      <c r="A6997" s="2">
        <v>43514</v>
      </c>
      <c r="B6997">
        <v>6.5</v>
      </c>
      <c r="D6997" s="2">
        <v>44245</v>
      </c>
      <c r="E6997">
        <v>4</v>
      </c>
      <c r="G6997" s="2">
        <v>44245</v>
      </c>
      <c r="H6997">
        <v>4.0439999999999996</v>
      </c>
      <c r="J6997" s="2">
        <v>44252</v>
      </c>
      <c r="K6997" s="3">
        <f t="shared" si="218"/>
        <v>4</v>
      </c>
      <c r="L6997" s="3">
        <f t="shared" si="219"/>
        <v>4.0369999999999999</v>
      </c>
    </row>
    <row r="6998" spans="1:12" x14ac:dyDescent="0.3">
      <c r="A6998" s="2">
        <v>43515</v>
      </c>
      <c r="B6998">
        <v>6.5</v>
      </c>
      <c r="D6998" s="2">
        <v>44246</v>
      </c>
      <c r="E6998">
        <v>4</v>
      </c>
      <c r="G6998" s="2">
        <v>44246</v>
      </c>
      <c r="H6998">
        <v>4.0439999999999996</v>
      </c>
      <c r="J6998" s="2">
        <v>44253</v>
      </c>
      <c r="K6998" s="3">
        <f t="shared" si="218"/>
        <v>4</v>
      </c>
      <c r="L6998" s="3">
        <f t="shared" si="219"/>
        <v>4.0369999999999999</v>
      </c>
    </row>
    <row r="6999" spans="1:12" x14ac:dyDescent="0.3">
      <c r="A6999" s="2">
        <v>43516</v>
      </c>
      <c r="B6999">
        <v>6.5</v>
      </c>
      <c r="D6999" s="2">
        <v>44247</v>
      </c>
      <c r="E6999">
        <v>4</v>
      </c>
      <c r="G6999" s="2">
        <v>44247</v>
      </c>
      <c r="H6999">
        <v>4.0439999999999996</v>
      </c>
      <c r="J6999" s="2">
        <v>44254</v>
      </c>
      <c r="K6999" s="3">
        <f t="shared" si="218"/>
        <v>4</v>
      </c>
      <c r="L6999" s="3">
        <f t="shared" si="219"/>
        <v>4.0369999999999999</v>
      </c>
    </row>
    <row r="7000" spans="1:12" x14ac:dyDescent="0.3">
      <c r="A7000" s="2">
        <v>43517</v>
      </c>
      <c r="B7000">
        <v>6.48</v>
      </c>
      <c r="D7000" s="2">
        <v>44248</v>
      </c>
      <c r="E7000">
        <v>4</v>
      </c>
      <c r="G7000" s="2">
        <v>44248</v>
      </c>
      <c r="H7000">
        <v>4.0439999999999996</v>
      </c>
      <c r="J7000" s="2">
        <v>44255</v>
      </c>
      <c r="K7000" s="3">
        <f t="shared" si="218"/>
        <v>4</v>
      </c>
      <c r="L7000" s="3">
        <f t="shared" si="219"/>
        <v>4.0369999999999999</v>
      </c>
    </row>
    <row r="7001" spans="1:12" x14ac:dyDescent="0.3">
      <c r="A7001" s="2">
        <v>43518</v>
      </c>
      <c r="B7001">
        <v>6.61</v>
      </c>
      <c r="D7001" s="2">
        <v>44249</v>
      </c>
      <c r="E7001">
        <v>4</v>
      </c>
      <c r="G7001" s="2">
        <v>44249</v>
      </c>
      <c r="H7001">
        <v>4.0869999999999997</v>
      </c>
      <c r="J7001" s="2">
        <v>44256</v>
      </c>
      <c r="K7001" s="3">
        <f t="shared" si="218"/>
        <v>4</v>
      </c>
      <c r="L7001" s="3">
        <f t="shared" si="219"/>
        <v>4.0369999999999999</v>
      </c>
    </row>
    <row r="7002" spans="1:12" x14ac:dyDescent="0.3">
      <c r="A7002" s="2">
        <v>43519</v>
      </c>
      <c r="B7002">
        <v>6.61</v>
      </c>
      <c r="D7002" s="2">
        <v>44250</v>
      </c>
      <c r="E7002">
        <v>4</v>
      </c>
      <c r="G7002" s="2">
        <v>44250</v>
      </c>
      <c r="H7002">
        <v>4.085</v>
      </c>
      <c r="J7002" s="2">
        <v>44257</v>
      </c>
      <c r="K7002" s="3">
        <f t="shared" si="218"/>
        <v>4</v>
      </c>
      <c r="L7002" s="3">
        <f t="shared" si="219"/>
        <v>4.0369999999999999</v>
      </c>
    </row>
    <row r="7003" spans="1:12" x14ac:dyDescent="0.3">
      <c r="A7003" s="2">
        <v>43520</v>
      </c>
      <c r="B7003">
        <v>6.61</v>
      </c>
      <c r="D7003" s="2">
        <v>44251</v>
      </c>
      <c r="E7003">
        <v>4</v>
      </c>
      <c r="G7003" s="2">
        <v>44251</v>
      </c>
      <c r="H7003">
        <v>4.0369999999999999</v>
      </c>
      <c r="J7003" s="2">
        <v>44258</v>
      </c>
      <c r="K7003" s="3">
        <f t="shared" si="218"/>
        <v>4</v>
      </c>
      <c r="L7003" s="3">
        <f t="shared" si="219"/>
        <v>3.952</v>
      </c>
    </row>
    <row r="7004" spans="1:12" x14ac:dyDescent="0.3">
      <c r="A7004" s="2">
        <v>43521</v>
      </c>
      <c r="B7004">
        <v>6.53</v>
      </c>
      <c r="D7004" s="2">
        <v>44252</v>
      </c>
      <c r="E7004">
        <v>4</v>
      </c>
      <c r="G7004" s="2">
        <v>44252</v>
      </c>
      <c r="H7004">
        <v>4.0369999999999999</v>
      </c>
      <c r="J7004" s="2">
        <v>44259</v>
      </c>
      <c r="K7004" s="3">
        <f t="shared" si="218"/>
        <v>4</v>
      </c>
      <c r="L7004" s="3">
        <f t="shared" si="219"/>
        <v>3.9380000000000002</v>
      </c>
    </row>
    <row r="7005" spans="1:12" x14ac:dyDescent="0.3">
      <c r="A7005" s="2">
        <v>43522</v>
      </c>
      <c r="B7005">
        <v>6.5</v>
      </c>
      <c r="D7005" s="2">
        <v>44253</v>
      </c>
      <c r="E7005">
        <v>4</v>
      </c>
      <c r="G7005" s="2">
        <v>44253</v>
      </c>
      <c r="H7005">
        <v>4.0369999999999999</v>
      </c>
      <c r="J7005" s="2">
        <v>44260</v>
      </c>
      <c r="K7005" s="3">
        <f t="shared" si="218"/>
        <v>4</v>
      </c>
      <c r="L7005" s="3">
        <f t="shared" si="219"/>
        <v>3.9380000000000002</v>
      </c>
    </row>
    <row r="7006" spans="1:12" x14ac:dyDescent="0.3">
      <c r="A7006" s="2">
        <v>43523</v>
      </c>
      <c r="B7006">
        <v>6.52</v>
      </c>
      <c r="D7006" s="2">
        <v>44254</v>
      </c>
      <c r="E7006">
        <v>4</v>
      </c>
      <c r="G7006" s="2">
        <v>44254</v>
      </c>
      <c r="H7006">
        <v>4.0369999999999999</v>
      </c>
      <c r="J7006" s="2">
        <v>44261</v>
      </c>
      <c r="K7006" s="3">
        <f t="shared" si="218"/>
        <v>4</v>
      </c>
      <c r="L7006" s="3">
        <f t="shared" si="219"/>
        <v>3.9380000000000002</v>
      </c>
    </row>
    <row r="7007" spans="1:12" x14ac:dyDescent="0.3">
      <c r="A7007" s="2">
        <v>43524</v>
      </c>
      <c r="B7007">
        <v>6.51</v>
      </c>
      <c r="D7007" s="2">
        <v>44255</v>
      </c>
      <c r="E7007">
        <v>4</v>
      </c>
      <c r="G7007" s="2">
        <v>44255</v>
      </c>
      <c r="H7007">
        <v>4.0369999999999999</v>
      </c>
      <c r="J7007" s="2">
        <v>44262</v>
      </c>
      <c r="K7007" s="3">
        <f t="shared" si="218"/>
        <v>4</v>
      </c>
      <c r="L7007" s="3">
        <f t="shared" si="219"/>
        <v>3.9380000000000002</v>
      </c>
    </row>
    <row r="7008" spans="1:12" x14ac:dyDescent="0.3">
      <c r="A7008" s="2">
        <v>43525</v>
      </c>
      <c r="B7008">
        <v>6.5</v>
      </c>
      <c r="D7008" s="2">
        <v>44256</v>
      </c>
      <c r="E7008">
        <v>4</v>
      </c>
      <c r="G7008" s="2">
        <v>44256</v>
      </c>
      <c r="H7008">
        <v>4.0369999999999999</v>
      </c>
      <c r="J7008" s="2">
        <v>44263</v>
      </c>
      <c r="K7008" s="3">
        <f t="shared" si="218"/>
        <v>4</v>
      </c>
      <c r="L7008" s="3">
        <f t="shared" si="219"/>
        <v>3.9529999999999998</v>
      </c>
    </row>
    <row r="7009" spans="1:12" x14ac:dyDescent="0.3">
      <c r="A7009" s="2">
        <v>43526</v>
      </c>
      <c r="B7009">
        <v>6.5</v>
      </c>
      <c r="D7009" s="2">
        <v>44257</v>
      </c>
      <c r="E7009">
        <v>4</v>
      </c>
      <c r="G7009" s="2">
        <v>44257</v>
      </c>
      <c r="H7009">
        <v>4.0369999999999999</v>
      </c>
      <c r="J7009" s="2">
        <v>44264</v>
      </c>
      <c r="K7009" s="3">
        <f t="shared" si="218"/>
        <v>4</v>
      </c>
      <c r="L7009" s="3">
        <f t="shared" si="219"/>
        <v>3.9510000000000001</v>
      </c>
    </row>
    <row r="7010" spans="1:12" x14ac:dyDescent="0.3">
      <c r="A7010" s="2">
        <v>43527</v>
      </c>
      <c r="B7010">
        <v>6.5</v>
      </c>
      <c r="D7010" s="2">
        <v>44258</v>
      </c>
      <c r="E7010">
        <v>4</v>
      </c>
      <c r="G7010" s="2">
        <v>44258</v>
      </c>
      <c r="H7010">
        <v>3.952</v>
      </c>
      <c r="J7010" s="2">
        <v>44265</v>
      </c>
      <c r="K7010" s="3">
        <f t="shared" si="218"/>
        <v>4</v>
      </c>
      <c r="L7010" s="3">
        <f t="shared" si="219"/>
        <v>3.97</v>
      </c>
    </row>
    <row r="7011" spans="1:12" x14ac:dyDescent="0.3">
      <c r="A7011" s="2">
        <v>43528</v>
      </c>
      <c r="B7011">
        <v>6.5</v>
      </c>
      <c r="D7011" s="2">
        <v>44259</v>
      </c>
      <c r="E7011">
        <v>4</v>
      </c>
      <c r="G7011" s="2">
        <v>44259</v>
      </c>
      <c r="H7011">
        <v>3.9380000000000002</v>
      </c>
      <c r="J7011" s="2">
        <v>44266</v>
      </c>
      <c r="K7011" s="3">
        <f t="shared" si="218"/>
        <v>4</v>
      </c>
      <c r="L7011" s="3">
        <f t="shared" si="219"/>
        <v>3.97</v>
      </c>
    </row>
    <row r="7012" spans="1:12" x14ac:dyDescent="0.3">
      <c r="A7012" s="2">
        <v>43529</v>
      </c>
      <c r="B7012">
        <v>6.49</v>
      </c>
      <c r="D7012" s="2">
        <v>44260</v>
      </c>
      <c r="E7012">
        <v>4</v>
      </c>
      <c r="G7012" s="2">
        <v>44260</v>
      </c>
      <c r="H7012">
        <v>3.9380000000000002</v>
      </c>
      <c r="J7012" s="2">
        <v>44267</v>
      </c>
      <c r="K7012" s="3">
        <f t="shared" si="218"/>
        <v>4</v>
      </c>
      <c r="L7012" s="3">
        <f t="shared" si="219"/>
        <v>3.976</v>
      </c>
    </row>
    <row r="7013" spans="1:12" x14ac:dyDescent="0.3">
      <c r="A7013" s="2">
        <v>43530</v>
      </c>
      <c r="B7013">
        <v>6.51</v>
      </c>
      <c r="D7013" s="2">
        <v>44261</v>
      </c>
      <c r="E7013">
        <v>4</v>
      </c>
      <c r="G7013" s="2">
        <v>44261</v>
      </c>
      <c r="H7013">
        <v>3.9380000000000002</v>
      </c>
      <c r="J7013" s="2">
        <v>44268</v>
      </c>
      <c r="K7013" s="3">
        <f t="shared" si="218"/>
        <v>4</v>
      </c>
      <c r="L7013" s="3">
        <f t="shared" si="219"/>
        <v>3.976</v>
      </c>
    </row>
    <row r="7014" spans="1:12" x14ac:dyDescent="0.3">
      <c r="A7014" s="2">
        <v>43531</v>
      </c>
      <c r="B7014">
        <v>6.48</v>
      </c>
      <c r="D7014" s="2">
        <v>44262</v>
      </c>
      <c r="E7014">
        <v>4</v>
      </c>
      <c r="G7014" s="2">
        <v>44262</v>
      </c>
      <c r="H7014">
        <v>3.9380000000000002</v>
      </c>
      <c r="J7014" s="2">
        <v>44269</v>
      </c>
      <c r="K7014" s="3">
        <f t="shared" si="218"/>
        <v>4</v>
      </c>
      <c r="L7014" s="3">
        <f t="shared" si="219"/>
        <v>3.976</v>
      </c>
    </row>
    <row r="7015" spans="1:12" x14ac:dyDescent="0.3">
      <c r="A7015" s="2">
        <v>43532</v>
      </c>
      <c r="B7015">
        <v>6.47</v>
      </c>
      <c r="D7015" s="2">
        <v>44263</v>
      </c>
      <c r="E7015">
        <v>4</v>
      </c>
      <c r="G7015" s="2">
        <v>44263</v>
      </c>
      <c r="H7015">
        <v>3.9529999999999998</v>
      </c>
      <c r="J7015" s="2">
        <v>44270</v>
      </c>
      <c r="K7015" s="3">
        <f t="shared" si="218"/>
        <v>4</v>
      </c>
      <c r="L7015" s="3">
        <f t="shared" si="219"/>
        <v>3.9750000000000001</v>
      </c>
    </row>
    <row r="7016" spans="1:12" x14ac:dyDescent="0.3">
      <c r="A7016" s="2">
        <v>43533</v>
      </c>
      <c r="B7016">
        <v>6.47</v>
      </c>
      <c r="D7016" s="2">
        <v>44264</v>
      </c>
      <c r="E7016">
        <v>4</v>
      </c>
      <c r="G7016" s="2">
        <v>44264</v>
      </c>
      <c r="H7016">
        <v>3.9510000000000001</v>
      </c>
      <c r="J7016" s="2">
        <v>44271</v>
      </c>
      <c r="K7016" s="3">
        <f t="shared" si="218"/>
        <v>4</v>
      </c>
      <c r="L7016" s="3">
        <f t="shared" si="219"/>
        <v>3.94</v>
      </c>
    </row>
    <row r="7017" spans="1:12" x14ac:dyDescent="0.3">
      <c r="A7017" s="2">
        <v>43534</v>
      </c>
      <c r="B7017">
        <v>6.47</v>
      </c>
      <c r="D7017" s="2">
        <v>44265</v>
      </c>
      <c r="E7017">
        <v>4</v>
      </c>
      <c r="G7017" s="2">
        <v>44265</v>
      </c>
      <c r="H7017">
        <v>3.97</v>
      </c>
      <c r="J7017" s="2">
        <v>44272</v>
      </c>
      <c r="K7017" s="3">
        <f t="shared" si="218"/>
        <v>4</v>
      </c>
      <c r="L7017" s="3">
        <f t="shared" si="219"/>
        <v>3.9279999999999999</v>
      </c>
    </row>
    <row r="7018" spans="1:12" x14ac:dyDescent="0.3">
      <c r="A7018" s="2">
        <v>43535</v>
      </c>
      <c r="B7018">
        <v>6.5</v>
      </c>
      <c r="D7018" s="2">
        <v>44266</v>
      </c>
      <c r="E7018">
        <v>4</v>
      </c>
      <c r="G7018" s="2">
        <v>44266</v>
      </c>
      <c r="H7018">
        <v>3.97</v>
      </c>
      <c r="J7018" s="2">
        <v>44273</v>
      </c>
      <c r="K7018" s="3">
        <f t="shared" si="218"/>
        <v>4</v>
      </c>
      <c r="L7018" s="3">
        <f t="shared" si="219"/>
        <v>3.9119999999999999</v>
      </c>
    </row>
    <row r="7019" spans="1:12" x14ac:dyDescent="0.3">
      <c r="A7019" s="2">
        <v>43536</v>
      </c>
      <c r="B7019">
        <v>6.47</v>
      </c>
      <c r="D7019" s="2">
        <v>44267</v>
      </c>
      <c r="E7019">
        <v>4</v>
      </c>
      <c r="G7019" s="2">
        <v>44267</v>
      </c>
      <c r="H7019">
        <v>3.976</v>
      </c>
      <c r="J7019" s="2">
        <v>44274</v>
      </c>
      <c r="K7019" s="3">
        <f t="shared" si="218"/>
        <v>4</v>
      </c>
      <c r="L7019" s="3">
        <f t="shared" si="219"/>
        <v>4.0439999999999996</v>
      </c>
    </row>
    <row r="7020" spans="1:12" x14ac:dyDescent="0.3">
      <c r="A7020" s="2">
        <v>43537</v>
      </c>
      <c r="B7020">
        <v>6.48</v>
      </c>
      <c r="D7020" s="2">
        <v>44268</v>
      </c>
      <c r="E7020">
        <v>4</v>
      </c>
      <c r="G7020" s="2">
        <v>44268</v>
      </c>
      <c r="H7020">
        <v>3.976</v>
      </c>
      <c r="J7020" s="2">
        <v>44275</v>
      </c>
      <c r="K7020" s="3">
        <f t="shared" si="218"/>
        <v>4</v>
      </c>
      <c r="L7020" s="3">
        <f t="shared" si="219"/>
        <v>4.0439999999999996</v>
      </c>
    </row>
    <row r="7021" spans="1:12" x14ac:dyDescent="0.3">
      <c r="A7021" s="2">
        <v>43538</v>
      </c>
      <c r="B7021">
        <v>6.42</v>
      </c>
      <c r="D7021" s="2">
        <v>44269</v>
      </c>
      <c r="E7021">
        <v>4</v>
      </c>
      <c r="G7021" s="2">
        <v>44269</v>
      </c>
      <c r="H7021">
        <v>3.976</v>
      </c>
      <c r="J7021" s="2">
        <v>44276</v>
      </c>
      <c r="K7021" s="3">
        <f t="shared" si="218"/>
        <v>4</v>
      </c>
      <c r="L7021" s="3">
        <f t="shared" si="219"/>
        <v>4.0439999999999996</v>
      </c>
    </row>
    <row r="7022" spans="1:12" x14ac:dyDescent="0.3">
      <c r="A7022" s="2">
        <v>43539</v>
      </c>
      <c r="B7022">
        <v>6.4</v>
      </c>
      <c r="D7022" s="2">
        <v>44270</v>
      </c>
      <c r="E7022">
        <v>4</v>
      </c>
      <c r="G7022" s="2">
        <v>44270</v>
      </c>
      <c r="H7022">
        <v>3.9750000000000001</v>
      </c>
      <c r="J7022" s="2">
        <v>44277</v>
      </c>
      <c r="K7022" s="3">
        <f t="shared" si="218"/>
        <v>4</v>
      </c>
      <c r="L7022" s="3">
        <f t="shared" si="219"/>
        <v>3.8780000000000001</v>
      </c>
    </row>
    <row r="7023" spans="1:12" x14ac:dyDescent="0.3">
      <c r="A7023" s="2">
        <v>43540</v>
      </c>
      <c r="B7023">
        <v>6.4</v>
      </c>
      <c r="D7023" s="2">
        <v>44271</v>
      </c>
      <c r="E7023">
        <v>4</v>
      </c>
      <c r="G7023" s="2">
        <v>44271</v>
      </c>
      <c r="H7023">
        <v>3.94</v>
      </c>
      <c r="J7023" s="2">
        <v>44278</v>
      </c>
      <c r="K7023" s="3">
        <f t="shared" si="218"/>
        <v>4</v>
      </c>
      <c r="L7023" s="3">
        <f t="shared" si="219"/>
        <v>3.8620000000000001</v>
      </c>
    </row>
    <row r="7024" spans="1:12" x14ac:dyDescent="0.3">
      <c r="A7024" s="2">
        <v>43541</v>
      </c>
      <c r="B7024">
        <v>6.4</v>
      </c>
      <c r="D7024" s="2">
        <v>44272</v>
      </c>
      <c r="E7024">
        <v>4</v>
      </c>
      <c r="G7024" s="2">
        <v>44272</v>
      </c>
      <c r="H7024">
        <v>3.9279999999999999</v>
      </c>
      <c r="J7024" s="2">
        <v>44279</v>
      </c>
      <c r="K7024" s="3">
        <f t="shared" si="218"/>
        <v>4</v>
      </c>
      <c r="L7024" s="3">
        <f t="shared" si="219"/>
        <v>3.8820000000000001</v>
      </c>
    </row>
    <row r="7025" spans="1:12" x14ac:dyDescent="0.3">
      <c r="A7025" s="2">
        <v>43542</v>
      </c>
      <c r="B7025">
        <v>6.41</v>
      </c>
      <c r="D7025" s="2">
        <v>44273</v>
      </c>
      <c r="E7025">
        <v>4</v>
      </c>
      <c r="G7025" s="2">
        <v>44273</v>
      </c>
      <c r="H7025">
        <v>3.9119999999999999</v>
      </c>
      <c r="J7025" s="2">
        <v>44280</v>
      </c>
      <c r="K7025" s="3">
        <f t="shared" si="218"/>
        <v>4</v>
      </c>
      <c r="L7025" s="3">
        <f t="shared" si="219"/>
        <v>3.839</v>
      </c>
    </row>
    <row r="7026" spans="1:12" x14ac:dyDescent="0.3">
      <c r="A7026" s="2">
        <v>43543</v>
      </c>
      <c r="B7026">
        <v>6.42</v>
      </c>
      <c r="D7026" s="2">
        <v>44274</v>
      </c>
      <c r="E7026">
        <v>4</v>
      </c>
      <c r="G7026" s="2">
        <v>44274</v>
      </c>
      <c r="H7026">
        <v>4.0439999999999996</v>
      </c>
      <c r="J7026" s="2">
        <v>44281</v>
      </c>
      <c r="K7026" s="3">
        <f t="shared" si="218"/>
        <v>4</v>
      </c>
      <c r="L7026" s="3">
        <f t="shared" si="219"/>
        <v>3.794</v>
      </c>
    </row>
    <row r="7027" spans="1:12" x14ac:dyDescent="0.3">
      <c r="A7027" s="2">
        <v>43544</v>
      </c>
      <c r="B7027">
        <v>6.41</v>
      </c>
      <c r="D7027" s="2">
        <v>44275</v>
      </c>
      <c r="E7027">
        <v>4</v>
      </c>
      <c r="G7027" s="2">
        <v>44275</v>
      </c>
      <c r="H7027">
        <v>4.0439999999999996</v>
      </c>
      <c r="J7027" s="2">
        <v>44282</v>
      </c>
      <c r="K7027" s="3">
        <f t="shared" si="218"/>
        <v>4</v>
      </c>
      <c r="L7027" s="3">
        <f t="shared" si="219"/>
        <v>3.794</v>
      </c>
    </row>
    <row r="7028" spans="1:12" x14ac:dyDescent="0.3">
      <c r="A7028" s="2">
        <v>43545</v>
      </c>
      <c r="B7028">
        <v>6.41</v>
      </c>
      <c r="D7028" s="2">
        <v>44276</v>
      </c>
      <c r="E7028">
        <v>4</v>
      </c>
      <c r="G7028" s="2">
        <v>44276</v>
      </c>
      <c r="H7028">
        <v>4.0439999999999996</v>
      </c>
      <c r="J7028" s="2">
        <v>44283</v>
      </c>
      <c r="K7028" s="3">
        <f t="shared" si="218"/>
        <v>4</v>
      </c>
      <c r="L7028" s="3">
        <f t="shared" si="219"/>
        <v>3.794</v>
      </c>
    </row>
    <row r="7029" spans="1:12" x14ac:dyDescent="0.3">
      <c r="A7029" s="2">
        <v>43546</v>
      </c>
      <c r="B7029">
        <v>6.39</v>
      </c>
      <c r="D7029" s="2">
        <v>44277</v>
      </c>
      <c r="E7029">
        <v>4</v>
      </c>
      <c r="G7029" s="2">
        <v>44277</v>
      </c>
      <c r="H7029">
        <v>3.8780000000000001</v>
      </c>
      <c r="J7029" s="2">
        <v>44284</v>
      </c>
      <c r="K7029" s="3">
        <f t="shared" si="218"/>
        <v>4</v>
      </c>
      <c r="L7029" s="3">
        <f t="shared" si="219"/>
        <v>3.794</v>
      </c>
    </row>
    <row r="7030" spans="1:12" x14ac:dyDescent="0.3">
      <c r="A7030" s="2">
        <v>43547</v>
      </c>
      <c r="B7030">
        <v>6.39</v>
      </c>
      <c r="D7030" s="2">
        <v>44278</v>
      </c>
      <c r="E7030">
        <v>4</v>
      </c>
      <c r="G7030" s="2">
        <v>44278</v>
      </c>
      <c r="H7030">
        <v>3.8620000000000001</v>
      </c>
      <c r="J7030" s="2">
        <v>44285</v>
      </c>
      <c r="K7030" s="3">
        <f t="shared" si="218"/>
        <v>4</v>
      </c>
      <c r="L7030" s="3">
        <f t="shared" si="219"/>
        <v>3.8159999999999998</v>
      </c>
    </row>
    <row r="7031" spans="1:12" x14ac:dyDescent="0.3">
      <c r="A7031" s="2">
        <v>43548</v>
      </c>
      <c r="B7031">
        <v>6.39</v>
      </c>
      <c r="D7031" s="2">
        <v>44279</v>
      </c>
      <c r="E7031">
        <v>4</v>
      </c>
      <c r="G7031" s="2">
        <v>44279</v>
      </c>
      <c r="H7031">
        <v>3.8820000000000001</v>
      </c>
      <c r="J7031" s="2">
        <v>44286</v>
      </c>
      <c r="K7031" s="3">
        <f t="shared" si="218"/>
        <v>4</v>
      </c>
      <c r="L7031" s="3">
        <f t="shared" si="219"/>
        <v>3.7490000000000001</v>
      </c>
    </row>
    <row r="7032" spans="1:12" x14ac:dyDescent="0.3">
      <c r="A7032" s="2">
        <v>43549</v>
      </c>
      <c r="B7032">
        <v>6.37</v>
      </c>
      <c r="D7032" s="2">
        <v>44280</v>
      </c>
      <c r="E7032">
        <v>4</v>
      </c>
      <c r="G7032" s="2">
        <v>44280</v>
      </c>
      <c r="H7032">
        <v>3.839</v>
      </c>
      <c r="J7032" s="2">
        <v>44287</v>
      </c>
      <c r="K7032" s="3">
        <f t="shared" si="218"/>
        <v>4</v>
      </c>
      <c r="L7032" s="3">
        <f t="shared" si="219"/>
        <v>3.7490000000000001</v>
      </c>
    </row>
    <row r="7033" spans="1:12" x14ac:dyDescent="0.3">
      <c r="A7033" s="2">
        <v>43550</v>
      </c>
      <c r="B7033">
        <v>6.37</v>
      </c>
      <c r="D7033" s="2">
        <v>44281</v>
      </c>
      <c r="E7033">
        <v>4</v>
      </c>
      <c r="G7033" s="2">
        <v>44281</v>
      </c>
      <c r="H7033">
        <v>3.794</v>
      </c>
      <c r="J7033" s="2">
        <v>44288</v>
      </c>
      <c r="K7033" s="3">
        <f t="shared" si="218"/>
        <v>4</v>
      </c>
      <c r="L7033" s="3">
        <f t="shared" si="219"/>
        <v>3.7490000000000001</v>
      </c>
    </row>
    <row r="7034" spans="1:12" x14ac:dyDescent="0.3">
      <c r="A7034" s="2">
        <v>43551</v>
      </c>
      <c r="B7034">
        <v>6.38</v>
      </c>
      <c r="D7034" s="2">
        <v>44282</v>
      </c>
      <c r="E7034">
        <v>4</v>
      </c>
      <c r="G7034" s="2">
        <v>44282</v>
      </c>
      <c r="H7034">
        <v>3.794</v>
      </c>
      <c r="J7034" s="2">
        <v>44289</v>
      </c>
      <c r="K7034" s="3">
        <f t="shared" si="218"/>
        <v>4</v>
      </c>
      <c r="L7034" s="3">
        <f t="shared" si="219"/>
        <v>3.7490000000000001</v>
      </c>
    </row>
    <row r="7035" spans="1:12" x14ac:dyDescent="0.3">
      <c r="A7035" s="2">
        <v>43552</v>
      </c>
      <c r="B7035">
        <v>6.37</v>
      </c>
      <c r="D7035" s="2">
        <v>44283</v>
      </c>
      <c r="E7035">
        <v>4</v>
      </c>
      <c r="G7035" s="2">
        <v>44283</v>
      </c>
      <c r="H7035">
        <v>3.794</v>
      </c>
      <c r="J7035" s="2">
        <v>44290</v>
      </c>
      <c r="K7035" s="3">
        <f t="shared" si="218"/>
        <v>4</v>
      </c>
      <c r="L7035" s="3">
        <f t="shared" si="219"/>
        <v>3.7490000000000001</v>
      </c>
    </row>
    <row r="7036" spans="1:12" x14ac:dyDescent="0.3">
      <c r="A7036" s="2">
        <v>43553</v>
      </c>
      <c r="B7036">
        <v>6.31</v>
      </c>
      <c r="D7036" s="2">
        <v>44284</v>
      </c>
      <c r="E7036">
        <v>4</v>
      </c>
      <c r="G7036" s="2">
        <v>44284</v>
      </c>
      <c r="H7036">
        <v>3.794</v>
      </c>
      <c r="J7036" s="2">
        <v>44291</v>
      </c>
      <c r="K7036" s="3">
        <f t="shared" si="218"/>
        <v>4</v>
      </c>
      <c r="L7036" s="3">
        <f t="shared" si="219"/>
        <v>3.7810000000000001</v>
      </c>
    </row>
    <row r="7037" spans="1:12" x14ac:dyDescent="0.3">
      <c r="A7037" s="2">
        <v>43554</v>
      </c>
      <c r="B7037">
        <v>6.31</v>
      </c>
      <c r="D7037" s="2">
        <v>44285</v>
      </c>
      <c r="E7037">
        <v>4</v>
      </c>
      <c r="G7037" s="2">
        <v>44285</v>
      </c>
      <c r="H7037">
        <v>3.8159999999999998</v>
      </c>
      <c r="J7037" s="2">
        <v>44292</v>
      </c>
      <c r="K7037" s="3">
        <f t="shared" si="218"/>
        <v>4</v>
      </c>
      <c r="L7037" s="3">
        <f t="shared" si="219"/>
        <v>3.879</v>
      </c>
    </row>
    <row r="7038" spans="1:12" x14ac:dyDescent="0.3">
      <c r="A7038" s="2">
        <v>43555</v>
      </c>
      <c r="B7038">
        <v>6.31</v>
      </c>
      <c r="D7038" s="2">
        <v>44286</v>
      </c>
      <c r="E7038">
        <v>4</v>
      </c>
      <c r="G7038" s="2">
        <v>44286</v>
      </c>
      <c r="H7038">
        <v>3.7490000000000001</v>
      </c>
      <c r="J7038" s="2">
        <v>44293</v>
      </c>
      <c r="K7038" s="3">
        <f t="shared" si="218"/>
        <v>4</v>
      </c>
      <c r="L7038" s="3">
        <f t="shared" si="219"/>
        <v>3.9049999999999998</v>
      </c>
    </row>
    <row r="7039" spans="1:12" x14ac:dyDescent="0.3">
      <c r="A7039" s="2">
        <v>43556</v>
      </c>
      <c r="B7039">
        <v>6.31</v>
      </c>
      <c r="D7039" s="2">
        <v>44287</v>
      </c>
      <c r="E7039">
        <v>4</v>
      </c>
      <c r="G7039" s="2">
        <v>44287</v>
      </c>
      <c r="H7039">
        <v>3.7490000000000001</v>
      </c>
      <c r="J7039" s="2">
        <v>44294</v>
      </c>
      <c r="K7039" s="3">
        <f t="shared" si="218"/>
        <v>4</v>
      </c>
      <c r="L7039" s="3">
        <f t="shared" si="219"/>
        <v>3.798</v>
      </c>
    </row>
    <row r="7040" spans="1:12" x14ac:dyDescent="0.3">
      <c r="A7040" s="2">
        <v>43557</v>
      </c>
      <c r="B7040">
        <v>6.31</v>
      </c>
      <c r="D7040" s="2">
        <v>44288</v>
      </c>
      <c r="E7040">
        <v>4</v>
      </c>
      <c r="G7040" s="2">
        <v>44288</v>
      </c>
      <c r="H7040">
        <v>3.7490000000000001</v>
      </c>
      <c r="J7040" s="2">
        <v>44295</v>
      </c>
      <c r="K7040" s="3">
        <f t="shared" si="218"/>
        <v>4</v>
      </c>
      <c r="L7040" s="3">
        <f t="shared" si="219"/>
        <v>3.78</v>
      </c>
    </row>
    <row r="7041" spans="1:12" x14ac:dyDescent="0.3">
      <c r="A7041" s="2">
        <v>43558</v>
      </c>
      <c r="B7041">
        <v>6.3</v>
      </c>
      <c r="D7041" s="2">
        <v>44289</v>
      </c>
      <c r="E7041">
        <v>4</v>
      </c>
      <c r="G7041" s="2">
        <v>44289</v>
      </c>
      <c r="H7041">
        <v>3.7490000000000001</v>
      </c>
      <c r="J7041" s="2">
        <v>44296</v>
      </c>
      <c r="K7041" s="3">
        <f t="shared" si="218"/>
        <v>4</v>
      </c>
      <c r="L7041" s="3">
        <f t="shared" si="219"/>
        <v>3.78</v>
      </c>
    </row>
    <row r="7042" spans="1:12" x14ac:dyDescent="0.3">
      <c r="A7042" s="2">
        <v>43559</v>
      </c>
      <c r="B7042">
        <v>6.29</v>
      </c>
      <c r="D7042" s="2">
        <v>44290</v>
      </c>
      <c r="E7042">
        <v>4</v>
      </c>
      <c r="G7042" s="2">
        <v>44290</v>
      </c>
      <c r="H7042">
        <v>3.7490000000000001</v>
      </c>
      <c r="J7042" s="2">
        <v>44297</v>
      </c>
      <c r="K7042" s="3">
        <f t="shared" si="218"/>
        <v>4</v>
      </c>
      <c r="L7042" s="3">
        <f t="shared" si="219"/>
        <v>3.78</v>
      </c>
    </row>
    <row r="7043" spans="1:12" x14ac:dyDescent="0.3">
      <c r="A7043" s="2">
        <v>43560</v>
      </c>
      <c r="B7043">
        <v>6.3</v>
      </c>
      <c r="D7043" s="2">
        <v>44291</v>
      </c>
      <c r="E7043">
        <v>4</v>
      </c>
      <c r="G7043" s="2">
        <v>44291</v>
      </c>
      <c r="H7043">
        <v>3.7810000000000001</v>
      </c>
      <c r="J7043" s="2">
        <v>44298</v>
      </c>
      <c r="K7043" s="3">
        <f t="shared" ref="K7043:K7106" si="220">E7050</f>
        <v>4</v>
      </c>
      <c r="L7043" s="3">
        <f t="shared" ref="L7043:L7106" si="221">H7050</f>
        <v>4</v>
      </c>
    </row>
    <row r="7044" spans="1:12" x14ac:dyDescent="0.3">
      <c r="A7044" s="2">
        <v>43561</v>
      </c>
      <c r="B7044">
        <v>6.3</v>
      </c>
      <c r="D7044" s="2">
        <v>44292</v>
      </c>
      <c r="E7044">
        <v>4</v>
      </c>
      <c r="G7044" s="2">
        <v>44292</v>
      </c>
      <c r="H7044">
        <v>3.879</v>
      </c>
      <c r="J7044" s="2">
        <v>44299</v>
      </c>
      <c r="K7044" s="3">
        <f t="shared" si="220"/>
        <v>4</v>
      </c>
      <c r="L7044" s="3">
        <f t="shared" si="221"/>
        <v>4</v>
      </c>
    </row>
    <row r="7045" spans="1:12" x14ac:dyDescent="0.3">
      <c r="A7045" s="2">
        <v>43562</v>
      </c>
      <c r="B7045">
        <v>6.3</v>
      </c>
      <c r="D7045" s="2">
        <v>44293</v>
      </c>
      <c r="E7045">
        <v>4</v>
      </c>
      <c r="G7045" s="2">
        <v>44293</v>
      </c>
      <c r="H7045">
        <v>3.9049999999999998</v>
      </c>
      <c r="J7045" s="2">
        <v>44300</v>
      </c>
      <c r="K7045" s="3">
        <f t="shared" si="220"/>
        <v>4</v>
      </c>
      <c r="L7045" s="3">
        <f t="shared" si="221"/>
        <v>4</v>
      </c>
    </row>
    <row r="7046" spans="1:12" x14ac:dyDescent="0.3">
      <c r="A7046" s="2">
        <v>43563</v>
      </c>
      <c r="B7046">
        <v>6.3</v>
      </c>
      <c r="D7046" s="2">
        <v>44294</v>
      </c>
      <c r="E7046">
        <v>4</v>
      </c>
      <c r="G7046" s="2">
        <v>44294</v>
      </c>
      <c r="H7046">
        <v>3.798</v>
      </c>
      <c r="J7046" s="2">
        <v>44301</v>
      </c>
      <c r="K7046" s="3">
        <f t="shared" si="220"/>
        <v>4</v>
      </c>
      <c r="L7046" s="3">
        <f t="shared" si="221"/>
        <v>4</v>
      </c>
    </row>
    <row r="7047" spans="1:12" x14ac:dyDescent="0.3">
      <c r="A7047" s="2">
        <v>43564</v>
      </c>
      <c r="B7047">
        <v>6.31</v>
      </c>
      <c r="D7047" s="2">
        <v>44295</v>
      </c>
      <c r="E7047">
        <v>4</v>
      </c>
      <c r="G7047" s="2">
        <v>44295</v>
      </c>
      <c r="H7047">
        <v>3.78</v>
      </c>
      <c r="J7047" s="2">
        <v>44302</v>
      </c>
      <c r="K7047" s="3">
        <f t="shared" si="220"/>
        <v>4</v>
      </c>
      <c r="L7047" s="3">
        <f t="shared" si="221"/>
        <v>3.8849999999999998</v>
      </c>
    </row>
    <row r="7048" spans="1:12" x14ac:dyDescent="0.3">
      <c r="A7048" s="2">
        <v>43565</v>
      </c>
      <c r="B7048">
        <v>6.36</v>
      </c>
      <c r="D7048" s="2">
        <v>44296</v>
      </c>
      <c r="E7048">
        <v>4</v>
      </c>
      <c r="G7048" s="2">
        <v>44296</v>
      </c>
      <c r="H7048">
        <v>3.78</v>
      </c>
      <c r="J7048" s="2">
        <v>44303</v>
      </c>
      <c r="K7048" s="3">
        <f t="shared" si="220"/>
        <v>4</v>
      </c>
      <c r="L7048" s="3">
        <f t="shared" si="221"/>
        <v>3.8849999999999998</v>
      </c>
    </row>
    <row r="7049" spans="1:12" x14ac:dyDescent="0.3">
      <c r="A7049" s="2">
        <v>43566</v>
      </c>
      <c r="B7049">
        <v>6.38</v>
      </c>
      <c r="D7049" s="2">
        <v>44297</v>
      </c>
      <c r="E7049">
        <v>4</v>
      </c>
      <c r="G7049" s="2">
        <v>44297</v>
      </c>
      <c r="H7049">
        <v>3.78</v>
      </c>
      <c r="J7049" s="2">
        <v>44304</v>
      </c>
      <c r="K7049" s="3">
        <f t="shared" si="220"/>
        <v>4</v>
      </c>
      <c r="L7049" s="3">
        <f t="shared" si="221"/>
        <v>3.8849999999999998</v>
      </c>
    </row>
    <row r="7050" spans="1:12" x14ac:dyDescent="0.3">
      <c r="A7050" s="2">
        <v>43567</v>
      </c>
      <c r="B7050">
        <v>6.34</v>
      </c>
      <c r="D7050" s="2">
        <v>44298</v>
      </c>
      <c r="E7050">
        <v>4</v>
      </c>
      <c r="G7050" s="2">
        <v>44298</v>
      </c>
      <c r="H7050">
        <v>4</v>
      </c>
      <c r="J7050" s="2">
        <v>44305</v>
      </c>
      <c r="K7050" s="3">
        <f t="shared" si="220"/>
        <v>4</v>
      </c>
      <c r="L7050" s="3">
        <f t="shared" si="221"/>
        <v>3.7610000000000001</v>
      </c>
    </row>
    <row r="7051" spans="1:12" x14ac:dyDescent="0.3">
      <c r="A7051" s="2">
        <v>43568</v>
      </c>
      <c r="B7051">
        <v>6.34</v>
      </c>
      <c r="D7051" s="2">
        <v>44299</v>
      </c>
      <c r="E7051">
        <v>4</v>
      </c>
      <c r="G7051" s="2">
        <v>44299</v>
      </c>
      <c r="H7051">
        <v>4</v>
      </c>
      <c r="J7051" s="2">
        <v>44306</v>
      </c>
      <c r="K7051" s="3">
        <f t="shared" si="220"/>
        <v>4</v>
      </c>
      <c r="L7051" s="3">
        <f t="shared" si="221"/>
        <v>3.8420000000000001</v>
      </c>
    </row>
    <row r="7052" spans="1:12" x14ac:dyDescent="0.3">
      <c r="A7052" s="2">
        <v>43569</v>
      </c>
      <c r="B7052">
        <v>6.34</v>
      </c>
      <c r="D7052" s="2">
        <v>44300</v>
      </c>
      <c r="E7052">
        <v>4</v>
      </c>
      <c r="G7052" s="2">
        <v>44300</v>
      </c>
      <c r="H7052">
        <v>4</v>
      </c>
      <c r="J7052" s="2">
        <v>44307</v>
      </c>
      <c r="K7052" s="3">
        <f t="shared" si="220"/>
        <v>4</v>
      </c>
      <c r="L7052" s="3">
        <f t="shared" si="221"/>
        <v>3.8420000000000001</v>
      </c>
    </row>
    <row r="7053" spans="1:12" x14ac:dyDescent="0.3">
      <c r="A7053" s="2">
        <v>43570</v>
      </c>
      <c r="B7053">
        <v>6.41</v>
      </c>
      <c r="D7053" s="2">
        <v>44301</v>
      </c>
      <c r="E7053">
        <v>4</v>
      </c>
      <c r="G7053" s="2">
        <v>44301</v>
      </c>
      <c r="H7053">
        <v>4</v>
      </c>
      <c r="J7053" s="2">
        <v>44308</v>
      </c>
      <c r="K7053" s="3">
        <f t="shared" si="220"/>
        <v>4</v>
      </c>
      <c r="L7053" s="3">
        <f t="shared" si="221"/>
        <v>3.8420000000000001</v>
      </c>
    </row>
    <row r="7054" spans="1:12" x14ac:dyDescent="0.3">
      <c r="A7054" s="2">
        <v>43571</v>
      </c>
      <c r="B7054">
        <v>6.41</v>
      </c>
      <c r="D7054" s="2">
        <v>44302</v>
      </c>
      <c r="E7054">
        <v>4</v>
      </c>
      <c r="G7054" s="2">
        <v>44302</v>
      </c>
      <c r="H7054">
        <v>3.8849999999999998</v>
      </c>
      <c r="J7054" s="2">
        <v>44309</v>
      </c>
      <c r="K7054" s="3">
        <f t="shared" si="220"/>
        <v>4</v>
      </c>
      <c r="L7054" s="3">
        <f t="shared" si="221"/>
        <v>3.9489999999999998</v>
      </c>
    </row>
    <row r="7055" spans="1:12" x14ac:dyDescent="0.3">
      <c r="A7055" s="2">
        <v>43572</v>
      </c>
      <c r="B7055">
        <v>6.41</v>
      </c>
      <c r="D7055" s="2">
        <v>44303</v>
      </c>
      <c r="E7055">
        <v>4</v>
      </c>
      <c r="G7055" s="2">
        <v>44303</v>
      </c>
      <c r="H7055">
        <v>3.8849999999999998</v>
      </c>
      <c r="J7055" s="2">
        <v>44310</v>
      </c>
      <c r="K7055" s="3">
        <f t="shared" si="220"/>
        <v>4</v>
      </c>
      <c r="L7055" s="3">
        <f t="shared" si="221"/>
        <v>3.9489999999999998</v>
      </c>
    </row>
    <row r="7056" spans="1:12" x14ac:dyDescent="0.3">
      <c r="A7056" s="2">
        <v>43573</v>
      </c>
      <c r="B7056">
        <v>6.44</v>
      </c>
      <c r="D7056" s="2">
        <v>44304</v>
      </c>
      <c r="E7056">
        <v>4</v>
      </c>
      <c r="G7056" s="2">
        <v>44304</v>
      </c>
      <c r="H7056">
        <v>3.8849999999999998</v>
      </c>
      <c r="J7056" s="2">
        <v>44311</v>
      </c>
      <c r="K7056" s="3">
        <f t="shared" si="220"/>
        <v>4</v>
      </c>
      <c r="L7056" s="3">
        <f t="shared" si="221"/>
        <v>3.9489999999999998</v>
      </c>
    </row>
    <row r="7057" spans="1:12" x14ac:dyDescent="0.3">
      <c r="A7057" s="2">
        <v>43574</v>
      </c>
      <c r="B7057">
        <v>6.44</v>
      </c>
      <c r="D7057" s="2">
        <v>44305</v>
      </c>
      <c r="E7057">
        <v>4</v>
      </c>
      <c r="G7057" s="2">
        <v>44305</v>
      </c>
      <c r="H7057">
        <v>3.7610000000000001</v>
      </c>
      <c r="J7057" s="2">
        <v>44312</v>
      </c>
      <c r="K7057" s="3">
        <f t="shared" si="220"/>
        <v>4</v>
      </c>
      <c r="L7057" s="3">
        <f t="shared" si="221"/>
        <v>3.7170000000000001</v>
      </c>
    </row>
    <row r="7058" spans="1:12" x14ac:dyDescent="0.3">
      <c r="A7058" s="2">
        <v>43575</v>
      </c>
      <c r="B7058">
        <v>6.44</v>
      </c>
      <c r="D7058" s="2">
        <v>44306</v>
      </c>
      <c r="E7058">
        <v>4</v>
      </c>
      <c r="G7058" s="2">
        <v>44306</v>
      </c>
      <c r="H7058">
        <v>3.8420000000000001</v>
      </c>
      <c r="J7058" s="2">
        <v>44313</v>
      </c>
      <c r="K7058" s="3">
        <f t="shared" si="220"/>
        <v>4</v>
      </c>
      <c r="L7058" s="3">
        <f t="shared" si="221"/>
        <v>3.8439999999999999</v>
      </c>
    </row>
    <row r="7059" spans="1:12" x14ac:dyDescent="0.3">
      <c r="A7059" s="2">
        <v>43576</v>
      </c>
      <c r="B7059">
        <v>6.44</v>
      </c>
      <c r="D7059" s="2">
        <v>44307</v>
      </c>
      <c r="E7059">
        <v>4</v>
      </c>
      <c r="G7059" s="2">
        <v>44307</v>
      </c>
      <c r="H7059">
        <v>3.8420000000000001</v>
      </c>
      <c r="J7059" s="2">
        <v>44314</v>
      </c>
      <c r="K7059" s="3">
        <f t="shared" si="220"/>
        <v>4</v>
      </c>
      <c r="L7059" s="3">
        <f t="shared" si="221"/>
        <v>3.718</v>
      </c>
    </row>
    <row r="7060" spans="1:12" x14ac:dyDescent="0.3">
      <c r="A7060" s="2">
        <v>43577</v>
      </c>
      <c r="B7060">
        <v>6.43</v>
      </c>
      <c r="D7060" s="2">
        <v>44308</v>
      </c>
      <c r="E7060">
        <v>4</v>
      </c>
      <c r="G7060" s="2">
        <v>44308</v>
      </c>
      <c r="H7060">
        <v>3.8420000000000001</v>
      </c>
      <c r="J7060" s="2">
        <v>44315</v>
      </c>
      <c r="K7060" s="3">
        <f t="shared" si="220"/>
        <v>4</v>
      </c>
      <c r="L7060" s="3">
        <f t="shared" si="221"/>
        <v>3.718</v>
      </c>
    </row>
    <row r="7061" spans="1:12" x14ac:dyDescent="0.3">
      <c r="A7061" s="2">
        <v>43578</v>
      </c>
      <c r="B7061">
        <v>6.44</v>
      </c>
      <c r="D7061" s="2">
        <v>44309</v>
      </c>
      <c r="E7061">
        <v>4</v>
      </c>
      <c r="G7061" s="2">
        <v>44309</v>
      </c>
      <c r="H7061">
        <v>3.9489999999999998</v>
      </c>
      <c r="J7061" s="2">
        <v>44316</v>
      </c>
      <c r="K7061" s="3">
        <f t="shared" si="220"/>
        <v>4</v>
      </c>
      <c r="L7061" s="3">
        <f t="shared" si="221"/>
        <v>3.7570000000000001</v>
      </c>
    </row>
    <row r="7062" spans="1:12" x14ac:dyDescent="0.3">
      <c r="A7062" s="2">
        <v>43579</v>
      </c>
      <c r="B7062">
        <v>6.5</v>
      </c>
      <c r="D7062" s="2">
        <v>44310</v>
      </c>
      <c r="E7062">
        <v>4</v>
      </c>
      <c r="G7062" s="2">
        <v>44310</v>
      </c>
      <c r="H7062">
        <v>3.9489999999999998</v>
      </c>
      <c r="J7062" s="2">
        <v>44317</v>
      </c>
      <c r="K7062" s="3">
        <f t="shared" si="220"/>
        <v>4</v>
      </c>
      <c r="L7062" s="3">
        <f t="shared" si="221"/>
        <v>3.7570000000000001</v>
      </c>
    </row>
    <row r="7063" spans="1:12" x14ac:dyDescent="0.3">
      <c r="A7063" s="2">
        <v>43580</v>
      </c>
      <c r="B7063">
        <v>6.5</v>
      </c>
      <c r="D7063" s="2">
        <v>44311</v>
      </c>
      <c r="E7063">
        <v>4</v>
      </c>
      <c r="G7063" s="2">
        <v>44311</v>
      </c>
      <c r="H7063">
        <v>3.9489999999999998</v>
      </c>
      <c r="J7063" s="2">
        <v>44318</v>
      </c>
      <c r="K7063" s="3">
        <f t="shared" si="220"/>
        <v>4</v>
      </c>
      <c r="L7063" s="3">
        <f t="shared" si="221"/>
        <v>3.7570000000000001</v>
      </c>
    </row>
    <row r="7064" spans="1:12" x14ac:dyDescent="0.3">
      <c r="A7064" s="2">
        <v>43581</v>
      </c>
      <c r="B7064">
        <v>6.46</v>
      </c>
      <c r="D7064" s="2">
        <v>44312</v>
      </c>
      <c r="E7064">
        <v>4</v>
      </c>
      <c r="G7064" s="2">
        <v>44312</v>
      </c>
      <c r="H7064">
        <v>3.7170000000000001</v>
      </c>
      <c r="J7064" s="2">
        <v>44319</v>
      </c>
      <c r="K7064" s="3">
        <f t="shared" si="220"/>
        <v>4</v>
      </c>
      <c r="L7064" s="3">
        <f t="shared" si="221"/>
        <v>3.6259999999999999</v>
      </c>
    </row>
    <row r="7065" spans="1:12" x14ac:dyDescent="0.3">
      <c r="A7065" s="2">
        <v>43582</v>
      </c>
      <c r="B7065">
        <v>6.46</v>
      </c>
      <c r="D7065" s="2">
        <v>44313</v>
      </c>
      <c r="E7065">
        <v>4</v>
      </c>
      <c r="G7065" s="2">
        <v>44313</v>
      </c>
      <c r="H7065">
        <v>3.8439999999999999</v>
      </c>
      <c r="J7065" s="2">
        <v>44320</v>
      </c>
      <c r="K7065" s="3">
        <f t="shared" si="220"/>
        <v>4</v>
      </c>
      <c r="L7065" s="3">
        <f t="shared" si="221"/>
        <v>3.7480000000000002</v>
      </c>
    </row>
    <row r="7066" spans="1:12" x14ac:dyDescent="0.3">
      <c r="A7066" s="2">
        <v>43583</v>
      </c>
      <c r="B7066">
        <v>6.46</v>
      </c>
      <c r="D7066" s="2">
        <v>44314</v>
      </c>
      <c r="E7066">
        <v>4</v>
      </c>
      <c r="G7066" s="2">
        <v>44314</v>
      </c>
      <c r="H7066">
        <v>3.718</v>
      </c>
      <c r="J7066" s="2">
        <v>44321</v>
      </c>
      <c r="K7066" s="3">
        <f t="shared" si="220"/>
        <v>4</v>
      </c>
      <c r="L7066" s="3">
        <f t="shared" si="221"/>
        <v>3.8410000000000002</v>
      </c>
    </row>
    <row r="7067" spans="1:12" x14ac:dyDescent="0.3">
      <c r="A7067" s="2">
        <v>43584</v>
      </c>
      <c r="B7067">
        <v>6.46</v>
      </c>
      <c r="D7067" s="2">
        <v>44315</v>
      </c>
      <c r="E7067">
        <v>4</v>
      </c>
      <c r="G7067" s="2">
        <v>44315</v>
      </c>
      <c r="H7067">
        <v>3.718</v>
      </c>
      <c r="J7067" s="2">
        <v>44322</v>
      </c>
      <c r="K7067" s="3">
        <f t="shared" si="220"/>
        <v>4</v>
      </c>
      <c r="L7067" s="3">
        <f t="shared" si="221"/>
        <v>3.8239999999999998</v>
      </c>
    </row>
    <row r="7068" spans="1:12" x14ac:dyDescent="0.3">
      <c r="A7068" s="2">
        <v>43585</v>
      </c>
      <c r="B7068">
        <v>6.5</v>
      </c>
      <c r="D7068" s="2">
        <v>44316</v>
      </c>
      <c r="E7068">
        <v>4</v>
      </c>
      <c r="G7068" s="2">
        <v>44316</v>
      </c>
      <c r="H7068">
        <v>3.7570000000000001</v>
      </c>
      <c r="J7068" s="2">
        <v>44323</v>
      </c>
      <c r="K7068" s="3">
        <f t="shared" si="220"/>
        <v>4</v>
      </c>
      <c r="L7068" s="3">
        <f t="shared" si="221"/>
        <v>3.843</v>
      </c>
    </row>
    <row r="7069" spans="1:12" x14ac:dyDescent="0.3">
      <c r="A7069" s="2">
        <v>43586</v>
      </c>
      <c r="B7069">
        <v>6.5</v>
      </c>
      <c r="D7069" s="2">
        <v>44317</v>
      </c>
      <c r="E7069">
        <v>4</v>
      </c>
      <c r="G7069" s="2">
        <v>44317</v>
      </c>
      <c r="H7069">
        <v>3.7570000000000001</v>
      </c>
      <c r="J7069" s="2">
        <v>44324</v>
      </c>
      <c r="K7069" s="3">
        <f t="shared" si="220"/>
        <v>4</v>
      </c>
      <c r="L7069" s="3">
        <f t="shared" si="221"/>
        <v>3.843</v>
      </c>
    </row>
    <row r="7070" spans="1:12" x14ac:dyDescent="0.3">
      <c r="A7070" s="2">
        <v>43587</v>
      </c>
      <c r="B7070">
        <v>6.48</v>
      </c>
      <c r="D7070" s="2">
        <v>44318</v>
      </c>
      <c r="E7070">
        <v>4</v>
      </c>
      <c r="G7070" s="2">
        <v>44318</v>
      </c>
      <c r="H7070">
        <v>3.7570000000000001</v>
      </c>
      <c r="J7070" s="2">
        <v>44325</v>
      </c>
      <c r="K7070" s="3">
        <f t="shared" si="220"/>
        <v>4</v>
      </c>
      <c r="L7070" s="3">
        <f t="shared" si="221"/>
        <v>3.843</v>
      </c>
    </row>
    <row r="7071" spans="1:12" x14ac:dyDescent="0.3">
      <c r="A7071" s="2">
        <v>43588</v>
      </c>
      <c r="B7071">
        <v>6.5</v>
      </c>
      <c r="D7071" s="2">
        <v>44319</v>
      </c>
      <c r="E7071">
        <v>4</v>
      </c>
      <c r="G7071" s="2">
        <v>44319</v>
      </c>
      <c r="H7071">
        <v>3.6259999999999999</v>
      </c>
      <c r="J7071" s="2">
        <v>44326</v>
      </c>
      <c r="K7071" s="3">
        <f t="shared" si="220"/>
        <v>4</v>
      </c>
      <c r="L7071" s="3">
        <f t="shared" si="221"/>
        <v>3.8170000000000002</v>
      </c>
    </row>
    <row r="7072" spans="1:12" x14ac:dyDescent="0.3">
      <c r="A7072" s="2">
        <v>43589</v>
      </c>
      <c r="B7072">
        <v>6.5</v>
      </c>
      <c r="D7072" s="2">
        <v>44320</v>
      </c>
      <c r="E7072">
        <v>4</v>
      </c>
      <c r="G7072" s="2">
        <v>44320</v>
      </c>
      <c r="H7072">
        <v>3.7480000000000002</v>
      </c>
      <c r="J7072" s="2">
        <v>44327</v>
      </c>
      <c r="K7072" s="3">
        <f t="shared" si="220"/>
        <v>4</v>
      </c>
      <c r="L7072" s="3">
        <f t="shared" si="221"/>
        <v>3.843</v>
      </c>
    </row>
    <row r="7073" spans="1:12" x14ac:dyDescent="0.3">
      <c r="A7073" s="2">
        <v>43590</v>
      </c>
      <c r="B7073">
        <v>6.5</v>
      </c>
      <c r="D7073" s="2">
        <v>44321</v>
      </c>
      <c r="E7073">
        <v>4</v>
      </c>
      <c r="G7073" s="2">
        <v>44321</v>
      </c>
      <c r="H7073">
        <v>3.8410000000000002</v>
      </c>
      <c r="J7073" s="2">
        <v>44328</v>
      </c>
      <c r="K7073" s="3">
        <f t="shared" si="220"/>
        <v>4</v>
      </c>
      <c r="L7073" s="3">
        <f t="shared" si="221"/>
        <v>3.8</v>
      </c>
    </row>
    <row r="7074" spans="1:12" x14ac:dyDescent="0.3">
      <c r="A7074" s="2">
        <v>43591</v>
      </c>
      <c r="B7074">
        <v>6.46</v>
      </c>
      <c r="D7074" s="2">
        <v>44322</v>
      </c>
      <c r="E7074">
        <v>4</v>
      </c>
      <c r="G7074" s="2">
        <v>44322</v>
      </c>
      <c r="H7074">
        <v>3.8239999999999998</v>
      </c>
      <c r="J7074" s="2">
        <v>44329</v>
      </c>
      <c r="K7074" s="3">
        <f t="shared" si="220"/>
        <v>4</v>
      </c>
      <c r="L7074" s="3">
        <f t="shared" si="221"/>
        <v>3.8</v>
      </c>
    </row>
    <row r="7075" spans="1:12" x14ac:dyDescent="0.3">
      <c r="A7075" s="2">
        <v>43592</v>
      </c>
      <c r="B7075">
        <v>6.47</v>
      </c>
      <c r="D7075" s="2">
        <v>44323</v>
      </c>
      <c r="E7075">
        <v>4</v>
      </c>
      <c r="G7075" s="2">
        <v>44323</v>
      </c>
      <c r="H7075">
        <v>3.843</v>
      </c>
      <c r="J7075" s="2">
        <v>44330</v>
      </c>
      <c r="K7075" s="3">
        <f t="shared" si="220"/>
        <v>4</v>
      </c>
      <c r="L7075" s="3">
        <f t="shared" si="221"/>
        <v>3.782</v>
      </c>
    </row>
    <row r="7076" spans="1:12" x14ac:dyDescent="0.3">
      <c r="A7076" s="2">
        <v>43593</v>
      </c>
      <c r="B7076">
        <v>6.53</v>
      </c>
      <c r="D7076" s="2">
        <v>44324</v>
      </c>
      <c r="E7076">
        <v>4</v>
      </c>
      <c r="G7076" s="2">
        <v>44324</v>
      </c>
      <c r="H7076">
        <v>3.843</v>
      </c>
      <c r="J7076" s="2">
        <v>44331</v>
      </c>
      <c r="K7076" s="3">
        <f t="shared" si="220"/>
        <v>4</v>
      </c>
      <c r="L7076" s="3">
        <f t="shared" si="221"/>
        <v>3.782</v>
      </c>
    </row>
    <row r="7077" spans="1:12" x14ac:dyDescent="0.3">
      <c r="A7077" s="2">
        <v>43594</v>
      </c>
      <c r="B7077">
        <v>6.52</v>
      </c>
      <c r="D7077" s="2">
        <v>44325</v>
      </c>
      <c r="E7077">
        <v>4</v>
      </c>
      <c r="G7077" s="2">
        <v>44325</v>
      </c>
      <c r="H7077">
        <v>3.843</v>
      </c>
      <c r="J7077" s="2">
        <v>44332</v>
      </c>
      <c r="K7077" s="3">
        <f t="shared" si="220"/>
        <v>4</v>
      </c>
      <c r="L7077" s="3">
        <f t="shared" si="221"/>
        <v>3.782</v>
      </c>
    </row>
    <row r="7078" spans="1:12" x14ac:dyDescent="0.3">
      <c r="A7078" s="2">
        <v>43595</v>
      </c>
      <c r="B7078">
        <v>6.53</v>
      </c>
      <c r="D7078" s="2">
        <v>44326</v>
      </c>
      <c r="E7078">
        <v>4</v>
      </c>
      <c r="G7078" s="2">
        <v>44326</v>
      </c>
      <c r="H7078">
        <v>3.8170000000000002</v>
      </c>
      <c r="J7078" s="2">
        <v>44333</v>
      </c>
      <c r="K7078" s="3">
        <f t="shared" si="220"/>
        <v>4</v>
      </c>
      <c r="L7078" s="3">
        <f t="shared" si="221"/>
        <v>3.7839999999999998</v>
      </c>
    </row>
    <row r="7079" spans="1:12" x14ac:dyDescent="0.3">
      <c r="A7079" s="2">
        <v>43596</v>
      </c>
      <c r="B7079">
        <v>6.53</v>
      </c>
      <c r="D7079" s="2">
        <v>44327</v>
      </c>
      <c r="E7079">
        <v>4</v>
      </c>
      <c r="G7079" s="2">
        <v>44327</v>
      </c>
      <c r="H7079">
        <v>3.843</v>
      </c>
      <c r="J7079" s="2">
        <v>44334</v>
      </c>
      <c r="K7079" s="3">
        <f t="shared" si="220"/>
        <v>4</v>
      </c>
      <c r="L7079" s="3">
        <f t="shared" si="221"/>
        <v>3.7839999999999998</v>
      </c>
    </row>
    <row r="7080" spans="1:12" x14ac:dyDescent="0.3">
      <c r="A7080" s="2">
        <v>43597</v>
      </c>
      <c r="B7080">
        <v>6.53</v>
      </c>
      <c r="D7080" s="2">
        <v>44328</v>
      </c>
      <c r="E7080">
        <v>4</v>
      </c>
      <c r="G7080" s="2">
        <v>44328</v>
      </c>
      <c r="H7080">
        <v>3.8</v>
      </c>
      <c r="J7080" s="2">
        <v>44335</v>
      </c>
      <c r="K7080" s="3">
        <f t="shared" si="220"/>
        <v>4</v>
      </c>
      <c r="L7080" s="3">
        <f t="shared" si="221"/>
        <v>3.8039999999999998</v>
      </c>
    </row>
    <row r="7081" spans="1:12" x14ac:dyDescent="0.3">
      <c r="A7081" s="2">
        <v>43598</v>
      </c>
      <c r="B7081">
        <v>6.49</v>
      </c>
      <c r="D7081" s="2">
        <v>44329</v>
      </c>
      <c r="E7081">
        <v>4</v>
      </c>
      <c r="G7081" s="2">
        <v>44329</v>
      </c>
      <c r="H7081">
        <v>3.8</v>
      </c>
      <c r="J7081" s="2">
        <v>44336</v>
      </c>
      <c r="K7081" s="3">
        <f t="shared" si="220"/>
        <v>4</v>
      </c>
      <c r="L7081" s="3">
        <f t="shared" si="221"/>
        <v>3.8039999999999998</v>
      </c>
    </row>
    <row r="7082" spans="1:12" x14ac:dyDescent="0.3">
      <c r="A7082" s="2">
        <v>43599</v>
      </c>
      <c r="B7082">
        <v>6.45</v>
      </c>
      <c r="D7082" s="2">
        <v>44330</v>
      </c>
      <c r="E7082">
        <v>4</v>
      </c>
      <c r="G7082" s="2">
        <v>44330</v>
      </c>
      <c r="H7082">
        <v>3.782</v>
      </c>
      <c r="J7082" s="2">
        <v>44337</v>
      </c>
      <c r="K7082" s="3">
        <f t="shared" si="220"/>
        <v>4</v>
      </c>
      <c r="L7082" s="3">
        <f t="shared" si="221"/>
        <v>3.8039999999999998</v>
      </c>
    </row>
    <row r="7083" spans="1:12" x14ac:dyDescent="0.3">
      <c r="A7083" s="2">
        <v>43600</v>
      </c>
      <c r="B7083">
        <v>6.43</v>
      </c>
      <c r="D7083" s="2">
        <v>44331</v>
      </c>
      <c r="E7083">
        <v>4</v>
      </c>
      <c r="G7083" s="2">
        <v>44331</v>
      </c>
      <c r="H7083">
        <v>3.782</v>
      </c>
      <c r="J7083" s="2">
        <v>44338</v>
      </c>
      <c r="K7083" s="3">
        <f t="shared" si="220"/>
        <v>4</v>
      </c>
      <c r="L7083" s="3">
        <f t="shared" si="221"/>
        <v>3.8039999999999998</v>
      </c>
    </row>
    <row r="7084" spans="1:12" x14ac:dyDescent="0.3">
      <c r="A7084" s="2">
        <v>43601</v>
      </c>
      <c r="B7084">
        <v>6.4</v>
      </c>
      <c r="D7084" s="2">
        <v>44332</v>
      </c>
      <c r="E7084">
        <v>4</v>
      </c>
      <c r="G7084" s="2">
        <v>44332</v>
      </c>
      <c r="H7084">
        <v>3.782</v>
      </c>
      <c r="J7084" s="2">
        <v>44339</v>
      </c>
      <c r="K7084" s="3">
        <f t="shared" si="220"/>
        <v>4</v>
      </c>
      <c r="L7084" s="3">
        <f t="shared" si="221"/>
        <v>3.8039999999999998</v>
      </c>
    </row>
    <row r="7085" spans="1:12" x14ac:dyDescent="0.3">
      <c r="A7085" s="2">
        <v>43602</v>
      </c>
      <c r="B7085">
        <v>6.43</v>
      </c>
      <c r="D7085" s="2">
        <v>44333</v>
      </c>
      <c r="E7085">
        <v>4</v>
      </c>
      <c r="G7085" s="2">
        <v>44333</v>
      </c>
      <c r="H7085">
        <v>3.7839999999999998</v>
      </c>
      <c r="J7085" s="2">
        <v>44340</v>
      </c>
      <c r="K7085" s="3">
        <f t="shared" si="220"/>
        <v>4</v>
      </c>
      <c r="L7085" s="3">
        <f t="shared" si="221"/>
        <v>3.8039999999999998</v>
      </c>
    </row>
    <row r="7086" spans="1:12" x14ac:dyDescent="0.3">
      <c r="A7086" s="2">
        <v>43603</v>
      </c>
      <c r="B7086">
        <v>6.43</v>
      </c>
      <c r="D7086" s="2">
        <v>44334</v>
      </c>
      <c r="E7086">
        <v>4</v>
      </c>
      <c r="G7086" s="2">
        <v>44334</v>
      </c>
      <c r="H7086">
        <v>3.7839999999999998</v>
      </c>
      <c r="J7086" s="2">
        <v>44341</v>
      </c>
      <c r="K7086" s="3">
        <f t="shared" si="220"/>
        <v>4</v>
      </c>
      <c r="L7086" s="3">
        <f t="shared" si="221"/>
        <v>3.77</v>
      </c>
    </row>
    <row r="7087" spans="1:12" x14ac:dyDescent="0.3">
      <c r="A7087" s="2">
        <v>43604</v>
      </c>
      <c r="B7087">
        <v>6.43</v>
      </c>
      <c r="D7087" s="2">
        <v>44335</v>
      </c>
      <c r="E7087">
        <v>4</v>
      </c>
      <c r="G7087" s="2">
        <v>44335</v>
      </c>
      <c r="H7087">
        <v>3.8039999999999998</v>
      </c>
      <c r="J7087" s="2">
        <v>44342</v>
      </c>
      <c r="K7087" s="3">
        <f t="shared" si="220"/>
        <v>4</v>
      </c>
      <c r="L7087" s="3">
        <f t="shared" si="221"/>
        <v>3.77</v>
      </c>
    </row>
    <row r="7088" spans="1:12" x14ac:dyDescent="0.3">
      <c r="A7088" s="2">
        <v>43605</v>
      </c>
      <c r="B7088">
        <v>6.35</v>
      </c>
      <c r="D7088" s="2">
        <v>44336</v>
      </c>
      <c r="E7088">
        <v>4</v>
      </c>
      <c r="G7088" s="2">
        <v>44336</v>
      </c>
      <c r="H7088">
        <v>3.8039999999999998</v>
      </c>
      <c r="J7088" s="2">
        <v>44343</v>
      </c>
      <c r="K7088" s="3">
        <f t="shared" si="220"/>
        <v>4</v>
      </c>
      <c r="L7088" s="3">
        <f t="shared" si="221"/>
        <v>3.77</v>
      </c>
    </row>
    <row r="7089" spans="1:12" x14ac:dyDescent="0.3">
      <c r="A7089" s="2">
        <v>43606</v>
      </c>
      <c r="B7089">
        <v>6.41</v>
      </c>
      <c r="D7089" s="2">
        <v>44337</v>
      </c>
      <c r="E7089">
        <v>4</v>
      </c>
      <c r="G7089" s="2">
        <v>44337</v>
      </c>
      <c r="H7089">
        <v>3.8039999999999998</v>
      </c>
      <c r="J7089" s="2">
        <v>44344</v>
      </c>
      <c r="K7089" s="3">
        <f t="shared" si="220"/>
        <v>4</v>
      </c>
      <c r="L7089" s="3">
        <f t="shared" si="221"/>
        <v>3.7970000000000002</v>
      </c>
    </row>
    <row r="7090" spans="1:12" x14ac:dyDescent="0.3">
      <c r="A7090" s="2">
        <v>43607</v>
      </c>
      <c r="B7090">
        <v>6.41</v>
      </c>
      <c r="D7090" s="2">
        <v>44338</v>
      </c>
      <c r="E7090">
        <v>4</v>
      </c>
      <c r="G7090" s="2">
        <v>44338</v>
      </c>
      <c r="H7090">
        <v>3.8039999999999998</v>
      </c>
      <c r="J7090" s="2">
        <v>44345</v>
      </c>
      <c r="K7090" s="3">
        <f t="shared" si="220"/>
        <v>4</v>
      </c>
      <c r="L7090" s="3">
        <f t="shared" si="221"/>
        <v>3.7970000000000002</v>
      </c>
    </row>
    <row r="7091" spans="1:12" x14ac:dyDescent="0.3">
      <c r="A7091" s="2">
        <v>43608</v>
      </c>
      <c r="B7091">
        <v>6.37</v>
      </c>
      <c r="D7091" s="2">
        <v>44339</v>
      </c>
      <c r="E7091">
        <v>4</v>
      </c>
      <c r="G7091" s="2">
        <v>44339</v>
      </c>
      <c r="H7091">
        <v>3.8039999999999998</v>
      </c>
      <c r="J7091" s="2">
        <v>44346</v>
      </c>
      <c r="K7091" s="3">
        <f t="shared" si="220"/>
        <v>4</v>
      </c>
      <c r="L7091" s="3">
        <f t="shared" si="221"/>
        <v>3.7970000000000002</v>
      </c>
    </row>
    <row r="7092" spans="1:12" x14ac:dyDescent="0.3">
      <c r="A7092" s="2">
        <v>43609</v>
      </c>
      <c r="B7092">
        <v>6.37</v>
      </c>
      <c r="D7092" s="2">
        <v>44340</v>
      </c>
      <c r="E7092">
        <v>4</v>
      </c>
      <c r="G7092" s="2">
        <v>44340</v>
      </c>
      <c r="H7092">
        <v>3.8039999999999998</v>
      </c>
      <c r="J7092" s="2">
        <v>44347</v>
      </c>
      <c r="K7092" s="3">
        <f t="shared" si="220"/>
        <v>4</v>
      </c>
      <c r="L7092" s="3">
        <f t="shared" si="221"/>
        <v>3.7709999999999999</v>
      </c>
    </row>
    <row r="7093" spans="1:12" x14ac:dyDescent="0.3">
      <c r="A7093" s="2">
        <v>43610</v>
      </c>
      <c r="B7093">
        <v>6.37</v>
      </c>
      <c r="D7093" s="2">
        <v>44341</v>
      </c>
      <c r="E7093">
        <v>4</v>
      </c>
      <c r="G7093" s="2">
        <v>44341</v>
      </c>
      <c r="H7093">
        <v>3.77</v>
      </c>
      <c r="J7093" s="2">
        <v>44348</v>
      </c>
      <c r="K7093" s="3">
        <f t="shared" si="220"/>
        <v>4</v>
      </c>
      <c r="L7093" s="3">
        <f t="shared" si="221"/>
        <v>3.7709999999999999</v>
      </c>
    </row>
    <row r="7094" spans="1:12" x14ac:dyDescent="0.3">
      <c r="A7094" s="2">
        <v>43611</v>
      </c>
      <c r="B7094">
        <v>6.37</v>
      </c>
      <c r="D7094" s="2">
        <v>44342</v>
      </c>
      <c r="E7094">
        <v>4</v>
      </c>
      <c r="G7094" s="2">
        <v>44342</v>
      </c>
      <c r="H7094">
        <v>3.77</v>
      </c>
      <c r="J7094" s="2">
        <v>44349</v>
      </c>
      <c r="K7094" s="3">
        <f t="shared" si="220"/>
        <v>4</v>
      </c>
      <c r="L7094" s="3">
        <f t="shared" si="221"/>
        <v>3.8090000000000002</v>
      </c>
    </row>
    <row r="7095" spans="1:12" x14ac:dyDescent="0.3">
      <c r="A7095" s="2">
        <v>43612</v>
      </c>
      <c r="B7095">
        <v>6.3</v>
      </c>
      <c r="D7095" s="2">
        <v>44343</v>
      </c>
      <c r="E7095">
        <v>4</v>
      </c>
      <c r="G7095" s="2">
        <v>44343</v>
      </c>
      <c r="H7095">
        <v>3.77</v>
      </c>
      <c r="J7095" s="2">
        <v>44350</v>
      </c>
      <c r="K7095" s="3">
        <f t="shared" si="220"/>
        <v>4</v>
      </c>
      <c r="L7095" s="3">
        <f t="shared" si="221"/>
        <v>3.8730000000000002</v>
      </c>
    </row>
    <row r="7096" spans="1:12" x14ac:dyDescent="0.3">
      <c r="A7096" s="2">
        <v>43613</v>
      </c>
      <c r="B7096">
        <v>6.3</v>
      </c>
      <c r="D7096" s="2">
        <v>44344</v>
      </c>
      <c r="E7096">
        <v>4</v>
      </c>
      <c r="G7096" s="2">
        <v>44344</v>
      </c>
      <c r="H7096">
        <v>3.7970000000000002</v>
      </c>
      <c r="J7096" s="2">
        <v>44351</v>
      </c>
      <c r="K7096" s="3">
        <f t="shared" si="220"/>
        <v>4</v>
      </c>
      <c r="L7096" s="3">
        <f t="shared" si="221"/>
        <v>3.871</v>
      </c>
    </row>
    <row r="7097" spans="1:12" x14ac:dyDescent="0.3">
      <c r="A7097" s="2">
        <v>43614</v>
      </c>
      <c r="B7097">
        <v>6.29</v>
      </c>
      <c r="D7097" s="2">
        <v>44345</v>
      </c>
      <c r="E7097">
        <v>4</v>
      </c>
      <c r="G7097" s="2">
        <v>44345</v>
      </c>
      <c r="H7097">
        <v>3.7970000000000002</v>
      </c>
      <c r="J7097" s="2">
        <v>44352</v>
      </c>
      <c r="K7097" s="3">
        <f t="shared" si="220"/>
        <v>4</v>
      </c>
      <c r="L7097" s="3">
        <f t="shared" si="221"/>
        <v>3.871</v>
      </c>
    </row>
    <row r="7098" spans="1:12" x14ac:dyDescent="0.3">
      <c r="A7098" s="2">
        <v>43615</v>
      </c>
      <c r="B7098">
        <v>6.3</v>
      </c>
      <c r="D7098" s="2">
        <v>44346</v>
      </c>
      <c r="E7098">
        <v>4</v>
      </c>
      <c r="G7098" s="2">
        <v>44346</v>
      </c>
      <c r="H7098">
        <v>3.7970000000000002</v>
      </c>
      <c r="J7098" s="2">
        <v>44353</v>
      </c>
      <c r="K7098" s="3">
        <f t="shared" si="220"/>
        <v>4</v>
      </c>
      <c r="L7098" s="3">
        <f t="shared" si="221"/>
        <v>3.871</v>
      </c>
    </row>
    <row r="7099" spans="1:12" x14ac:dyDescent="0.3">
      <c r="A7099" s="2">
        <v>43616</v>
      </c>
      <c r="B7099">
        <v>6.22</v>
      </c>
      <c r="D7099" s="2">
        <v>44347</v>
      </c>
      <c r="E7099">
        <v>4</v>
      </c>
      <c r="G7099" s="2">
        <v>44347</v>
      </c>
      <c r="H7099">
        <v>3.7709999999999999</v>
      </c>
      <c r="J7099" s="2">
        <v>44354</v>
      </c>
      <c r="K7099" s="3">
        <f t="shared" si="220"/>
        <v>4</v>
      </c>
      <c r="L7099" s="3">
        <f t="shared" si="221"/>
        <v>3.8660000000000001</v>
      </c>
    </row>
    <row r="7100" spans="1:12" x14ac:dyDescent="0.3">
      <c r="A7100" s="2">
        <v>43617</v>
      </c>
      <c r="B7100">
        <v>6.22</v>
      </c>
      <c r="D7100" s="2">
        <v>44348</v>
      </c>
      <c r="E7100">
        <v>4</v>
      </c>
      <c r="G7100" s="2">
        <v>44348</v>
      </c>
      <c r="H7100">
        <v>3.7709999999999999</v>
      </c>
      <c r="J7100" s="2">
        <v>44355</v>
      </c>
      <c r="K7100" s="3">
        <f t="shared" si="220"/>
        <v>4</v>
      </c>
      <c r="L7100" s="3">
        <f t="shared" si="221"/>
        <v>3.8660000000000001</v>
      </c>
    </row>
    <row r="7101" spans="1:12" x14ac:dyDescent="0.3">
      <c r="A7101" s="2">
        <v>43618</v>
      </c>
      <c r="B7101">
        <v>6.22</v>
      </c>
      <c r="D7101" s="2">
        <v>44349</v>
      </c>
      <c r="E7101">
        <v>4</v>
      </c>
      <c r="G7101" s="2">
        <v>44349</v>
      </c>
      <c r="H7101">
        <v>3.8090000000000002</v>
      </c>
      <c r="J7101" s="2">
        <v>44356</v>
      </c>
      <c r="K7101" s="3">
        <f t="shared" si="220"/>
        <v>4</v>
      </c>
      <c r="L7101" s="3">
        <f t="shared" si="221"/>
        <v>3.8639999999999999</v>
      </c>
    </row>
    <row r="7102" spans="1:12" x14ac:dyDescent="0.3">
      <c r="A7102" s="2">
        <v>43619</v>
      </c>
      <c r="B7102">
        <v>6.13</v>
      </c>
      <c r="D7102" s="2">
        <v>44350</v>
      </c>
      <c r="E7102">
        <v>4</v>
      </c>
      <c r="G7102" s="2">
        <v>44350</v>
      </c>
      <c r="H7102">
        <v>3.8730000000000002</v>
      </c>
      <c r="J7102" s="2">
        <v>44357</v>
      </c>
      <c r="K7102" s="3">
        <f t="shared" si="220"/>
        <v>4</v>
      </c>
      <c r="L7102" s="3">
        <f t="shared" si="221"/>
        <v>3.8639999999999999</v>
      </c>
    </row>
    <row r="7103" spans="1:12" x14ac:dyDescent="0.3">
      <c r="A7103" s="2">
        <v>43620</v>
      </c>
      <c r="B7103">
        <v>6.16</v>
      </c>
      <c r="D7103" s="2">
        <v>44351</v>
      </c>
      <c r="E7103">
        <v>4</v>
      </c>
      <c r="G7103" s="2">
        <v>44351</v>
      </c>
      <c r="H7103">
        <v>3.871</v>
      </c>
      <c r="J7103" s="2">
        <v>44358</v>
      </c>
      <c r="K7103" s="3">
        <f t="shared" si="220"/>
        <v>4</v>
      </c>
      <c r="L7103" s="3">
        <f t="shared" si="221"/>
        <v>3.839</v>
      </c>
    </row>
    <row r="7104" spans="1:12" x14ac:dyDescent="0.3">
      <c r="A7104" s="2">
        <v>43621</v>
      </c>
      <c r="B7104">
        <v>6.16</v>
      </c>
      <c r="D7104" s="2">
        <v>44352</v>
      </c>
      <c r="E7104">
        <v>4</v>
      </c>
      <c r="G7104" s="2">
        <v>44352</v>
      </c>
      <c r="H7104">
        <v>3.871</v>
      </c>
      <c r="J7104" s="2">
        <v>44359</v>
      </c>
      <c r="K7104" s="3">
        <f t="shared" si="220"/>
        <v>4</v>
      </c>
      <c r="L7104" s="3">
        <f t="shared" si="221"/>
        <v>3.839</v>
      </c>
    </row>
    <row r="7105" spans="1:12" x14ac:dyDescent="0.3">
      <c r="A7105" s="2">
        <v>43622</v>
      </c>
      <c r="B7105">
        <v>6.04</v>
      </c>
      <c r="D7105" s="2">
        <v>44353</v>
      </c>
      <c r="E7105">
        <v>4</v>
      </c>
      <c r="G7105" s="2">
        <v>44353</v>
      </c>
      <c r="H7105">
        <v>3.871</v>
      </c>
      <c r="J7105" s="2">
        <v>44360</v>
      </c>
      <c r="K7105" s="3">
        <f t="shared" si="220"/>
        <v>4</v>
      </c>
      <c r="L7105" s="3">
        <f t="shared" si="221"/>
        <v>3.839</v>
      </c>
    </row>
    <row r="7106" spans="1:12" x14ac:dyDescent="0.3">
      <c r="A7106" s="2">
        <v>43623</v>
      </c>
      <c r="B7106">
        <v>6.05</v>
      </c>
      <c r="D7106" s="2">
        <v>44354</v>
      </c>
      <c r="E7106">
        <v>4</v>
      </c>
      <c r="G7106" s="2">
        <v>44354</v>
      </c>
      <c r="H7106">
        <v>3.8660000000000001</v>
      </c>
      <c r="J7106" s="2">
        <v>44361</v>
      </c>
      <c r="K7106" s="3">
        <f t="shared" si="220"/>
        <v>4</v>
      </c>
      <c r="L7106" s="3">
        <f t="shared" si="221"/>
        <v>3.8580000000000001</v>
      </c>
    </row>
    <row r="7107" spans="1:12" x14ac:dyDescent="0.3">
      <c r="A7107" s="2">
        <v>43624</v>
      </c>
      <c r="B7107">
        <v>6.05</v>
      </c>
      <c r="D7107" s="2">
        <v>44355</v>
      </c>
      <c r="E7107">
        <v>4</v>
      </c>
      <c r="G7107" s="2">
        <v>44355</v>
      </c>
      <c r="H7107">
        <v>3.8660000000000001</v>
      </c>
      <c r="J7107" s="2">
        <v>44362</v>
      </c>
      <c r="K7107" s="3">
        <f t="shared" ref="K7107:K7170" si="222">E7114</f>
        <v>4</v>
      </c>
      <c r="L7107" s="3">
        <f t="shared" ref="L7107:L7170" si="223">H7114</f>
        <v>3.8889999999999998</v>
      </c>
    </row>
    <row r="7108" spans="1:12" x14ac:dyDescent="0.3">
      <c r="A7108" s="2">
        <v>43625</v>
      </c>
      <c r="B7108">
        <v>6.05</v>
      </c>
      <c r="D7108" s="2">
        <v>44356</v>
      </c>
      <c r="E7108">
        <v>4</v>
      </c>
      <c r="G7108" s="2">
        <v>44356</v>
      </c>
      <c r="H7108">
        <v>3.8639999999999999</v>
      </c>
      <c r="J7108" s="2">
        <v>44363</v>
      </c>
      <c r="K7108" s="3">
        <f t="shared" si="222"/>
        <v>4</v>
      </c>
      <c r="L7108" s="3">
        <f t="shared" si="223"/>
        <v>3.8650000000000002</v>
      </c>
    </row>
    <row r="7109" spans="1:12" x14ac:dyDescent="0.3">
      <c r="A7109" s="2">
        <v>43626</v>
      </c>
      <c r="B7109">
        <v>6.04</v>
      </c>
      <c r="D7109" s="2">
        <v>44357</v>
      </c>
      <c r="E7109">
        <v>4</v>
      </c>
      <c r="G7109" s="2">
        <v>44357</v>
      </c>
      <c r="H7109">
        <v>3.8639999999999999</v>
      </c>
      <c r="J7109" s="2">
        <v>44364</v>
      </c>
      <c r="K7109" s="3">
        <f t="shared" si="222"/>
        <v>4</v>
      </c>
      <c r="L7109" s="3">
        <f t="shared" si="223"/>
        <v>3.8069999999999999</v>
      </c>
    </row>
    <row r="7110" spans="1:12" x14ac:dyDescent="0.3">
      <c r="A7110" s="2">
        <v>43627</v>
      </c>
      <c r="B7110">
        <v>6.04</v>
      </c>
      <c r="D7110" s="2">
        <v>44358</v>
      </c>
      <c r="E7110">
        <v>4</v>
      </c>
      <c r="G7110" s="2">
        <v>44358</v>
      </c>
      <c r="H7110">
        <v>3.839</v>
      </c>
      <c r="J7110" s="2">
        <v>44365</v>
      </c>
      <c r="K7110" s="3">
        <f t="shared" si="222"/>
        <v>4</v>
      </c>
      <c r="L7110" s="3">
        <f t="shared" si="223"/>
        <v>3.7890000000000001</v>
      </c>
    </row>
    <row r="7111" spans="1:12" x14ac:dyDescent="0.3">
      <c r="A7111" s="2">
        <v>43628</v>
      </c>
      <c r="B7111">
        <v>6.11</v>
      </c>
      <c r="D7111" s="2">
        <v>44359</v>
      </c>
      <c r="E7111">
        <v>4</v>
      </c>
      <c r="G7111" s="2">
        <v>44359</v>
      </c>
      <c r="H7111">
        <v>3.839</v>
      </c>
      <c r="J7111" s="2">
        <v>44366</v>
      </c>
      <c r="K7111" s="3">
        <f t="shared" si="222"/>
        <v>4</v>
      </c>
      <c r="L7111" s="3">
        <f t="shared" si="223"/>
        <v>3.7890000000000001</v>
      </c>
    </row>
    <row r="7112" spans="1:12" x14ac:dyDescent="0.3">
      <c r="A7112" s="2">
        <v>43629</v>
      </c>
      <c r="B7112">
        <v>6.12</v>
      </c>
      <c r="D7112" s="2">
        <v>44360</v>
      </c>
      <c r="E7112">
        <v>4</v>
      </c>
      <c r="G7112" s="2">
        <v>44360</v>
      </c>
      <c r="H7112">
        <v>3.839</v>
      </c>
      <c r="J7112" s="2">
        <v>44367</v>
      </c>
      <c r="K7112" s="3">
        <f t="shared" si="222"/>
        <v>4</v>
      </c>
      <c r="L7112" s="3">
        <f t="shared" si="223"/>
        <v>3.7890000000000001</v>
      </c>
    </row>
    <row r="7113" spans="1:12" x14ac:dyDescent="0.3">
      <c r="A7113" s="2">
        <v>43630</v>
      </c>
      <c r="B7113">
        <v>6.13</v>
      </c>
      <c r="D7113" s="2">
        <v>44361</v>
      </c>
      <c r="E7113">
        <v>4</v>
      </c>
      <c r="G7113" s="2">
        <v>44361</v>
      </c>
      <c r="H7113">
        <v>3.8580000000000001</v>
      </c>
      <c r="J7113" s="2">
        <v>44368</v>
      </c>
      <c r="K7113" s="3">
        <f t="shared" si="222"/>
        <v>4</v>
      </c>
      <c r="L7113" s="3">
        <f t="shared" si="223"/>
        <v>3.7890000000000001</v>
      </c>
    </row>
    <row r="7114" spans="1:12" x14ac:dyDescent="0.3">
      <c r="A7114" s="2">
        <v>43631</v>
      </c>
      <c r="B7114">
        <v>6.13</v>
      </c>
      <c r="D7114" s="2">
        <v>44362</v>
      </c>
      <c r="E7114">
        <v>4</v>
      </c>
      <c r="G7114" s="2">
        <v>44362</v>
      </c>
      <c r="H7114">
        <v>3.8889999999999998</v>
      </c>
      <c r="J7114" s="2">
        <v>44369</v>
      </c>
      <c r="K7114" s="3">
        <f t="shared" si="222"/>
        <v>4</v>
      </c>
      <c r="L7114" s="3">
        <f t="shared" si="223"/>
        <v>3.96</v>
      </c>
    </row>
    <row r="7115" spans="1:12" x14ac:dyDescent="0.3">
      <c r="A7115" s="2">
        <v>43632</v>
      </c>
      <c r="B7115">
        <v>6.13</v>
      </c>
      <c r="D7115" s="2">
        <v>44363</v>
      </c>
      <c r="E7115">
        <v>4</v>
      </c>
      <c r="G7115" s="2">
        <v>44363</v>
      </c>
      <c r="H7115">
        <v>3.8650000000000002</v>
      </c>
      <c r="J7115" s="2">
        <v>44370</v>
      </c>
      <c r="K7115" s="3">
        <f t="shared" si="222"/>
        <v>4</v>
      </c>
      <c r="L7115" s="3">
        <f t="shared" si="223"/>
        <v>3.9489999999999998</v>
      </c>
    </row>
    <row r="7116" spans="1:12" x14ac:dyDescent="0.3">
      <c r="A7116" s="2">
        <v>43633</v>
      </c>
      <c r="B7116">
        <v>6.09</v>
      </c>
      <c r="D7116" s="2">
        <v>44364</v>
      </c>
      <c r="E7116">
        <v>4</v>
      </c>
      <c r="G7116" s="2">
        <v>44364</v>
      </c>
      <c r="H7116">
        <v>3.8069999999999999</v>
      </c>
      <c r="J7116" s="2">
        <v>44371</v>
      </c>
      <c r="K7116" s="3">
        <f t="shared" si="222"/>
        <v>4</v>
      </c>
      <c r="L7116" s="3">
        <f t="shared" si="223"/>
        <v>3.9489999999999998</v>
      </c>
    </row>
    <row r="7117" spans="1:12" x14ac:dyDescent="0.3">
      <c r="A7117" s="2">
        <v>43634</v>
      </c>
      <c r="B7117">
        <v>6.08</v>
      </c>
      <c r="D7117" s="2">
        <v>44365</v>
      </c>
      <c r="E7117">
        <v>4</v>
      </c>
      <c r="G7117" s="2">
        <v>44365</v>
      </c>
      <c r="H7117">
        <v>3.7890000000000001</v>
      </c>
      <c r="J7117" s="2">
        <v>44372</v>
      </c>
      <c r="K7117" s="3">
        <f t="shared" si="222"/>
        <v>4</v>
      </c>
      <c r="L7117" s="3">
        <f t="shared" si="223"/>
        <v>3.992</v>
      </c>
    </row>
    <row r="7118" spans="1:12" x14ac:dyDescent="0.3">
      <c r="A7118" s="2">
        <v>43635</v>
      </c>
      <c r="B7118">
        <v>6.11</v>
      </c>
      <c r="D7118" s="2">
        <v>44366</v>
      </c>
      <c r="E7118">
        <v>4</v>
      </c>
      <c r="G7118" s="2">
        <v>44366</v>
      </c>
      <c r="H7118">
        <v>3.7890000000000001</v>
      </c>
      <c r="J7118" s="2">
        <v>44373</v>
      </c>
      <c r="K7118" s="3">
        <f t="shared" si="222"/>
        <v>4</v>
      </c>
      <c r="L7118" s="3">
        <f t="shared" si="223"/>
        <v>3.992</v>
      </c>
    </row>
    <row r="7119" spans="1:12" x14ac:dyDescent="0.3">
      <c r="A7119" s="2">
        <v>43636</v>
      </c>
      <c r="B7119">
        <v>6.05</v>
      </c>
      <c r="D7119" s="2">
        <v>44367</v>
      </c>
      <c r="E7119">
        <v>4</v>
      </c>
      <c r="G7119" s="2">
        <v>44367</v>
      </c>
      <c r="H7119">
        <v>3.7890000000000001</v>
      </c>
      <c r="J7119" s="2">
        <v>44374</v>
      </c>
      <c r="K7119" s="3">
        <f t="shared" si="222"/>
        <v>4</v>
      </c>
      <c r="L7119" s="3">
        <f t="shared" si="223"/>
        <v>3.992</v>
      </c>
    </row>
    <row r="7120" spans="1:12" x14ac:dyDescent="0.3">
      <c r="A7120" s="2">
        <v>43637</v>
      </c>
      <c r="B7120">
        <v>6.08</v>
      </c>
      <c r="D7120" s="2">
        <v>44368</v>
      </c>
      <c r="E7120">
        <v>4</v>
      </c>
      <c r="G7120" s="2">
        <v>44368</v>
      </c>
      <c r="H7120">
        <v>3.7890000000000001</v>
      </c>
      <c r="J7120" s="2">
        <v>44375</v>
      </c>
      <c r="K7120" s="3">
        <f t="shared" si="222"/>
        <v>4</v>
      </c>
      <c r="L7120" s="3">
        <f t="shared" si="223"/>
        <v>3.992</v>
      </c>
    </row>
    <row r="7121" spans="1:12" x14ac:dyDescent="0.3">
      <c r="A7121" s="2">
        <v>43638</v>
      </c>
      <c r="B7121">
        <v>6.08</v>
      </c>
      <c r="D7121" s="2">
        <v>44369</v>
      </c>
      <c r="E7121">
        <v>4</v>
      </c>
      <c r="G7121" s="2">
        <v>44369</v>
      </c>
      <c r="H7121">
        <v>3.96</v>
      </c>
      <c r="J7121" s="2">
        <v>44376</v>
      </c>
      <c r="K7121" s="3">
        <f t="shared" si="222"/>
        <v>4</v>
      </c>
      <c r="L7121" s="3">
        <f t="shared" si="223"/>
        <v>3.8679999999999999</v>
      </c>
    </row>
    <row r="7122" spans="1:12" x14ac:dyDescent="0.3">
      <c r="A7122" s="2">
        <v>43639</v>
      </c>
      <c r="B7122">
        <v>6.08</v>
      </c>
      <c r="D7122" s="2">
        <v>44370</v>
      </c>
      <c r="E7122">
        <v>4</v>
      </c>
      <c r="G7122" s="2">
        <v>44370</v>
      </c>
      <c r="H7122">
        <v>3.9489999999999998</v>
      </c>
      <c r="J7122" s="2">
        <v>44377</v>
      </c>
      <c r="K7122" s="3">
        <f t="shared" si="222"/>
        <v>4</v>
      </c>
      <c r="L7122" s="3">
        <f t="shared" si="223"/>
        <v>3.8679999999999999</v>
      </c>
    </row>
    <row r="7123" spans="1:12" x14ac:dyDescent="0.3">
      <c r="A7123" s="2">
        <v>43640</v>
      </c>
      <c r="B7123">
        <v>6.08</v>
      </c>
      <c r="D7123" s="2">
        <v>44371</v>
      </c>
      <c r="E7123">
        <v>4</v>
      </c>
      <c r="G7123" s="2">
        <v>44371</v>
      </c>
      <c r="H7123">
        <v>3.9489999999999998</v>
      </c>
      <c r="J7123" s="2">
        <v>44378</v>
      </c>
      <c r="K7123" s="3">
        <f t="shared" si="222"/>
        <v>4</v>
      </c>
      <c r="L7123" s="3">
        <f t="shared" si="223"/>
        <v>3.8679999999999999</v>
      </c>
    </row>
    <row r="7124" spans="1:12" x14ac:dyDescent="0.3">
      <c r="A7124" s="2">
        <v>43641</v>
      </c>
      <c r="B7124">
        <v>6.08</v>
      </c>
      <c r="D7124" s="2">
        <v>44372</v>
      </c>
      <c r="E7124">
        <v>4</v>
      </c>
      <c r="G7124" s="2">
        <v>44372</v>
      </c>
      <c r="H7124">
        <v>3.992</v>
      </c>
      <c r="J7124" s="2">
        <v>44379</v>
      </c>
      <c r="K7124" s="3">
        <f t="shared" si="222"/>
        <v>4</v>
      </c>
      <c r="L7124" s="3">
        <f t="shared" si="223"/>
        <v>3.9609999999999999</v>
      </c>
    </row>
    <row r="7125" spans="1:12" x14ac:dyDescent="0.3">
      <c r="A7125" s="2">
        <v>43642</v>
      </c>
      <c r="B7125">
        <v>6.15</v>
      </c>
      <c r="D7125" s="2">
        <v>44373</v>
      </c>
      <c r="E7125">
        <v>4</v>
      </c>
      <c r="G7125" s="2">
        <v>44373</v>
      </c>
      <c r="H7125">
        <v>3.992</v>
      </c>
      <c r="J7125" s="2">
        <v>44380</v>
      </c>
      <c r="K7125" s="3">
        <f t="shared" si="222"/>
        <v>4</v>
      </c>
      <c r="L7125" s="3">
        <f t="shared" si="223"/>
        <v>3.9609999999999999</v>
      </c>
    </row>
    <row r="7126" spans="1:12" x14ac:dyDescent="0.3">
      <c r="A7126" s="2">
        <v>43643</v>
      </c>
      <c r="B7126">
        <v>6.14</v>
      </c>
      <c r="D7126" s="2">
        <v>44374</v>
      </c>
      <c r="E7126">
        <v>4</v>
      </c>
      <c r="G7126" s="2">
        <v>44374</v>
      </c>
      <c r="H7126">
        <v>3.992</v>
      </c>
      <c r="J7126" s="2">
        <v>44381</v>
      </c>
      <c r="K7126" s="3">
        <f t="shared" si="222"/>
        <v>4</v>
      </c>
      <c r="L7126" s="3">
        <f t="shared" si="223"/>
        <v>3.9609999999999999</v>
      </c>
    </row>
    <row r="7127" spans="1:12" x14ac:dyDescent="0.3">
      <c r="A7127" s="2">
        <v>43644</v>
      </c>
      <c r="B7127">
        <v>6.13</v>
      </c>
      <c r="D7127" s="2">
        <v>44375</v>
      </c>
      <c r="E7127">
        <v>4</v>
      </c>
      <c r="G7127" s="2">
        <v>44375</v>
      </c>
      <c r="H7127">
        <v>3.992</v>
      </c>
      <c r="J7127" s="2">
        <v>44382</v>
      </c>
      <c r="K7127" s="3">
        <f t="shared" si="222"/>
        <v>4</v>
      </c>
      <c r="L7127" s="3">
        <f t="shared" si="223"/>
        <v>3.9990000000000001</v>
      </c>
    </row>
    <row r="7128" spans="1:12" x14ac:dyDescent="0.3">
      <c r="A7128" s="2">
        <v>43645</v>
      </c>
      <c r="B7128">
        <v>6.13</v>
      </c>
      <c r="D7128" s="2">
        <v>44376</v>
      </c>
      <c r="E7128">
        <v>4</v>
      </c>
      <c r="G7128" s="2">
        <v>44376</v>
      </c>
      <c r="H7128">
        <v>3.8679999999999999</v>
      </c>
      <c r="J7128" s="2">
        <v>44383</v>
      </c>
      <c r="K7128" s="3">
        <f t="shared" si="222"/>
        <v>4</v>
      </c>
      <c r="L7128" s="3">
        <f t="shared" si="223"/>
        <v>4.0010000000000003</v>
      </c>
    </row>
    <row r="7129" spans="1:12" x14ac:dyDescent="0.3">
      <c r="A7129" s="2">
        <v>43646</v>
      </c>
      <c r="B7129">
        <v>6.13</v>
      </c>
      <c r="D7129" s="2">
        <v>44377</v>
      </c>
      <c r="E7129">
        <v>4</v>
      </c>
      <c r="G7129" s="2">
        <v>44377</v>
      </c>
      <c r="H7129">
        <v>3.8679999999999999</v>
      </c>
      <c r="J7129" s="2">
        <v>44384</v>
      </c>
      <c r="K7129" s="3">
        <f t="shared" si="222"/>
        <v>4</v>
      </c>
      <c r="L7129" s="3">
        <f t="shared" si="223"/>
        <v>3.9430000000000001</v>
      </c>
    </row>
    <row r="7130" spans="1:12" x14ac:dyDescent="0.3">
      <c r="A7130" s="2">
        <v>43647</v>
      </c>
      <c r="B7130">
        <v>6.12</v>
      </c>
      <c r="D7130" s="2">
        <v>44378</v>
      </c>
      <c r="E7130">
        <v>4</v>
      </c>
      <c r="G7130" s="2">
        <v>44378</v>
      </c>
      <c r="H7130">
        <v>3.8679999999999999</v>
      </c>
      <c r="J7130" s="2">
        <v>44385</v>
      </c>
      <c r="K7130" s="3">
        <f t="shared" si="222"/>
        <v>4</v>
      </c>
      <c r="L7130" s="3">
        <f t="shared" si="223"/>
        <v>3.9089999999999998</v>
      </c>
    </row>
    <row r="7131" spans="1:12" x14ac:dyDescent="0.3">
      <c r="A7131" s="2">
        <v>43648</v>
      </c>
      <c r="B7131">
        <v>6.11</v>
      </c>
      <c r="D7131" s="2">
        <v>44379</v>
      </c>
      <c r="E7131">
        <v>4</v>
      </c>
      <c r="G7131" s="2">
        <v>44379</v>
      </c>
      <c r="H7131">
        <v>3.9609999999999999</v>
      </c>
      <c r="J7131" s="2">
        <v>44386</v>
      </c>
      <c r="K7131" s="3">
        <f t="shared" si="222"/>
        <v>4</v>
      </c>
      <c r="L7131" s="3">
        <f t="shared" si="223"/>
        <v>3.9089999999999998</v>
      </c>
    </row>
    <row r="7132" spans="1:12" x14ac:dyDescent="0.3">
      <c r="A7132" s="2">
        <v>43649</v>
      </c>
      <c r="B7132">
        <v>6.12</v>
      </c>
      <c r="D7132" s="2">
        <v>44380</v>
      </c>
      <c r="E7132">
        <v>4</v>
      </c>
      <c r="G7132" s="2">
        <v>44380</v>
      </c>
      <c r="H7132">
        <v>3.9609999999999999</v>
      </c>
      <c r="J7132" s="2">
        <v>44387</v>
      </c>
      <c r="K7132" s="3">
        <f t="shared" si="222"/>
        <v>4</v>
      </c>
      <c r="L7132" s="3">
        <f t="shared" si="223"/>
        <v>3.9089999999999998</v>
      </c>
    </row>
    <row r="7133" spans="1:12" x14ac:dyDescent="0.3">
      <c r="A7133" s="2">
        <v>43650</v>
      </c>
      <c r="B7133">
        <v>6.1</v>
      </c>
      <c r="D7133" s="2">
        <v>44381</v>
      </c>
      <c r="E7133">
        <v>4</v>
      </c>
      <c r="G7133" s="2">
        <v>44381</v>
      </c>
      <c r="H7133">
        <v>3.9609999999999999</v>
      </c>
      <c r="J7133" s="2">
        <v>44388</v>
      </c>
      <c r="K7133" s="3">
        <f t="shared" si="222"/>
        <v>4</v>
      </c>
      <c r="L7133" s="3">
        <f t="shared" si="223"/>
        <v>3.9089999999999998</v>
      </c>
    </row>
    <row r="7134" spans="1:12" x14ac:dyDescent="0.3">
      <c r="A7134" s="2">
        <v>43651</v>
      </c>
      <c r="B7134">
        <v>6.04</v>
      </c>
      <c r="D7134" s="2">
        <v>44382</v>
      </c>
      <c r="E7134">
        <v>4</v>
      </c>
      <c r="G7134" s="2">
        <v>44382</v>
      </c>
      <c r="H7134">
        <v>3.9990000000000001</v>
      </c>
      <c r="J7134" s="2">
        <v>44389</v>
      </c>
      <c r="K7134" s="3">
        <f t="shared" si="222"/>
        <v>4</v>
      </c>
      <c r="L7134" s="3">
        <f t="shared" si="223"/>
        <v>3.8969999999999998</v>
      </c>
    </row>
    <row r="7135" spans="1:12" x14ac:dyDescent="0.3">
      <c r="A7135" s="2">
        <v>43652</v>
      </c>
      <c r="B7135">
        <v>6.04</v>
      </c>
      <c r="D7135" s="2">
        <v>44383</v>
      </c>
      <c r="E7135">
        <v>4</v>
      </c>
      <c r="G7135" s="2">
        <v>44383</v>
      </c>
      <c r="H7135">
        <v>4.0010000000000003</v>
      </c>
      <c r="J7135" s="2">
        <v>44390</v>
      </c>
      <c r="K7135" s="3">
        <f t="shared" si="222"/>
        <v>4</v>
      </c>
      <c r="L7135" s="3">
        <f t="shared" si="223"/>
        <v>3.9180000000000001</v>
      </c>
    </row>
    <row r="7136" spans="1:12" x14ac:dyDescent="0.3">
      <c r="A7136" s="2">
        <v>43653</v>
      </c>
      <c r="B7136">
        <v>6.04</v>
      </c>
      <c r="D7136" s="2">
        <v>44384</v>
      </c>
      <c r="E7136">
        <v>4</v>
      </c>
      <c r="G7136" s="2">
        <v>44384</v>
      </c>
      <c r="H7136">
        <v>3.9430000000000001</v>
      </c>
      <c r="J7136" s="2">
        <v>44391</v>
      </c>
      <c r="K7136" s="3">
        <f t="shared" si="222"/>
        <v>4</v>
      </c>
      <c r="L7136" s="3">
        <f t="shared" si="223"/>
        <v>3.9180000000000001</v>
      </c>
    </row>
    <row r="7137" spans="1:12" x14ac:dyDescent="0.3">
      <c r="A7137" s="2">
        <v>43654</v>
      </c>
      <c r="B7137">
        <v>6.01</v>
      </c>
      <c r="D7137" s="2">
        <v>44385</v>
      </c>
      <c r="E7137">
        <v>4</v>
      </c>
      <c r="G7137" s="2">
        <v>44385</v>
      </c>
      <c r="H7137">
        <v>3.9089999999999998</v>
      </c>
      <c r="J7137" s="2">
        <v>44392</v>
      </c>
      <c r="K7137" s="3">
        <f t="shared" si="222"/>
        <v>4</v>
      </c>
      <c r="L7137" s="3">
        <f t="shared" si="223"/>
        <v>3.9180000000000001</v>
      </c>
    </row>
    <row r="7138" spans="1:12" x14ac:dyDescent="0.3">
      <c r="A7138" s="2">
        <v>43655</v>
      </c>
      <c r="B7138">
        <v>6.05</v>
      </c>
      <c r="D7138" s="2">
        <v>44386</v>
      </c>
      <c r="E7138">
        <v>4</v>
      </c>
      <c r="G7138" s="2">
        <v>44386</v>
      </c>
      <c r="H7138">
        <v>3.9089999999999998</v>
      </c>
      <c r="J7138" s="2">
        <v>44393</v>
      </c>
      <c r="K7138" s="3">
        <f t="shared" si="222"/>
        <v>4</v>
      </c>
      <c r="L7138" s="3">
        <f t="shared" si="223"/>
        <v>3.8039999999999998</v>
      </c>
    </row>
    <row r="7139" spans="1:12" x14ac:dyDescent="0.3">
      <c r="A7139" s="2">
        <v>43656</v>
      </c>
      <c r="B7139">
        <v>6.05</v>
      </c>
      <c r="D7139" s="2">
        <v>44387</v>
      </c>
      <c r="E7139">
        <v>4</v>
      </c>
      <c r="G7139" s="2">
        <v>44387</v>
      </c>
      <c r="H7139">
        <v>3.9089999999999998</v>
      </c>
      <c r="J7139" s="2">
        <v>44394</v>
      </c>
      <c r="K7139" s="3">
        <f t="shared" si="222"/>
        <v>4</v>
      </c>
      <c r="L7139" s="3">
        <f t="shared" si="223"/>
        <v>3.8039999999999998</v>
      </c>
    </row>
    <row r="7140" spans="1:12" x14ac:dyDescent="0.3">
      <c r="A7140" s="2">
        <v>43657</v>
      </c>
      <c r="B7140">
        <v>6.07</v>
      </c>
      <c r="D7140" s="2">
        <v>44388</v>
      </c>
      <c r="E7140">
        <v>4</v>
      </c>
      <c r="G7140" s="2">
        <v>44388</v>
      </c>
      <c r="H7140">
        <v>3.9089999999999998</v>
      </c>
      <c r="J7140" s="2">
        <v>44395</v>
      </c>
      <c r="K7140" s="3">
        <f t="shared" si="222"/>
        <v>4</v>
      </c>
      <c r="L7140" s="3">
        <f t="shared" si="223"/>
        <v>3.8039999999999998</v>
      </c>
    </row>
    <row r="7141" spans="1:12" x14ac:dyDescent="0.3">
      <c r="A7141" s="2">
        <v>43658</v>
      </c>
      <c r="B7141">
        <v>6.02</v>
      </c>
      <c r="D7141" s="2">
        <v>44389</v>
      </c>
      <c r="E7141">
        <v>4</v>
      </c>
      <c r="G7141" s="2">
        <v>44389</v>
      </c>
      <c r="H7141">
        <v>3.8969999999999998</v>
      </c>
      <c r="J7141" s="2">
        <v>44396</v>
      </c>
      <c r="K7141" s="3">
        <f t="shared" si="222"/>
        <v>4</v>
      </c>
      <c r="L7141" s="3">
        <f t="shared" si="223"/>
        <v>3.8809999999999998</v>
      </c>
    </row>
    <row r="7142" spans="1:12" x14ac:dyDescent="0.3">
      <c r="A7142" s="2">
        <v>43659</v>
      </c>
      <c r="B7142">
        <v>6.02</v>
      </c>
      <c r="D7142" s="2">
        <v>44390</v>
      </c>
      <c r="E7142">
        <v>4</v>
      </c>
      <c r="G7142" s="2">
        <v>44390</v>
      </c>
      <c r="H7142">
        <v>3.9180000000000001</v>
      </c>
      <c r="J7142" s="2">
        <v>44397</v>
      </c>
      <c r="K7142" s="3">
        <f t="shared" si="222"/>
        <v>4</v>
      </c>
      <c r="L7142" s="3">
        <f t="shared" si="223"/>
        <v>3.8809999999999998</v>
      </c>
    </row>
    <row r="7143" spans="1:12" x14ac:dyDescent="0.3">
      <c r="A7143" s="2">
        <v>43660</v>
      </c>
      <c r="B7143">
        <v>6.02</v>
      </c>
      <c r="D7143" s="2">
        <v>44391</v>
      </c>
      <c r="E7143">
        <v>4</v>
      </c>
      <c r="G7143" s="2">
        <v>44391</v>
      </c>
      <c r="H7143">
        <v>3.9180000000000001</v>
      </c>
      <c r="J7143" s="2">
        <v>44398</v>
      </c>
      <c r="K7143" s="3">
        <f t="shared" si="222"/>
        <v>4</v>
      </c>
      <c r="L7143" s="3">
        <f t="shared" si="223"/>
        <v>3.8809999999999998</v>
      </c>
    </row>
    <row r="7144" spans="1:12" x14ac:dyDescent="0.3">
      <c r="A7144" s="2">
        <v>43661</v>
      </c>
      <c r="B7144">
        <v>5.97</v>
      </c>
      <c r="D7144" s="2">
        <v>44392</v>
      </c>
      <c r="E7144">
        <v>4</v>
      </c>
      <c r="G7144" s="2">
        <v>44392</v>
      </c>
      <c r="H7144">
        <v>3.9180000000000001</v>
      </c>
      <c r="J7144" s="2">
        <v>44399</v>
      </c>
      <c r="K7144" s="3">
        <f t="shared" si="222"/>
        <v>4</v>
      </c>
      <c r="L7144" s="3">
        <f t="shared" si="223"/>
        <v>3.8809999999999998</v>
      </c>
    </row>
    <row r="7145" spans="1:12" x14ac:dyDescent="0.3">
      <c r="A7145" s="2">
        <v>43662</v>
      </c>
      <c r="B7145">
        <v>5.98</v>
      </c>
      <c r="D7145" s="2">
        <v>44393</v>
      </c>
      <c r="E7145">
        <v>4</v>
      </c>
      <c r="G7145" s="2">
        <v>44393</v>
      </c>
      <c r="H7145">
        <v>3.8039999999999998</v>
      </c>
      <c r="J7145" s="2">
        <v>44400</v>
      </c>
      <c r="K7145" s="3">
        <f t="shared" si="222"/>
        <v>4</v>
      </c>
      <c r="L7145" s="3">
        <f t="shared" si="223"/>
        <v>3.8359999999999999</v>
      </c>
    </row>
    <row r="7146" spans="1:12" x14ac:dyDescent="0.3">
      <c r="A7146" s="2">
        <v>43663</v>
      </c>
      <c r="B7146">
        <v>5.97</v>
      </c>
      <c r="D7146" s="2">
        <v>44394</v>
      </c>
      <c r="E7146">
        <v>4</v>
      </c>
      <c r="G7146" s="2">
        <v>44394</v>
      </c>
      <c r="H7146">
        <v>3.8039999999999998</v>
      </c>
      <c r="J7146" s="2">
        <v>44401</v>
      </c>
      <c r="K7146" s="3">
        <f t="shared" si="222"/>
        <v>4</v>
      </c>
      <c r="L7146" s="3">
        <f t="shared" si="223"/>
        <v>3.8359999999999999</v>
      </c>
    </row>
    <row r="7147" spans="1:12" x14ac:dyDescent="0.3">
      <c r="A7147" s="2">
        <v>43664</v>
      </c>
      <c r="B7147">
        <v>5.95</v>
      </c>
      <c r="D7147" s="2">
        <v>44395</v>
      </c>
      <c r="E7147">
        <v>4</v>
      </c>
      <c r="G7147" s="2">
        <v>44395</v>
      </c>
      <c r="H7147">
        <v>3.8039999999999998</v>
      </c>
      <c r="J7147" s="2">
        <v>44402</v>
      </c>
      <c r="K7147" s="3">
        <f t="shared" si="222"/>
        <v>4</v>
      </c>
      <c r="L7147" s="3">
        <f t="shared" si="223"/>
        <v>3.8359999999999999</v>
      </c>
    </row>
    <row r="7148" spans="1:12" x14ac:dyDescent="0.3">
      <c r="A7148" s="2">
        <v>43665</v>
      </c>
      <c r="B7148">
        <v>5.89</v>
      </c>
      <c r="D7148" s="2">
        <v>44396</v>
      </c>
      <c r="E7148">
        <v>4</v>
      </c>
      <c r="G7148" s="2">
        <v>44396</v>
      </c>
      <c r="H7148">
        <v>3.8809999999999998</v>
      </c>
      <c r="J7148" s="2">
        <v>44403</v>
      </c>
      <c r="K7148" s="3">
        <f t="shared" si="222"/>
        <v>4</v>
      </c>
      <c r="L7148" s="3">
        <f t="shared" si="223"/>
        <v>3.835</v>
      </c>
    </row>
    <row r="7149" spans="1:12" x14ac:dyDescent="0.3">
      <c r="A7149" s="2">
        <v>43666</v>
      </c>
      <c r="B7149">
        <v>5.89</v>
      </c>
      <c r="D7149" s="2">
        <v>44397</v>
      </c>
      <c r="E7149">
        <v>4</v>
      </c>
      <c r="G7149" s="2">
        <v>44397</v>
      </c>
      <c r="H7149">
        <v>3.8809999999999998</v>
      </c>
      <c r="J7149" s="2">
        <v>44404</v>
      </c>
      <c r="K7149" s="3">
        <f t="shared" si="222"/>
        <v>4</v>
      </c>
      <c r="L7149" s="3">
        <f t="shared" si="223"/>
        <v>3.84</v>
      </c>
    </row>
    <row r="7150" spans="1:12" x14ac:dyDescent="0.3">
      <c r="A7150" s="2">
        <v>43667</v>
      </c>
      <c r="B7150">
        <v>5.89</v>
      </c>
      <c r="D7150" s="2">
        <v>44398</v>
      </c>
      <c r="E7150">
        <v>4</v>
      </c>
      <c r="G7150" s="2">
        <v>44398</v>
      </c>
      <c r="H7150">
        <v>3.8809999999999998</v>
      </c>
      <c r="J7150" s="2">
        <v>44405</v>
      </c>
      <c r="K7150" s="3">
        <f t="shared" si="222"/>
        <v>4</v>
      </c>
      <c r="L7150" s="3">
        <f t="shared" si="223"/>
        <v>3.831</v>
      </c>
    </row>
    <row r="7151" spans="1:12" x14ac:dyDescent="0.3">
      <c r="A7151" s="2">
        <v>43668</v>
      </c>
      <c r="B7151">
        <v>5.91</v>
      </c>
      <c r="D7151" s="2">
        <v>44399</v>
      </c>
      <c r="E7151">
        <v>4</v>
      </c>
      <c r="G7151" s="2">
        <v>44399</v>
      </c>
      <c r="H7151">
        <v>3.8809999999999998</v>
      </c>
      <c r="J7151" s="2">
        <v>44406</v>
      </c>
      <c r="K7151" s="3">
        <f t="shared" si="222"/>
        <v>4</v>
      </c>
      <c r="L7151" s="3">
        <f t="shared" si="223"/>
        <v>3.8639999999999999</v>
      </c>
    </row>
    <row r="7152" spans="1:12" x14ac:dyDescent="0.3">
      <c r="A7152" s="2">
        <v>43669</v>
      </c>
      <c r="B7152">
        <v>5.93</v>
      </c>
      <c r="D7152" s="2">
        <v>44400</v>
      </c>
      <c r="E7152">
        <v>4</v>
      </c>
      <c r="G7152" s="2">
        <v>44400</v>
      </c>
      <c r="H7152">
        <v>3.8359999999999999</v>
      </c>
      <c r="J7152" s="2">
        <v>44407</v>
      </c>
      <c r="K7152" s="3">
        <f t="shared" si="222"/>
        <v>4</v>
      </c>
      <c r="L7152" s="3">
        <f t="shared" si="223"/>
        <v>3.7149999999999999</v>
      </c>
    </row>
    <row r="7153" spans="1:12" x14ac:dyDescent="0.3">
      <c r="A7153" s="2">
        <v>43670</v>
      </c>
      <c r="B7153">
        <v>5.96</v>
      </c>
      <c r="D7153" s="2">
        <v>44401</v>
      </c>
      <c r="E7153">
        <v>4</v>
      </c>
      <c r="G7153" s="2">
        <v>44401</v>
      </c>
      <c r="H7153">
        <v>3.8359999999999999</v>
      </c>
      <c r="J7153" s="2">
        <v>44408</v>
      </c>
      <c r="K7153" s="3">
        <f t="shared" si="222"/>
        <v>4</v>
      </c>
      <c r="L7153" s="3">
        <f t="shared" si="223"/>
        <v>3.7149999999999999</v>
      </c>
    </row>
    <row r="7154" spans="1:12" x14ac:dyDescent="0.3">
      <c r="A7154" s="2">
        <v>43671</v>
      </c>
      <c r="B7154">
        <v>5.97</v>
      </c>
      <c r="D7154" s="2">
        <v>44402</v>
      </c>
      <c r="E7154">
        <v>4</v>
      </c>
      <c r="G7154" s="2">
        <v>44402</v>
      </c>
      <c r="H7154">
        <v>3.8359999999999999</v>
      </c>
      <c r="J7154" s="2">
        <v>44409</v>
      </c>
      <c r="K7154" s="3">
        <f t="shared" si="222"/>
        <v>4</v>
      </c>
      <c r="L7154" s="3">
        <f t="shared" si="223"/>
        <v>3.7149999999999999</v>
      </c>
    </row>
    <row r="7155" spans="1:12" x14ac:dyDescent="0.3">
      <c r="A7155" s="2">
        <v>43672</v>
      </c>
      <c r="B7155">
        <v>5.95</v>
      </c>
      <c r="D7155" s="2">
        <v>44403</v>
      </c>
      <c r="E7155">
        <v>4</v>
      </c>
      <c r="G7155" s="2">
        <v>44403</v>
      </c>
      <c r="H7155">
        <v>3.835</v>
      </c>
      <c r="J7155" s="2">
        <v>44410</v>
      </c>
      <c r="K7155" s="3">
        <f t="shared" si="222"/>
        <v>4</v>
      </c>
      <c r="L7155" s="3">
        <f t="shared" si="223"/>
        <v>3.8119999999999998</v>
      </c>
    </row>
    <row r="7156" spans="1:12" x14ac:dyDescent="0.3">
      <c r="A7156" s="2">
        <v>43673</v>
      </c>
      <c r="B7156">
        <v>5.95</v>
      </c>
      <c r="D7156" s="2">
        <v>44404</v>
      </c>
      <c r="E7156">
        <v>4</v>
      </c>
      <c r="G7156" s="2">
        <v>44404</v>
      </c>
      <c r="H7156">
        <v>3.84</v>
      </c>
      <c r="J7156" s="2">
        <v>44411</v>
      </c>
      <c r="K7156" s="3">
        <f t="shared" si="222"/>
        <v>4</v>
      </c>
      <c r="L7156" s="3">
        <f t="shared" si="223"/>
        <v>3.8279999999999998</v>
      </c>
    </row>
    <row r="7157" spans="1:12" x14ac:dyDescent="0.3">
      <c r="A7157" s="2">
        <v>43674</v>
      </c>
      <c r="B7157">
        <v>5.95</v>
      </c>
      <c r="D7157" s="2">
        <v>44405</v>
      </c>
      <c r="E7157">
        <v>4</v>
      </c>
      <c r="G7157" s="2">
        <v>44405</v>
      </c>
      <c r="H7157">
        <v>3.831</v>
      </c>
      <c r="J7157" s="2">
        <v>44412</v>
      </c>
      <c r="K7157" s="3">
        <f t="shared" si="222"/>
        <v>4</v>
      </c>
      <c r="L7157" s="3">
        <f t="shared" si="223"/>
        <v>3.8570000000000002</v>
      </c>
    </row>
    <row r="7158" spans="1:12" x14ac:dyDescent="0.3">
      <c r="A7158" s="2">
        <v>43675</v>
      </c>
      <c r="B7158">
        <v>5.91</v>
      </c>
      <c r="D7158" s="2">
        <v>44406</v>
      </c>
      <c r="E7158">
        <v>4</v>
      </c>
      <c r="G7158" s="2">
        <v>44406</v>
      </c>
      <c r="H7158">
        <v>3.8639999999999999</v>
      </c>
      <c r="J7158" s="2">
        <v>44413</v>
      </c>
      <c r="K7158" s="3">
        <f t="shared" si="222"/>
        <v>4</v>
      </c>
      <c r="L7158" s="3">
        <f t="shared" si="223"/>
        <v>3.8650000000000002</v>
      </c>
    </row>
    <row r="7159" spans="1:12" x14ac:dyDescent="0.3">
      <c r="A7159" s="2">
        <v>43676</v>
      </c>
      <c r="B7159">
        <v>5.94</v>
      </c>
      <c r="D7159" s="2">
        <v>44407</v>
      </c>
      <c r="E7159">
        <v>4</v>
      </c>
      <c r="G7159" s="2">
        <v>44407</v>
      </c>
      <c r="H7159">
        <v>3.7149999999999999</v>
      </c>
      <c r="J7159" s="2">
        <v>44414</v>
      </c>
      <c r="K7159" s="3">
        <f t="shared" si="222"/>
        <v>4</v>
      </c>
      <c r="L7159" s="3">
        <f t="shared" si="223"/>
        <v>3.8650000000000002</v>
      </c>
    </row>
    <row r="7160" spans="1:12" x14ac:dyDescent="0.3">
      <c r="A7160" s="2">
        <v>43677</v>
      </c>
      <c r="B7160">
        <v>5.93</v>
      </c>
      <c r="D7160" s="2">
        <v>44408</v>
      </c>
      <c r="E7160">
        <v>4</v>
      </c>
      <c r="G7160" s="2">
        <v>44408</v>
      </c>
      <c r="H7160">
        <v>3.7149999999999999</v>
      </c>
      <c r="J7160" s="2">
        <v>44415</v>
      </c>
      <c r="K7160" s="3">
        <f t="shared" si="222"/>
        <v>4</v>
      </c>
      <c r="L7160" s="3">
        <f t="shared" si="223"/>
        <v>3.8650000000000002</v>
      </c>
    </row>
    <row r="7161" spans="1:12" x14ac:dyDescent="0.3">
      <c r="A7161" s="2">
        <v>43678</v>
      </c>
      <c r="B7161">
        <v>5.89</v>
      </c>
      <c r="D7161" s="2">
        <v>44409</v>
      </c>
      <c r="E7161">
        <v>4</v>
      </c>
      <c r="G7161" s="2">
        <v>44409</v>
      </c>
      <c r="H7161">
        <v>3.7149999999999999</v>
      </c>
      <c r="J7161" s="2">
        <v>44416</v>
      </c>
      <c r="K7161" s="3">
        <f t="shared" si="222"/>
        <v>4</v>
      </c>
      <c r="L7161" s="3">
        <f t="shared" si="223"/>
        <v>3.8650000000000002</v>
      </c>
    </row>
    <row r="7162" spans="1:12" x14ac:dyDescent="0.3">
      <c r="A7162" s="2">
        <v>43679</v>
      </c>
      <c r="B7162">
        <v>5.81</v>
      </c>
      <c r="D7162" s="2">
        <v>44410</v>
      </c>
      <c r="E7162">
        <v>4</v>
      </c>
      <c r="G7162" s="2">
        <v>44410</v>
      </c>
      <c r="H7162">
        <v>3.8119999999999998</v>
      </c>
      <c r="J7162" s="2">
        <v>44417</v>
      </c>
      <c r="K7162" s="3">
        <f t="shared" si="222"/>
        <v>4</v>
      </c>
      <c r="L7162" s="3">
        <f t="shared" si="223"/>
        <v>3.8650000000000002</v>
      </c>
    </row>
    <row r="7163" spans="1:12" x14ac:dyDescent="0.3">
      <c r="A7163" s="2">
        <v>43680</v>
      </c>
      <c r="B7163">
        <v>5.81</v>
      </c>
      <c r="D7163" s="2">
        <v>44411</v>
      </c>
      <c r="E7163">
        <v>4</v>
      </c>
      <c r="G7163" s="2">
        <v>44411</v>
      </c>
      <c r="H7163">
        <v>3.8279999999999998</v>
      </c>
      <c r="J7163" s="2">
        <v>44418</v>
      </c>
      <c r="K7163" s="3">
        <f t="shared" si="222"/>
        <v>4</v>
      </c>
      <c r="L7163" s="3">
        <f t="shared" si="223"/>
        <v>3.8650000000000002</v>
      </c>
    </row>
    <row r="7164" spans="1:12" x14ac:dyDescent="0.3">
      <c r="A7164" s="2">
        <v>43681</v>
      </c>
      <c r="B7164">
        <v>5.81</v>
      </c>
      <c r="D7164" s="2">
        <v>44412</v>
      </c>
      <c r="E7164">
        <v>4</v>
      </c>
      <c r="G7164" s="2">
        <v>44412</v>
      </c>
      <c r="H7164">
        <v>3.8570000000000002</v>
      </c>
      <c r="J7164" s="2">
        <v>44419</v>
      </c>
      <c r="K7164" s="3">
        <f t="shared" si="222"/>
        <v>4</v>
      </c>
      <c r="L7164" s="3">
        <f t="shared" si="223"/>
        <v>3.8980000000000001</v>
      </c>
    </row>
    <row r="7165" spans="1:12" x14ac:dyDescent="0.3">
      <c r="A7165" s="2">
        <v>43682</v>
      </c>
      <c r="B7165">
        <v>5.8</v>
      </c>
      <c r="D7165" s="2">
        <v>44413</v>
      </c>
      <c r="E7165">
        <v>4</v>
      </c>
      <c r="G7165" s="2">
        <v>44413</v>
      </c>
      <c r="H7165">
        <v>3.8650000000000002</v>
      </c>
      <c r="J7165" s="2">
        <v>44420</v>
      </c>
      <c r="K7165" s="3">
        <f t="shared" si="222"/>
        <v>4</v>
      </c>
      <c r="L7165" s="3">
        <f t="shared" si="223"/>
        <v>3.8980000000000001</v>
      </c>
    </row>
    <row r="7166" spans="1:12" x14ac:dyDescent="0.3">
      <c r="A7166" s="2">
        <v>43683</v>
      </c>
      <c r="B7166">
        <v>5.76</v>
      </c>
      <c r="D7166" s="2">
        <v>44414</v>
      </c>
      <c r="E7166">
        <v>4</v>
      </c>
      <c r="G7166" s="2">
        <v>44414</v>
      </c>
      <c r="H7166">
        <v>3.8650000000000002</v>
      </c>
      <c r="J7166" s="2">
        <v>44421</v>
      </c>
      <c r="K7166" s="3">
        <f t="shared" si="222"/>
        <v>4</v>
      </c>
      <c r="L7166" s="3">
        <f t="shared" si="223"/>
        <v>3.8980000000000001</v>
      </c>
    </row>
    <row r="7167" spans="1:12" x14ac:dyDescent="0.3">
      <c r="A7167" s="2">
        <v>43684</v>
      </c>
      <c r="B7167">
        <v>5.78</v>
      </c>
      <c r="D7167" s="2">
        <v>44415</v>
      </c>
      <c r="E7167">
        <v>4</v>
      </c>
      <c r="G7167" s="2">
        <v>44415</v>
      </c>
      <c r="H7167">
        <v>3.8650000000000002</v>
      </c>
      <c r="J7167" s="2">
        <v>44422</v>
      </c>
      <c r="K7167" s="3">
        <f t="shared" si="222"/>
        <v>4</v>
      </c>
      <c r="L7167" s="3">
        <f t="shared" si="223"/>
        <v>3.8980000000000001</v>
      </c>
    </row>
    <row r="7168" spans="1:12" x14ac:dyDescent="0.3">
      <c r="A7168" s="2">
        <v>43685</v>
      </c>
      <c r="B7168">
        <v>5.65</v>
      </c>
      <c r="D7168" s="2">
        <v>44416</v>
      </c>
      <c r="E7168">
        <v>4</v>
      </c>
      <c r="G7168" s="2">
        <v>44416</v>
      </c>
      <c r="H7168">
        <v>3.8650000000000002</v>
      </c>
      <c r="J7168" s="2">
        <v>44423</v>
      </c>
      <c r="K7168" s="3">
        <f t="shared" si="222"/>
        <v>4</v>
      </c>
      <c r="L7168" s="3">
        <f t="shared" si="223"/>
        <v>3.8980000000000001</v>
      </c>
    </row>
    <row r="7169" spans="1:12" x14ac:dyDescent="0.3">
      <c r="A7169" s="2">
        <v>43686</v>
      </c>
      <c r="B7169">
        <v>5.66</v>
      </c>
      <c r="D7169" s="2">
        <v>44417</v>
      </c>
      <c r="E7169">
        <v>4</v>
      </c>
      <c r="G7169" s="2">
        <v>44417</v>
      </c>
      <c r="H7169">
        <v>3.8650000000000002</v>
      </c>
      <c r="J7169" s="2">
        <v>44424</v>
      </c>
      <c r="K7169" s="3">
        <f t="shared" si="222"/>
        <v>4</v>
      </c>
      <c r="L7169" s="3">
        <f t="shared" si="223"/>
        <v>3.8980000000000001</v>
      </c>
    </row>
    <row r="7170" spans="1:12" x14ac:dyDescent="0.3">
      <c r="A7170" s="2">
        <v>43687</v>
      </c>
      <c r="B7170">
        <v>5.66</v>
      </c>
      <c r="D7170" s="2">
        <v>44418</v>
      </c>
      <c r="E7170">
        <v>4</v>
      </c>
      <c r="G7170" s="2">
        <v>44418</v>
      </c>
      <c r="H7170">
        <v>3.8650000000000002</v>
      </c>
      <c r="J7170" s="2">
        <v>44425</v>
      </c>
      <c r="K7170" s="3">
        <f t="shared" si="222"/>
        <v>4</v>
      </c>
      <c r="L7170" s="3">
        <f t="shared" si="223"/>
        <v>3.8980000000000001</v>
      </c>
    </row>
    <row r="7171" spans="1:12" x14ac:dyDescent="0.3">
      <c r="A7171" s="2">
        <v>43688</v>
      </c>
      <c r="B7171">
        <v>5.66</v>
      </c>
      <c r="D7171" s="2">
        <v>44419</v>
      </c>
      <c r="E7171">
        <v>4</v>
      </c>
      <c r="G7171" s="2">
        <v>44419</v>
      </c>
      <c r="H7171">
        <v>3.8980000000000001</v>
      </c>
      <c r="J7171" s="2">
        <v>44426</v>
      </c>
      <c r="K7171" s="3">
        <f t="shared" ref="K7171:K7234" si="224">E7178</f>
        <v>4</v>
      </c>
      <c r="L7171" s="3">
        <f t="shared" ref="L7171:L7234" si="225">H7178</f>
        <v>3.8980000000000001</v>
      </c>
    </row>
    <row r="7172" spans="1:12" x14ac:dyDescent="0.3">
      <c r="A7172" s="2">
        <v>43689</v>
      </c>
      <c r="B7172">
        <v>5.66</v>
      </c>
      <c r="D7172" s="2">
        <v>44420</v>
      </c>
      <c r="E7172">
        <v>4</v>
      </c>
      <c r="G7172" s="2">
        <v>44420</v>
      </c>
      <c r="H7172">
        <v>3.8980000000000001</v>
      </c>
      <c r="J7172" s="2">
        <v>44427</v>
      </c>
      <c r="K7172" s="3">
        <f t="shared" si="224"/>
        <v>4</v>
      </c>
      <c r="L7172" s="3">
        <f t="shared" si="225"/>
        <v>3.8980000000000001</v>
      </c>
    </row>
    <row r="7173" spans="1:12" x14ac:dyDescent="0.3">
      <c r="A7173" s="2">
        <v>43690</v>
      </c>
      <c r="B7173">
        <v>5.68</v>
      </c>
      <c r="D7173" s="2">
        <v>44421</v>
      </c>
      <c r="E7173">
        <v>4</v>
      </c>
      <c r="G7173" s="2">
        <v>44421</v>
      </c>
      <c r="H7173">
        <v>3.8980000000000001</v>
      </c>
      <c r="J7173" s="2">
        <v>44428</v>
      </c>
      <c r="K7173" s="3">
        <f t="shared" si="224"/>
        <v>4</v>
      </c>
      <c r="L7173" s="3">
        <f t="shared" si="225"/>
        <v>3.8980000000000001</v>
      </c>
    </row>
    <row r="7174" spans="1:12" x14ac:dyDescent="0.3">
      <c r="A7174" s="2">
        <v>43691</v>
      </c>
      <c r="B7174">
        <v>5.74</v>
      </c>
      <c r="D7174" s="2">
        <v>44422</v>
      </c>
      <c r="E7174">
        <v>4</v>
      </c>
      <c r="G7174" s="2">
        <v>44422</v>
      </c>
      <c r="H7174">
        <v>3.8980000000000001</v>
      </c>
      <c r="J7174" s="2">
        <v>44429</v>
      </c>
      <c r="K7174" s="3">
        <f t="shared" si="224"/>
        <v>4</v>
      </c>
      <c r="L7174" s="3">
        <f t="shared" si="225"/>
        <v>3.8980000000000001</v>
      </c>
    </row>
    <row r="7175" spans="1:12" x14ac:dyDescent="0.3">
      <c r="A7175" s="2">
        <v>43692</v>
      </c>
      <c r="B7175">
        <v>5.74</v>
      </c>
      <c r="D7175" s="2">
        <v>44423</v>
      </c>
      <c r="E7175">
        <v>4</v>
      </c>
      <c r="G7175" s="2">
        <v>44423</v>
      </c>
      <c r="H7175">
        <v>3.8980000000000001</v>
      </c>
      <c r="J7175" s="2">
        <v>44430</v>
      </c>
      <c r="K7175" s="3">
        <f t="shared" si="224"/>
        <v>4</v>
      </c>
      <c r="L7175" s="3">
        <f t="shared" si="225"/>
        <v>3.8980000000000001</v>
      </c>
    </row>
    <row r="7176" spans="1:12" x14ac:dyDescent="0.3">
      <c r="A7176" s="2">
        <v>43693</v>
      </c>
      <c r="B7176">
        <v>5.72</v>
      </c>
      <c r="D7176" s="2">
        <v>44424</v>
      </c>
      <c r="E7176">
        <v>4</v>
      </c>
      <c r="G7176" s="2">
        <v>44424</v>
      </c>
      <c r="H7176">
        <v>3.8980000000000001</v>
      </c>
      <c r="J7176" s="2">
        <v>44431</v>
      </c>
      <c r="K7176" s="3">
        <f t="shared" si="224"/>
        <v>4</v>
      </c>
      <c r="L7176" s="3">
        <f t="shared" si="225"/>
        <v>3.8180000000000001</v>
      </c>
    </row>
    <row r="7177" spans="1:12" x14ac:dyDescent="0.3">
      <c r="A7177" s="2">
        <v>43694</v>
      </c>
      <c r="B7177">
        <v>5.72</v>
      </c>
      <c r="D7177" s="2">
        <v>44425</v>
      </c>
      <c r="E7177">
        <v>4</v>
      </c>
      <c r="G7177" s="2">
        <v>44425</v>
      </c>
      <c r="H7177">
        <v>3.8980000000000001</v>
      </c>
      <c r="J7177" s="2">
        <v>44432</v>
      </c>
      <c r="K7177" s="3">
        <f t="shared" si="224"/>
        <v>4</v>
      </c>
      <c r="L7177" s="3">
        <f t="shared" si="225"/>
        <v>3.8180000000000001</v>
      </c>
    </row>
    <row r="7178" spans="1:12" x14ac:dyDescent="0.3">
      <c r="A7178" s="2">
        <v>43695</v>
      </c>
      <c r="B7178">
        <v>5.72</v>
      </c>
      <c r="D7178" s="2">
        <v>44426</v>
      </c>
      <c r="E7178">
        <v>4</v>
      </c>
      <c r="G7178" s="2">
        <v>44426</v>
      </c>
      <c r="H7178">
        <v>3.8980000000000001</v>
      </c>
      <c r="J7178" s="2">
        <v>44433</v>
      </c>
      <c r="K7178" s="3">
        <f t="shared" si="224"/>
        <v>4</v>
      </c>
      <c r="L7178" s="3">
        <f t="shared" si="225"/>
        <v>3.7829999999999999</v>
      </c>
    </row>
    <row r="7179" spans="1:12" x14ac:dyDescent="0.3">
      <c r="A7179" s="2">
        <v>43696</v>
      </c>
      <c r="B7179">
        <v>5.73</v>
      </c>
      <c r="D7179" s="2">
        <v>44427</v>
      </c>
      <c r="E7179">
        <v>4</v>
      </c>
      <c r="G7179" s="2">
        <v>44427</v>
      </c>
      <c r="H7179">
        <v>3.8980000000000001</v>
      </c>
      <c r="J7179" s="2">
        <v>44434</v>
      </c>
      <c r="K7179" s="3">
        <f t="shared" si="224"/>
        <v>4</v>
      </c>
      <c r="L7179" s="3">
        <f t="shared" si="225"/>
        <v>3.7829999999999999</v>
      </c>
    </row>
    <row r="7180" spans="1:12" x14ac:dyDescent="0.3">
      <c r="A7180" s="2">
        <v>43697</v>
      </c>
      <c r="B7180">
        <v>5.72</v>
      </c>
      <c r="D7180" s="2">
        <v>44428</v>
      </c>
      <c r="E7180">
        <v>4</v>
      </c>
      <c r="G7180" s="2">
        <v>44428</v>
      </c>
      <c r="H7180">
        <v>3.8980000000000001</v>
      </c>
      <c r="J7180" s="2">
        <v>44435</v>
      </c>
      <c r="K7180" s="3">
        <f t="shared" si="224"/>
        <v>4</v>
      </c>
      <c r="L7180" s="3">
        <f t="shared" si="225"/>
        <v>3.7829999999999999</v>
      </c>
    </row>
    <row r="7181" spans="1:12" x14ac:dyDescent="0.3">
      <c r="A7181" s="2">
        <v>43698</v>
      </c>
      <c r="B7181">
        <v>5.72</v>
      </c>
      <c r="D7181" s="2">
        <v>44429</v>
      </c>
      <c r="E7181">
        <v>4</v>
      </c>
      <c r="G7181" s="2">
        <v>44429</v>
      </c>
      <c r="H7181">
        <v>3.8980000000000001</v>
      </c>
      <c r="J7181" s="2">
        <v>44436</v>
      </c>
      <c r="K7181" s="3">
        <f t="shared" si="224"/>
        <v>4</v>
      </c>
      <c r="L7181" s="3">
        <f t="shared" si="225"/>
        <v>3.7829999999999999</v>
      </c>
    </row>
    <row r="7182" spans="1:12" x14ac:dyDescent="0.3">
      <c r="A7182" s="2">
        <v>43699</v>
      </c>
      <c r="B7182">
        <v>5.67</v>
      </c>
      <c r="D7182" s="2">
        <v>44430</v>
      </c>
      <c r="E7182">
        <v>4</v>
      </c>
      <c r="G7182" s="2">
        <v>44430</v>
      </c>
      <c r="H7182">
        <v>3.8980000000000001</v>
      </c>
      <c r="J7182" s="2">
        <v>44437</v>
      </c>
      <c r="K7182" s="3">
        <f t="shared" si="224"/>
        <v>4</v>
      </c>
      <c r="L7182" s="3">
        <f t="shared" si="225"/>
        <v>3.7829999999999999</v>
      </c>
    </row>
    <row r="7183" spans="1:12" x14ac:dyDescent="0.3">
      <c r="A7183" s="2">
        <v>43700</v>
      </c>
      <c r="B7183">
        <v>5.68</v>
      </c>
      <c r="D7183" s="2">
        <v>44431</v>
      </c>
      <c r="E7183">
        <v>4</v>
      </c>
      <c r="G7183" s="2">
        <v>44431</v>
      </c>
      <c r="H7183">
        <v>3.8180000000000001</v>
      </c>
      <c r="J7183" s="2">
        <v>44438</v>
      </c>
      <c r="K7183" s="3">
        <f t="shared" si="224"/>
        <v>4</v>
      </c>
      <c r="L7183" s="3">
        <f t="shared" si="225"/>
        <v>3.7549999999999999</v>
      </c>
    </row>
    <row r="7184" spans="1:12" x14ac:dyDescent="0.3">
      <c r="A7184" s="2">
        <v>43701</v>
      </c>
      <c r="B7184">
        <v>5.68</v>
      </c>
      <c r="D7184" s="2">
        <v>44432</v>
      </c>
      <c r="E7184">
        <v>4</v>
      </c>
      <c r="G7184" s="2">
        <v>44432</v>
      </c>
      <c r="H7184">
        <v>3.8180000000000001</v>
      </c>
      <c r="J7184" s="2">
        <v>44439</v>
      </c>
      <c r="K7184" s="3">
        <f t="shared" si="224"/>
        <v>4</v>
      </c>
      <c r="L7184" s="3">
        <f t="shared" si="225"/>
        <v>3.7549999999999999</v>
      </c>
    </row>
    <row r="7185" spans="1:12" x14ac:dyDescent="0.3">
      <c r="A7185" s="2">
        <v>43702</v>
      </c>
      <c r="B7185">
        <v>5.68</v>
      </c>
      <c r="D7185" s="2">
        <v>44433</v>
      </c>
      <c r="E7185">
        <v>4</v>
      </c>
      <c r="G7185" s="2">
        <v>44433</v>
      </c>
      <c r="H7185">
        <v>3.7829999999999999</v>
      </c>
      <c r="J7185" s="2">
        <v>44440</v>
      </c>
      <c r="K7185" s="3">
        <f t="shared" si="224"/>
        <v>4</v>
      </c>
      <c r="L7185" s="3">
        <f t="shared" si="225"/>
        <v>3.7549999999999999</v>
      </c>
    </row>
    <row r="7186" spans="1:12" x14ac:dyDescent="0.3">
      <c r="A7186" s="2">
        <v>43703</v>
      </c>
      <c r="B7186">
        <v>5.65</v>
      </c>
      <c r="D7186" s="2">
        <v>44434</v>
      </c>
      <c r="E7186">
        <v>4</v>
      </c>
      <c r="G7186" s="2">
        <v>44434</v>
      </c>
      <c r="H7186">
        <v>3.7829999999999999</v>
      </c>
      <c r="J7186" s="2">
        <v>44441</v>
      </c>
      <c r="K7186" s="3">
        <f t="shared" si="224"/>
        <v>4</v>
      </c>
      <c r="L7186" s="3">
        <f t="shared" si="225"/>
        <v>3.7549999999999999</v>
      </c>
    </row>
    <row r="7187" spans="1:12" x14ac:dyDescent="0.3">
      <c r="A7187" s="2">
        <v>43704</v>
      </c>
      <c r="B7187">
        <v>5.63</v>
      </c>
      <c r="D7187" s="2">
        <v>44435</v>
      </c>
      <c r="E7187">
        <v>4</v>
      </c>
      <c r="G7187" s="2">
        <v>44435</v>
      </c>
      <c r="H7187">
        <v>3.7829999999999999</v>
      </c>
      <c r="J7187" s="2">
        <v>44442</v>
      </c>
      <c r="K7187" s="3">
        <f t="shared" si="224"/>
        <v>4</v>
      </c>
      <c r="L7187" s="3">
        <f t="shared" si="225"/>
        <v>3.7549999999999999</v>
      </c>
    </row>
    <row r="7188" spans="1:12" x14ac:dyDescent="0.3">
      <c r="A7188" s="2">
        <v>43705</v>
      </c>
      <c r="B7188">
        <v>5.71</v>
      </c>
      <c r="D7188" s="2">
        <v>44436</v>
      </c>
      <c r="E7188">
        <v>4</v>
      </c>
      <c r="G7188" s="2">
        <v>44436</v>
      </c>
      <c r="H7188">
        <v>3.7829999999999999</v>
      </c>
      <c r="J7188" s="2">
        <v>44443</v>
      </c>
      <c r="K7188" s="3">
        <f t="shared" si="224"/>
        <v>4</v>
      </c>
      <c r="L7188" s="3">
        <f t="shared" si="225"/>
        <v>3.7549999999999999</v>
      </c>
    </row>
    <row r="7189" spans="1:12" x14ac:dyDescent="0.3">
      <c r="A7189" s="2">
        <v>43706</v>
      </c>
      <c r="B7189">
        <v>5.7</v>
      </c>
      <c r="D7189" s="2">
        <v>44437</v>
      </c>
      <c r="E7189">
        <v>4</v>
      </c>
      <c r="G7189" s="2">
        <v>44437</v>
      </c>
      <c r="H7189">
        <v>3.7829999999999999</v>
      </c>
      <c r="J7189" s="2">
        <v>44444</v>
      </c>
      <c r="K7189" s="3">
        <f t="shared" si="224"/>
        <v>4</v>
      </c>
      <c r="L7189" s="3">
        <f t="shared" si="225"/>
        <v>3.7549999999999999</v>
      </c>
    </row>
    <row r="7190" spans="1:12" x14ac:dyDescent="0.3">
      <c r="A7190" s="2">
        <v>43707</v>
      </c>
      <c r="B7190">
        <v>5.7</v>
      </c>
      <c r="D7190" s="2">
        <v>44438</v>
      </c>
      <c r="E7190">
        <v>4</v>
      </c>
      <c r="G7190" s="2">
        <v>44438</v>
      </c>
      <c r="H7190">
        <v>3.7549999999999999</v>
      </c>
      <c r="J7190" s="2">
        <v>44445</v>
      </c>
      <c r="K7190" s="3">
        <f t="shared" si="224"/>
        <v>4</v>
      </c>
      <c r="L7190" s="3">
        <f t="shared" si="225"/>
        <v>3.867</v>
      </c>
    </row>
    <row r="7191" spans="1:12" x14ac:dyDescent="0.3">
      <c r="A7191" s="2">
        <v>43708</v>
      </c>
      <c r="B7191">
        <v>5.7</v>
      </c>
      <c r="D7191" s="2">
        <v>44439</v>
      </c>
      <c r="E7191">
        <v>4</v>
      </c>
      <c r="G7191" s="2">
        <v>44439</v>
      </c>
      <c r="H7191">
        <v>3.7549999999999999</v>
      </c>
      <c r="J7191" s="2">
        <v>44446</v>
      </c>
      <c r="K7191" s="3">
        <f t="shared" si="224"/>
        <v>4</v>
      </c>
      <c r="L7191" s="3">
        <f t="shared" si="225"/>
        <v>3.8679999999999999</v>
      </c>
    </row>
    <row r="7192" spans="1:12" x14ac:dyDescent="0.3">
      <c r="A7192" s="2">
        <v>43709</v>
      </c>
      <c r="B7192">
        <v>5.7</v>
      </c>
      <c r="D7192" s="2">
        <v>44440</v>
      </c>
      <c r="E7192">
        <v>4</v>
      </c>
      <c r="G7192" s="2">
        <v>44440</v>
      </c>
      <c r="H7192">
        <v>3.7549999999999999</v>
      </c>
      <c r="J7192" s="2">
        <v>44447</v>
      </c>
      <c r="K7192" s="3">
        <f t="shared" si="224"/>
        <v>4</v>
      </c>
      <c r="L7192" s="3">
        <f t="shared" si="225"/>
        <v>3.8620000000000001</v>
      </c>
    </row>
    <row r="7193" spans="1:12" x14ac:dyDescent="0.3">
      <c r="A7193" s="2">
        <v>43710</v>
      </c>
      <c r="B7193">
        <v>5.7</v>
      </c>
      <c r="D7193" s="2">
        <v>44441</v>
      </c>
      <c r="E7193">
        <v>4</v>
      </c>
      <c r="G7193" s="2">
        <v>44441</v>
      </c>
      <c r="H7193">
        <v>3.7549999999999999</v>
      </c>
      <c r="J7193" s="2">
        <v>44448</v>
      </c>
      <c r="K7193" s="3">
        <f t="shared" si="224"/>
        <v>4</v>
      </c>
      <c r="L7193" s="3">
        <f t="shared" si="225"/>
        <v>3.8769999999999998</v>
      </c>
    </row>
    <row r="7194" spans="1:12" x14ac:dyDescent="0.3">
      <c r="A7194" s="2">
        <v>43711</v>
      </c>
      <c r="B7194">
        <v>5.68</v>
      </c>
      <c r="D7194" s="2">
        <v>44442</v>
      </c>
      <c r="E7194">
        <v>4</v>
      </c>
      <c r="G7194" s="2">
        <v>44442</v>
      </c>
      <c r="H7194">
        <v>3.7549999999999999</v>
      </c>
      <c r="J7194" s="2">
        <v>44449</v>
      </c>
      <c r="K7194" s="3">
        <f t="shared" si="224"/>
        <v>4</v>
      </c>
      <c r="L7194" s="3">
        <f t="shared" si="225"/>
        <v>3.8769999999999998</v>
      </c>
    </row>
    <row r="7195" spans="1:12" x14ac:dyDescent="0.3">
      <c r="A7195" s="2">
        <v>43712</v>
      </c>
      <c r="B7195">
        <v>5.68</v>
      </c>
      <c r="D7195" s="2">
        <v>44443</v>
      </c>
      <c r="E7195">
        <v>4</v>
      </c>
      <c r="G7195" s="2">
        <v>44443</v>
      </c>
      <c r="H7195">
        <v>3.7549999999999999</v>
      </c>
      <c r="J7195" s="2">
        <v>44450</v>
      </c>
      <c r="K7195" s="3">
        <f t="shared" si="224"/>
        <v>4</v>
      </c>
      <c r="L7195" s="3">
        <f t="shared" si="225"/>
        <v>3.8769999999999998</v>
      </c>
    </row>
    <row r="7196" spans="1:12" x14ac:dyDescent="0.3">
      <c r="A7196" s="2">
        <v>43713</v>
      </c>
      <c r="B7196">
        <v>5.62</v>
      </c>
      <c r="D7196" s="2">
        <v>44444</v>
      </c>
      <c r="E7196">
        <v>4</v>
      </c>
      <c r="G7196" s="2">
        <v>44444</v>
      </c>
      <c r="H7196">
        <v>3.7549999999999999</v>
      </c>
      <c r="J7196" s="2">
        <v>44451</v>
      </c>
      <c r="K7196" s="3">
        <f t="shared" si="224"/>
        <v>4</v>
      </c>
      <c r="L7196" s="3">
        <f t="shared" si="225"/>
        <v>3.8769999999999998</v>
      </c>
    </row>
    <row r="7197" spans="1:12" x14ac:dyDescent="0.3">
      <c r="A7197" s="2">
        <v>43714</v>
      </c>
      <c r="B7197">
        <v>5.66</v>
      </c>
      <c r="D7197" s="2">
        <v>44445</v>
      </c>
      <c r="E7197">
        <v>4</v>
      </c>
      <c r="G7197" s="2">
        <v>44445</v>
      </c>
      <c r="H7197">
        <v>3.867</v>
      </c>
      <c r="J7197" s="2">
        <v>44452</v>
      </c>
      <c r="K7197" s="3">
        <f t="shared" si="224"/>
        <v>4</v>
      </c>
      <c r="L7197" s="3">
        <f t="shared" si="225"/>
        <v>3.879</v>
      </c>
    </row>
    <row r="7198" spans="1:12" x14ac:dyDescent="0.3">
      <c r="A7198" s="2">
        <v>43715</v>
      </c>
      <c r="B7198">
        <v>5.66</v>
      </c>
      <c r="D7198" s="2">
        <v>44446</v>
      </c>
      <c r="E7198">
        <v>4</v>
      </c>
      <c r="G7198" s="2">
        <v>44446</v>
      </c>
      <c r="H7198">
        <v>3.8679999999999999</v>
      </c>
      <c r="J7198" s="2">
        <v>44453</v>
      </c>
      <c r="K7198" s="3">
        <f t="shared" si="224"/>
        <v>4</v>
      </c>
      <c r="L7198" s="3">
        <f t="shared" si="225"/>
        <v>3.9369999999999998</v>
      </c>
    </row>
    <row r="7199" spans="1:12" x14ac:dyDescent="0.3">
      <c r="A7199" s="2">
        <v>43716</v>
      </c>
      <c r="B7199">
        <v>5.66</v>
      </c>
      <c r="D7199" s="2">
        <v>44447</v>
      </c>
      <c r="E7199">
        <v>4</v>
      </c>
      <c r="G7199" s="2">
        <v>44447</v>
      </c>
      <c r="H7199">
        <v>3.8620000000000001</v>
      </c>
      <c r="J7199" s="2">
        <v>44454</v>
      </c>
      <c r="K7199" s="3">
        <f t="shared" si="224"/>
        <v>4</v>
      </c>
      <c r="L7199" s="3">
        <f t="shared" si="225"/>
        <v>3.93</v>
      </c>
    </row>
    <row r="7200" spans="1:12" x14ac:dyDescent="0.3">
      <c r="A7200" s="2">
        <v>43717</v>
      </c>
      <c r="B7200">
        <v>5.66</v>
      </c>
      <c r="D7200" s="2">
        <v>44448</v>
      </c>
      <c r="E7200">
        <v>4</v>
      </c>
      <c r="G7200" s="2">
        <v>44448</v>
      </c>
      <c r="H7200">
        <v>3.8769999999999998</v>
      </c>
      <c r="J7200" s="2">
        <v>44455</v>
      </c>
      <c r="K7200" s="3">
        <f t="shared" si="224"/>
        <v>4</v>
      </c>
      <c r="L7200" s="3">
        <f t="shared" si="225"/>
        <v>3.9</v>
      </c>
    </row>
    <row r="7201" spans="1:12" x14ac:dyDescent="0.3">
      <c r="A7201" s="2">
        <v>43718</v>
      </c>
      <c r="B7201">
        <v>5.66</v>
      </c>
      <c r="D7201" s="2">
        <v>44449</v>
      </c>
      <c r="E7201">
        <v>4</v>
      </c>
      <c r="G7201" s="2">
        <v>44449</v>
      </c>
      <c r="H7201">
        <v>3.8769999999999998</v>
      </c>
      <c r="J7201" s="2">
        <v>44456</v>
      </c>
      <c r="K7201" s="3">
        <f t="shared" si="224"/>
        <v>4</v>
      </c>
      <c r="L7201" s="3">
        <f t="shared" si="225"/>
        <v>3.9</v>
      </c>
    </row>
    <row r="7202" spans="1:12" x14ac:dyDescent="0.3">
      <c r="A7202" s="2">
        <v>43719</v>
      </c>
      <c r="B7202">
        <v>5.65</v>
      </c>
      <c r="D7202" s="2">
        <v>44450</v>
      </c>
      <c r="E7202">
        <v>4</v>
      </c>
      <c r="G7202" s="2">
        <v>44450</v>
      </c>
      <c r="H7202">
        <v>3.8769999999999998</v>
      </c>
      <c r="J7202" s="2">
        <v>44457</v>
      </c>
      <c r="K7202" s="3">
        <f t="shared" si="224"/>
        <v>4</v>
      </c>
      <c r="L7202" s="3">
        <f t="shared" si="225"/>
        <v>3.9</v>
      </c>
    </row>
    <row r="7203" spans="1:12" x14ac:dyDescent="0.3">
      <c r="A7203" s="2">
        <v>43720</v>
      </c>
      <c r="B7203">
        <v>5.61</v>
      </c>
      <c r="D7203" s="2">
        <v>44451</v>
      </c>
      <c r="E7203">
        <v>4</v>
      </c>
      <c r="G7203" s="2">
        <v>44451</v>
      </c>
      <c r="H7203">
        <v>3.8769999999999998</v>
      </c>
      <c r="J7203" s="2">
        <v>44458</v>
      </c>
      <c r="K7203" s="3">
        <f t="shared" si="224"/>
        <v>4</v>
      </c>
      <c r="L7203" s="3">
        <f t="shared" si="225"/>
        <v>3.9</v>
      </c>
    </row>
    <row r="7204" spans="1:12" x14ac:dyDescent="0.3">
      <c r="A7204" s="2">
        <v>43721</v>
      </c>
      <c r="B7204">
        <v>5.6</v>
      </c>
      <c r="D7204" s="2">
        <v>44452</v>
      </c>
      <c r="E7204">
        <v>4</v>
      </c>
      <c r="G7204" s="2">
        <v>44452</v>
      </c>
      <c r="H7204">
        <v>3.879</v>
      </c>
      <c r="J7204" s="2">
        <v>44459</v>
      </c>
      <c r="K7204" s="3">
        <f t="shared" si="224"/>
        <v>4</v>
      </c>
      <c r="L7204" s="3">
        <f t="shared" si="225"/>
        <v>3.8959999999999999</v>
      </c>
    </row>
    <row r="7205" spans="1:12" x14ac:dyDescent="0.3">
      <c r="A7205" s="2">
        <v>43722</v>
      </c>
      <c r="B7205">
        <v>5.6</v>
      </c>
      <c r="D7205" s="2">
        <v>44453</v>
      </c>
      <c r="E7205">
        <v>4</v>
      </c>
      <c r="G7205" s="2">
        <v>44453</v>
      </c>
      <c r="H7205">
        <v>3.9369999999999998</v>
      </c>
      <c r="J7205" s="2">
        <v>44460</v>
      </c>
      <c r="K7205" s="3">
        <f t="shared" si="224"/>
        <v>4</v>
      </c>
      <c r="L7205" s="3">
        <f t="shared" si="225"/>
        <v>3.9380000000000002</v>
      </c>
    </row>
    <row r="7206" spans="1:12" x14ac:dyDescent="0.3">
      <c r="A7206" s="2">
        <v>43723</v>
      </c>
      <c r="B7206">
        <v>5.6</v>
      </c>
      <c r="D7206" s="2">
        <v>44454</v>
      </c>
      <c r="E7206">
        <v>4</v>
      </c>
      <c r="G7206" s="2">
        <v>44454</v>
      </c>
      <c r="H7206">
        <v>3.93</v>
      </c>
      <c r="J7206" s="2">
        <v>44461</v>
      </c>
      <c r="K7206" s="3">
        <f t="shared" si="224"/>
        <v>4</v>
      </c>
      <c r="L7206" s="3">
        <f t="shared" si="225"/>
        <v>3.9380000000000002</v>
      </c>
    </row>
    <row r="7207" spans="1:12" x14ac:dyDescent="0.3">
      <c r="A7207" s="2">
        <v>43724</v>
      </c>
      <c r="B7207">
        <v>5.6</v>
      </c>
      <c r="D7207" s="2">
        <v>44455</v>
      </c>
      <c r="E7207">
        <v>4</v>
      </c>
      <c r="G7207" s="2">
        <v>44455</v>
      </c>
      <c r="H7207">
        <v>3.9</v>
      </c>
      <c r="J7207" s="2">
        <v>44462</v>
      </c>
      <c r="K7207" s="3">
        <f t="shared" si="224"/>
        <v>4</v>
      </c>
      <c r="L7207" s="3">
        <f t="shared" si="225"/>
        <v>3.9359999999999999</v>
      </c>
    </row>
    <row r="7208" spans="1:12" x14ac:dyDescent="0.3">
      <c r="A7208" s="2">
        <v>43725</v>
      </c>
      <c r="B7208">
        <v>5.6</v>
      </c>
      <c r="D7208" s="2">
        <v>44456</v>
      </c>
      <c r="E7208">
        <v>4</v>
      </c>
      <c r="G7208" s="2">
        <v>44456</v>
      </c>
      <c r="H7208">
        <v>3.9</v>
      </c>
      <c r="J7208" s="2">
        <v>44463</v>
      </c>
      <c r="K7208" s="3">
        <f t="shared" si="224"/>
        <v>4</v>
      </c>
      <c r="L7208" s="3">
        <f t="shared" si="225"/>
        <v>4.0430000000000001</v>
      </c>
    </row>
    <row r="7209" spans="1:12" x14ac:dyDescent="0.3">
      <c r="A7209" s="2">
        <v>43726</v>
      </c>
      <c r="B7209">
        <v>5.6</v>
      </c>
      <c r="D7209" s="2">
        <v>44457</v>
      </c>
      <c r="E7209">
        <v>4</v>
      </c>
      <c r="G7209" s="2">
        <v>44457</v>
      </c>
      <c r="H7209">
        <v>3.9</v>
      </c>
      <c r="J7209" s="2">
        <v>44464</v>
      </c>
      <c r="K7209" s="3">
        <f t="shared" si="224"/>
        <v>4</v>
      </c>
      <c r="L7209" s="3">
        <f t="shared" si="225"/>
        <v>4.0430000000000001</v>
      </c>
    </row>
    <row r="7210" spans="1:12" x14ac:dyDescent="0.3">
      <c r="A7210" s="2">
        <v>43727</v>
      </c>
      <c r="B7210">
        <v>5.55</v>
      </c>
      <c r="D7210" s="2">
        <v>44458</v>
      </c>
      <c r="E7210">
        <v>4</v>
      </c>
      <c r="G7210" s="2">
        <v>44458</v>
      </c>
      <c r="H7210">
        <v>3.9</v>
      </c>
      <c r="J7210" s="2">
        <v>44465</v>
      </c>
      <c r="K7210" s="3">
        <f t="shared" si="224"/>
        <v>4</v>
      </c>
      <c r="L7210" s="3">
        <f t="shared" si="225"/>
        <v>4.0430000000000001</v>
      </c>
    </row>
    <row r="7211" spans="1:12" x14ac:dyDescent="0.3">
      <c r="A7211" s="2">
        <v>43728</v>
      </c>
      <c r="B7211">
        <v>5.55</v>
      </c>
      <c r="D7211" s="2">
        <v>44459</v>
      </c>
      <c r="E7211">
        <v>4</v>
      </c>
      <c r="G7211" s="2">
        <v>44459</v>
      </c>
      <c r="H7211">
        <v>3.8959999999999999</v>
      </c>
      <c r="J7211" s="2">
        <v>44466</v>
      </c>
      <c r="K7211" s="3">
        <f t="shared" si="224"/>
        <v>4</v>
      </c>
      <c r="L7211" s="3">
        <f t="shared" si="225"/>
        <v>3.9670000000000001</v>
      </c>
    </row>
    <row r="7212" spans="1:12" x14ac:dyDescent="0.3">
      <c r="A7212" s="2">
        <v>43729</v>
      </c>
      <c r="B7212">
        <v>5.55</v>
      </c>
      <c r="D7212" s="2">
        <v>44460</v>
      </c>
      <c r="E7212">
        <v>4</v>
      </c>
      <c r="G7212" s="2">
        <v>44460</v>
      </c>
      <c r="H7212">
        <v>3.9380000000000002</v>
      </c>
      <c r="J7212" s="2">
        <v>44467</v>
      </c>
      <c r="K7212" s="3">
        <f t="shared" si="224"/>
        <v>4</v>
      </c>
      <c r="L7212" s="3">
        <f t="shared" si="225"/>
        <v>3.948</v>
      </c>
    </row>
    <row r="7213" spans="1:12" x14ac:dyDescent="0.3">
      <c r="A7213" s="2">
        <v>43730</v>
      </c>
      <c r="B7213">
        <v>5.55</v>
      </c>
      <c r="D7213" s="2">
        <v>44461</v>
      </c>
      <c r="E7213">
        <v>4</v>
      </c>
      <c r="G7213" s="2">
        <v>44461</v>
      </c>
      <c r="H7213">
        <v>3.9380000000000002</v>
      </c>
      <c r="J7213" s="2">
        <v>44468</v>
      </c>
      <c r="K7213" s="3">
        <f t="shared" si="224"/>
        <v>4</v>
      </c>
      <c r="L7213" s="3">
        <f t="shared" si="225"/>
        <v>4.0279999999999996</v>
      </c>
    </row>
    <row r="7214" spans="1:12" x14ac:dyDescent="0.3">
      <c r="A7214" s="2">
        <v>43731</v>
      </c>
      <c r="B7214">
        <v>5.59</v>
      </c>
      <c r="D7214" s="2">
        <v>44462</v>
      </c>
      <c r="E7214">
        <v>4</v>
      </c>
      <c r="G7214" s="2">
        <v>44462</v>
      </c>
      <c r="H7214">
        <v>3.9359999999999999</v>
      </c>
      <c r="J7214" s="2">
        <v>44469</v>
      </c>
      <c r="K7214" s="3">
        <f t="shared" si="224"/>
        <v>4</v>
      </c>
      <c r="L7214" s="3">
        <f t="shared" si="225"/>
        <v>4.0309999999999997</v>
      </c>
    </row>
    <row r="7215" spans="1:12" x14ac:dyDescent="0.3">
      <c r="A7215" s="2">
        <v>43732</v>
      </c>
      <c r="B7215">
        <v>5.53</v>
      </c>
      <c r="D7215" s="2">
        <v>44463</v>
      </c>
      <c r="E7215">
        <v>4</v>
      </c>
      <c r="G7215" s="2">
        <v>44463</v>
      </c>
      <c r="H7215">
        <v>4.0430000000000001</v>
      </c>
      <c r="J7215" s="2">
        <v>44470</v>
      </c>
      <c r="K7215" s="3">
        <f t="shared" si="224"/>
        <v>4</v>
      </c>
      <c r="L7215" s="3">
        <f t="shared" si="225"/>
        <v>4.0750000000000002</v>
      </c>
    </row>
    <row r="7216" spans="1:12" x14ac:dyDescent="0.3">
      <c r="A7216" s="2">
        <v>43733</v>
      </c>
      <c r="B7216">
        <v>5.59</v>
      </c>
      <c r="D7216" s="2">
        <v>44464</v>
      </c>
      <c r="E7216">
        <v>4</v>
      </c>
      <c r="G7216" s="2">
        <v>44464</v>
      </c>
      <c r="H7216">
        <v>4.0430000000000001</v>
      </c>
      <c r="J7216" s="2">
        <v>44471</v>
      </c>
      <c r="K7216" s="3">
        <f t="shared" si="224"/>
        <v>4</v>
      </c>
      <c r="L7216" s="3">
        <f t="shared" si="225"/>
        <v>4.0750000000000002</v>
      </c>
    </row>
    <row r="7217" spans="1:12" x14ac:dyDescent="0.3">
      <c r="A7217" s="2">
        <v>43734</v>
      </c>
      <c r="B7217">
        <v>5.55</v>
      </c>
      <c r="D7217" s="2">
        <v>44465</v>
      </c>
      <c r="E7217">
        <v>4</v>
      </c>
      <c r="G7217" s="2">
        <v>44465</v>
      </c>
      <c r="H7217">
        <v>4.0430000000000001</v>
      </c>
      <c r="J7217" s="2">
        <v>44472</v>
      </c>
      <c r="K7217" s="3">
        <f t="shared" si="224"/>
        <v>4</v>
      </c>
      <c r="L7217" s="3">
        <f t="shared" si="225"/>
        <v>4.0750000000000002</v>
      </c>
    </row>
    <row r="7218" spans="1:12" x14ac:dyDescent="0.3">
      <c r="A7218" s="2">
        <v>43735</v>
      </c>
      <c r="B7218">
        <v>5.56</v>
      </c>
      <c r="D7218" s="2">
        <v>44466</v>
      </c>
      <c r="E7218">
        <v>4</v>
      </c>
      <c r="G7218" s="2">
        <v>44466</v>
      </c>
      <c r="H7218">
        <v>3.9670000000000001</v>
      </c>
      <c r="J7218" s="2">
        <v>44473</v>
      </c>
      <c r="K7218" s="3">
        <f t="shared" si="224"/>
        <v>4</v>
      </c>
      <c r="L7218" s="3">
        <f t="shared" si="225"/>
        <v>4.0599999999999996</v>
      </c>
    </row>
    <row r="7219" spans="1:12" x14ac:dyDescent="0.3">
      <c r="A7219" s="2">
        <v>43736</v>
      </c>
      <c r="B7219">
        <v>5.56</v>
      </c>
      <c r="D7219" s="2">
        <v>44467</v>
      </c>
      <c r="E7219">
        <v>4</v>
      </c>
      <c r="G7219" s="2">
        <v>44467</v>
      </c>
      <c r="H7219">
        <v>3.948</v>
      </c>
      <c r="J7219" s="2">
        <v>44474</v>
      </c>
      <c r="K7219" s="3">
        <f t="shared" si="224"/>
        <v>4</v>
      </c>
      <c r="L7219" s="3">
        <f t="shared" si="225"/>
        <v>4.0609999999999999</v>
      </c>
    </row>
    <row r="7220" spans="1:12" x14ac:dyDescent="0.3">
      <c r="A7220" s="2">
        <v>43737</v>
      </c>
      <c r="B7220">
        <v>5.56</v>
      </c>
      <c r="D7220" s="2">
        <v>44468</v>
      </c>
      <c r="E7220">
        <v>4</v>
      </c>
      <c r="G7220" s="2">
        <v>44468</v>
      </c>
      <c r="H7220">
        <v>4.0279999999999996</v>
      </c>
      <c r="J7220" s="2">
        <v>44475</v>
      </c>
      <c r="K7220" s="3">
        <f t="shared" si="224"/>
        <v>4</v>
      </c>
      <c r="L7220" s="3">
        <f t="shared" si="225"/>
        <v>4.0609999999999999</v>
      </c>
    </row>
    <row r="7221" spans="1:12" x14ac:dyDescent="0.3">
      <c r="A7221" s="2">
        <v>43738</v>
      </c>
      <c r="B7221">
        <v>5.5</v>
      </c>
      <c r="D7221" s="2">
        <v>44469</v>
      </c>
      <c r="E7221">
        <v>4</v>
      </c>
      <c r="G7221" s="2">
        <v>44469</v>
      </c>
      <c r="H7221">
        <v>4.0309999999999997</v>
      </c>
      <c r="J7221" s="2">
        <v>44476</v>
      </c>
      <c r="K7221" s="3">
        <f t="shared" si="224"/>
        <v>4</v>
      </c>
      <c r="L7221" s="3">
        <f t="shared" si="225"/>
        <v>4.0609999999999999</v>
      </c>
    </row>
    <row r="7222" spans="1:12" x14ac:dyDescent="0.3">
      <c r="A7222" s="2">
        <v>43739</v>
      </c>
      <c r="B7222">
        <v>5.49</v>
      </c>
      <c r="D7222" s="2">
        <v>44470</v>
      </c>
      <c r="E7222">
        <v>4</v>
      </c>
      <c r="G7222" s="2">
        <v>44470</v>
      </c>
      <c r="H7222">
        <v>4.0750000000000002</v>
      </c>
      <c r="J7222" s="2">
        <v>44477</v>
      </c>
      <c r="K7222" s="3">
        <f t="shared" si="224"/>
        <v>4</v>
      </c>
      <c r="L7222" s="3">
        <f t="shared" si="225"/>
        <v>4.0609999999999999</v>
      </c>
    </row>
    <row r="7223" spans="1:12" x14ac:dyDescent="0.3">
      <c r="A7223" s="2">
        <v>43740</v>
      </c>
      <c r="B7223">
        <v>5.49</v>
      </c>
      <c r="D7223" s="2">
        <v>44471</v>
      </c>
      <c r="E7223">
        <v>4</v>
      </c>
      <c r="G7223" s="2">
        <v>44471</v>
      </c>
      <c r="H7223">
        <v>4.0750000000000002</v>
      </c>
      <c r="J7223" s="2">
        <v>44478</v>
      </c>
      <c r="K7223" s="3">
        <f t="shared" si="224"/>
        <v>4</v>
      </c>
      <c r="L7223" s="3">
        <f t="shared" si="225"/>
        <v>4.0609999999999999</v>
      </c>
    </row>
    <row r="7224" spans="1:12" x14ac:dyDescent="0.3">
      <c r="A7224" s="2">
        <v>43741</v>
      </c>
      <c r="B7224">
        <v>5.43</v>
      </c>
      <c r="D7224" s="2">
        <v>44472</v>
      </c>
      <c r="E7224">
        <v>4</v>
      </c>
      <c r="G7224" s="2">
        <v>44472</v>
      </c>
      <c r="H7224">
        <v>4.0750000000000002</v>
      </c>
      <c r="J7224" s="2">
        <v>44479</v>
      </c>
      <c r="K7224" s="3">
        <f t="shared" si="224"/>
        <v>4</v>
      </c>
      <c r="L7224" s="3">
        <f t="shared" si="225"/>
        <v>4.0609999999999999</v>
      </c>
    </row>
    <row r="7225" spans="1:12" x14ac:dyDescent="0.3">
      <c r="A7225" s="2">
        <v>43742</v>
      </c>
      <c r="B7225">
        <v>5.4</v>
      </c>
      <c r="D7225" s="2">
        <v>44473</v>
      </c>
      <c r="E7225">
        <v>4</v>
      </c>
      <c r="G7225" s="2">
        <v>44473</v>
      </c>
      <c r="H7225">
        <v>4.0599999999999996</v>
      </c>
      <c r="J7225" s="2">
        <v>44480</v>
      </c>
      <c r="K7225" s="3">
        <f t="shared" si="224"/>
        <v>4</v>
      </c>
      <c r="L7225" s="3">
        <f t="shared" si="225"/>
        <v>4.1020000000000003</v>
      </c>
    </row>
    <row r="7226" spans="1:12" x14ac:dyDescent="0.3">
      <c r="A7226" s="2">
        <v>43743</v>
      </c>
      <c r="B7226">
        <v>5.4</v>
      </c>
      <c r="D7226" s="2">
        <v>44474</v>
      </c>
      <c r="E7226">
        <v>4</v>
      </c>
      <c r="G7226" s="2">
        <v>44474</v>
      </c>
      <c r="H7226">
        <v>4.0609999999999999</v>
      </c>
      <c r="J7226" s="2">
        <v>44481</v>
      </c>
      <c r="K7226" s="3">
        <f t="shared" si="224"/>
        <v>4</v>
      </c>
      <c r="L7226" s="3">
        <f t="shared" si="225"/>
        <v>4.1219999999999999</v>
      </c>
    </row>
    <row r="7227" spans="1:12" x14ac:dyDescent="0.3">
      <c r="A7227" s="2">
        <v>43744</v>
      </c>
      <c r="B7227">
        <v>5.4</v>
      </c>
      <c r="D7227" s="2">
        <v>44475</v>
      </c>
      <c r="E7227">
        <v>4</v>
      </c>
      <c r="G7227" s="2">
        <v>44475</v>
      </c>
      <c r="H7227">
        <v>4.0609999999999999</v>
      </c>
      <c r="J7227" s="2">
        <v>44482</v>
      </c>
      <c r="K7227" s="3">
        <f t="shared" si="224"/>
        <v>4</v>
      </c>
      <c r="L7227" s="3">
        <f t="shared" si="225"/>
        <v>4.101</v>
      </c>
    </row>
    <row r="7228" spans="1:12" x14ac:dyDescent="0.3">
      <c r="A7228" s="2">
        <v>43745</v>
      </c>
      <c r="B7228">
        <v>5.36</v>
      </c>
      <c r="D7228" s="2">
        <v>44476</v>
      </c>
      <c r="E7228">
        <v>4</v>
      </c>
      <c r="G7228" s="2">
        <v>44476</v>
      </c>
      <c r="H7228">
        <v>4.0609999999999999</v>
      </c>
      <c r="J7228" s="2">
        <v>44483</v>
      </c>
      <c r="K7228" s="3">
        <f t="shared" si="224"/>
        <v>4</v>
      </c>
      <c r="L7228" s="3">
        <f t="shared" si="225"/>
        <v>4.101</v>
      </c>
    </row>
    <row r="7229" spans="1:12" x14ac:dyDescent="0.3">
      <c r="A7229" s="2">
        <v>43746</v>
      </c>
      <c r="B7229">
        <v>5.36</v>
      </c>
      <c r="D7229" s="2">
        <v>44477</v>
      </c>
      <c r="E7229">
        <v>4</v>
      </c>
      <c r="G7229" s="2">
        <v>44477</v>
      </c>
      <c r="H7229">
        <v>4.0609999999999999</v>
      </c>
      <c r="J7229" s="2">
        <v>44484</v>
      </c>
      <c r="K7229" s="3">
        <f t="shared" si="224"/>
        <v>4</v>
      </c>
      <c r="L7229" s="3">
        <f t="shared" si="225"/>
        <v>4.101</v>
      </c>
    </row>
    <row r="7230" spans="1:12" x14ac:dyDescent="0.3">
      <c r="A7230" s="2">
        <v>43747</v>
      </c>
      <c r="B7230">
        <v>5.39</v>
      </c>
      <c r="D7230" s="2">
        <v>44478</v>
      </c>
      <c r="E7230">
        <v>4</v>
      </c>
      <c r="G7230" s="2">
        <v>44478</v>
      </c>
      <c r="H7230">
        <v>4.0609999999999999</v>
      </c>
      <c r="J7230" s="2">
        <v>44485</v>
      </c>
      <c r="K7230" s="3">
        <f t="shared" si="224"/>
        <v>4</v>
      </c>
      <c r="L7230" s="3">
        <f t="shared" si="225"/>
        <v>4.101</v>
      </c>
    </row>
    <row r="7231" spans="1:12" x14ac:dyDescent="0.3">
      <c r="A7231" s="2">
        <v>43748</v>
      </c>
      <c r="B7231">
        <v>5.38</v>
      </c>
      <c r="D7231" s="2">
        <v>44479</v>
      </c>
      <c r="E7231">
        <v>4</v>
      </c>
      <c r="G7231" s="2">
        <v>44479</v>
      </c>
      <c r="H7231">
        <v>4.0609999999999999</v>
      </c>
      <c r="J7231" s="2">
        <v>44486</v>
      </c>
      <c r="K7231" s="3">
        <f t="shared" si="224"/>
        <v>4</v>
      </c>
      <c r="L7231" s="3">
        <f t="shared" si="225"/>
        <v>4.101</v>
      </c>
    </row>
    <row r="7232" spans="1:12" x14ac:dyDescent="0.3">
      <c r="A7232" s="2">
        <v>43749</v>
      </c>
      <c r="B7232">
        <v>5.38</v>
      </c>
      <c r="D7232" s="2">
        <v>44480</v>
      </c>
      <c r="E7232">
        <v>4</v>
      </c>
      <c r="G7232" s="2">
        <v>44480</v>
      </c>
      <c r="H7232">
        <v>4.1020000000000003</v>
      </c>
      <c r="J7232" s="2">
        <v>44487</v>
      </c>
      <c r="K7232" s="3">
        <f t="shared" si="224"/>
        <v>4</v>
      </c>
      <c r="L7232" s="3">
        <f t="shared" si="225"/>
        <v>4.1920000000000002</v>
      </c>
    </row>
    <row r="7233" spans="1:12" x14ac:dyDescent="0.3">
      <c r="A7233" s="2">
        <v>43750</v>
      </c>
      <c r="B7233">
        <v>5.38</v>
      </c>
      <c r="D7233" s="2">
        <v>44481</v>
      </c>
      <c r="E7233">
        <v>4</v>
      </c>
      <c r="G7233" s="2">
        <v>44481</v>
      </c>
      <c r="H7233">
        <v>4.1219999999999999</v>
      </c>
      <c r="J7233" s="2">
        <v>44488</v>
      </c>
      <c r="K7233" s="3">
        <f t="shared" si="224"/>
        <v>4</v>
      </c>
      <c r="L7233" s="3">
        <f t="shared" si="225"/>
        <v>4.1920000000000002</v>
      </c>
    </row>
    <row r="7234" spans="1:12" x14ac:dyDescent="0.3">
      <c r="A7234" s="2">
        <v>43751</v>
      </c>
      <c r="B7234">
        <v>5.38</v>
      </c>
      <c r="D7234" s="2">
        <v>44482</v>
      </c>
      <c r="E7234">
        <v>4</v>
      </c>
      <c r="G7234" s="2">
        <v>44482</v>
      </c>
      <c r="H7234">
        <v>4.101</v>
      </c>
      <c r="J7234" s="2">
        <v>44489</v>
      </c>
      <c r="K7234" s="3">
        <f t="shared" si="224"/>
        <v>4</v>
      </c>
      <c r="L7234" s="3">
        <f t="shared" si="225"/>
        <v>4.282</v>
      </c>
    </row>
    <row r="7235" spans="1:12" x14ac:dyDescent="0.3">
      <c r="A7235" s="2">
        <v>43752</v>
      </c>
      <c r="B7235">
        <v>5.34</v>
      </c>
      <c r="D7235" s="2">
        <v>44483</v>
      </c>
      <c r="E7235">
        <v>4</v>
      </c>
      <c r="G7235" s="2">
        <v>44483</v>
      </c>
      <c r="H7235">
        <v>4.101</v>
      </c>
      <c r="J7235" s="2">
        <v>44490</v>
      </c>
      <c r="K7235" s="3">
        <f t="shared" ref="K7235:K7298" si="226">E7242</f>
        <v>4</v>
      </c>
      <c r="L7235" s="3">
        <f t="shared" ref="L7235:L7298" si="227">H7242</f>
        <v>4.1539999999999999</v>
      </c>
    </row>
    <row r="7236" spans="1:12" x14ac:dyDescent="0.3">
      <c r="A7236" s="2">
        <v>43753</v>
      </c>
      <c r="B7236">
        <v>5.32</v>
      </c>
      <c r="D7236" s="2">
        <v>44484</v>
      </c>
      <c r="E7236">
        <v>4</v>
      </c>
      <c r="G7236" s="2">
        <v>44484</v>
      </c>
      <c r="H7236">
        <v>4.101</v>
      </c>
      <c r="J7236" s="2">
        <v>44491</v>
      </c>
      <c r="K7236" s="3">
        <f t="shared" si="226"/>
        <v>4</v>
      </c>
      <c r="L7236" s="3">
        <f t="shared" si="227"/>
        <v>4.28</v>
      </c>
    </row>
    <row r="7237" spans="1:12" x14ac:dyDescent="0.3">
      <c r="A7237" s="2">
        <v>43754</v>
      </c>
      <c r="B7237">
        <v>5.33</v>
      </c>
      <c r="D7237" s="2">
        <v>44485</v>
      </c>
      <c r="E7237">
        <v>4</v>
      </c>
      <c r="G7237" s="2">
        <v>44485</v>
      </c>
      <c r="H7237">
        <v>4.101</v>
      </c>
      <c r="J7237" s="2">
        <v>44492</v>
      </c>
      <c r="K7237" s="3">
        <f t="shared" si="226"/>
        <v>4</v>
      </c>
      <c r="L7237" s="3">
        <f t="shared" si="227"/>
        <v>4.28</v>
      </c>
    </row>
    <row r="7238" spans="1:12" x14ac:dyDescent="0.3">
      <c r="A7238" s="2">
        <v>43755</v>
      </c>
      <c r="B7238">
        <v>5.32</v>
      </c>
      <c r="D7238" s="2">
        <v>44486</v>
      </c>
      <c r="E7238">
        <v>4</v>
      </c>
      <c r="G7238" s="2">
        <v>44486</v>
      </c>
      <c r="H7238">
        <v>4.101</v>
      </c>
      <c r="J7238" s="2">
        <v>44493</v>
      </c>
      <c r="K7238" s="3">
        <f t="shared" si="226"/>
        <v>4</v>
      </c>
      <c r="L7238" s="3">
        <f t="shared" si="227"/>
        <v>4.28</v>
      </c>
    </row>
    <row r="7239" spans="1:12" x14ac:dyDescent="0.3">
      <c r="A7239" s="2">
        <v>43756</v>
      </c>
      <c r="B7239">
        <v>5.27</v>
      </c>
      <c r="D7239" s="2">
        <v>44487</v>
      </c>
      <c r="E7239">
        <v>4</v>
      </c>
      <c r="G7239" s="2">
        <v>44487</v>
      </c>
      <c r="H7239">
        <v>4.1920000000000002</v>
      </c>
      <c r="J7239" s="2">
        <v>44494</v>
      </c>
      <c r="K7239" s="3">
        <f t="shared" si="226"/>
        <v>4</v>
      </c>
      <c r="L7239" s="3">
        <f t="shared" si="227"/>
        <v>4.2169999999999996</v>
      </c>
    </row>
    <row r="7240" spans="1:12" x14ac:dyDescent="0.3">
      <c r="A7240" s="2">
        <v>43757</v>
      </c>
      <c r="B7240">
        <v>5.27</v>
      </c>
      <c r="D7240" s="2">
        <v>44488</v>
      </c>
      <c r="E7240">
        <v>4</v>
      </c>
      <c r="G7240" s="2">
        <v>44488</v>
      </c>
      <c r="H7240">
        <v>4.1920000000000002</v>
      </c>
      <c r="J7240" s="2">
        <v>44495</v>
      </c>
      <c r="K7240" s="3">
        <f t="shared" si="226"/>
        <v>4</v>
      </c>
      <c r="L7240" s="3">
        <f t="shared" si="227"/>
        <v>4.2549999999999999</v>
      </c>
    </row>
    <row r="7241" spans="1:12" x14ac:dyDescent="0.3">
      <c r="A7241" s="2">
        <v>43758</v>
      </c>
      <c r="B7241">
        <v>5.27</v>
      </c>
      <c r="D7241" s="2">
        <v>44489</v>
      </c>
      <c r="E7241">
        <v>4</v>
      </c>
      <c r="G7241" s="2">
        <v>44489</v>
      </c>
      <c r="H7241">
        <v>4.282</v>
      </c>
      <c r="J7241" s="2">
        <v>44496</v>
      </c>
      <c r="K7241" s="3">
        <f t="shared" si="226"/>
        <v>4</v>
      </c>
      <c r="L7241" s="3">
        <f t="shared" si="227"/>
        <v>4.25</v>
      </c>
    </row>
    <row r="7242" spans="1:12" x14ac:dyDescent="0.3">
      <c r="A7242" s="2">
        <v>43759</v>
      </c>
      <c r="B7242">
        <v>5.27</v>
      </c>
      <c r="D7242" s="2">
        <v>44490</v>
      </c>
      <c r="E7242">
        <v>4</v>
      </c>
      <c r="G7242" s="2">
        <v>44490</v>
      </c>
      <c r="H7242">
        <v>4.1539999999999999</v>
      </c>
      <c r="J7242" s="2">
        <v>44497</v>
      </c>
      <c r="K7242" s="3">
        <f t="shared" si="226"/>
        <v>4</v>
      </c>
      <c r="L7242" s="3">
        <f t="shared" si="227"/>
        <v>4.1100000000000003</v>
      </c>
    </row>
    <row r="7243" spans="1:12" x14ac:dyDescent="0.3">
      <c r="A7243" s="2">
        <v>43760</v>
      </c>
      <c r="B7243">
        <v>5.28</v>
      </c>
      <c r="D7243" s="2">
        <v>44491</v>
      </c>
      <c r="E7243">
        <v>4</v>
      </c>
      <c r="G7243" s="2">
        <v>44491</v>
      </c>
      <c r="H7243">
        <v>4.28</v>
      </c>
      <c r="J7243" s="2">
        <v>44498</v>
      </c>
      <c r="K7243" s="3">
        <f t="shared" si="226"/>
        <v>4</v>
      </c>
      <c r="L7243" s="3">
        <f t="shared" si="227"/>
        <v>4.1100000000000003</v>
      </c>
    </row>
    <row r="7244" spans="1:12" x14ac:dyDescent="0.3">
      <c r="A7244" s="2">
        <v>43761</v>
      </c>
      <c r="B7244">
        <v>5.3</v>
      </c>
      <c r="D7244" s="2">
        <v>44492</v>
      </c>
      <c r="E7244">
        <v>4</v>
      </c>
      <c r="G7244" s="2">
        <v>44492</v>
      </c>
      <c r="H7244">
        <v>4.28</v>
      </c>
      <c r="J7244" s="2">
        <v>44499</v>
      </c>
      <c r="K7244" s="3">
        <f t="shared" si="226"/>
        <v>4</v>
      </c>
      <c r="L7244" s="3">
        <f t="shared" si="227"/>
        <v>4.1100000000000003</v>
      </c>
    </row>
    <row r="7245" spans="1:12" x14ac:dyDescent="0.3">
      <c r="A7245" s="2">
        <v>43762</v>
      </c>
      <c r="B7245">
        <v>5.27</v>
      </c>
      <c r="D7245" s="2">
        <v>44493</v>
      </c>
      <c r="E7245">
        <v>4</v>
      </c>
      <c r="G7245" s="2">
        <v>44493</v>
      </c>
      <c r="H7245">
        <v>4.28</v>
      </c>
      <c r="J7245" s="2">
        <v>44500</v>
      </c>
      <c r="K7245" s="3">
        <f t="shared" si="226"/>
        <v>4</v>
      </c>
      <c r="L7245" s="3">
        <f t="shared" si="227"/>
        <v>4.1100000000000003</v>
      </c>
    </row>
    <row r="7246" spans="1:12" x14ac:dyDescent="0.3">
      <c r="A7246" s="2">
        <v>43763</v>
      </c>
      <c r="B7246">
        <v>5.28</v>
      </c>
      <c r="D7246" s="2">
        <v>44494</v>
      </c>
      <c r="E7246">
        <v>4</v>
      </c>
      <c r="G7246" s="2">
        <v>44494</v>
      </c>
      <c r="H7246">
        <v>4.2169999999999996</v>
      </c>
      <c r="J7246" s="2">
        <v>44501</v>
      </c>
      <c r="K7246" s="3">
        <f t="shared" si="226"/>
        <v>4</v>
      </c>
      <c r="L7246" s="3">
        <f t="shared" si="227"/>
        <v>4.306</v>
      </c>
    </row>
    <row r="7247" spans="1:12" x14ac:dyDescent="0.3">
      <c r="A7247" s="2">
        <v>43764</v>
      </c>
      <c r="B7247">
        <v>5.28</v>
      </c>
      <c r="D7247" s="2">
        <v>44495</v>
      </c>
      <c r="E7247">
        <v>4</v>
      </c>
      <c r="G7247" s="2">
        <v>44495</v>
      </c>
      <c r="H7247">
        <v>4.2549999999999999</v>
      </c>
      <c r="J7247" s="2">
        <v>44502</v>
      </c>
      <c r="K7247" s="3">
        <f t="shared" si="226"/>
        <v>4</v>
      </c>
      <c r="L7247" s="3">
        <f t="shared" si="227"/>
        <v>4.2190000000000003</v>
      </c>
    </row>
    <row r="7248" spans="1:12" x14ac:dyDescent="0.3">
      <c r="A7248" s="2">
        <v>43765</v>
      </c>
      <c r="B7248">
        <v>5.28</v>
      </c>
      <c r="D7248" s="2">
        <v>44496</v>
      </c>
      <c r="E7248">
        <v>4</v>
      </c>
      <c r="G7248" s="2">
        <v>44496</v>
      </c>
      <c r="H7248">
        <v>4.25</v>
      </c>
      <c r="J7248" s="2">
        <v>44503</v>
      </c>
      <c r="K7248" s="3">
        <f t="shared" si="226"/>
        <v>4</v>
      </c>
      <c r="L7248" s="3">
        <f t="shared" si="227"/>
        <v>4.234</v>
      </c>
    </row>
    <row r="7249" spans="1:12" x14ac:dyDescent="0.3">
      <c r="A7249" s="2">
        <v>43766</v>
      </c>
      <c r="B7249">
        <v>5.28</v>
      </c>
      <c r="D7249" s="2">
        <v>44497</v>
      </c>
      <c r="E7249">
        <v>4</v>
      </c>
      <c r="G7249" s="2">
        <v>44497</v>
      </c>
      <c r="H7249">
        <v>4.1100000000000003</v>
      </c>
      <c r="J7249" s="2">
        <v>44504</v>
      </c>
      <c r="K7249" s="3">
        <f t="shared" si="226"/>
        <v>4</v>
      </c>
      <c r="L7249" s="3">
        <f t="shared" si="227"/>
        <v>4.234</v>
      </c>
    </row>
    <row r="7250" spans="1:12" x14ac:dyDescent="0.3">
      <c r="A7250" s="2">
        <v>43767</v>
      </c>
      <c r="B7250">
        <v>5.26</v>
      </c>
      <c r="D7250" s="2">
        <v>44498</v>
      </c>
      <c r="E7250">
        <v>4</v>
      </c>
      <c r="G7250" s="2">
        <v>44498</v>
      </c>
      <c r="H7250">
        <v>4.1100000000000003</v>
      </c>
      <c r="J7250" s="2">
        <v>44505</v>
      </c>
      <c r="K7250" s="3">
        <f t="shared" si="226"/>
        <v>4</v>
      </c>
      <c r="L7250" s="3">
        <f t="shared" si="227"/>
        <v>4.234</v>
      </c>
    </row>
    <row r="7251" spans="1:12" x14ac:dyDescent="0.3">
      <c r="A7251" s="2">
        <v>43768</v>
      </c>
      <c r="B7251">
        <v>5.28</v>
      </c>
      <c r="D7251" s="2">
        <v>44499</v>
      </c>
      <c r="E7251">
        <v>4</v>
      </c>
      <c r="G7251" s="2">
        <v>44499</v>
      </c>
      <c r="H7251">
        <v>4.1100000000000003</v>
      </c>
      <c r="J7251" s="2">
        <v>44506</v>
      </c>
      <c r="K7251" s="3">
        <f t="shared" si="226"/>
        <v>4</v>
      </c>
      <c r="L7251" s="3">
        <f t="shared" si="227"/>
        <v>4.234</v>
      </c>
    </row>
    <row r="7252" spans="1:12" x14ac:dyDescent="0.3">
      <c r="A7252" s="2">
        <v>43769</v>
      </c>
      <c r="B7252">
        <v>5.25</v>
      </c>
      <c r="D7252" s="2">
        <v>44500</v>
      </c>
      <c r="E7252">
        <v>4</v>
      </c>
      <c r="G7252" s="2">
        <v>44500</v>
      </c>
      <c r="H7252">
        <v>4.1100000000000003</v>
      </c>
      <c r="J7252" s="2">
        <v>44507</v>
      </c>
      <c r="K7252" s="3">
        <f t="shared" si="226"/>
        <v>4</v>
      </c>
      <c r="L7252" s="3">
        <f t="shared" si="227"/>
        <v>4.234</v>
      </c>
    </row>
    <row r="7253" spans="1:12" x14ac:dyDescent="0.3">
      <c r="A7253" s="2">
        <v>43770</v>
      </c>
      <c r="B7253">
        <v>5.25</v>
      </c>
      <c r="D7253" s="2">
        <v>44501</v>
      </c>
      <c r="E7253">
        <v>4</v>
      </c>
      <c r="G7253" s="2">
        <v>44501</v>
      </c>
      <c r="H7253">
        <v>4.306</v>
      </c>
      <c r="J7253" s="2">
        <v>44508</v>
      </c>
      <c r="K7253" s="3">
        <f t="shared" si="226"/>
        <v>4</v>
      </c>
      <c r="L7253" s="3">
        <f t="shared" si="227"/>
        <v>4.1369999999999996</v>
      </c>
    </row>
    <row r="7254" spans="1:12" x14ac:dyDescent="0.3">
      <c r="A7254" s="2">
        <v>43771</v>
      </c>
      <c r="B7254">
        <v>5.25</v>
      </c>
      <c r="D7254" s="2">
        <v>44502</v>
      </c>
      <c r="E7254">
        <v>4</v>
      </c>
      <c r="G7254" s="2">
        <v>44502</v>
      </c>
      <c r="H7254">
        <v>4.2190000000000003</v>
      </c>
      <c r="J7254" s="2">
        <v>44509</v>
      </c>
      <c r="K7254" s="3">
        <f t="shared" si="226"/>
        <v>4</v>
      </c>
      <c r="L7254" s="3">
        <f t="shared" si="227"/>
        <v>4.1859999999999999</v>
      </c>
    </row>
    <row r="7255" spans="1:12" x14ac:dyDescent="0.3">
      <c r="A7255" s="2">
        <v>43772</v>
      </c>
      <c r="B7255">
        <v>5.25</v>
      </c>
      <c r="D7255" s="2">
        <v>44503</v>
      </c>
      <c r="E7255">
        <v>4</v>
      </c>
      <c r="G7255" s="2">
        <v>44503</v>
      </c>
      <c r="H7255">
        <v>4.234</v>
      </c>
      <c r="J7255" s="2">
        <v>44510</v>
      </c>
      <c r="K7255" s="3">
        <f t="shared" si="226"/>
        <v>4</v>
      </c>
      <c r="L7255" s="3">
        <f t="shared" si="227"/>
        <v>4.2850000000000001</v>
      </c>
    </row>
    <row r="7256" spans="1:12" x14ac:dyDescent="0.3">
      <c r="A7256" s="2">
        <v>43773</v>
      </c>
      <c r="B7256">
        <v>5.23</v>
      </c>
      <c r="D7256" s="2">
        <v>44504</v>
      </c>
      <c r="E7256">
        <v>4</v>
      </c>
      <c r="G7256" s="2">
        <v>44504</v>
      </c>
      <c r="H7256">
        <v>4.234</v>
      </c>
      <c r="J7256" s="2">
        <v>44511</v>
      </c>
      <c r="K7256" s="3">
        <f t="shared" si="226"/>
        <v>4</v>
      </c>
      <c r="L7256" s="3">
        <f t="shared" si="227"/>
        <v>4.2850000000000001</v>
      </c>
    </row>
    <row r="7257" spans="1:12" x14ac:dyDescent="0.3">
      <c r="A7257" s="2">
        <v>43774</v>
      </c>
      <c r="B7257">
        <v>5.24</v>
      </c>
      <c r="D7257" s="2">
        <v>44505</v>
      </c>
      <c r="E7257">
        <v>4</v>
      </c>
      <c r="G7257" s="2">
        <v>44505</v>
      </c>
      <c r="H7257">
        <v>4.234</v>
      </c>
      <c r="J7257" s="2">
        <v>44512</v>
      </c>
      <c r="K7257" s="3">
        <f t="shared" si="226"/>
        <v>4</v>
      </c>
      <c r="L7257" s="3">
        <f t="shared" si="227"/>
        <v>4.1719999999999997</v>
      </c>
    </row>
    <row r="7258" spans="1:12" x14ac:dyDescent="0.3">
      <c r="A7258" s="2">
        <v>43775</v>
      </c>
      <c r="B7258">
        <v>5.22</v>
      </c>
      <c r="D7258" s="2">
        <v>44506</v>
      </c>
      <c r="E7258">
        <v>4</v>
      </c>
      <c r="G7258" s="2">
        <v>44506</v>
      </c>
      <c r="H7258">
        <v>4.234</v>
      </c>
      <c r="J7258" s="2">
        <v>44513</v>
      </c>
      <c r="K7258" s="3">
        <f t="shared" si="226"/>
        <v>4</v>
      </c>
      <c r="L7258" s="3">
        <f t="shared" si="227"/>
        <v>4.1719999999999997</v>
      </c>
    </row>
    <row r="7259" spans="1:12" x14ac:dyDescent="0.3">
      <c r="A7259" s="2">
        <v>43776</v>
      </c>
      <c r="B7259">
        <v>5.17</v>
      </c>
      <c r="D7259" s="2">
        <v>44507</v>
      </c>
      <c r="E7259">
        <v>4</v>
      </c>
      <c r="G7259" s="2">
        <v>44507</v>
      </c>
      <c r="H7259">
        <v>4.234</v>
      </c>
      <c r="J7259" s="2">
        <v>44514</v>
      </c>
      <c r="K7259" s="3">
        <f t="shared" si="226"/>
        <v>4</v>
      </c>
      <c r="L7259" s="3">
        <f t="shared" si="227"/>
        <v>4.1719999999999997</v>
      </c>
    </row>
    <row r="7260" spans="1:12" x14ac:dyDescent="0.3">
      <c r="A7260" s="2">
        <v>43777</v>
      </c>
      <c r="B7260">
        <v>5.21</v>
      </c>
      <c r="D7260" s="2">
        <v>44508</v>
      </c>
      <c r="E7260">
        <v>4</v>
      </c>
      <c r="G7260" s="2">
        <v>44508</v>
      </c>
      <c r="H7260">
        <v>4.1369999999999996</v>
      </c>
      <c r="J7260" s="2">
        <v>44515</v>
      </c>
      <c r="K7260" s="3">
        <f t="shared" si="226"/>
        <v>4</v>
      </c>
      <c r="L7260" s="3">
        <f t="shared" si="227"/>
        <v>4.1719999999999997</v>
      </c>
    </row>
    <row r="7261" spans="1:12" x14ac:dyDescent="0.3">
      <c r="A7261" s="2">
        <v>43778</v>
      </c>
      <c r="B7261">
        <v>5.21</v>
      </c>
      <c r="D7261" s="2">
        <v>44509</v>
      </c>
      <c r="E7261">
        <v>4</v>
      </c>
      <c r="G7261" s="2">
        <v>44509</v>
      </c>
      <c r="H7261">
        <v>4.1859999999999999</v>
      </c>
      <c r="J7261" s="2">
        <v>44516</v>
      </c>
      <c r="K7261" s="3">
        <f t="shared" si="226"/>
        <v>4</v>
      </c>
      <c r="L7261" s="3">
        <f t="shared" si="227"/>
        <v>4.1719999999999997</v>
      </c>
    </row>
    <row r="7262" spans="1:12" x14ac:dyDescent="0.3">
      <c r="A7262" s="2">
        <v>43779</v>
      </c>
      <c r="B7262">
        <v>5.21</v>
      </c>
      <c r="D7262" s="2">
        <v>44510</v>
      </c>
      <c r="E7262">
        <v>4</v>
      </c>
      <c r="G7262" s="2">
        <v>44510</v>
      </c>
      <c r="H7262">
        <v>4.2850000000000001</v>
      </c>
      <c r="J7262" s="2">
        <v>44517</v>
      </c>
      <c r="K7262" s="3">
        <f t="shared" si="226"/>
        <v>4</v>
      </c>
      <c r="L7262" s="3">
        <f t="shared" si="227"/>
        <v>4.1719999999999997</v>
      </c>
    </row>
    <row r="7263" spans="1:12" x14ac:dyDescent="0.3">
      <c r="A7263" s="2">
        <v>43780</v>
      </c>
      <c r="B7263">
        <v>5.2</v>
      </c>
      <c r="D7263" s="2">
        <v>44511</v>
      </c>
      <c r="E7263">
        <v>4</v>
      </c>
      <c r="G7263" s="2">
        <v>44511</v>
      </c>
      <c r="H7263">
        <v>4.2850000000000001</v>
      </c>
      <c r="J7263" s="2">
        <v>44518</v>
      </c>
      <c r="K7263" s="3">
        <f t="shared" si="226"/>
        <v>4</v>
      </c>
      <c r="L7263" s="3">
        <f t="shared" si="227"/>
        <v>4.1719999999999997</v>
      </c>
    </row>
    <row r="7264" spans="1:12" x14ac:dyDescent="0.3">
      <c r="A7264" s="2">
        <v>43781</v>
      </c>
      <c r="B7264">
        <v>5.2</v>
      </c>
      <c r="D7264" s="2">
        <v>44512</v>
      </c>
      <c r="E7264">
        <v>4</v>
      </c>
      <c r="G7264" s="2">
        <v>44512</v>
      </c>
      <c r="H7264">
        <v>4.1719999999999997</v>
      </c>
      <c r="J7264" s="2">
        <v>44519</v>
      </c>
      <c r="K7264" s="3">
        <f t="shared" si="226"/>
        <v>4</v>
      </c>
      <c r="L7264" s="3">
        <f t="shared" si="227"/>
        <v>4.1719999999999997</v>
      </c>
    </row>
    <row r="7265" spans="1:12" x14ac:dyDescent="0.3">
      <c r="A7265" s="2">
        <v>43782</v>
      </c>
      <c r="B7265">
        <v>5.21</v>
      </c>
      <c r="D7265" s="2">
        <v>44513</v>
      </c>
      <c r="E7265">
        <v>4</v>
      </c>
      <c r="G7265" s="2">
        <v>44513</v>
      </c>
      <c r="H7265">
        <v>4.1719999999999997</v>
      </c>
      <c r="J7265" s="2">
        <v>44520</v>
      </c>
      <c r="K7265" s="3">
        <f t="shared" si="226"/>
        <v>4</v>
      </c>
      <c r="L7265" s="3">
        <f t="shared" si="227"/>
        <v>4.1719999999999997</v>
      </c>
    </row>
    <row r="7266" spans="1:12" x14ac:dyDescent="0.3">
      <c r="A7266" s="2">
        <v>43783</v>
      </c>
      <c r="B7266">
        <v>5.16</v>
      </c>
      <c r="D7266" s="2">
        <v>44514</v>
      </c>
      <c r="E7266">
        <v>4</v>
      </c>
      <c r="G7266" s="2">
        <v>44514</v>
      </c>
      <c r="H7266">
        <v>4.1719999999999997</v>
      </c>
      <c r="J7266" s="2">
        <v>44521</v>
      </c>
      <c r="K7266" s="3">
        <f t="shared" si="226"/>
        <v>4</v>
      </c>
      <c r="L7266" s="3">
        <f t="shared" si="227"/>
        <v>4.1719999999999997</v>
      </c>
    </row>
    <row r="7267" spans="1:12" x14ac:dyDescent="0.3">
      <c r="A7267" s="2">
        <v>43784</v>
      </c>
      <c r="B7267">
        <v>5.17</v>
      </c>
      <c r="D7267" s="2">
        <v>44515</v>
      </c>
      <c r="E7267">
        <v>4</v>
      </c>
      <c r="G7267" s="2">
        <v>44515</v>
      </c>
      <c r="H7267">
        <v>4.1719999999999997</v>
      </c>
      <c r="J7267" s="2">
        <v>44522</v>
      </c>
      <c r="K7267" s="3">
        <f t="shared" si="226"/>
        <v>4</v>
      </c>
      <c r="L7267" s="3">
        <f t="shared" si="227"/>
        <v>4.2329999999999997</v>
      </c>
    </row>
    <row r="7268" spans="1:12" x14ac:dyDescent="0.3">
      <c r="A7268" s="2">
        <v>43785</v>
      </c>
      <c r="B7268">
        <v>5.17</v>
      </c>
      <c r="D7268" s="2">
        <v>44516</v>
      </c>
      <c r="E7268">
        <v>4</v>
      </c>
      <c r="G7268" s="2">
        <v>44516</v>
      </c>
      <c r="H7268">
        <v>4.1719999999999997</v>
      </c>
      <c r="J7268" s="2">
        <v>44523</v>
      </c>
      <c r="K7268" s="3">
        <f t="shared" si="226"/>
        <v>4</v>
      </c>
      <c r="L7268" s="3">
        <f t="shared" si="227"/>
        <v>4.2270000000000003</v>
      </c>
    </row>
    <row r="7269" spans="1:12" x14ac:dyDescent="0.3">
      <c r="A7269" s="2">
        <v>43786</v>
      </c>
      <c r="B7269">
        <v>5.17</v>
      </c>
      <c r="D7269" s="2">
        <v>44517</v>
      </c>
      <c r="E7269">
        <v>4</v>
      </c>
      <c r="G7269" s="2">
        <v>44517</v>
      </c>
      <c r="H7269">
        <v>4.1719999999999997</v>
      </c>
      <c r="J7269" s="2">
        <v>44524</v>
      </c>
      <c r="K7269" s="3">
        <f t="shared" si="226"/>
        <v>4</v>
      </c>
      <c r="L7269" s="3">
        <f t="shared" si="227"/>
        <v>4.2270000000000003</v>
      </c>
    </row>
    <row r="7270" spans="1:12" x14ac:dyDescent="0.3">
      <c r="A7270" s="2">
        <v>43787</v>
      </c>
      <c r="B7270">
        <v>5.15</v>
      </c>
      <c r="D7270" s="2">
        <v>44518</v>
      </c>
      <c r="E7270">
        <v>4</v>
      </c>
      <c r="G7270" s="2">
        <v>44518</v>
      </c>
      <c r="H7270">
        <v>4.1719999999999997</v>
      </c>
      <c r="J7270" s="2">
        <v>44525</v>
      </c>
      <c r="K7270" s="3">
        <f t="shared" si="226"/>
        <v>4</v>
      </c>
      <c r="L7270" s="3">
        <f t="shared" si="227"/>
        <v>4.28</v>
      </c>
    </row>
    <row r="7271" spans="1:12" x14ac:dyDescent="0.3">
      <c r="A7271" s="2">
        <v>43788</v>
      </c>
      <c r="B7271">
        <v>5.15</v>
      </c>
      <c r="D7271" s="2">
        <v>44519</v>
      </c>
      <c r="E7271">
        <v>4</v>
      </c>
      <c r="G7271" s="2">
        <v>44519</v>
      </c>
      <c r="H7271">
        <v>4.1719999999999997</v>
      </c>
      <c r="J7271" s="2">
        <v>44526</v>
      </c>
      <c r="K7271" s="3">
        <f t="shared" si="226"/>
        <v>4</v>
      </c>
      <c r="L7271" s="3">
        <f t="shared" si="227"/>
        <v>4.28</v>
      </c>
    </row>
    <row r="7272" spans="1:12" x14ac:dyDescent="0.3">
      <c r="A7272" s="2">
        <v>43789</v>
      </c>
      <c r="B7272">
        <v>5.16</v>
      </c>
      <c r="D7272" s="2">
        <v>44520</v>
      </c>
      <c r="E7272">
        <v>4</v>
      </c>
      <c r="G7272" s="2">
        <v>44520</v>
      </c>
      <c r="H7272">
        <v>4.1719999999999997</v>
      </c>
      <c r="J7272" s="2">
        <v>44527</v>
      </c>
      <c r="K7272" s="3">
        <f t="shared" si="226"/>
        <v>4</v>
      </c>
      <c r="L7272" s="3">
        <f t="shared" si="227"/>
        <v>4.28</v>
      </c>
    </row>
    <row r="7273" spans="1:12" x14ac:dyDescent="0.3">
      <c r="A7273" s="2">
        <v>43790</v>
      </c>
      <c r="B7273">
        <v>5.14</v>
      </c>
      <c r="D7273" s="2">
        <v>44521</v>
      </c>
      <c r="E7273">
        <v>4</v>
      </c>
      <c r="G7273" s="2">
        <v>44521</v>
      </c>
      <c r="H7273">
        <v>4.1719999999999997</v>
      </c>
      <c r="J7273" s="2">
        <v>44528</v>
      </c>
      <c r="K7273" s="3">
        <f t="shared" si="226"/>
        <v>4</v>
      </c>
      <c r="L7273" s="3">
        <f t="shared" si="227"/>
        <v>4.28</v>
      </c>
    </row>
    <row r="7274" spans="1:12" x14ac:dyDescent="0.3">
      <c r="A7274" s="2">
        <v>43791</v>
      </c>
      <c r="B7274">
        <v>5.14</v>
      </c>
      <c r="D7274" s="2">
        <v>44522</v>
      </c>
      <c r="E7274">
        <v>4</v>
      </c>
      <c r="G7274" s="2">
        <v>44522</v>
      </c>
      <c r="H7274">
        <v>4.2329999999999997</v>
      </c>
      <c r="J7274" s="2">
        <v>44529</v>
      </c>
      <c r="K7274" s="3">
        <f t="shared" si="226"/>
        <v>4</v>
      </c>
      <c r="L7274" s="3">
        <f t="shared" si="227"/>
        <v>4.2839999999999998</v>
      </c>
    </row>
    <row r="7275" spans="1:12" x14ac:dyDescent="0.3">
      <c r="A7275" s="2">
        <v>43792</v>
      </c>
      <c r="B7275">
        <v>5.14</v>
      </c>
      <c r="D7275" s="2">
        <v>44523</v>
      </c>
      <c r="E7275">
        <v>4</v>
      </c>
      <c r="G7275" s="2">
        <v>44523</v>
      </c>
      <c r="H7275">
        <v>4.2270000000000003</v>
      </c>
      <c r="J7275" s="2">
        <v>44530</v>
      </c>
      <c r="K7275" s="3">
        <f t="shared" si="226"/>
        <v>4</v>
      </c>
      <c r="L7275" s="3">
        <f t="shared" si="227"/>
        <v>4.2640000000000002</v>
      </c>
    </row>
    <row r="7276" spans="1:12" x14ac:dyDescent="0.3">
      <c r="A7276" s="2">
        <v>43793</v>
      </c>
      <c r="B7276">
        <v>5.14</v>
      </c>
      <c r="D7276" s="2">
        <v>44524</v>
      </c>
      <c r="E7276">
        <v>4</v>
      </c>
      <c r="G7276" s="2">
        <v>44524</v>
      </c>
      <c r="H7276">
        <v>4.2270000000000003</v>
      </c>
      <c r="J7276" s="2">
        <v>44531</v>
      </c>
      <c r="K7276" s="3">
        <f t="shared" si="226"/>
        <v>4</v>
      </c>
      <c r="L7276" s="3">
        <f t="shared" si="227"/>
        <v>4.2809999999999997</v>
      </c>
    </row>
    <row r="7277" spans="1:12" x14ac:dyDescent="0.3">
      <c r="A7277" s="2">
        <v>43794</v>
      </c>
      <c r="B7277">
        <v>5.15</v>
      </c>
      <c r="D7277" s="2">
        <v>44525</v>
      </c>
      <c r="E7277">
        <v>4</v>
      </c>
      <c r="G7277" s="2">
        <v>44525</v>
      </c>
      <c r="H7277">
        <v>4.28</v>
      </c>
      <c r="J7277" s="2">
        <v>44532</v>
      </c>
      <c r="K7277" s="3">
        <f t="shared" si="226"/>
        <v>4</v>
      </c>
      <c r="L7277" s="3">
        <f t="shared" si="227"/>
        <v>4.3090000000000002</v>
      </c>
    </row>
    <row r="7278" spans="1:12" x14ac:dyDescent="0.3">
      <c r="A7278" s="2">
        <v>43795</v>
      </c>
      <c r="B7278">
        <v>5.15</v>
      </c>
      <c r="D7278" s="2">
        <v>44526</v>
      </c>
      <c r="E7278">
        <v>4</v>
      </c>
      <c r="G7278" s="2">
        <v>44526</v>
      </c>
      <c r="H7278">
        <v>4.28</v>
      </c>
      <c r="J7278" s="2">
        <v>44533</v>
      </c>
      <c r="K7278" s="3">
        <f t="shared" si="226"/>
        <v>4</v>
      </c>
      <c r="L7278" s="3">
        <f t="shared" si="227"/>
        <v>4.3440000000000003</v>
      </c>
    </row>
    <row r="7279" spans="1:12" x14ac:dyDescent="0.3">
      <c r="A7279" s="2">
        <v>43796</v>
      </c>
      <c r="B7279">
        <v>5.14</v>
      </c>
      <c r="D7279" s="2">
        <v>44527</v>
      </c>
      <c r="E7279">
        <v>4</v>
      </c>
      <c r="G7279" s="2">
        <v>44527</v>
      </c>
      <c r="H7279">
        <v>4.28</v>
      </c>
      <c r="J7279" s="2">
        <v>44534</v>
      </c>
      <c r="K7279" s="3">
        <f t="shared" si="226"/>
        <v>4</v>
      </c>
      <c r="L7279" s="3">
        <f t="shared" si="227"/>
        <v>4.3440000000000003</v>
      </c>
    </row>
    <row r="7280" spans="1:12" x14ac:dyDescent="0.3">
      <c r="A7280" s="2">
        <v>43797</v>
      </c>
      <c r="B7280">
        <v>5.1100000000000003</v>
      </c>
      <c r="D7280" s="2">
        <v>44528</v>
      </c>
      <c r="E7280">
        <v>4</v>
      </c>
      <c r="G7280" s="2">
        <v>44528</v>
      </c>
      <c r="H7280">
        <v>4.28</v>
      </c>
      <c r="J7280" s="2">
        <v>44535</v>
      </c>
      <c r="K7280" s="3">
        <f t="shared" si="226"/>
        <v>4</v>
      </c>
      <c r="L7280" s="3">
        <f t="shared" si="227"/>
        <v>4.3440000000000003</v>
      </c>
    </row>
    <row r="7281" spans="1:12" x14ac:dyDescent="0.3">
      <c r="A7281" s="2">
        <v>43798</v>
      </c>
      <c r="B7281">
        <v>5.1100000000000003</v>
      </c>
      <c r="D7281" s="2">
        <v>44529</v>
      </c>
      <c r="E7281">
        <v>4</v>
      </c>
      <c r="G7281" s="2">
        <v>44529</v>
      </c>
      <c r="H7281">
        <v>4.2839999999999998</v>
      </c>
      <c r="J7281" s="2">
        <v>44536</v>
      </c>
      <c r="K7281" s="3">
        <f t="shared" si="226"/>
        <v>4</v>
      </c>
      <c r="L7281" s="3">
        <f t="shared" si="227"/>
        <v>4.32</v>
      </c>
    </row>
    <row r="7282" spans="1:12" x14ac:dyDescent="0.3">
      <c r="A7282" s="2">
        <v>43799</v>
      </c>
      <c r="B7282">
        <v>5.1100000000000003</v>
      </c>
      <c r="D7282" s="2">
        <v>44530</v>
      </c>
      <c r="E7282">
        <v>4</v>
      </c>
      <c r="G7282" s="2">
        <v>44530</v>
      </c>
      <c r="H7282">
        <v>4.2640000000000002</v>
      </c>
      <c r="J7282" s="2">
        <v>44537</v>
      </c>
      <c r="K7282" s="3">
        <f t="shared" si="226"/>
        <v>4</v>
      </c>
      <c r="L7282" s="3">
        <f t="shared" si="227"/>
        <v>4.3410000000000002</v>
      </c>
    </row>
    <row r="7283" spans="1:12" x14ac:dyDescent="0.3">
      <c r="A7283" s="2">
        <v>43800</v>
      </c>
      <c r="B7283">
        <v>5.1100000000000003</v>
      </c>
      <c r="D7283" s="2">
        <v>44531</v>
      </c>
      <c r="E7283">
        <v>4</v>
      </c>
      <c r="G7283" s="2">
        <v>44531</v>
      </c>
      <c r="H7283">
        <v>4.2809999999999997</v>
      </c>
      <c r="J7283" s="2">
        <v>44538</v>
      </c>
      <c r="K7283" s="3">
        <f t="shared" si="226"/>
        <v>4</v>
      </c>
      <c r="L7283" s="3">
        <f t="shared" si="227"/>
        <v>4.3</v>
      </c>
    </row>
    <row r="7284" spans="1:12" x14ac:dyDescent="0.3">
      <c r="A7284" s="2">
        <v>43801</v>
      </c>
      <c r="B7284">
        <v>5.09</v>
      </c>
      <c r="D7284" s="2">
        <v>44532</v>
      </c>
      <c r="E7284">
        <v>4</v>
      </c>
      <c r="G7284" s="2">
        <v>44532</v>
      </c>
      <c r="H7284">
        <v>4.3090000000000002</v>
      </c>
      <c r="J7284" s="2">
        <v>44539</v>
      </c>
      <c r="K7284" s="3">
        <f t="shared" si="226"/>
        <v>4</v>
      </c>
      <c r="L7284" s="3">
        <f t="shared" si="227"/>
        <v>4.2690000000000001</v>
      </c>
    </row>
    <row r="7285" spans="1:12" x14ac:dyDescent="0.3">
      <c r="A7285" s="2">
        <v>43802</v>
      </c>
      <c r="B7285">
        <v>5.12</v>
      </c>
      <c r="D7285" s="2">
        <v>44533</v>
      </c>
      <c r="E7285">
        <v>4</v>
      </c>
      <c r="G7285" s="2">
        <v>44533</v>
      </c>
      <c r="H7285">
        <v>4.3440000000000003</v>
      </c>
      <c r="J7285" s="2">
        <v>44540</v>
      </c>
      <c r="K7285" s="3">
        <f t="shared" si="226"/>
        <v>4</v>
      </c>
      <c r="L7285" s="3">
        <f t="shared" si="227"/>
        <v>4.5369999999999999</v>
      </c>
    </row>
    <row r="7286" spans="1:12" x14ac:dyDescent="0.3">
      <c r="A7286" s="2">
        <v>43803</v>
      </c>
      <c r="B7286">
        <v>5.08</v>
      </c>
      <c r="D7286" s="2">
        <v>44534</v>
      </c>
      <c r="E7286">
        <v>4</v>
      </c>
      <c r="G7286" s="2">
        <v>44534</v>
      </c>
      <c r="H7286">
        <v>4.3440000000000003</v>
      </c>
      <c r="J7286" s="2">
        <v>44541</v>
      </c>
      <c r="K7286" s="3">
        <f t="shared" si="226"/>
        <v>4</v>
      </c>
      <c r="L7286" s="3">
        <f t="shared" si="227"/>
        <v>4.5369999999999999</v>
      </c>
    </row>
    <row r="7287" spans="1:12" x14ac:dyDescent="0.3">
      <c r="A7287" s="2">
        <v>43804</v>
      </c>
      <c r="B7287">
        <v>5.14</v>
      </c>
      <c r="D7287" s="2">
        <v>44535</v>
      </c>
      <c r="E7287">
        <v>4</v>
      </c>
      <c r="G7287" s="2">
        <v>44535</v>
      </c>
      <c r="H7287">
        <v>4.3440000000000003</v>
      </c>
      <c r="J7287" s="2">
        <v>44542</v>
      </c>
      <c r="K7287" s="3">
        <f t="shared" si="226"/>
        <v>4</v>
      </c>
      <c r="L7287" s="3">
        <f t="shared" si="227"/>
        <v>4.5369999999999999</v>
      </c>
    </row>
    <row r="7288" spans="1:12" x14ac:dyDescent="0.3">
      <c r="A7288" s="2">
        <v>43805</v>
      </c>
      <c r="B7288">
        <v>5.24</v>
      </c>
      <c r="D7288" s="2">
        <v>44536</v>
      </c>
      <c r="E7288">
        <v>4</v>
      </c>
      <c r="G7288" s="2">
        <v>44536</v>
      </c>
      <c r="H7288">
        <v>4.32</v>
      </c>
      <c r="J7288" s="2">
        <v>44543</v>
      </c>
      <c r="K7288" s="3">
        <f t="shared" si="226"/>
        <v>4</v>
      </c>
      <c r="L7288" s="3">
        <f t="shared" si="227"/>
        <v>4.2779999999999996</v>
      </c>
    </row>
    <row r="7289" spans="1:12" x14ac:dyDescent="0.3">
      <c r="A7289" s="2">
        <v>43806</v>
      </c>
      <c r="B7289">
        <v>5.24</v>
      </c>
      <c r="D7289" s="2">
        <v>44537</v>
      </c>
      <c r="E7289">
        <v>4</v>
      </c>
      <c r="G7289" s="2">
        <v>44537</v>
      </c>
      <c r="H7289">
        <v>4.3410000000000002</v>
      </c>
      <c r="J7289" s="2">
        <v>44544</v>
      </c>
      <c r="K7289" s="3">
        <f t="shared" si="226"/>
        <v>4</v>
      </c>
      <c r="L7289" s="3">
        <f t="shared" si="227"/>
        <v>4.3490000000000002</v>
      </c>
    </row>
    <row r="7290" spans="1:12" x14ac:dyDescent="0.3">
      <c r="A7290" s="2">
        <v>43807</v>
      </c>
      <c r="B7290">
        <v>5.24</v>
      </c>
      <c r="D7290" s="2">
        <v>44538</v>
      </c>
      <c r="E7290">
        <v>4</v>
      </c>
      <c r="G7290" s="2">
        <v>44538</v>
      </c>
      <c r="H7290">
        <v>4.3</v>
      </c>
      <c r="J7290" s="2">
        <v>44545</v>
      </c>
      <c r="K7290" s="3">
        <f t="shared" si="226"/>
        <v>4</v>
      </c>
      <c r="L7290" s="3">
        <f t="shared" si="227"/>
        <v>4.38</v>
      </c>
    </row>
    <row r="7291" spans="1:12" x14ac:dyDescent="0.3">
      <c r="A7291" s="2">
        <v>43808</v>
      </c>
      <c r="B7291">
        <v>5.12</v>
      </c>
      <c r="D7291" s="2">
        <v>44539</v>
      </c>
      <c r="E7291">
        <v>4</v>
      </c>
      <c r="G7291" s="2">
        <v>44539</v>
      </c>
      <c r="H7291">
        <v>4.2690000000000001</v>
      </c>
      <c r="J7291" s="2">
        <v>44546</v>
      </c>
      <c r="K7291" s="3">
        <f t="shared" si="226"/>
        <v>4</v>
      </c>
      <c r="L7291" s="3">
        <f t="shared" si="227"/>
        <v>4.3840000000000003</v>
      </c>
    </row>
    <row r="7292" spans="1:12" x14ac:dyDescent="0.3">
      <c r="A7292" s="2">
        <v>43809</v>
      </c>
      <c r="B7292">
        <v>5.18</v>
      </c>
      <c r="D7292" s="2">
        <v>44540</v>
      </c>
      <c r="E7292">
        <v>4</v>
      </c>
      <c r="G7292" s="2">
        <v>44540</v>
      </c>
      <c r="H7292">
        <v>4.5369999999999999</v>
      </c>
      <c r="J7292" s="2">
        <v>44547</v>
      </c>
      <c r="K7292" s="3">
        <f t="shared" si="226"/>
        <v>4</v>
      </c>
      <c r="L7292" s="3">
        <f t="shared" si="227"/>
        <v>4.3540000000000001</v>
      </c>
    </row>
    <row r="7293" spans="1:12" x14ac:dyDescent="0.3">
      <c r="A7293" s="2">
        <v>43810</v>
      </c>
      <c r="B7293">
        <v>5.2</v>
      </c>
      <c r="D7293" s="2">
        <v>44541</v>
      </c>
      <c r="E7293">
        <v>4</v>
      </c>
      <c r="G7293" s="2">
        <v>44541</v>
      </c>
      <c r="H7293">
        <v>4.5369999999999999</v>
      </c>
      <c r="J7293" s="2">
        <v>44548</v>
      </c>
      <c r="K7293" s="3">
        <f t="shared" si="226"/>
        <v>4</v>
      </c>
      <c r="L7293" s="3">
        <f t="shared" si="227"/>
        <v>4.3540000000000001</v>
      </c>
    </row>
    <row r="7294" spans="1:12" x14ac:dyDescent="0.3">
      <c r="A7294" s="2">
        <v>43811</v>
      </c>
      <c r="B7294">
        <v>5.23</v>
      </c>
      <c r="D7294" s="2">
        <v>44542</v>
      </c>
      <c r="E7294">
        <v>4</v>
      </c>
      <c r="G7294" s="2">
        <v>44542</v>
      </c>
      <c r="H7294">
        <v>4.5369999999999999</v>
      </c>
      <c r="J7294" s="2">
        <v>44549</v>
      </c>
      <c r="K7294" s="3">
        <f t="shared" si="226"/>
        <v>4</v>
      </c>
      <c r="L7294" s="3">
        <f t="shared" si="227"/>
        <v>4.3540000000000001</v>
      </c>
    </row>
    <row r="7295" spans="1:12" x14ac:dyDescent="0.3">
      <c r="A7295" s="2">
        <v>43812</v>
      </c>
      <c r="B7295">
        <v>5.25</v>
      </c>
      <c r="D7295" s="2">
        <v>44543</v>
      </c>
      <c r="E7295">
        <v>4</v>
      </c>
      <c r="G7295" s="2">
        <v>44543</v>
      </c>
      <c r="H7295">
        <v>4.2779999999999996</v>
      </c>
      <c r="J7295" s="2">
        <v>44550</v>
      </c>
      <c r="K7295" s="3">
        <f t="shared" si="226"/>
        <v>4</v>
      </c>
      <c r="L7295" s="3">
        <f t="shared" si="227"/>
        <v>4.3979999999999997</v>
      </c>
    </row>
    <row r="7296" spans="1:12" x14ac:dyDescent="0.3">
      <c r="A7296" s="2">
        <v>43813</v>
      </c>
      <c r="B7296">
        <v>5.25</v>
      </c>
      <c r="D7296" s="2">
        <v>44544</v>
      </c>
      <c r="E7296">
        <v>4</v>
      </c>
      <c r="G7296" s="2">
        <v>44544</v>
      </c>
      <c r="H7296">
        <v>4.3490000000000002</v>
      </c>
      <c r="J7296" s="2">
        <v>44551</v>
      </c>
      <c r="K7296" s="3">
        <f t="shared" si="226"/>
        <v>4</v>
      </c>
      <c r="L7296" s="3">
        <f t="shared" si="227"/>
        <v>4.415</v>
      </c>
    </row>
    <row r="7297" spans="1:12" x14ac:dyDescent="0.3">
      <c r="A7297" s="2">
        <v>43814</v>
      </c>
      <c r="B7297">
        <v>5.25</v>
      </c>
      <c r="D7297" s="2">
        <v>44545</v>
      </c>
      <c r="E7297">
        <v>4</v>
      </c>
      <c r="G7297" s="2">
        <v>44545</v>
      </c>
      <c r="H7297">
        <v>4.38</v>
      </c>
      <c r="J7297" s="2">
        <v>44552</v>
      </c>
      <c r="K7297" s="3">
        <f t="shared" si="226"/>
        <v>4</v>
      </c>
      <c r="L7297" s="3">
        <f t="shared" si="227"/>
        <v>4.4080000000000004</v>
      </c>
    </row>
    <row r="7298" spans="1:12" x14ac:dyDescent="0.3">
      <c r="A7298" s="2">
        <v>43815</v>
      </c>
      <c r="B7298">
        <v>5.24</v>
      </c>
      <c r="D7298" s="2">
        <v>44546</v>
      </c>
      <c r="E7298">
        <v>4</v>
      </c>
      <c r="G7298" s="2">
        <v>44546</v>
      </c>
      <c r="H7298">
        <v>4.3840000000000003</v>
      </c>
      <c r="J7298" s="2">
        <v>44553</v>
      </c>
      <c r="K7298" s="3">
        <f t="shared" si="226"/>
        <v>4</v>
      </c>
      <c r="L7298" s="3">
        <f t="shared" si="227"/>
        <v>4.4089999999999998</v>
      </c>
    </row>
    <row r="7299" spans="1:12" x14ac:dyDescent="0.3">
      <c r="A7299" s="2">
        <v>43816</v>
      </c>
      <c r="B7299">
        <v>5.26</v>
      </c>
      <c r="D7299" s="2">
        <v>44547</v>
      </c>
      <c r="E7299">
        <v>4</v>
      </c>
      <c r="G7299" s="2">
        <v>44547</v>
      </c>
      <c r="H7299">
        <v>4.3540000000000001</v>
      </c>
      <c r="J7299" s="2">
        <v>44554</v>
      </c>
      <c r="K7299" s="3">
        <f t="shared" ref="K7299:K7362" si="228">E7306</f>
        <v>4</v>
      </c>
      <c r="L7299" s="3">
        <f t="shared" ref="L7299:L7362" si="229">H7306</f>
        <v>4.3879999999999999</v>
      </c>
    </row>
    <row r="7300" spans="1:12" x14ac:dyDescent="0.3">
      <c r="A7300" s="2">
        <v>43817</v>
      </c>
      <c r="B7300">
        <v>5.3</v>
      </c>
      <c r="D7300" s="2">
        <v>44548</v>
      </c>
      <c r="E7300">
        <v>4</v>
      </c>
      <c r="G7300" s="2">
        <v>44548</v>
      </c>
      <c r="H7300">
        <v>4.3540000000000001</v>
      </c>
      <c r="J7300" s="2">
        <v>44555</v>
      </c>
      <c r="K7300" s="3">
        <f t="shared" si="228"/>
        <v>4</v>
      </c>
      <c r="L7300" s="3">
        <f t="shared" si="229"/>
        <v>4.3879999999999999</v>
      </c>
    </row>
    <row r="7301" spans="1:12" x14ac:dyDescent="0.3">
      <c r="A7301" s="2">
        <v>43818</v>
      </c>
      <c r="B7301">
        <v>5.31</v>
      </c>
      <c r="D7301" s="2">
        <v>44549</v>
      </c>
      <c r="E7301">
        <v>4</v>
      </c>
      <c r="G7301" s="2">
        <v>44549</v>
      </c>
      <c r="H7301">
        <v>4.3540000000000001</v>
      </c>
      <c r="J7301" s="2">
        <v>44556</v>
      </c>
      <c r="K7301" s="3">
        <f t="shared" si="228"/>
        <v>4</v>
      </c>
      <c r="L7301" s="3">
        <f t="shared" si="229"/>
        <v>4.3879999999999999</v>
      </c>
    </row>
    <row r="7302" spans="1:12" x14ac:dyDescent="0.3">
      <c r="A7302" s="2">
        <v>43819</v>
      </c>
      <c r="B7302">
        <v>5.32</v>
      </c>
      <c r="D7302" s="2">
        <v>44550</v>
      </c>
      <c r="E7302">
        <v>4</v>
      </c>
      <c r="G7302" s="2">
        <v>44550</v>
      </c>
      <c r="H7302">
        <v>4.3979999999999997</v>
      </c>
      <c r="J7302" s="2">
        <v>44557</v>
      </c>
      <c r="K7302" s="3">
        <f t="shared" si="228"/>
        <v>4</v>
      </c>
      <c r="L7302" s="3">
        <f t="shared" si="229"/>
        <v>4.4539999999999997</v>
      </c>
    </row>
    <row r="7303" spans="1:12" x14ac:dyDescent="0.3">
      <c r="A7303" s="2">
        <v>43820</v>
      </c>
      <c r="B7303">
        <v>5.32</v>
      </c>
      <c r="D7303" s="2">
        <v>44551</v>
      </c>
      <c r="E7303">
        <v>4</v>
      </c>
      <c r="G7303" s="2">
        <v>44551</v>
      </c>
      <c r="H7303">
        <v>4.415</v>
      </c>
      <c r="J7303" s="2">
        <v>44558</v>
      </c>
      <c r="K7303" s="3">
        <f t="shared" si="228"/>
        <v>4</v>
      </c>
      <c r="L7303" s="3">
        <f t="shared" si="229"/>
        <v>4.4059999999999997</v>
      </c>
    </row>
    <row r="7304" spans="1:12" x14ac:dyDescent="0.3">
      <c r="A7304" s="2">
        <v>43821</v>
      </c>
      <c r="B7304">
        <v>5.32</v>
      </c>
      <c r="D7304" s="2">
        <v>44552</v>
      </c>
      <c r="E7304">
        <v>4</v>
      </c>
      <c r="G7304" s="2">
        <v>44552</v>
      </c>
      <c r="H7304">
        <v>4.4080000000000004</v>
      </c>
      <c r="J7304" s="2">
        <v>44559</v>
      </c>
      <c r="K7304" s="3">
        <f t="shared" si="228"/>
        <v>4</v>
      </c>
      <c r="L7304" s="3">
        <f t="shared" si="229"/>
        <v>4.4059999999999997</v>
      </c>
    </row>
    <row r="7305" spans="1:12" x14ac:dyDescent="0.3">
      <c r="A7305" s="2">
        <v>43822</v>
      </c>
      <c r="B7305">
        <v>5.26</v>
      </c>
      <c r="D7305" s="2">
        <v>44553</v>
      </c>
      <c r="E7305">
        <v>4</v>
      </c>
      <c r="G7305" s="2">
        <v>44553</v>
      </c>
      <c r="H7305">
        <v>4.4089999999999998</v>
      </c>
      <c r="J7305" s="2">
        <v>44560</v>
      </c>
      <c r="K7305" s="3">
        <f t="shared" si="228"/>
        <v>4</v>
      </c>
      <c r="L7305" s="3">
        <f t="shared" si="229"/>
        <v>4.3879999999999999</v>
      </c>
    </row>
    <row r="7306" spans="1:12" x14ac:dyDescent="0.3">
      <c r="A7306" s="2">
        <v>43823</v>
      </c>
      <c r="B7306">
        <v>5.29</v>
      </c>
      <c r="D7306" s="2">
        <v>44554</v>
      </c>
      <c r="E7306">
        <v>4</v>
      </c>
      <c r="G7306" s="2">
        <v>44554</v>
      </c>
      <c r="H7306">
        <v>4.3879999999999999</v>
      </c>
      <c r="J7306" s="2">
        <v>44561</v>
      </c>
      <c r="K7306" s="3">
        <f t="shared" si="228"/>
        <v>4</v>
      </c>
      <c r="L7306" s="3">
        <f t="shared" si="229"/>
        <v>4.367</v>
      </c>
    </row>
    <row r="7307" spans="1:12" x14ac:dyDescent="0.3">
      <c r="A7307" s="2">
        <v>43824</v>
      </c>
      <c r="B7307">
        <v>5.29</v>
      </c>
      <c r="D7307" s="2">
        <v>44555</v>
      </c>
      <c r="E7307">
        <v>4</v>
      </c>
      <c r="G7307" s="2">
        <v>44555</v>
      </c>
      <c r="H7307">
        <v>4.3879999999999999</v>
      </c>
      <c r="J7307" s="2">
        <v>44562</v>
      </c>
      <c r="K7307" s="3">
        <f t="shared" si="228"/>
        <v>4</v>
      </c>
      <c r="L7307" s="3">
        <f t="shared" si="229"/>
        <v>4.367</v>
      </c>
    </row>
    <row r="7308" spans="1:12" x14ac:dyDescent="0.3">
      <c r="A7308" s="2">
        <v>43825</v>
      </c>
      <c r="B7308">
        <v>5.25</v>
      </c>
      <c r="D7308" s="2">
        <v>44556</v>
      </c>
      <c r="E7308">
        <v>4</v>
      </c>
      <c r="G7308" s="2">
        <v>44556</v>
      </c>
      <c r="H7308">
        <v>4.3879999999999999</v>
      </c>
      <c r="J7308" s="2">
        <v>44563</v>
      </c>
      <c r="K7308" s="3">
        <f t="shared" si="228"/>
        <v>4</v>
      </c>
      <c r="L7308" s="3">
        <f t="shared" si="229"/>
        <v>4.367</v>
      </c>
    </row>
    <row r="7309" spans="1:12" x14ac:dyDescent="0.3">
      <c r="A7309" s="2">
        <v>43826</v>
      </c>
      <c r="B7309">
        <v>5.26</v>
      </c>
      <c r="D7309" s="2">
        <v>44557</v>
      </c>
      <c r="E7309">
        <v>4</v>
      </c>
      <c r="G7309" s="2">
        <v>44557</v>
      </c>
      <c r="H7309">
        <v>4.4539999999999997</v>
      </c>
      <c r="J7309" s="2">
        <v>44564</v>
      </c>
      <c r="K7309" s="3">
        <f t="shared" si="228"/>
        <v>4</v>
      </c>
      <c r="L7309" s="3">
        <f t="shared" si="229"/>
        <v>4.3710000000000004</v>
      </c>
    </row>
    <row r="7310" spans="1:12" x14ac:dyDescent="0.3">
      <c r="A7310" s="2">
        <v>43827</v>
      </c>
      <c r="B7310">
        <v>5.26</v>
      </c>
      <c r="D7310" s="2">
        <v>44558</v>
      </c>
      <c r="E7310">
        <v>4</v>
      </c>
      <c r="G7310" s="2">
        <v>44558</v>
      </c>
      <c r="H7310">
        <v>4.4059999999999997</v>
      </c>
      <c r="J7310" s="2">
        <v>44565</v>
      </c>
      <c r="K7310" s="3">
        <f t="shared" si="228"/>
        <v>4</v>
      </c>
      <c r="L7310" s="3">
        <f t="shared" si="229"/>
        <v>4.375</v>
      </c>
    </row>
    <row r="7311" spans="1:12" x14ac:dyDescent="0.3">
      <c r="A7311" s="2">
        <v>43828</v>
      </c>
      <c r="B7311">
        <v>5.26</v>
      </c>
      <c r="D7311" s="2">
        <v>44559</v>
      </c>
      <c r="E7311">
        <v>4</v>
      </c>
      <c r="G7311" s="2">
        <v>44559</v>
      </c>
      <c r="H7311">
        <v>4.4059999999999997</v>
      </c>
      <c r="J7311" s="2">
        <v>44566</v>
      </c>
      <c r="K7311" s="3">
        <f t="shared" si="228"/>
        <v>4</v>
      </c>
      <c r="L7311" s="3">
        <f t="shared" si="229"/>
        <v>4.3940000000000001</v>
      </c>
    </row>
    <row r="7312" spans="1:12" x14ac:dyDescent="0.3">
      <c r="A7312" s="2">
        <v>43829</v>
      </c>
      <c r="B7312">
        <v>5.22</v>
      </c>
      <c r="D7312" s="2">
        <v>44560</v>
      </c>
      <c r="E7312">
        <v>4</v>
      </c>
      <c r="G7312" s="2">
        <v>44560</v>
      </c>
      <c r="H7312">
        <v>4.3879999999999999</v>
      </c>
      <c r="J7312" s="2">
        <v>44567</v>
      </c>
      <c r="K7312" s="3">
        <f t="shared" si="228"/>
        <v>4</v>
      </c>
      <c r="L7312" s="3">
        <f t="shared" si="229"/>
        <v>4.3819999999999997</v>
      </c>
    </row>
    <row r="7313" spans="1:12" x14ac:dyDescent="0.3">
      <c r="A7313" s="2">
        <v>43830</v>
      </c>
      <c r="B7313">
        <v>5.19</v>
      </c>
      <c r="D7313" s="2">
        <v>44561</v>
      </c>
      <c r="E7313">
        <v>4</v>
      </c>
      <c r="G7313" s="2">
        <v>44561</v>
      </c>
      <c r="H7313">
        <v>4.367</v>
      </c>
      <c r="J7313" s="2">
        <v>44568</v>
      </c>
      <c r="K7313" s="3">
        <f t="shared" si="228"/>
        <v>4</v>
      </c>
      <c r="L7313" s="3">
        <f t="shared" si="229"/>
        <v>4.3920000000000003</v>
      </c>
    </row>
    <row r="7314" spans="1:12" x14ac:dyDescent="0.3">
      <c r="A7314" s="2">
        <v>43831</v>
      </c>
      <c r="B7314">
        <v>5.28</v>
      </c>
      <c r="D7314" s="2">
        <v>44562</v>
      </c>
      <c r="E7314">
        <v>4</v>
      </c>
      <c r="G7314" s="2">
        <v>44562</v>
      </c>
      <c r="H7314">
        <v>4.367</v>
      </c>
      <c r="J7314" s="2">
        <v>44569</v>
      </c>
      <c r="K7314" s="3">
        <f t="shared" si="228"/>
        <v>4</v>
      </c>
      <c r="L7314" s="3">
        <f t="shared" si="229"/>
        <v>4.3920000000000003</v>
      </c>
    </row>
    <row r="7315" spans="1:12" x14ac:dyDescent="0.3">
      <c r="A7315" s="2">
        <v>43832</v>
      </c>
      <c r="B7315">
        <v>5.27</v>
      </c>
      <c r="D7315" s="2">
        <v>44563</v>
      </c>
      <c r="E7315">
        <v>4</v>
      </c>
      <c r="G7315" s="2">
        <v>44563</v>
      </c>
      <c r="H7315">
        <v>4.367</v>
      </c>
      <c r="J7315" s="2">
        <v>44570</v>
      </c>
      <c r="K7315" s="3">
        <f t="shared" si="228"/>
        <v>4</v>
      </c>
      <c r="L7315" s="3">
        <f t="shared" si="229"/>
        <v>4.3920000000000003</v>
      </c>
    </row>
    <row r="7316" spans="1:12" x14ac:dyDescent="0.3">
      <c r="A7316" s="2">
        <v>43833</v>
      </c>
      <c r="B7316">
        <v>5.24</v>
      </c>
      <c r="D7316" s="2">
        <v>44564</v>
      </c>
      <c r="E7316">
        <v>4</v>
      </c>
      <c r="G7316" s="2">
        <v>44564</v>
      </c>
      <c r="H7316">
        <v>4.3710000000000004</v>
      </c>
      <c r="J7316" s="2">
        <v>44571</v>
      </c>
      <c r="K7316" s="3">
        <f t="shared" si="228"/>
        <v>4</v>
      </c>
      <c r="L7316" s="3">
        <f t="shared" si="229"/>
        <v>4.4039999999999999</v>
      </c>
    </row>
    <row r="7317" spans="1:12" x14ac:dyDescent="0.3">
      <c r="A7317" s="2">
        <v>43834</v>
      </c>
      <c r="B7317">
        <v>5.24</v>
      </c>
      <c r="D7317" s="2">
        <v>44565</v>
      </c>
      <c r="E7317">
        <v>4</v>
      </c>
      <c r="G7317" s="2">
        <v>44565</v>
      </c>
      <c r="H7317">
        <v>4.375</v>
      </c>
      <c r="J7317" s="2">
        <v>44572</v>
      </c>
      <c r="K7317" s="3">
        <f t="shared" si="228"/>
        <v>4</v>
      </c>
      <c r="L7317" s="3">
        <f t="shared" si="229"/>
        <v>4.375</v>
      </c>
    </row>
    <row r="7318" spans="1:12" x14ac:dyDescent="0.3">
      <c r="A7318" s="2">
        <v>43835</v>
      </c>
      <c r="B7318">
        <v>5.24</v>
      </c>
      <c r="D7318" s="2">
        <v>44566</v>
      </c>
      <c r="E7318">
        <v>4</v>
      </c>
      <c r="G7318" s="2">
        <v>44566</v>
      </c>
      <c r="H7318">
        <v>4.3940000000000001</v>
      </c>
      <c r="J7318" s="2">
        <v>44573</v>
      </c>
      <c r="K7318" s="3">
        <f t="shared" si="228"/>
        <v>4</v>
      </c>
      <c r="L7318" s="3">
        <f t="shared" si="229"/>
        <v>4.3600000000000003</v>
      </c>
    </row>
    <row r="7319" spans="1:12" x14ac:dyDescent="0.3">
      <c r="A7319" s="2">
        <v>43836</v>
      </c>
      <c r="B7319">
        <v>5.2</v>
      </c>
      <c r="D7319" s="2">
        <v>44567</v>
      </c>
      <c r="E7319">
        <v>4</v>
      </c>
      <c r="G7319" s="2">
        <v>44567</v>
      </c>
      <c r="H7319">
        <v>4.3819999999999997</v>
      </c>
      <c r="J7319" s="2">
        <v>44574</v>
      </c>
      <c r="K7319" s="3">
        <f t="shared" si="228"/>
        <v>4</v>
      </c>
      <c r="L7319" s="3">
        <f t="shared" si="229"/>
        <v>4.3419999999999996</v>
      </c>
    </row>
    <row r="7320" spans="1:12" x14ac:dyDescent="0.3">
      <c r="A7320" s="2">
        <v>43837</v>
      </c>
      <c r="B7320">
        <v>5.23</v>
      </c>
      <c r="D7320" s="2">
        <v>44568</v>
      </c>
      <c r="E7320">
        <v>4</v>
      </c>
      <c r="G7320" s="2">
        <v>44568</v>
      </c>
      <c r="H7320">
        <v>4.3920000000000003</v>
      </c>
      <c r="J7320" s="2">
        <v>44575</v>
      </c>
      <c r="K7320" s="3">
        <f t="shared" si="228"/>
        <v>4</v>
      </c>
      <c r="L7320" s="3">
        <f t="shared" si="229"/>
        <v>4.306</v>
      </c>
    </row>
    <row r="7321" spans="1:12" x14ac:dyDescent="0.3">
      <c r="A7321" s="2">
        <v>43838</v>
      </c>
      <c r="B7321">
        <v>5.27</v>
      </c>
      <c r="D7321" s="2">
        <v>44569</v>
      </c>
      <c r="E7321">
        <v>4</v>
      </c>
      <c r="G7321" s="2">
        <v>44569</v>
      </c>
      <c r="H7321">
        <v>4.3920000000000003</v>
      </c>
      <c r="J7321" s="2">
        <v>44576</v>
      </c>
      <c r="K7321" s="3">
        <f t="shared" si="228"/>
        <v>4</v>
      </c>
      <c r="L7321" s="3">
        <f t="shared" si="229"/>
        <v>4.306</v>
      </c>
    </row>
    <row r="7322" spans="1:12" x14ac:dyDescent="0.3">
      <c r="A7322" s="2">
        <v>43839</v>
      </c>
      <c r="B7322">
        <v>5.24</v>
      </c>
      <c r="D7322" s="2">
        <v>44570</v>
      </c>
      <c r="E7322">
        <v>4</v>
      </c>
      <c r="G7322" s="2">
        <v>44570</v>
      </c>
      <c r="H7322">
        <v>4.3920000000000003</v>
      </c>
      <c r="J7322" s="2">
        <v>44577</v>
      </c>
      <c r="K7322" s="3">
        <f t="shared" si="228"/>
        <v>4</v>
      </c>
      <c r="L7322" s="3">
        <f t="shared" si="229"/>
        <v>4.306</v>
      </c>
    </row>
    <row r="7323" spans="1:12" x14ac:dyDescent="0.3">
      <c r="A7323" s="2">
        <v>43840</v>
      </c>
      <c r="B7323">
        <v>5.26</v>
      </c>
      <c r="D7323" s="2">
        <v>44571</v>
      </c>
      <c r="E7323">
        <v>4</v>
      </c>
      <c r="G7323" s="2">
        <v>44571</v>
      </c>
      <c r="H7323">
        <v>4.4039999999999999</v>
      </c>
      <c r="J7323" s="2">
        <v>44578</v>
      </c>
      <c r="K7323" s="3">
        <f t="shared" si="228"/>
        <v>4</v>
      </c>
      <c r="L7323" s="3">
        <f t="shared" si="229"/>
        <v>4.3230000000000004</v>
      </c>
    </row>
    <row r="7324" spans="1:12" x14ac:dyDescent="0.3">
      <c r="A7324" s="2">
        <v>43841</v>
      </c>
      <c r="B7324">
        <v>5.26</v>
      </c>
      <c r="D7324" s="2">
        <v>44572</v>
      </c>
      <c r="E7324">
        <v>4</v>
      </c>
      <c r="G7324" s="2">
        <v>44572</v>
      </c>
      <c r="H7324">
        <v>4.375</v>
      </c>
      <c r="J7324" s="2">
        <v>44579</v>
      </c>
      <c r="K7324" s="3">
        <f t="shared" si="228"/>
        <v>4</v>
      </c>
      <c r="L7324" s="3">
        <f t="shared" si="229"/>
        <v>4.3230000000000004</v>
      </c>
    </row>
    <row r="7325" spans="1:12" x14ac:dyDescent="0.3">
      <c r="A7325" s="2">
        <v>43842</v>
      </c>
      <c r="B7325">
        <v>5.26</v>
      </c>
      <c r="D7325" s="2">
        <v>44573</v>
      </c>
      <c r="E7325">
        <v>4</v>
      </c>
      <c r="G7325" s="2">
        <v>44573</v>
      </c>
      <c r="H7325">
        <v>4.3600000000000003</v>
      </c>
      <c r="J7325" s="2">
        <v>44580</v>
      </c>
      <c r="K7325" s="3">
        <f t="shared" si="228"/>
        <v>4</v>
      </c>
      <c r="L7325" s="3">
        <f t="shared" si="229"/>
        <v>4.3230000000000004</v>
      </c>
    </row>
    <row r="7326" spans="1:12" x14ac:dyDescent="0.3">
      <c r="A7326" s="2">
        <v>43843</v>
      </c>
      <c r="B7326">
        <v>5.26</v>
      </c>
      <c r="D7326" s="2">
        <v>44574</v>
      </c>
      <c r="E7326">
        <v>4</v>
      </c>
      <c r="G7326" s="2">
        <v>44574</v>
      </c>
      <c r="H7326">
        <v>4.3419999999999996</v>
      </c>
      <c r="J7326" s="2">
        <v>44581</v>
      </c>
      <c r="K7326" s="3">
        <f t="shared" si="228"/>
        <v>4</v>
      </c>
      <c r="L7326" s="3">
        <f t="shared" si="229"/>
        <v>4.3449999999999998</v>
      </c>
    </row>
    <row r="7327" spans="1:12" x14ac:dyDescent="0.3">
      <c r="A7327" s="2">
        <v>43844</v>
      </c>
      <c r="B7327">
        <v>5.27</v>
      </c>
      <c r="D7327" s="2">
        <v>44575</v>
      </c>
      <c r="E7327">
        <v>4</v>
      </c>
      <c r="G7327" s="2">
        <v>44575</v>
      </c>
      <c r="H7327">
        <v>4.306</v>
      </c>
      <c r="J7327" s="2">
        <v>44582</v>
      </c>
      <c r="K7327" s="3">
        <f t="shared" si="228"/>
        <v>4</v>
      </c>
      <c r="L7327" s="3">
        <f t="shared" si="229"/>
        <v>4.3529999999999998</v>
      </c>
    </row>
    <row r="7328" spans="1:12" x14ac:dyDescent="0.3">
      <c r="A7328" s="2">
        <v>43845</v>
      </c>
      <c r="B7328">
        <v>5.29</v>
      </c>
      <c r="D7328" s="2">
        <v>44576</v>
      </c>
      <c r="E7328">
        <v>4</v>
      </c>
      <c r="G7328" s="2">
        <v>44576</v>
      </c>
      <c r="H7328">
        <v>4.306</v>
      </c>
      <c r="J7328" s="2">
        <v>44583</v>
      </c>
      <c r="K7328" s="3">
        <f t="shared" si="228"/>
        <v>4</v>
      </c>
      <c r="L7328" s="3">
        <f t="shared" si="229"/>
        <v>4.3529999999999998</v>
      </c>
    </row>
    <row r="7329" spans="1:12" x14ac:dyDescent="0.3">
      <c r="A7329" s="2">
        <v>43846</v>
      </c>
      <c r="B7329">
        <v>5.28</v>
      </c>
      <c r="D7329" s="2">
        <v>44577</v>
      </c>
      <c r="E7329">
        <v>4</v>
      </c>
      <c r="G7329" s="2">
        <v>44577</v>
      </c>
      <c r="H7329">
        <v>4.306</v>
      </c>
      <c r="J7329" s="2">
        <v>44584</v>
      </c>
      <c r="K7329" s="3">
        <f t="shared" si="228"/>
        <v>4</v>
      </c>
      <c r="L7329" s="3">
        <f t="shared" si="229"/>
        <v>4.3529999999999998</v>
      </c>
    </row>
    <row r="7330" spans="1:12" x14ac:dyDescent="0.3">
      <c r="A7330" s="2">
        <v>43847</v>
      </c>
      <c r="B7330">
        <v>5.26</v>
      </c>
      <c r="D7330" s="2">
        <v>44578</v>
      </c>
      <c r="E7330">
        <v>4</v>
      </c>
      <c r="G7330" s="2">
        <v>44578</v>
      </c>
      <c r="H7330">
        <v>4.3230000000000004</v>
      </c>
      <c r="J7330" s="2">
        <v>44585</v>
      </c>
      <c r="K7330" s="3">
        <f t="shared" si="228"/>
        <v>4</v>
      </c>
      <c r="L7330" s="3">
        <f t="shared" si="229"/>
        <v>4.4269999999999996</v>
      </c>
    </row>
    <row r="7331" spans="1:12" x14ac:dyDescent="0.3">
      <c r="A7331" s="2">
        <v>43848</v>
      </c>
      <c r="B7331">
        <v>5.26</v>
      </c>
      <c r="D7331" s="2">
        <v>44579</v>
      </c>
      <c r="E7331">
        <v>4</v>
      </c>
      <c r="G7331" s="2">
        <v>44579</v>
      </c>
      <c r="H7331">
        <v>4.3230000000000004</v>
      </c>
      <c r="J7331" s="2">
        <v>44586</v>
      </c>
      <c r="K7331" s="3">
        <f t="shared" si="228"/>
        <v>4</v>
      </c>
      <c r="L7331" s="3">
        <f t="shared" si="229"/>
        <v>4.367</v>
      </c>
    </row>
    <row r="7332" spans="1:12" x14ac:dyDescent="0.3">
      <c r="A7332" s="2">
        <v>43849</v>
      </c>
      <c r="B7332">
        <v>5.26</v>
      </c>
      <c r="D7332" s="2">
        <v>44580</v>
      </c>
      <c r="E7332">
        <v>4</v>
      </c>
      <c r="G7332" s="2">
        <v>44580</v>
      </c>
      <c r="H7332">
        <v>4.3230000000000004</v>
      </c>
      <c r="J7332" s="2">
        <v>44587</v>
      </c>
      <c r="K7332" s="3">
        <f t="shared" si="228"/>
        <v>4</v>
      </c>
      <c r="L7332" s="3">
        <f t="shared" si="229"/>
        <v>4.367</v>
      </c>
    </row>
    <row r="7333" spans="1:12" x14ac:dyDescent="0.3">
      <c r="A7333" s="2">
        <v>43850</v>
      </c>
      <c r="B7333">
        <v>5.25</v>
      </c>
      <c r="D7333" s="2">
        <v>44581</v>
      </c>
      <c r="E7333">
        <v>4</v>
      </c>
      <c r="G7333" s="2">
        <v>44581</v>
      </c>
      <c r="H7333">
        <v>4.3449999999999998</v>
      </c>
      <c r="J7333" s="2">
        <v>44588</v>
      </c>
      <c r="K7333" s="3">
        <f t="shared" si="228"/>
        <v>4</v>
      </c>
      <c r="L7333" s="3">
        <f t="shared" si="229"/>
        <v>4.3739999999999997</v>
      </c>
    </row>
    <row r="7334" spans="1:12" x14ac:dyDescent="0.3">
      <c r="A7334" s="2">
        <v>43851</v>
      </c>
      <c r="B7334">
        <v>5.25</v>
      </c>
      <c r="D7334" s="2">
        <v>44582</v>
      </c>
      <c r="E7334">
        <v>4</v>
      </c>
      <c r="G7334" s="2">
        <v>44582</v>
      </c>
      <c r="H7334">
        <v>4.3529999999999998</v>
      </c>
      <c r="J7334" s="2">
        <v>44589</v>
      </c>
      <c r="K7334" s="3">
        <f t="shared" si="228"/>
        <v>4</v>
      </c>
      <c r="L7334" s="3">
        <f t="shared" si="229"/>
        <v>4.4619999999999997</v>
      </c>
    </row>
    <row r="7335" spans="1:12" x14ac:dyDescent="0.3">
      <c r="A7335" s="2">
        <v>43852</v>
      </c>
      <c r="B7335">
        <v>5.28</v>
      </c>
      <c r="D7335" s="2">
        <v>44583</v>
      </c>
      <c r="E7335">
        <v>4</v>
      </c>
      <c r="G7335" s="2">
        <v>44583</v>
      </c>
      <c r="H7335">
        <v>4.3529999999999998</v>
      </c>
      <c r="J7335" s="2">
        <v>44590</v>
      </c>
      <c r="K7335" s="3">
        <f t="shared" si="228"/>
        <v>4</v>
      </c>
      <c r="L7335" s="3">
        <f t="shared" si="229"/>
        <v>4.4619999999999997</v>
      </c>
    </row>
    <row r="7336" spans="1:12" x14ac:dyDescent="0.3">
      <c r="A7336" s="2">
        <v>43853</v>
      </c>
      <c r="B7336">
        <v>5.26</v>
      </c>
      <c r="D7336" s="2">
        <v>44584</v>
      </c>
      <c r="E7336">
        <v>4</v>
      </c>
      <c r="G7336" s="2">
        <v>44584</v>
      </c>
      <c r="H7336">
        <v>4.3529999999999998</v>
      </c>
      <c r="J7336" s="2">
        <v>44591</v>
      </c>
      <c r="K7336" s="3">
        <f t="shared" si="228"/>
        <v>4</v>
      </c>
      <c r="L7336" s="3">
        <f t="shared" si="229"/>
        <v>4.4619999999999997</v>
      </c>
    </row>
    <row r="7337" spans="1:12" x14ac:dyDescent="0.3">
      <c r="A7337" s="2">
        <v>43854</v>
      </c>
      <c r="B7337">
        <v>5.26</v>
      </c>
      <c r="D7337" s="2">
        <v>44585</v>
      </c>
      <c r="E7337">
        <v>4</v>
      </c>
      <c r="G7337" s="2">
        <v>44585</v>
      </c>
      <c r="H7337">
        <v>4.4269999999999996</v>
      </c>
      <c r="J7337" s="2">
        <v>44592</v>
      </c>
      <c r="K7337" s="3">
        <f t="shared" si="228"/>
        <v>4</v>
      </c>
      <c r="L7337" s="3">
        <f t="shared" si="229"/>
        <v>4.4349999999999996</v>
      </c>
    </row>
    <row r="7338" spans="1:12" x14ac:dyDescent="0.3">
      <c r="A7338" s="2">
        <v>43855</v>
      </c>
      <c r="B7338">
        <v>5.26</v>
      </c>
      <c r="D7338" s="2">
        <v>44586</v>
      </c>
      <c r="E7338">
        <v>4</v>
      </c>
      <c r="G7338" s="2">
        <v>44586</v>
      </c>
      <c r="H7338">
        <v>4.367</v>
      </c>
      <c r="J7338" s="2">
        <v>44593</v>
      </c>
      <c r="K7338" s="3">
        <f t="shared" si="228"/>
        <v>4</v>
      </c>
      <c r="L7338" s="3">
        <f t="shared" si="229"/>
        <v>4.4349999999999996</v>
      </c>
    </row>
    <row r="7339" spans="1:12" x14ac:dyDescent="0.3">
      <c r="A7339" s="2">
        <v>43856</v>
      </c>
      <c r="B7339">
        <v>5.26</v>
      </c>
      <c r="D7339" s="2">
        <v>44587</v>
      </c>
      <c r="E7339">
        <v>4</v>
      </c>
      <c r="G7339" s="2">
        <v>44587</v>
      </c>
      <c r="H7339">
        <v>4.367</v>
      </c>
      <c r="J7339" s="2">
        <v>44594</v>
      </c>
      <c r="K7339" s="3">
        <f t="shared" si="228"/>
        <v>4</v>
      </c>
      <c r="L7339" s="3">
        <f t="shared" si="229"/>
        <v>4.6280000000000001</v>
      </c>
    </row>
    <row r="7340" spans="1:12" x14ac:dyDescent="0.3">
      <c r="A7340" s="2">
        <v>43857</v>
      </c>
      <c r="B7340">
        <v>5.25</v>
      </c>
      <c r="D7340" s="2">
        <v>44588</v>
      </c>
      <c r="E7340">
        <v>4</v>
      </c>
      <c r="G7340" s="2">
        <v>44588</v>
      </c>
      <c r="H7340">
        <v>4.3739999999999997</v>
      </c>
      <c r="J7340" s="2">
        <v>44595</v>
      </c>
      <c r="K7340" s="3">
        <f t="shared" si="228"/>
        <v>4</v>
      </c>
      <c r="L7340" s="3">
        <f t="shared" si="229"/>
        <v>4.5679999999999996</v>
      </c>
    </row>
    <row r="7341" spans="1:12" x14ac:dyDescent="0.3">
      <c r="A7341" s="2">
        <v>43858</v>
      </c>
      <c r="B7341">
        <v>5.22</v>
      </c>
      <c r="D7341" s="2">
        <v>44589</v>
      </c>
      <c r="E7341">
        <v>4</v>
      </c>
      <c r="G7341" s="2">
        <v>44589</v>
      </c>
      <c r="H7341">
        <v>4.4619999999999997</v>
      </c>
      <c r="J7341" s="2">
        <v>44596</v>
      </c>
      <c r="K7341" s="3">
        <f t="shared" si="228"/>
        <v>4</v>
      </c>
      <c r="L7341" s="3">
        <f t="shared" si="229"/>
        <v>4.867</v>
      </c>
    </row>
    <row r="7342" spans="1:12" x14ac:dyDescent="0.3">
      <c r="A7342" s="2">
        <v>43859</v>
      </c>
      <c r="B7342">
        <v>5.27</v>
      </c>
      <c r="D7342" s="2">
        <v>44590</v>
      </c>
      <c r="E7342">
        <v>4</v>
      </c>
      <c r="G7342" s="2">
        <v>44590</v>
      </c>
      <c r="H7342">
        <v>4.4619999999999997</v>
      </c>
      <c r="J7342" s="2">
        <v>44597</v>
      </c>
      <c r="K7342" s="3">
        <f t="shared" si="228"/>
        <v>4</v>
      </c>
      <c r="L7342" s="3">
        <f t="shared" si="229"/>
        <v>4.867</v>
      </c>
    </row>
    <row r="7343" spans="1:12" x14ac:dyDescent="0.3">
      <c r="A7343" s="2">
        <v>43860</v>
      </c>
      <c r="B7343">
        <v>5.26</v>
      </c>
      <c r="D7343" s="2">
        <v>44591</v>
      </c>
      <c r="E7343">
        <v>4</v>
      </c>
      <c r="G7343" s="2">
        <v>44591</v>
      </c>
      <c r="H7343">
        <v>4.4619999999999997</v>
      </c>
      <c r="J7343" s="2">
        <v>44598</v>
      </c>
      <c r="K7343" s="3">
        <f t="shared" si="228"/>
        <v>4</v>
      </c>
      <c r="L7343" s="3">
        <f t="shared" si="229"/>
        <v>4.867</v>
      </c>
    </row>
    <row r="7344" spans="1:12" x14ac:dyDescent="0.3">
      <c r="A7344" s="2">
        <v>43861</v>
      </c>
      <c r="B7344">
        <v>5.27</v>
      </c>
      <c r="D7344" s="2">
        <v>44592</v>
      </c>
      <c r="E7344">
        <v>4</v>
      </c>
      <c r="G7344" s="2">
        <v>44592</v>
      </c>
      <c r="H7344">
        <v>4.4349999999999996</v>
      </c>
      <c r="J7344" s="2">
        <v>44599</v>
      </c>
      <c r="K7344" s="3">
        <f t="shared" si="228"/>
        <v>4</v>
      </c>
      <c r="L7344" s="3">
        <f t="shared" si="229"/>
        <v>4.867</v>
      </c>
    </row>
    <row r="7345" spans="1:12" x14ac:dyDescent="0.3">
      <c r="A7345" s="2">
        <v>43862</v>
      </c>
      <c r="B7345">
        <v>5.27</v>
      </c>
      <c r="D7345" s="2">
        <v>44593</v>
      </c>
      <c r="E7345">
        <v>4</v>
      </c>
      <c r="G7345" s="2">
        <v>44593</v>
      </c>
      <c r="H7345">
        <v>4.4349999999999996</v>
      </c>
      <c r="J7345" s="2">
        <v>44600</v>
      </c>
      <c r="K7345" s="3">
        <f t="shared" si="228"/>
        <v>4</v>
      </c>
      <c r="L7345" s="3">
        <f t="shared" si="229"/>
        <v>4.8609999999999998</v>
      </c>
    </row>
    <row r="7346" spans="1:12" x14ac:dyDescent="0.3">
      <c r="A7346" s="2">
        <v>43863</v>
      </c>
      <c r="B7346">
        <v>5.27</v>
      </c>
      <c r="D7346" s="2">
        <v>44594</v>
      </c>
      <c r="E7346">
        <v>4</v>
      </c>
      <c r="G7346" s="2">
        <v>44594</v>
      </c>
      <c r="H7346">
        <v>4.6280000000000001</v>
      </c>
      <c r="J7346" s="2">
        <v>44601</v>
      </c>
      <c r="K7346" s="3">
        <f t="shared" si="228"/>
        <v>4</v>
      </c>
      <c r="L7346" s="3">
        <f t="shared" si="229"/>
        <v>4.8890000000000002</v>
      </c>
    </row>
    <row r="7347" spans="1:12" x14ac:dyDescent="0.3">
      <c r="A7347" s="2">
        <v>43864</v>
      </c>
      <c r="B7347">
        <v>5.23</v>
      </c>
      <c r="D7347" s="2">
        <v>44595</v>
      </c>
      <c r="E7347">
        <v>4</v>
      </c>
      <c r="G7347" s="2">
        <v>44595</v>
      </c>
      <c r="H7347">
        <v>4.5679999999999996</v>
      </c>
      <c r="J7347" s="2">
        <v>44602</v>
      </c>
      <c r="K7347" s="3">
        <f t="shared" si="228"/>
        <v>4</v>
      </c>
      <c r="L7347" s="3">
        <f t="shared" si="229"/>
        <v>4.7320000000000002</v>
      </c>
    </row>
    <row r="7348" spans="1:12" x14ac:dyDescent="0.3">
      <c r="A7348" s="2">
        <v>43865</v>
      </c>
      <c r="B7348">
        <v>5.27</v>
      </c>
      <c r="D7348" s="2">
        <v>44596</v>
      </c>
      <c r="E7348">
        <v>4</v>
      </c>
      <c r="G7348" s="2">
        <v>44596</v>
      </c>
      <c r="H7348">
        <v>4.867</v>
      </c>
      <c r="J7348" s="2">
        <v>44603</v>
      </c>
      <c r="K7348" s="3">
        <f t="shared" si="228"/>
        <v>4</v>
      </c>
      <c r="L7348" s="3">
        <f t="shared" si="229"/>
        <v>4.6849999999999996</v>
      </c>
    </row>
    <row r="7349" spans="1:12" x14ac:dyDescent="0.3">
      <c r="A7349" s="2">
        <v>43866</v>
      </c>
      <c r="B7349">
        <v>5.3</v>
      </c>
      <c r="D7349" s="2">
        <v>44597</v>
      </c>
      <c r="E7349">
        <v>4</v>
      </c>
      <c r="G7349" s="2">
        <v>44597</v>
      </c>
      <c r="H7349">
        <v>4.867</v>
      </c>
      <c r="J7349" s="2">
        <v>44604</v>
      </c>
      <c r="K7349" s="3">
        <f t="shared" si="228"/>
        <v>4</v>
      </c>
      <c r="L7349" s="3">
        <f t="shared" si="229"/>
        <v>4.6849999999999996</v>
      </c>
    </row>
    <row r="7350" spans="1:12" x14ac:dyDescent="0.3">
      <c r="A7350" s="2">
        <v>43867</v>
      </c>
      <c r="B7350">
        <v>5.25</v>
      </c>
      <c r="D7350" s="2">
        <v>44598</v>
      </c>
      <c r="E7350">
        <v>4</v>
      </c>
      <c r="G7350" s="2">
        <v>44598</v>
      </c>
      <c r="H7350">
        <v>4.867</v>
      </c>
      <c r="J7350" s="2">
        <v>44605</v>
      </c>
      <c r="K7350" s="3">
        <f t="shared" si="228"/>
        <v>4</v>
      </c>
      <c r="L7350" s="3">
        <f t="shared" si="229"/>
        <v>4.6849999999999996</v>
      </c>
    </row>
    <row r="7351" spans="1:12" x14ac:dyDescent="0.3">
      <c r="A7351" s="2">
        <v>43868</v>
      </c>
      <c r="B7351">
        <v>5.25</v>
      </c>
      <c r="D7351" s="2">
        <v>44599</v>
      </c>
      <c r="E7351">
        <v>4</v>
      </c>
      <c r="G7351" s="2">
        <v>44599</v>
      </c>
      <c r="H7351">
        <v>4.867</v>
      </c>
      <c r="J7351" s="2">
        <v>44606</v>
      </c>
      <c r="K7351" s="3">
        <f t="shared" si="228"/>
        <v>4</v>
      </c>
      <c r="L7351" s="3">
        <f t="shared" si="229"/>
        <v>4.6849999999999996</v>
      </c>
    </row>
    <row r="7352" spans="1:12" x14ac:dyDescent="0.3">
      <c r="A7352" s="2">
        <v>43869</v>
      </c>
      <c r="B7352">
        <v>5.25</v>
      </c>
      <c r="D7352" s="2">
        <v>44600</v>
      </c>
      <c r="E7352">
        <v>4</v>
      </c>
      <c r="G7352" s="2">
        <v>44600</v>
      </c>
      <c r="H7352">
        <v>4.8609999999999998</v>
      </c>
      <c r="J7352" s="2">
        <v>44607</v>
      </c>
      <c r="K7352" s="3">
        <f t="shared" si="228"/>
        <v>4</v>
      </c>
      <c r="L7352" s="3">
        <f t="shared" si="229"/>
        <v>4.6900000000000004</v>
      </c>
    </row>
    <row r="7353" spans="1:12" x14ac:dyDescent="0.3">
      <c r="A7353" s="2">
        <v>43870</v>
      </c>
      <c r="B7353">
        <v>5.25</v>
      </c>
      <c r="D7353" s="2">
        <v>44601</v>
      </c>
      <c r="E7353">
        <v>4</v>
      </c>
      <c r="G7353" s="2">
        <v>44601</v>
      </c>
      <c r="H7353">
        <v>4.8890000000000002</v>
      </c>
      <c r="J7353" s="2">
        <v>44608</v>
      </c>
      <c r="K7353" s="3">
        <f t="shared" si="228"/>
        <v>4</v>
      </c>
      <c r="L7353" s="3">
        <f t="shared" si="229"/>
        <v>4.6609999999999996</v>
      </c>
    </row>
    <row r="7354" spans="1:12" x14ac:dyDescent="0.3">
      <c r="A7354" s="2">
        <v>43871</v>
      </c>
      <c r="B7354">
        <v>5.25</v>
      </c>
      <c r="D7354" s="2">
        <v>44602</v>
      </c>
      <c r="E7354">
        <v>4</v>
      </c>
      <c r="G7354" s="2">
        <v>44602</v>
      </c>
      <c r="H7354">
        <v>4.7320000000000002</v>
      </c>
      <c r="J7354" s="2">
        <v>44609</v>
      </c>
      <c r="K7354" s="3">
        <f t="shared" si="228"/>
        <v>4</v>
      </c>
      <c r="L7354" s="3">
        <f t="shared" si="229"/>
        <v>4.6310000000000002</v>
      </c>
    </row>
    <row r="7355" spans="1:12" x14ac:dyDescent="0.3">
      <c r="A7355" s="2">
        <v>43872</v>
      </c>
      <c r="B7355">
        <v>5.24</v>
      </c>
      <c r="D7355" s="2">
        <v>44603</v>
      </c>
      <c r="E7355">
        <v>4</v>
      </c>
      <c r="G7355" s="2">
        <v>44603</v>
      </c>
      <c r="H7355">
        <v>4.6849999999999996</v>
      </c>
      <c r="J7355" s="2">
        <v>44610</v>
      </c>
      <c r="K7355" s="3">
        <f t="shared" si="228"/>
        <v>4</v>
      </c>
      <c r="L7355" s="3">
        <f t="shared" si="229"/>
        <v>4.6319999999999997</v>
      </c>
    </row>
    <row r="7356" spans="1:12" x14ac:dyDescent="0.3">
      <c r="A7356" s="2">
        <v>43873</v>
      </c>
      <c r="B7356">
        <v>5.23</v>
      </c>
      <c r="D7356" s="2">
        <v>44604</v>
      </c>
      <c r="E7356">
        <v>4</v>
      </c>
      <c r="G7356" s="2">
        <v>44604</v>
      </c>
      <c r="H7356">
        <v>4.6849999999999996</v>
      </c>
      <c r="J7356" s="2">
        <v>44611</v>
      </c>
      <c r="K7356" s="3">
        <f t="shared" si="228"/>
        <v>4</v>
      </c>
      <c r="L7356" s="3">
        <f t="shared" si="229"/>
        <v>4.6319999999999997</v>
      </c>
    </row>
    <row r="7357" spans="1:12" x14ac:dyDescent="0.3">
      <c r="A7357" s="2">
        <v>43874</v>
      </c>
      <c r="B7357">
        <v>5.17</v>
      </c>
      <c r="D7357" s="2">
        <v>44605</v>
      </c>
      <c r="E7357">
        <v>4</v>
      </c>
      <c r="G7357" s="2">
        <v>44605</v>
      </c>
      <c r="H7357">
        <v>4.6849999999999996</v>
      </c>
      <c r="J7357" s="2">
        <v>44612</v>
      </c>
      <c r="K7357" s="3">
        <f t="shared" si="228"/>
        <v>4</v>
      </c>
      <c r="L7357" s="3">
        <f t="shared" si="229"/>
        <v>4.6319999999999997</v>
      </c>
    </row>
    <row r="7358" spans="1:12" x14ac:dyDescent="0.3">
      <c r="A7358" s="2">
        <v>43875</v>
      </c>
      <c r="B7358">
        <v>5.2</v>
      </c>
      <c r="D7358" s="2">
        <v>44606</v>
      </c>
      <c r="E7358">
        <v>4</v>
      </c>
      <c r="G7358" s="2">
        <v>44606</v>
      </c>
      <c r="H7358">
        <v>4.6849999999999996</v>
      </c>
      <c r="J7358" s="2">
        <v>44613</v>
      </c>
      <c r="K7358" s="3">
        <f t="shared" si="228"/>
        <v>4</v>
      </c>
      <c r="L7358" s="3">
        <f t="shared" si="229"/>
        <v>4.532</v>
      </c>
    </row>
    <row r="7359" spans="1:12" x14ac:dyDescent="0.3">
      <c r="A7359" s="2">
        <v>43876</v>
      </c>
      <c r="B7359">
        <v>5.2</v>
      </c>
      <c r="D7359" s="2">
        <v>44607</v>
      </c>
      <c r="E7359">
        <v>4</v>
      </c>
      <c r="G7359" s="2">
        <v>44607</v>
      </c>
      <c r="H7359">
        <v>4.6900000000000004</v>
      </c>
      <c r="J7359" s="2">
        <v>44614</v>
      </c>
      <c r="K7359" s="3">
        <f t="shared" si="228"/>
        <v>4</v>
      </c>
      <c r="L7359" s="3">
        <f t="shared" si="229"/>
        <v>4.6210000000000004</v>
      </c>
    </row>
    <row r="7360" spans="1:12" x14ac:dyDescent="0.3">
      <c r="A7360" s="2">
        <v>43877</v>
      </c>
      <c r="B7360">
        <v>5.2</v>
      </c>
      <c r="D7360" s="2">
        <v>44608</v>
      </c>
      <c r="E7360">
        <v>4</v>
      </c>
      <c r="G7360" s="2">
        <v>44608</v>
      </c>
      <c r="H7360">
        <v>4.6609999999999996</v>
      </c>
      <c r="J7360" s="2">
        <v>44615</v>
      </c>
      <c r="K7360" s="3">
        <f t="shared" si="228"/>
        <v>4</v>
      </c>
      <c r="L7360" s="3">
        <f t="shared" si="229"/>
        <v>4.5949999999999998</v>
      </c>
    </row>
    <row r="7361" spans="1:12" x14ac:dyDescent="0.3">
      <c r="A7361" s="2">
        <v>43878</v>
      </c>
      <c r="B7361">
        <v>5.19</v>
      </c>
      <c r="D7361" s="2">
        <v>44609</v>
      </c>
      <c r="E7361">
        <v>4</v>
      </c>
      <c r="G7361" s="2">
        <v>44609</v>
      </c>
      <c r="H7361">
        <v>4.6310000000000002</v>
      </c>
      <c r="J7361" s="2">
        <v>44616</v>
      </c>
      <c r="K7361" s="3">
        <f t="shared" si="228"/>
        <v>4</v>
      </c>
      <c r="L7361" s="3">
        <f t="shared" si="229"/>
        <v>4.6390000000000002</v>
      </c>
    </row>
    <row r="7362" spans="1:12" x14ac:dyDescent="0.3">
      <c r="A7362" s="2">
        <v>43879</v>
      </c>
      <c r="B7362">
        <v>5.18</v>
      </c>
      <c r="D7362" s="2">
        <v>44610</v>
      </c>
      <c r="E7362">
        <v>4</v>
      </c>
      <c r="G7362" s="2">
        <v>44610</v>
      </c>
      <c r="H7362">
        <v>4.6319999999999997</v>
      </c>
      <c r="J7362" s="2">
        <v>44617</v>
      </c>
      <c r="K7362" s="3">
        <f t="shared" si="228"/>
        <v>4</v>
      </c>
      <c r="L7362" s="3">
        <f t="shared" si="229"/>
        <v>4.6189999999999998</v>
      </c>
    </row>
    <row r="7363" spans="1:12" x14ac:dyDescent="0.3">
      <c r="A7363" s="2">
        <v>43880</v>
      </c>
      <c r="B7363">
        <v>5.18</v>
      </c>
      <c r="D7363" s="2">
        <v>44611</v>
      </c>
      <c r="E7363">
        <v>4</v>
      </c>
      <c r="G7363" s="2">
        <v>44611</v>
      </c>
      <c r="H7363">
        <v>4.6319999999999997</v>
      </c>
      <c r="J7363" s="2">
        <v>44618</v>
      </c>
      <c r="K7363" s="3">
        <f t="shared" ref="K7363:K7426" si="230">E7370</f>
        <v>4</v>
      </c>
      <c r="L7363" s="3">
        <f t="shared" ref="L7363:L7426" si="231">H7370</f>
        <v>4.6189999999999998</v>
      </c>
    </row>
    <row r="7364" spans="1:12" x14ac:dyDescent="0.3">
      <c r="A7364" s="2">
        <v>43881</v>
      </c>
      <c r="B7364">
        <v>5.18</v>
      </c>
      <c r="D7364" s="2">
        <v>44612</v>
      </c>
      <c r="E7364">
        <v>4</v>
      </c>
      <c r="G7364" s="2">
        <v>44612</v>
      </c>
      <c r="H7364">
        <v>4.6319999999999997</v>
      </c>
      <c r="J7364" s="2">
        <v>44619</v>
      </c>
      <c r="K7364" s="3">
        <f t="shared" si="230"/>
        <v>4</v>
      </c>
      <c r="L7364" s="3">
        <f t="shared" si="231"/>
        <v>4.6189999999999998</v>
      </c>
    </row>
    <row r="7365" spans="1:12" x14ac:dyDescent="0.3">
      <c r="A7365" s="2">
        <v>43882</v>
      </c>
      <c r="B7365">
        <v>5.18</v>
      </c>
      <c r="D7365" s="2">
        <v>44613</v>
      </c>
      <c r="E7365">
        <v>4</v>
      </c>
      <c r="G7365" s="2">
        <v>44613</v>
      </c>
      <c r="H7365">
        <v>4.532</v>
      </c>
      <c r="J7365" s="2">
        <v>44620</v>
      </c>
      <c r="K7365" s="3">
        <f t="shared" si="230"/>
        <v>4</v>
      </c>
      <c r="L7365" s="3">
        <f t="shared" si="231"/>
        <v>4.7050000000000001</v>
      </c>
    </row>
    <row r="7366" spans="1:12" x14ac:dyDescent="0.3">
      <c r="A7366" s="2">
        <v>43883</v>
      </c>
      <c r="B7366">
        <v>5.18</v>
      </c>
      <c r="D7366" s="2">
        <v>44614</v>
      </c>
      <c r="E7366">
        <v>4</v>
      </c>
      <c r="G7366" s="2">
        <v>44614</v>
      </c>
      <c r="H7366">
        <v>4.6210000000000004</v>
      </c>
      <c r="J7366" s="2">
        <v>44621</v>
      </c>
      <c r="K7366" s="3">
        <f t="shared" si="230"/>
        <v>4</v>
      </c>
      <c r="L7366" s="3">
        <f t="shared" si="231"/>
        <v>4.7050000000000001</v>
      </c>
    </row>
    <row r="7367" spans="1:12" x14ac:dyDescent="0.3">
      <c r="A7367" s="2">
        <v>43884</v>
      </c>
      <c r="B7367">
        <v>5.18</v>
      </c>
      <c r="D7367" s="2">
        <v>44615</v>
      </c>
      <c r="E7367">
        <v>4</v>
      </c>
      <c r="G7367" s="2">
        <v>44615</v>
      </c>
      <c r="H7367">
        <v>4.5949999999999998</v>
      </c>
      <c r="J7367" s="2">
        <v>44622</v>
      </c>
      <c r="K7367" s="3">
        <f t="shared" si="230"/>
        <v>4</v>
      </c>
      <c r="L7367" s="3">
        <f t="shared" si="231"/>
        <v>4.7709999999999999</v>
      </c>
    </row>
    <row r="7368" spans="1:12" x14ac:dyDescent="0.3">
      <c r="A7368" s="2">
        <v>43885</v>
      </c>
      <c r="B7368">
        <v>5.19</v>
      </c>
      <c r="D7368" s="2">
        <v>44616</v>
      </c>
      <c r="E7368">
        <v>4</v>
      </c>
      <c r="G7368" s="2">
        <v>44616</v>
      </c>
      <c r="H7368">
        <v>4.6390000000000002</v>
      </c>
      <c r="J7368" s="2">
        <v>44623</v>
      </c>
      <c r="K7368" s="3">
        <f t="shared" si="230"/>
        <v>4</v>
      </c>
      <c r="L7368" s="3">
        <f t="shared" si="231"/>
        <v>4.758</v>
      </c>
    </row>
    <row r="7369" spans="1:12" x14ac:dyDescent="0.3">
      <c r="A7369" s="2">
        <v>43886</v>
      </c>
      <c r="B7369">
        <v>5.13</v>
      </c>
      <c r="D7369" s="2">
        <v>44617</v>
      </c>
      <c r="E7369">
        <v>4</v>
      </c>
      <c r="G7369" s="2">
        <v>44617</v>
      </c>
      <c r="H7369">
        <v>4.6189999999999998</v>
      </c>
      <c r="J7369" s="2">
        <v>44624</v>
      </c>
      <c r="K7369" s="3">
        <f t="shared" si="230"/>
        <v>4</v>
      </c>
      <c r="L7369" s="3">
        <f t="shared" si="231"/>
        <v>4.8049999999999997</v>
      </c>
    </row>
    <row r="7370" spans="1:12" x14ac:dyDescent="0.3">
      <c r="A7370" s="2">
        <v>43887</v>
      </c>
      <c r="B7370">
        <v>5.15</v>
      </c>
      <c r="D7370" s="2">
        <v>44618</v>
      </c>
      <c r="E7370">
        <v>4</v>
      </c>
      <c r="G7370" s="2">
        <v>44618</v>
      </c>
      <c r="H7370">
        <v>4.6189999999999998</v>
      </c>
      <c r="J7370" s="2">
        <v>44625</v>
      </c>
      <c r="K7370" s="3">
        <f t="shared" si="230"/>
        <v>4</v>
      </c>
      <c r="L7370" s="3">
        <f t="shared" si="231"/>
        <v>4.8049999999999997</v>
      </c>
    </row>
    <row r="7371" spans="1:12" x14ac:dyDescent="0.3">
      <c r="A7371" s="2">
        <v>43888</v>
      </c>
      <c r="B7371">
        <v>5.13</v>
      </c>
      <c r="D7371" s="2">
        <v>44619</v>
      </c>
      <c r="E7371">
        <v>4</v>
      </c>
      <c r="G7371" s="2">
        <v>44619</v>
      </c>
      <c r="H7371">
        <v>4.6189999999999998</v>
      </c>
      <c r="J7371" s="2">
        <v>44626</v>
      </c>
      <c r="K7371" s="3">
        <f t="shared" si="230"/>
        <v>4</v>
      </c>
      <c r="L7371" s="3">
        <f t="shared" si="231"/>
        <v>4.8049999999999997</v>
      </c>
    </row>
    <row r="7372" spans="1:12" x14ac:dyDescent="0.3">
      <c r="A7372" s="2">
        <v>43889</v>
      </c>
      <c r="B7372">
        <v>5.13</v>
      </c>
      <c r="D7372" s="2">
        <v>44620</v>
      </c>
      <c r="E7372">
        <v>4</v>
      </c>
      <c r="G7372" s="2">
        <v>44620</v>
      </c>
      <c r="H7372">
        <v>4.7050000000000001</v>
      </c>
      <c r="J7372" s="2">
        <v>44627</v>
      </c>
      <c r="K7372" s="3">
        <f t="shared" si="230"/>
        <v>4</v>
      </c>
      <c r="L7372" s="3">
        <f t="shared" si="231"/>
        <v>4.851</v>
      </c>
    </row>
    <row r="7373" spans="1:12" x14ac:dyDescent="0.3">
      <c r="A7373" s="2">
        <v>43890</v>
      </c>
      <c r="B7373">
        <v>5.13</v>
      </c>
      <c r="D7373" s="2">
        <v>44621</v>
      </c>
      <c r="E7373">
        <v>4</v>
      </c>
      <c r="G7373" s="2">
        <v>44621</v>
      </c>
      <c r="H7373">
        <v>4.7050000000000001</v>
      </c>
      <c r="J7373" s="2">
        <v>44628</v>
      </c>
      <c r="K7373" s="3">
        <f t="shared" si="230"/>
        <v>4</v>
      </c>
      <c r="L7373" s="3">
        <f t="shared" si="231"/>
        <v>4.8630000000000004</v>
      </c>
    </row>
    <row r="7374" spans="1:12" x14ac:dyDescent="0.3">
      <c r="A7374" s="2">
        <v>43891</v>
      </c>
      <c r="B7374">
        <v>5.13</v>
      </c>
      <c r="D7374" s="2">
        <v>44622</v>
      </c>
      <c r="E7374">
        <v>4</v>
      </c>
      <c r="G7374" s="2">
        <v>44622</v>
      </c>
      <c r="H7374">
        <v>4.7709999999999999</v>
      </c>
      <c r="J7374" s="2">
        <v>44629</v>
      </c>
      <c r="K7374" s="3">
        <f t="shared" si="230"/>
        <v>4</v>
      </c>
      <c r="L7374" s="3">
        <f t="shared" si="231"/>
        <v>4.8840000000000003</v>
      </c>
    </row>
    <row r="7375" spans="1:12" x14ac:dyDescent="0.3">
      <c r="A7375" s="2">
        <v>43892</v>
      </c>
      <c r="B7375">
        <v>5.17</v>
      </c>
      <c r="D7375" s="2">
        <v>44623</v>
      </c>
      <c r="E7375">
        <v>4</v>
      </c>
      <c r="G7375" s="2">
        <v>44623</v>
      </c>
      <c r="H7375">
        <v>4.758</v>
      </c>
      <c r="J7375" s="2">
        <v>44630</v>
      </c>
      <c r="K7375" s="3">
        <f t="shared" si="230"/>
        <v>4</v>
      </c>
      <c r="L7375" s="3">
        <f t="shared" si="231"/>
        <v>4.87</v>
      </c>
    </row>
    <row r="7376" spans="1:12" x14ac:dyDescent="0.3">
      <c r="A7376" s="2">
        <v>43893</v>
      </c>
      <c r="B7376">
        <v>5.2</v>
      </c>
      <c r="D7376" s="2">
        <v>44624</v>
      </c>
      <c r="E7376">
        <v>4</v>
      </c>
      <c r="G7376" s="2">
        <v>44624</v>
      </c>
      <c r="H7376">
        <v>4.8049999999999997</v>
      </c>
      <c r="J7376" s="2">
        <v>44631</v>
      </c>
      <c r="K7376" s="3">
        <f t="shared" si="230"/>
        <v>4</v>
      </c>
      <c r="L7376" s="3">
        <f t="shared" si="231"/>
        <v>4.8609999999999998</v>
      </c>
    </row>
    <row r="7377" spans="1:12" x14ac:dyDescent="0.3">
      <c r="A7377" s="2">
        <v>43894</v>
      </c>
      <c r="B7377">
        <v>5.04</v>
      </c>
      <c r="D7377" s="2">
        <v>44625</v>
      </c>
      <c r="E7377">
        <v>4</v>
      </c>
      <c r="G7377" s="2">
        <v>44625</v>
      </c>
      <c r="H7377">
        <v>4.8049999999999997</v>
      </c>
      <c r="J7377" s="2">
        <v>44632</v>
      </c>
      <c r="K7377" s="3">
        <f t="shared" si="230"/>
        <v>4</v>
      </c>
      <c r="L7377" s="3">
        <f t="shared" si="231"/>
        <v>4.8609999999999998</v>
      </c>
    </row>
    <row r="7378" spans="1:12" x14ac:dyDescent="0.3">
      <c r="A7378" s="2">
        <v>43895</v>
      </c>
      <c r="B7378">
        <v>5.01</v>
      </c>
      <c r="D7378" s="2">
        <v>44626</v>
      </c>
      <c r="E7378">
        <v>4</v>
      </c>
      <c r="G7378" s="2">
        <v>44626</v>
      </c>
      <c r="H7378">
        <v>4.8049999999999997</v>
      </c>
      <c r="J7378" s="2">
        <v>44633</v>
      </c>
      <c r="K7378" s="3">
        <f t="shared" si="230"/>
        <v>4</v>
      </c>
      <c r="L7378" s="3">
        <f t="shared" si="231"/>
        <v>4.8609999999999998</v>
      </c>
    </row>
    <row r="7379" spans="1:12" x14ac:dyDescent="0.3">
      <c r="A7379" s="2">
        <v>43896</v>
      </c>
      <c r="B7379">
        <v>5.0199999999999996</v>
      </c>
      <c r="D7379" s="2">
        <v>44627</v>
      </c>
      <c r="E7379">
        <v>4</v>
      </c>
      <c r="G7379" s="2">
        <v>44627</v>
      </c>
      <c r="H7379">
        <v>4.851</v>
      </c>
      <c r="J7379" s="2">
        <v>44634</v>
      </c>
      <c r="K7379" s="3">
        <f t="shared" si="230"/>
        <v>4</v>
      </c>
      <c r="L7379" s="3">
        <f t="shared" si="231"/>
        <v>4.7709999999999999</v>
      </c>
    </row>
    <row r="7380" spans="1:12" x14ac:dyDescent="0.3">
      <c r="A7380" s="2">
        <v>43897</v>
      </c>
      <c r="B7380">
        <v>5.0199999999999996</v>
      </c>
      <c r="D7380" s="2">
        <v>44628</v>
      </c>
      <c r="E7380">
        <v>4</v>
      </c>
      <c r="G7380" s="2">
        <v>44628</v>
      </c>
      <c r="H7380">
        <v>4.8630000000000004</v>
      </c>
      <c r="J7380" s="2">
        <v>44635</v>
      </c>
      <c r="K7380" s="3">
        <f t="shared" si="230"/>
        <v>4</v>
      </c>
      <c r="L7380" s="3">
        <f t="shared" si="231"/>
        <v>4.8099999999999996</v>
      </c>
    </row>
    <row r="7381" spans="1:12" x14ac:dyDescent="0.3">
      <c r="A7381" s="2">
        <v>43898</v>
      </c>
      <c r="B7381">
        <v>5.0199999999999996</v>
      </c>
      <c r="D7381" s="2">
        <v>44629</v>
      </c>
      <c r="E7381">
        <v>4</v>
      </c>
      <c r="G7381" s="2">
        <v>44629</v>
      </c>
      <c r="H7381">
        <v>4.8840000000000003</v>
      </c>
      <c r="J7381" s="2">
        <v>44636</v>
      </c>
      <c r="K7381" s="3">
        <f t="shared" si="230"/>
        <v>4</v>
      </c>
      <c r="L7381" s="3">
        <f t="shared" si="231"/>
        <v>4.774</v>
      </c>
    </row>
    <row r="7382" spans="1:12" x14ac:dyDescent="0.3">
      <c r="A7382" s="2">
        <v>43899</v>
      </c>
      <c r="B7382">
        <v>4.93</v>
      </c>
      <c r="D7382" s="2">
        <v>44630</v>
      </c>
      <c r="E7382">
        <v>4</v>
      </c>
      <c r="G7382" s="2">
        <v>44630</v>
      </c>
      <c r="H7382">
        <v>4.87</v>
      </c>
      <c r="J7382" s="2">
        <v>44637</v>
      </c>
      <c r="K7382" s="3">
        <f t="shared" si="230"/>
        <v>4</v>
      </c>
      <c r="L7382" s="3">
        <f t="shared" si="231"/>
        <v>4.74</v>
      </c>
    </row>
    <row r="7383" spans="1:12" x14ac:dyDescent="0.3">
      <c r="A7383" s="2">
        <v>43900</v>
      </c>
      <c r="B7383">
        <v>4.93</v>
      </c>
      <c r="D7383" s="2">
        <v>44631</v>
      </c>
      <c r="E7383">
        <v>4</v>
      </c>
      <c r="G7383" s="2">
        <v>44631</v>
      </c>
      <c r="H7383">
        <v>4.8609999999999998</v>
      </c>
      <c r="J7383" s="2">
        <v>44638</v>
      </c>
      <c r="K7383" s="3">
        <f t="shared" si="230"/>
        <v>4</v>
      </c>
      <c r="L7383" s="3">
        <f t="shared" si="231"/>
        <v>4.74</v>
      </c>
    </row>
    <row r="7384" spans="1:12" x14ac:dyDescent="0.3">
      <c r="A7384" s="2">
        <v>43901</v>
      </c>
      <c r="B7384">
        <v>4.95</v>
      </c>
      <c r="D7384" s="2">
        <v>44632</v>
      </c>
      <c r="E7384">
        <v>4</v>
      </c>
      <c r="G7384" s="2">
        <v>44632</v>
      </c>
      <c r="H7384">
        <v>4.8609999999999998</v>
      </c>
      <c r="J7384" s="2">
        <v>44639</v>
      </c>
      <c r="K7384" s="3">
        <f t="shared" si="230"/>
        <v>4</v>
      </c>
      <c r="L7384" s="3">
        <f t="shared" si="231"/>
        <v>4.74</v>
      </c>
    </row>
    <row r="7385" spans="1:12" x14ac:dyDescent="0.3">
      <c r="A7385" s="2">
        <v>43902</v>
      </c>
      <c r="B7385">
        <v>4.92</v>
      </c>
      <c r="D7385" s="2">
        <v>44633</v>
      </c>
      <c r="E7385">
        <v>4</v>
      </c>
      <c r="G7385" s="2">
        <v>44633</v>
      </c>
      <c r="H7385">
        <v>4.8609999999999998</v>
      </c>
      <c r="J7385" s="2">
        <v>44640</v>
      </c>
      <c r="K7385" s="3">
        <f t="shared" si="230"/>
        <v>4</v>
      </c>
      <c r="L7385" s="3">
        <f t="shared" si="231"/>
        <v>4.74</v>
      </c>
    </row>
    <row r="7386" spans="1:12" x14ac:dyDescent="0.3">
      <c r="A7386" s="2">
        <v>43903</v>
      </c>
      <c r="B7386">
        <v>4.9000000000000004</v>
      </c>
      <c r="D7386" s="2">
        <v>44634</v>
      </c>
      <c r="E7386">
        <v>4</v>
      </c>
      <c r="G7386" s="2">
        <v>44634</v>
      </c>
      <c r="H7386">
        <v>4.7709999999999999</v>
      </c>
      <c r="J7386" s="2">
        <v>44641</v>
      </c>
      <c r="K7386" s="3">
        <f t="shared" si="230"/>
        <v>4</v>
      </c>
      <c r="L7386" s="3">
        <f t="shared" si="231"/>
        <v>4.7300000000000004</v>
      </c>
    </row>
    <row r="7387" spans="1:12" x14ac:dyDescent="0.3">
      <c r="A7387" s="2">
        <v>43904</v>
      </c>
      <c r="B7387">
        <v>4.9000000000000004</v>
      </c>
      <c r="D7387" s="2">
        <v>44635</v>
      </c>
      <c r="E7387">
        <v>4</v>
      </c>
      <c r="G7387" s="2">
        <v>44635</v>
      </c>
      <c r="H7387">
        <v>4.8099999999999996</v>
      </c>
      <c r="J7387" s="2">
        <v>44642</v>
      </c>
      <c r="K7387" s="3">
        <f t="shared" si="230"/>
        <v>4</v>
      </c>
      <c r="L7387" s="3">
        <f t="shared" si="231"/>
        <v>4.7549999999999999</v>
      </c>
    </row>
    <row r="7388" spans="1:12" x14ac:dyDescent="0.3">
      <c r="A7388" s="2">
        <v>43905</v>
      </c>
      <c r="B7388">
        <v>4.9000000000000004</v>
      </c>
      <c r="D7388" s="2">
        <v>44636</v>
      </c>
      <c r="E7388">
        <v>4</v>
      </c>
      <c r="G7388" s="2">
        <v>44636</v>
      </c>
      <c r="H7388">
        <v>4.774</v>
      </c>
      <c r="J7388" s="2">
        <v>44643</v>
      </c>
      <c r="K7388" s="3">
        <f t="shared" si="230"/>
        <v>4</v>
      </c>
      <c r="L7388" s="3">
        <f t="shared" si="231"/>
        <v>4.7409999999999997</v>
      </c>
    </row>
    <row r="7389" spans="1:12" x14ac:dyDescent="0.3">
      <c r="A7389" s="2">
        <v>43906</v>
      </c>
      <c r="B7389">
        <v>4.91</v>
      </c>
      <c r="D7389" s="2">
        <v>44637</v>
      </c>
      <c r="E7389">
        <v>4</v>
      </c>
      <c r="G7389" s="2">
        <v>44637</v>
      </c>
      <c r="H7389">
        <v>4.74</v>
      </c>
      <c r="J7389" s="2">
        <v>44644</v>
      </c>
      <c r="K7389" s="3">
        <f t="shared" si="230"/>
        <v>4</v>
      </c>
      <c r="L7389" s="3">
        <f t="shared" si="231"/>
        <v>4.7409999999999997</v>
      </c>
    </row>
    <row r="7390" spans="1:12" x14ac:dyDescent="0.3">
      <c r="A7390" s="2">
        <v>43907</v>
      </c>
      <c r="B7390">
        <v>4.8600000000000003</v>
      </c>
      <c r="D7390" s="2">
        <v>44638</v>
      </c>
      <c r="E7390">
        <v>4</v>
      </c>
      <c r="G7390" s="2">
        <v>44638</v>
      </c>
      <c r="H7390">
        <v>4.74</v>
      </c>
      <c r="J7390" s="2">
        <v>44645</v>
      </c>
      <c r="K7390" s="3">
        <f t="shared" si="230"/>
        <v>4</v>
      </c>
      <c r="L7390" s="3">
        <f t="shared" si="231"/>
        <v>4.7409999999999997</v>
      </c>
    </row>
    <row r="7391" spans="1:12" x14ac:dyDescent="0.3">
      <c r="A7391" s="2">
        <v>43908</v>
      </c>
      <c r="B7391">
        <v>5.14</v>
      </c>
      <c r="D7391" s="2">
        <v>44639</v>
      </c>
      <c r="E7391">
        <v>4</v>
      </c>
      <c r="G7391" s="2">
        <v>44639</v>
      </c>
      <c r="H7391">
        <v>4.74</v>
      </c>
      <c r="J7391" s="2">
        <v>44646</v>
      </c>
      <c r="K7391" s="3">
        <f t="shared" si="230"/>
        <v>4</v>
      </c>
      <c r="L7391" s="3">
        <f t="shared" si="231"/>
        <v>4.7409999999999997</v>
      </c>
    </row>
    <row r="7392" spans="1:12" x14ac:dyDescent="0.3">
      <c r="A7392" s="2">
        <v>43909</v>
      </c>
      <c r="B7392">
        <v>5.19</v>
      </c>
      <c r="D7392" s="2">
        <v>44640</v>
      </c>
      <c r="E7392">
        <v>4</v>
      </c>
      <c r="G7392" s="2">
        <v>44640</v>
      </c>
      <c r="H7392">
        <v>4.74</v>
      </c>
      <c r="J7392" s="2">
        <v>44647</v>
      </c>
      <c r="K7392" s="3">
        <f t="shared" si="230"/>
        <v>4</v>
      </c>
      <c r="L7392" s="3">
        <f t="shared" si="231"/>
        <v>4.7409999999999997</v>
      </c>
    </row>
    <row r="7393" spans="1:12" x14ac:dyDescent="0.3">
      <c r="A7393" s="2">
        <v>43910</v>
      </c>
      <c r="B7393">
        <v>5.03</v>
      </c>
      <c r="D7393" s="2">
        <v>44641</v>
      </c>
      <c r="E7393">
        <v>4</v>
      </c>
      <c r="G7393" s="2">
        <v>44641</v>
      </c>
      <c r="H7393">
        <v>4.7300000000000004</v>
      </c>
      <c r="J7393" s="2">
        <v>44648</v>
      </c>
      <c r="K7393" s="3">
        <f t="shared" si="230"/>
        <v>4</v>
      </c>
      <c r="L7393" s="3">
        <f t="shared" si="231"/>
        <v>4.6870000000000003</v>
      </c>
    </row>
    <row r="7394" spans="1:12" x14ac:dyDescent="0.3">
      <c r="A7394" s="2">
        <v>43911</v>
      </c>
      <c r="B7394">
        <v>5.03</v>
      </c>
      <c r="D7394" s="2">
        <v>44642</v>
      </c>
      <c r="E7394">
        <v>4</v>
      </c>
      <c r="G7394" s="2">
        <v>44642</v>
      </c>
      <c r="H7394">
        <v>4.7549999999999999</v>
      </c>
      <c r="J7394" s="2">
        <v>44649</v>
      </c>
      <c r="K7394" s="3">
        <f t="shared" si="230"/>
        <v>4</v>
      </c>
      <c r="L7394" s="3">
        <f t="shared" si="231"/>
        <v>4.7350000000000003</v>
      </c>
    </row>
    <row r="7395" spans="1:12" x14ac:dyDescent="0.3">
      <c r="A7395" s="2">
        <v>43912</v>
      </c>
      <c r="B7395">
        <v>5.03</v>
      </c>
      <c r="D7395" s="2">
        <v>44643</v>
      </c>
      <c r="E7395">
        <v>4</v>
      </c>
      <c r="G7395" s="2">
        <v>44643</v>
      </c>
      <c r="H7395">
        <v>4.7409999999999997</v>
      </c>
      <c r="J7395" s="2">
        <v>44650</v>
      </c>
      <c r="K7395" s="3">
        <f t="shared" si="230"/>
        <v>4</v>
      </c>
      <c r="L7395" s="3">
        <f t="shared" si="231"/>
        <v>4.7350000000000003</v>
      </c>
    </row>
    <row r="7396" spans="1:12" x14ac:dyDescent="0.3">
      <c r="A7396" s="2">
        <v>43913</v>
      </c>
      <c r="B7396">
        <v>4.8499999999999996</v>
      </c>
      <c r="D7396" s="2">
        <v>44644</v>
      </c>
      <c r="E7396">
        <v>4</v>
      </c>
      <c r="G7396" s="2">
        <v>44644</v>
      </c>
      <c r="H7396">
        <v>4.7409999999999997</v>
      </c>
      <c r="J7396" s="2">
        <v>44651</v>
      </c>
      <c r="K7396" s="3">
        <f t="shared" si="230"/>
        <v>4</v>
      </c>
      <c r="L7396" s="3">
        <f t="shared" si="231"/>
        <v>4.6669999999999998</v>
      </c>
    </row>
    <row r="7397" spans="1:12" x14ac:dyDescent="0.3">
      <c r="A7397" s="2">
        <v>43914</v>
      </c>
      <c r="B7397">
        <v>5.35</v>
      </c>
      <c r="D7397" s="2">
        <v>44645</v>
      </c>
      <c r="E7397">
        <v>4</v>
      </c>
      <c r="G7397" s="2">
        <v>44645</v>
      </c>
      <c r="H7397">
        <v>4.7409999999999997</v>
      </c>
      <c r="J7397" s="2">
        <v>44652</v>
      </c>
      <c r="K7397" s="3">
        <f t="shared" si="230"/>
        <v>4</v>
      </c>
      <c r="L7397" s="3">
        <f t="shared" si="231"/>
        <v>4.6669999999999998</v>
      </c>
    </row>
    <row r="7398" spans="1:12" x14ac:dyDescent="0.3">
      <c r="A7398" s="2">
        <v>43915</v>
      </c>
      <c r="B7398">
        <v>5.35</v>
      </c>
      <c r="D7398" s="2">
        <v>44646</v>
      </c>
      <c r="E7398">
        <v>4</v>
      </c>
      <c r="G7398" s="2">
        <v>44646</v>
      </c>
      <c r="H7398">
        <v>4.7409999999999997</v>
      </c>
      <c r="J7398" s="2">
        <v>44653</v>
      </c>
      <c r="K7398" s="3">
        <f t="shared" si="230"/>
        <v>4</v>
      </c>
      <c r="L7398" s="3">
        <f t="shared" si="231"/>
        <v>4.6669999999999998</v>
      </c>
    </row>
    <row r="7399" spans="1:12" x14ac:dyDescent="0.3">
      <c r="A7399" s="2">
        <v>43916</v>
      </c>
      <c r="B7399">
        <v>5.1100000000000003</v>
      </c>
      <c r="D7399" s="2">
        <v>44647</v>
      </c>
      <c r="E7399">
        <v>4</v>
      </c>
      <c r="G7399" s="2">
        <v>44647</v>
      </c>
      <c r="H7399">
        <v>4.7409999999999997</v>
      </c>
      <c r="J7399" s="2">
        <v>44654</v>
      </c>
      <c r="K7399" s="3">
        <f t="shared" si="230"/>
        <v>4</v>
      </c>
      <c r="L7399" s="3">
        <f t="shared" si="231"/>
        <v>4.6669999999999998</v>
      </c>
    </row>
    <row r="7400" spans="1:12" x14ac:dyDescent="0.3">
      <c r="A7400" s="2">
        <v>43917</v>
      </c>
      <c r="B7400">
        <v>4.8</v>
      </c>
      <c r="D7400" s="2">
        <v>44648</v>
      </c>
      <c r="E7400">
        <v>4</v>
      </c>
      <c r="G7400" s="2">
        <v>44648</v>
      </c>
      <c r="H7400">
        <v>4.6870000000000003</v>
      </c>
      <c r="J7400" s="2">
        <v>44655</v>
      </c>
      <c r="K7400" s="3">
        <f t="shared" si="230"/>
        <v>4</v>
      </c>
      <c r="L7400" s="3">
        <f t="shared" si="231"/>
        <v>4.72</v>
      </c>
    </row>
    <row r="7401" spans="1:12" x14ac:dyDescent="0.3">
      <c r="A7401" s="2">
        <v>43918</v>
      </c>
      <c r="B7401">
        <v>4.8</v>
      </c>
      <c r="D7401" s="2">
        <v>44649</v>
      </c>
      <c r="E7401">
        <v>4</v>
      </c>
      <c r="G7401" s="2">
        <v>44649</v>
      </c>
      <c r="H7401">
        <v>4.7350000000000003</v>
      </c>
      <c r="J7401" s="2">
        <v>44656</v>
      </c>
      <c r="K7401" s="3">
        <f t="shared" si="230"/>
        <v>4</v>
      </c>
      <c r="L7401" s="3">
        <f t="shared" si="231"/>
        <v>4.7060000000000004</v>
      </c>
    </row>
    <row r="7402" spans="1:12" x14ac:dyDescent="0.3">
      <c r="A7402" s="2">
        <v>43919</v>
      </c>
      <c r="B7402">
        <v>4.8</v>
      </c>
      <c r="D7402" s="2">
        <v>44650</v>
      </c>
      <c r="E7402">
        <v>4</v>
      </c>
      <c r="G7402" s="2">
        <v>44650</v>
      </c>
      <c r="H7402">
        <v>4.7350000000000003</v>
      </c>
      <c r="J7402" s="2">
        <v>44657</v>
      </c>
      <c r="K7402" s="3">
        <f t="shared" si="230"/>
        <v>4</v>
      </c>
      <c r="L7402" s="3">
        <f t="shared" si="231"/>
        <v>4.6859999999999999</v>
      </c>
    </row>
    <row r="7403" spans="1:12" x14ac:dyDescent="0.3">
      <c r="A7403" s="2">
        <v>43920</v>
      </c>
      <c r="B7403">
        <v>4.8899999999999997</v>
      </c>
      <c r="D7403" s="2">
        <v>44651</v>
      </c>
      <c r="E7403">
        <v>4</v>
      </c>
      <c r="G7403" s="2">
        <v>44651</v>
      </c>
      <c r="H7403">
        <v>4.6669999999999998</v>
      </c>
      <c r="J7403" s="2">
        <v>44658</v>
      </c>
      <c r="K7403" s="3">
        <f t="shared" si="230"/>
        <v>4</v>
      </c>
      <c r="L7403" s="3">
        <f t="shared" si="231"/>
        <v>4.6900000000000004</v>
      </c>
    </row>
    <row r="7404" spans="1:12" x14ac:dyDescent="0.3">
      <c r="A7404" s="2">
        <v>43921</v>
      </c>
      <c r="B7404">
        <v>4.49</v>
      </c>
      <c r="D7404" s="2">
        <v>44652</v>
      </c>
      <c r="E7404">
        <v>4</v>
      </c>
      <c r="G7404" s="2">
        <v>44652</v>
      </c>
      <c r="H7404">
        <v>4.6669999999999998</v>
      </c>
      <c r="J7404" s="2">
        <v>44659</v>
      </c>
      <c r="K7404" s="3">
        <f t="shared" si="230"/>
        <v>4</v>
      </c>
      <c r="L7404" s="3">
        <f t="shared" si="231"/>
        <v>4.8559999999999999</v>
      </c>
    </row>
    <row r="7405" spans="1:12" x14ac:dyDescent="0.3">
      <c r="A7405" s="2">
        <v>43922</v>
      </c>
      <c r="B7405">
        <v>4.49</v>
      </c>
      <c r="D7405" s="2">
        <v>44653</v>
      </c>
      <c r="E7405">
        <v>4</v>
      </c>
      <c r="G7405" s="2">
        <v>44653</v>
      </c>
      <c r="H7405">
        <v>4.6669999999999998</v>
      </c>
      <c r="J7405" s="2">
        <v>44660</v>
      </c>
      <c r="K7405" s="3">
        <f t="shared" si="230"/>
        <v>4</v>
      </c>
      <c r="L7405" s="3">
        <f t="shared" si="231"/>
        <v>4.8559999999999999</v>
      </c>
    </row>
    <row r="7406" spans="1:12" x14ac:dyDescent="0.3">
      <c r="A7406" s="2">
        <v>43923</v>
      </c>
      <c r="B7406">
        <v>4.49</v>
      </c>
      <c r="D7406" s="2">
        <v>44654</v>
      </c>
      <c r="E7406">
        <v>4</v>
      </c>
      <c r="G7406" s="2">
        <v>44654</v>
      </c>
      <c r="H7406">
        <v>4.6669999999999998</v>
      </c>
      <c r="J7406" s="2">
        <v>44661</v>
      </c>
      <c r="K7406" s="3">
        <f t="shared" si="230"/>
        <v>4</v>
      </c>
      <c r="L7406" s="3">
        <f t="shared" si="231"/>
        <v>4.8559999999999999</v>
      </c>
    </row>
    <row r="7407" spans="1:12" x14ac:dyDescent="0.3">
      <c r="A7407" s="2">
        <v>43924</v>
      </c>
      <c r="B7407">
        <v>4.49</v>
      </c>
      <c r="D7407" s="2">
        <v>44655</v>
      </c>
      <c r="E7407">
        <v>4</v>
      </c>
      <c r="G7407" s="2">
        <v>44655</v>
      </c>
      <c r="H7407">
        <v>4.72</v>
      </c>
      <c r="J7407" s="2">
        <v>44662</v>
      </c>
      <c r="K7407" s="3">
        <f t="shared" si="230"/>
        <v>4</v>
      </c>
      <c r="L7407" s="3">
        <f t="shared" si="231"/>
        <v>4.8499999999999996</v>
      </c>
    </row>
    <row r="7408" spans="1:12" x14ac:dyDescent="0.3">
      <c r="A7408" s="2">
        <v>43925</v>
      </c>
      <c r="B7408">
        <v>4.49</v>
      </c>
      <c r="D7408" s="2">
        <v>44656</v>
      </c>
      <c r="E7408">
        <v>4</v>
      </c>
      <c r="G7408" s="2">
        <v>44656</v>
      </c>
      <c r="H7408">
        <v>4.7060000000000004</v>
      </c>
      <c r="J7408" s="2">
        <v>44663</v>
      </c>
      <c r="K7408" s="3">
        <f t="shared" si="230"/>
        <v>4</v>
      </c>
      <c r="L7408" s="3">
        <f t="shared" si="231"/>
        <v>4.891</v>
      </c>
    </row>
    <row r="7409" spans="1:12" x14ac:dyDescent="0.3">
      <c r="A7409" s="2">
        <v>43926</v>
      </c>
      <c r="B7409">
        <v>4.49</v>
      </c>
      <c r="D7409" s="2">
        <v>44657</v>
      </c>
      <c r="E7409">
        <v>4</v>
      </c>
      <c r="G7409" s="2">
        <v>44657</v>
      </c>
      <c r="H7409">
        <v>4.6859999999999999</v>
      </c>
      <c r="J7409" s="2">
        <v>44664</v>
      </c>
      <c r="K7409" s="3">
        <f t="shared" si="230"/>
        <v>4</v>
      </c>
      <c r="L7409" s="3">
        <f t="shared" si="231"/>
        <v>4.9630000000000001</v>
      </c>
    </row>
    <row r="7410" spans="1:12" x14ac:dyDescent="0.3">
      <c r="A7410" s="2">
        <v>43927</v>
      </c>
      <c r="B7410">
        <v>4.49</v>
      </c>
      <c r="D7410" s="2">
        <v>44658</v>
      </c>
      <c r="E7410">
        <v>4</v>
      </c>
      <c r="G7410" s="2">
        <v>44658</v>
      </c>
      <c r="H7410">
        <v>4.6900000000000004</v>
      </c>
      <c r="J7410" s="2">
        <v>44665</v>
      </c>
      <c r="K7410" s="3">
        <f t="shared" si="230"/>
        <v>4</v>
      </c>
      <c r="L7410" s="3">
        <f t="shared" si="231"/>
        <v>4.9630000000000001</v>
      </c>
    </row>
    <row r="7411" spans="1:12" x14ac:dyDescent="0.3">
      <c r="A7411" s="2">
        <v>43928</v>
      </c>
      <c r="B7411">
        <v>4.49</v>
      </c>
      <c r="D7411" s="2">
        <v>44659</v>
      </c>
      <c r="E7411">
        <v>4</v>
      </c>
      <c r="G7411" s="2">
        <v>44659</v>
      </c>
      <c r="H7411">
        <v>4.8559999999999999</v>
      </c>
      <c r="J7411" s="2">
        <v>44666</v>
      </c>
      <c r="K7411" s="3">
        <f t="shared" si="230"/>
        <v>4</v>
      </c>
      <c r="L7411" s="3">
        <f t="shared" si="231"/>
        <v>4.9630000000000001</v>
      </c>
    </row>
    <row r="7412" spans="1:12" x14ac:dyDescent="0.3">
      <c r="A7412" s="2">
        <v>43929</v>
      </c>
      <c r="B7412">
        <v>4.5199999999999996</v>
      </c>
      <c r="D7412" s="2">
        <v>44660</v>
      </c>
      <c r="E7412">
        <v>4</v>
      </c>
      <c r="G7412" s="2">
        <v>44660</v>
      </c>
      <c r="H7412">
        <v>4.8559999999999999</v>
      </c>
      <c r="J7412" s="2">
        <v>44667</v>
      </c>
      <c r="K7412" s="3">
        <f t="shared" si="230"/>
        <v>4</v>
      </c>
      <c r="L7412" s="3">
        <f t="shared" si="231"/>
        <v>4.9630000000000001</v>
      </c>
    </row>
    <row r="7413" spans="1:12" x14ac:dyDescent="0.3">
      <c r="A7413" s="2">
        <v>43930</v>
      </c>
      <c r="B7413">
        <v>4.53</v>
      </c>
      <c r="D7413" s="2">
        <v>44661</v>
      </c>
      <c r="E7413">
        <v>4</v>
      </c>
      <c r="G7413" s="2">
        <v>44661</v>
      </c>
      <c r="H7413">
        <v>4.8559999999999999</v>
      </c>
      <c r="J7413" s="2">
        <v>44668</v>
      </c>
      <c r="K7413" s="3">
        <f t="shared" si="230"/>
        <v>4</v>
      </c>
      <c r="L7413" s="3">
        <f t="shared" si="231"/>
        <v>4.9630000000000001</v>
      </c>
    </row>
    <row r="7414" spans="1:12" x14ac:dyDescent="0.3">
      <c r="A7414" s="2">
        <v>43931</v>
      </c>
      <c r="B7414">
        <v>4.53</v>
      </c>
      <c r="D7414" s="2">
        <v>44662</v>
      </c>
      <c r="E7414">
        <v>4</v>
      </c>
      <c r="G7414" s="2">
        <v>44662</v>
      </c>
      <c r="H7414">
        <v>4.8499999999999996</v>
      </c>
      <c r="J7414" s="2">
        <v>44669</v>
      </c>
      <c r="K7414" s="3">
        <f t="shared" si="230"/>
        <v>4</v>
      </c>
      <c r="L7414" s="3">
        <f t="shared" si="231"/>
        <v>5.0469999999999997</v>
      </c>
    </row>
    <row r="7415" spans="1:12" x14ac:dyDescent="0.3">
      <c r="A7415" s="2">
        <v>43932</v>
      </c>
      <c r="B7415">
        <v>4.53</v>
      </c>
      <c r="D7415" s="2">
        <v>44663</v>
      </c>
      <c r="E7415">
        <v>4</v>
      </c>
      <c r="G7415" s="2">
        <v>44663</v>
      </c>
      <c r="H7415">
        <v>4.891</v>
      </c>
      <c r="J7415" s="2">
        <v>44670</v>
      </c>
      <c r="K7415" s="3">
        <f t="shared" si="230"/>
        <v>4</v>
      </c>
      <c r="L7415" s="3">
        <f t="shared" si="231"/>
        <v>5.08</v>
      </c>
    </row>
    <row r="7416" spans="1:12" x14ac:dyDescent="0.3">
      <c r="A7416" s="2">
        <v>43933</v>
      </c>
      <c r="B7416">
        <v>4.53</v>
      </c>
      <c r="D7416" s="2">
        <v>44664</v>
      </c>
      <c r="E7416">
        <v>4</v>
      </c>
      <c r="G7416" s="2">
        <v>44664</v>
      </c>
      <c r="H7416">
        <v>4.9630000000000001</v>
      </c>
      <c r="J7416" s="2">
        <v>44671</v>
      </c>
      <c r="K7416" s="3">
        <f t="shared" si="230"/>
        <v>4</v>
      </c>
      <c r="L7416" s="3">
        <f t="shared" si="231"/>
        <v>5.1050000000000004</v>
      </c>
    </row>
    <row r="7417" spans="1:12" x14ac:dyDescent="0.3">
      <c r="A7417" s="2">
        <v>43934</v>
      </c>
      <c r="B7417">
        <v>4.47</v>
      </c>
      <c r="D7417" s="2">
        <v>44665</v>
      </c>
      <c r="E7417">
        <v>4</v>
      </c>
      <c r="G7417" s="2">
        <v>44665</v>
      </c>
      <c r="H7417">
        <v>4.9630000000000001</v>
      </c>
      <c r="J7417" s="2">
        <v>44672</v>
      </c>
      <c r="K7417" s="3">
        <f t="shared" si="230"/>
        <v>4</v>
      </c>
      <c r="L7417" s="3">
        <f t="shared" si="231"/>
        <v>5.117</v>
      </c>
    </row>
    <row r="7418" spans="1:12" x14ac:dyDescent="0.3">
      <c r="A7418" s="2">
        <v>43935</v>
      </c>
      <c r="B7418">
        <v>4.47</v>
      </c>
      <c r="D7418" s="2">
        <v>44666</v>
      </c>
      <c r="E7418">
        <v>4</v>
      </c>
      <c r="G7418" s="2">
        <v>44666</v>
      </c>
      <c r="H7418">
        <v>4.9630000000000001</v>
      </c>
      <c r="J7418" s="2">
        <v>44673</v>
      </c>
      <c r="K7418" s="3">
        <f t="shared" si="230"/>
        <v>4</v>
      </c>
      <c r="L7418" s="3">
        <f t="shared" si="231"/>
        <v>4.9729999999999999</v>
      </c>
    </row>
    <row r="7419" spans="1:12" x14ac:dyDescent="0.3">
      <c r="A7419" s="2">
        <v>43936</v>
      </c>
      <c r="B7419">
        <v>4.3600000000000003</v>
      </c>
      <c r="D7419" s="2">
        <v>44667</v>
      </c>
      <c r="E7419">
        <v>4</v>
      </c>
      <c r="G7419" s="2">
        <v>44667</v>
      </c>
      <c r="H7419">
        <v>4.9630000000000001</v>
      </c>
      <c r="J7419" s="2">
        <v>44674</v>
      </c>
      <c r="K7419" s="3">
        <f t="shared" si="230"/>
        <v>4</v>
      </c>
      <c r="L7419" s="3">
        <f t="shared" si="231"/>
        <v>4.9729999999999999</v>
      </c>
    </row>
    <row r="7420" spans="1:12" x14ac:dyDescent="0.3">
      <c r="A7420" s="2">
        <v>43937</v>
      </c>
      <c r="B7420">
        <v>4.0199999999999996</v>
      </c>
      <c r="D7420" s="2">
        <v>44668</v>
      </c>
      <c r="E7420">
        <v>4</v>
      </c>
      <c r="G7420" s="2">
        <v>44668</v>
      </c>
      <c r="H7420">
        <v>4.9630000000000001</v>
      </c>
      <c r="J7420" s="2">
        <v>44675</v>
      </c>
      <c r="K7420" s="3">
        <f t="shared" si="230"/>
        <v>4</v>
      </c>
      <c r="L7420" s="3">
        <f t="shared" si="231"/>
        <v>4.9729999999999999</v>
      </c>
    </row>
    <row r="7421" spans="1:12" x14ac:dyDescent="0.3">
      <c r="A7421" s="2">
        <v>43938</v>
      </c>
      <c r="B7421">
        <v>4</v>
      </c>
      <c r="D7421" s="2">
        <v>44669</v>
      </c>
      <c r="E7421">
        <v>4</v>
      </c>
      <c r="G7421" s="2">
        <v>44669</v>
      </c>
      <c r="H7421">
        <v>5.0469999999999997</v>
      </c>
      <c r="J7421" s="2">
        <v>44676</v>
      </c>
      <c r="K7421" s="3">
        <f t="shared" si="230"/>
        <v>4</v>
      </c>
      <c r="L7421" s="3">
        <f t="shared" si="231"/>
        <v>4.9729999999999999</v>
      </c>
    </row>
    <row r="7422" spans="1:12" x14ac:dyDescent="0.3">
      <c r="A7422" s="2">
        <v>43939</v>
      </c>
      <c r="B7422">
        <v>4</v>
      </c>
      <c r="D7422" s="2">
        <v>44670</v>
      </c>
      <c r="E7422">
        <v>4</v>
      </c>
      <c r="G7422" s="2">
        <v>44670</v>
      </c>
      <c r="H7422">
        <v>5.08</v>
      </c>
      <c r="J7422" s="2">
        <v>44677</v>
      </c>
      <c r="K7422" s="3">
        <f t="shared" si="230"/>
        <v>4</v>
      </c>
      <c r="L7422" s="3">
        <f t="shared" si="231"/>
        <v>5.0730000000000004</v>
      </c>
    </row>
    <row r="7423" spans="1:12" x14ac:dyDescent="0.3">
      <c r="A7423" s="2">
        <v>43940</v>
      </c>
      <c r="B7423">
        <v>4</v>
      </c>
      <c r="D7423" s="2">
        <v>44671</v>
      </c>
      <c r="E7423">
        <v>4</v>
      </c>
      <c r="G7423" s="2">
        <v>44671</v>
      </c>
      <c r="H7423">
        <v>5.1050000000000004</v>
      </c>
      <c r="J7423" s="2">
        <v>44678</v>
      </c>
      <c r="K7423" s="3">
        <f t="shared" si="230"/>
        <v>4</v>
      </c>
      <c r="L7423" s="3">
        <f t="shared" si="231"/>
        <v>5.0540000000000003</v>
      </c>
    </row>
    <row r="7424" spans="1:12" x14ac:dyDescent="0.3">
      <c r="A7424" s="2">
        <v>43941</v>
      </c>
      <c r="B7424">
        <v>4.05</v>
      </c>
      <c r="D7424" s="2">
        <v>44672</v>
      </c>
      <c r="E7424">
        <v>4</v>
      </c>
      <c r="G7424" s="2">
        <v>44672</v>
      </c>
      <c r="H7424">
        <v>5.117</v>
      </c>
      <c r="J7424" s="2">
        <v>44679</v>
      </c>
      <c r="K7424" s="3">
        <f t="shared" si="230"/>
        <v>4</v>
      </c>
      <c r="L7424" s="3">
        <f t="shared" si="231"/>
        <v>5.109</v>
      </c>
    </row>
    <row r="7425" spans="1:12" x14ac:dyDescent="0.3">
      <c r="A7425" s="2">
        <v>43942</v>
      </c>
      <c r="B7425">
        <v>3.94</v>
      </c>
      <c r="D7425" s="2">
        <v>44673</v>
      </c>
      <c r="E7425">
        <v>4</v>
      </c>
      <c r="G7425" s="2">
        <v>44673</v>
      </c>
      <c r="H7425">
        <v>4.9729999999999999</v>
      </c>
      <c r="J7425" s="2">
        <v>44680</v>
      </c>
      <c r="K7425" s="3">
        <f t="shared" si="230"/>
        <v>4</v>
      </c>
      <c r="L7425" s="3">
        <f t="shared" si="231"/>
        <v>5.109</v>
      </c>
    </row>
    <row r="7426" spans="1:12" x14ac:dyDescent="0.3">
      <c r="A7426" s="2">
        <v>43943</v>
      </c>
      <c r="B7426">
        <v>3.73</v>
      </c>
      <c r="D7426" s="2">
        <v>44674</v>
      </c>
      <c r="E7426">
        <v>4</v>
      </c>
      <c r="G7426" s="2">
        <v>44674</v>
      </c>
      <c r="H7426">
        <v>4.9729999999999999</v>
      </c>
      <c r="J7426" s="2">
        <v>44681</v>
      </c>
      <c r="K7426" s="3">
        <f t="shared" si="230"/>
        <v>4</v>
      </c>
      <c r="L7426" s="3">
        <f t="shared" si="231"/>
        <v>5.109</v>
      </c>
    </row>
    <row r="7427" spans="1:12" x14ac:dyDescent="0.3">
      <c r="A7427" s="2">
        <v>43944</v>
      </c>
      <c r="B7427">
        <v>3.75</v>
      </c>
      <c r="D7427" s="2">
        <v>44675</v>
      </c>
      <c r="E7427">
        <v>4</v>
      </c>
      <c r="G7427" s="2">
        <v>44675</v>
      </c>
      <c r="H7427">
        <v>4.9729999999999999</v>
      </c>
      <c r="J7427" s="2">
        <v>44682</v>
      </c>
      <c r="K7427" s="3">
        <f t="shared" ref="K7427:K7460" si="232">E7434</f>
        <v>4</v>
      </c>
      <c r="L7427" s="3">
        <f t="shared" ref="L7427:L7460" si="233">H7434</f>
        <v>5.109</v>
      </c>
    </row>
    <row r="7428" spans="1:12" x14ac:dyDescent="0.3">
      <c r="A7428" s="2">
        <v>43945</v>
      </c>
      <c r="B7428">
        <v>3.79</v>
      </c>
      <c r="D7428" s="2">
        <v>44676</v>
      </c>
      <c r="E7428">
        <v>4</v>
      </c>
      <c r="G7428" s="2">
        <v>44676</v>
      </c>
      <c r="H7428">
        <v>4.9729999999999999</v>
      </c>
      <c r="J7428" s="2">
        <v>44683</v>
      </c>
      <c r="K7428" s="3">
        <f t="shared" si="232"/>
        <v>4</v>
      </c>
      <c r="L7428" s="3">
        <f t="shared" si="233"/>
        <v>5.13</v>
      </c>
    </row>
    <row r="7429" spans="1:12" x14ac:dyDescent="0.3">
      <c r="A7429" s="2">
        <v>43946</v>
      </c>
      <c r="B7429">
        <v>3.79</v>
      </c>
      <c r="D7429" s="2">
        <v>44677</v>
      </c>
      <c r="E7429">
        <v>4</v>
      </c>
      <c r="G7429" s="2">
        <v>44677</v>
      </c>
      <c r="H7429">
        <v>5.0730000000000004</v>
      </c>
      <c r="J7429" s="2">
        <v>44684</v>
      </c>
      <c r="K7429" s="3">
        <f t="shared" si="232"/>
        <v>4</v>
      </c>
      <c r="L7429" s="3">
        <f t="shared" si="233"/>
        <v>5.13</v>
      </c>
    </row>
    <row r="7430" spans="1:12" x14ac:dyDescent="0.3">
      <c r="A7430" s="2">
        <v>43947</v>
      </c>
      <c r="B7430">
        <v>3.79</v>
      </c>
      <c r="D7430" s="2">
        <v>44678</v>
      </c>
      <c r="E7430">
        <v>4</v>
      </c>
      <c r="G7430" s="2">
        <v>44678</v>
      </c>
      <c r="H7430">
        <v>5.0540000000000003</v>
      </c>
      <c r="J7430" s="2">
        <v>44685</v>
      </c>
      <c r="K7430" s="3">
        <f t="shared" si="232"/>
        <v>4.4000000000000004</v>
      </c>
      <c r="L7430" s="3">
        <f t="shared" si="233"/>
        <v>5.367</v>
      </c>
    </row>
    <row r="7431" spans="1:12" x14ac:dyDescent="0.3">
      <c r="A7431" s="2">
        <v>43948</v>
      </c>
      <c r="B7431">
        <v>3.8</v>
      </c>
      <c r="D7431" s="2">
        <v>44679</v>
      </c>
      <c r="E7431">
        <v>4</v>
      </c>
      <c r="G7431" s="2">
        <v>44679</v>
      </c>
      <c r="H7431">
        <v>5.109</v>
      </c>
      <c r="J7431" s="2">
        <v>44686</v>
      </c>
      <c r="K7431" s="3">
        <f t="shared" si="232"/>
        <v>4.4000000000000004</v>
      </c>
      <c r="L7431" s="3">
        <f t="shared" si="233"/>
        <v>5.6520000000000001</v>
      </c>
    </row>
    <row r="7432" spans="1:12" x14ac:dyDescent="0.3">
      <c r="A7432" s="2">
        <v>43949</v>
      </c>
      <c r="B7432">
        <v>3.8</v>
      </c>
      <c r="D7432" s="2">
        <v>44680</v>
      </c>
      <c r="E7432">
        <v>4</v>
      </c>
      <c r="G7432" s="2">
        <v>44680</v>
      </c>
      <c r="H7432">
        <v>5.109</v>
      </c>
      <c r="J7432" s="2">
        <v>44687</v>
      </c>
      <c r="K7432" s="3">
        <f t="shared" si="232"/>
        <v>4.4000000000000004</v>
      </c>
      <c r="L7432" s="3">
        <f t="shared" si="233"/>
        <v>5.8890000000000002</v>
      </c>
    </row>
    <row r="7433" spans="1:12" x14ac:dyDescent="0.3">
      <c r="A7433" s="2">
        <v>43950</v>
      </c>
      <c r="B7433">
        <v>3.59</v>
      </c>
      <c r="D7433" s="2">
        <v>44681</v>
      </c>
      <c r="E7433">
        <v>4</v>
      </c>
      <c r="G7433" s="2">
        <v>44681</v>
      </c>
      <c r="H7433">
        <v>5.109</v>
      </c>
      <c r="J7433" s="2">
        <v>44688</v>
      </c>
      <c r="K7433" s="3">
        <f t="shared" si="232"/>
        <v>4.4000000000000004</v>
      </c>
      <c r="L7433" s="3">
        <f t="shared" si="233"/>
        <v>5.8890000000000002</v>
      </c>
    </row>
    <row r="7434" spans="1:12" x14ac:dyDescent="0.3">
      <c r="A7434" s="2">
        <v>43951</v>
      </c>
      <c r="B7434">
        <v>3.67</v>
      </c>
      <c r="D7434" s="2">
        <v>44682</v>
      </c>
      <c r="E7434">
        <v>4</v>
      </c>
      <c r="G7434" s="2">
        <v>44682</v>
      </c>
      <c r="H7434">
        <v>5.109</v>
      </c>
      <c r="J7434" s="2">
        <v>44689</v>
      </c>
      <c r="K7434" s="3">
        <f t="shared" si="232"/>
        <v>4.4000000000000004</v>
      </c>
      <c r="L7434" s="3">
        <f t="shared" si="233"/>
        <v>5.8890000000000002</v>
      </c>
    </row>
    <row r="7435" spans="1:12" x14ac:dyDescent="0.3">
      <c r="A7435" s="2">
        <v>43952</v>
      </c>
      <c r="B7435">
        <v>3.67</v>
      </c>
      <c r="D7435" s="2">
        <v>44683</v>
      </c>
      <c r="E7435">
        <v>4</v>
      </c>
      <c r="G7435" s="2">
        <v>44683</v>
      </c>
      <c r="H7435">
        <v>5.13</v>
      </c>
      <c r="J7435" s="2">
        <v>44690</v>
      </c>
      <c r="K7435" s="3">
        <f t="shared" si="232"/>
        <v>4.4000000000000004</v>
      </c>
      <c r="L7435" s="3">
        <f t="shared" si="233"/>
        <v>5.9889999999999999</v>
      </c>
    </row>
    <row r="7436" spans="1:12" x14ac:dyDescent="0.3">
      <c r="A7436" s="2">
        <v>43953</v>
      </c>
      <c r="B7436">
        <v>3.67</v>
      </c>
      <c r="D7436" s="2">
        <v>44684</v>
      </c>
      <c r="E7436">
        <v>4</v>
      </c>
      <c r="G7436" s="2">
        <v>44684</v>
      </c>
      <c r="H7436">
        <v>5.13</v>
      </c>
      <c r="J7436" s="2">
        <v>44691</v>
      </c>
      <c r="K7436" s="3">
        <f t="shared" si="232"/>
        <v>4.4000000000000004</v>
      </c>
      <c r="L7436" s="3">
        <f t="shared" si="233"/>
        <v>5.944</v>
      </c>
    </row>
    <row r="7437" spans="1:12" x14ac:dyDescent="0.3">
      <c r="A7437" s="2">
        <v>43954</v>
      </c>
      <c r="B7437">
        <v>3.67</v>
      </c>
      <c r="D7437" s="2">
        <v>44685</v>
      </c>
      <c r="E7437">
        <v>4.4000000000000004</v>
      </c>
      <c r="G7437" s="2">
        <v>44685</v>
      </c>
      <c r="H7437">
        <v>5.367</v>
      </c>
      <c r="J7437" s="2">
        <v>44692</v>
      </c>
      <c r="K7437" s="3">
        <f t="shared" si="232"/>
        <v>4.4000000000000004</v>
      </c>
      <c r="L7437" s="3">
        <f t="shared" si="233"/>
        <v>6.0220000000000002</v>
      </c>
    </row>
    <row r="7438" spans="1:12" x14ac:dyDescent="0.3">
      <c r="A7438" s="2">
        <v>43955</v>
      </c>
      <c r="B7438">
        <v>3.63</v>
      </c>
      <c r="D7438" s="2">
        <v>44686</v>
      </c>
      <c r="E7438">
        <v>4.4000000000000004</v>
      </c>
      <c r="G7438" s="2">
        <v>44686</v>
      </c>
      <c r="H7438">
        <v>5.6520000000000001</v>
      </c>
      <c r="J7438" s="2">
        <v>44693</v>
      </c>
      <c r="K7438" s="3">
        <f t="shared" si="232"/>
        <v>4.4000000000000004</v>
      </c>
      <c r="L7438" s="3">
        <f t="shared" si="233"/>
        <v>6.0220000000000002</v>
      </c>
    </row>
    <row r="7439" spans="1:12" x14ac:dyDescent="0.3">
      <c r="A7439" s="2">
        <v>43956</v>
      </c>
      <c r="B7439">
        <v>3.7</v>
      </c>
      <c r="D7439" s="2">
        <v>44687</v>
      </c>
      <c r="E7439">
        <v>4.4000000000000004</v>
      </c>
      <c r="G7439" s="2">
        <v>44687</v>
      </c>
      <c r="H7439">
        <v>5.8890000000000002</v>
      </c>
      <c r="J7439" s="2">
        <v>44694</v>
      </c>
      <c r="K7439" s="3">
        <f t="shared" si="232"/>
        <v>4.4000000000000004</v>
      </c>
      <c r="L7439" s="3">
        <f t="shared" si="233"/>
        <v>5.7130000000000001</v>
      </c>
    </row>
    <row r="7440" spans="1:12" x14ac:dyDescent="0.3">
      <c r="A7440" s="2">
        <v>43957</v>
      </c>
      <c r="B7440">
        <v>3.53</v>
      </c>
      <c r="D7440" s="2">
        <v>44688</v>
      </c>
      <c r="E7440">
        <v>4.4000000000000004</v>
      </c>
      <c r="G7440" s="2">
        <v>44688</v>
      </c>
      <c r="H7440">
        <v>5.8890000000000002</v>
      </c>
      <c r="J7440" s="2">
        <v>44695</v>
      </c>
      <c r="K7440" s="3">
        <f t="shared" si="232"/>
        <v>4.4000000000000004</v>
      </c>
      <c r="L7440" s="3">
        <f t="shared" si="233"/>
        <v>5.7130000000000001</v>
      </c>
    </row>
    <row r="7441" spans="1:12" x14ac:dyDescent="0.3">
      <c r="A7441" s="2">
        <v>43958</v>
      </c>
      <c r="B7441">
        <v>3.53</v>
      </c>
      <c r="D7441" s="2">
        <v>44689</v>
      </c>
      <c r="E7441">
        <v>4.4000000000000004</v>
      </c>
      <c r="G7441" s="2">
        <v>44689</v>
      </c>
      <c r="H7441">
        <v>5.8890000000000002</v>
      </c>
      <c r="J7441" s="2">
        <v>44696</v>
      </c>
      <c r="K7441" s="3">
        <f t="shared" si="232"/>
        <v>4.4000000000000004</v>
      </c>
      <c r="L7441" s="3">
        <f t="shared" si="233"/>
        <v>5.7130000000000001</v>
      </c>
    </row>
    <row r="7442" spans="1:12" x14ac:dyDescent="0.3">
      <c r="A7442" s="2">
        <v>43959</v>
      </c>
      <c r="B7442">
        <v>3.55</v>
      </c>
      <c r="D7442" s="2">
        <v>44690</v>
      </c>
      <c r="E7442">
        <v>4.4000000000000004</v>
      </c>
      <c r="G7442" s="2">
        <v>44690</v>
      </c>
      <c r="H7442">
        <v>5.9889999999999999</v>
      </c>
      <c r="J7442" s="2">
        <v>44697</v>
      </c>
      <c r="K7442" s="3">
        <f t="shared" si="232"/>
        <v>4.4000000000000004</v>
      </c>
      <c r="L7442" s="3">
        <f t="shared" si="233"/>
        <v>5.7130000000000001</v>
      </c>
    </row>
    <row r="7443" spans="1:12" x14ac:dyDescent="0.3">
      <c r="A7443" s="2">
        <v>43960</v>
      </c>
      <c r="B7443">
        <v>3.55</v>
      </c>
      <c r="D7443" s="2">
        <v>44691</v>
      </c>
      <c r="E7443">
        <v>4.4000000000000004</v>
      </c>
      <c r="G7443" s="2">
        <v>44691</v>
      </c>
      <c r="H7443">
        <v>5.944</v>
      </c>
      <c r="J7443" s="2">
        <v>44698</v>
      </c>
      <c r="K7443" s="3">
        <f t="shared" si="232"/>
        <v>4.4000000000000004</v>
      </c>
      <c r="L7443" s="3">
        <f t="shared" si="233"/>
        <v>5.7619999999999996</v>
      </c>
    </row>
    <row r="7444" spans="1:12" x14ac:dyDescent="0.3">
      <c r="A7444" s="2">
        <v>43961</v>
      </c>
      <c r="B7444">
        <v>3.55</v>
      </c>
      <c r="D7444" s="2">
        <v>44692</v>
      </c>
      <c r="E7444">
        <v>4.4000000000000004</v>
      </c>
      <c r="G7444" s="2">
        <v>44692</v>
      </c>
      <c r="H7444">
        <v>6.0220000000000002</v>
      </c>
      <c r="J7444" s="2">
        <v>44699</v>
      </c>
      <c r="K7444" s="3">
        <f t="shared" si="232"/>
        <v>4.4000000000000004</v>
      </c>
      <c r="L7444" s="3">
        <f t="shared" si="233"/>
        <v>5.8250000000000002</v>
      </c>
    </row>
    <row r="7445" spans="1:12" x14ac:dyDescent="0.3">
      <c r="A7445" s="2">
        <v>43962</v>
      </c>
      <c r="B7445">
        <v>3.67</v>
      </c>
      <c r="D7445" s="2">
        <v>44693</v>
      </c>
      <c r="E7445">
        <v>4.4000000000000004</v>
      </c>
      <c r="G7445" s="2">
        <v>44693</v>
      </c>
      <c r="H7445">
        <v>6.0220000000000002</v>
      </c>
      <c r="J7445" s="2">
        <v>44700</v>
      </c>
      <c r="K7445" s="3">
        <f t="shared" si="232"/>
        <v>4.4000000000000004</v>
      </c>
      <c r="L7445" s="3">
        <f t="shared" si="233"/>
        <v>5.8250000000000002</v>
      </c>
    </row>
    <row r="7446" spans="1:12" x14ac:dyDescent="0.3">
      <c r="A7446" s="2">
        <v>43963</v>
      </c>
      <c r="B7446">
        <v>3.64</v>
      </c>
      <c r="D7446" s="2">
        <v>44694</v>
      </c>
      <c r="E7446">
        <v>4.4000000000000004</v>
      </c>
      <c r="G7446" s="2">
        <v>44694</v>
      </c>
      <c r="H7446">
        <v>5.7130000000000001</v>
      </c>
      <c r="J7446" s="2">
        <v>44701</v>
      </c>
      <c r="K7446" s="3">
        <f t="shared" si="232"/>
        <v>4.4000000000000004</v>
      </c>
      <c r="L7446" s="3">
        <f t="shared" si="233"/>
        <v>5.7859999999999996</v>
      </c>
    </row>
    <row r="7447" spans="1:12" x14ac:dyDescent="0.3">
      <c r="A7447" s="2">
        <v>43964</v>
      </c>
      <c r="B7447">
        <v>3.74</v>
      </c>
      <c r="D7447" s="2">
        <v>44695</v>
      </c>
      <c r="E7447">
        <v>4.4000000000000004</v>
      </c>
      <c r="G7447" s="2">
        <v>44695</v>
      </c>
      <c r="H7447">
        <v>5.7130000000000001</v>
      </c>
      <c r="J7447" s="2">
        <v>44702</v>
      </c>
      <c r="K7447" s="3">
        <f t="shared" si="232"/>
        <v>4.4000000000000004</v>
      </c>
      <c r="L7447" s="3">
        <f t="shared" si="233"/>
        <v>5.7859999999999996</v>
      </c>
    </row>
    <row r="7448" spans="1:12" x14ac:dyDescent="0.3">
      <c r="A7448" s="2">
        <v>43965</v>
      </c>
      <c r="B7448">
        <v>3.72</v>
      </c>
      <c r="D7448" s="2">
        <v>44696</v>
      </c>
      <c r="E7448">
        <v>4.4000000000000004</v>
      </c>
      <c r="G7448" s="2">
        <v>44696</v>
      </c>
      <c r="H7448">
        <v>5.7130000000000001</v>
      </c>
      <c r="J7448" s="2">
        <v>44703</v>
      </c>
      <c r="K7448" s="3">
        <f t="shared" si="232"/>
        <v>4.4000000000000004</v>
      </c>
      <c r="L7448" s="3">
        <f t="shared" si="233"/>
        <v>5.7859999999999996</v>
      </c>
    </row>
    <row r="7449" spans="1:12" x14ac:dyDescent="0.3">
      <c r="A7449" s="2">
        <v>43966</v>
      </c>
      <c r="B7449">
        <v>3.71</v>
      </c>
      <c r="D7449" s="2">
        <v>44697</v>
      </c>
      <c r="E7449">
        <v>4.4000000000000004</v>
      </c>
      <c r="G7449" s="2">
        <v>44697</v>
      </c>
      <c r="H7449">
        <v>5.7130000000000001</v>
      </c>
      <c r="J7449" s="2">
        <v>44704</v>
      </c>
      <c r="K7449" s="3">
        <f t="shared" si="232"/>
        <v>4.4000000000000004</v>
      </c>
      <c r="L7449" s="3">
        <f t="shared" si="233"/>
        <v>5.8120000000000003</v>
      </c>
    </row>
    <row r="7450" spans="1:12" x14ac:dyDescent="0.3">
      <c r="A7450" s="2">
        <v>43967</v>
      </c>
      <c r="B7450">
        <v>3.71</v>
      </c>
      <c r="D7450" s="2">
        <v>44698</v>
      </c>
      <c r="E7450">
        <v>4.4000000000000004</v>
      </c>
      <c r="G7450" s="2">
        <v>44698</v>
      </c>
      <c r="H7450">
        <v>5.7619999999999996</v>
      </c>
      <c r="J7450" s="2">
        <v>44705</v>
      </c>
      <c r="K7450" s="3">
        <f t="shared" si="232"/>
        <v>4.4000000000000004</v>
      </c>
      <c r="L7450" s="3">
        <f t="shared" si="233"/>
        <v>5.8310000000000004</v>
      </c>
    </row>
    <row r="7451" spans="1:12" x14ac:dyDescent="0.3">
      <c r="A7451" s="2">
        <v>43968</v>
      </c>
      <c r="B7451">
        <v>3.71</v>
      </c>
      <c r="D7451" s="2">
        <v>44699</v>
      </c>
      <c r="E7451">
        <v>4.4000000000000004</v>
      </c>
      <c r="G7451" s="2">
        <v>44699</v>
      </c>
      <c r="H7451">
        <v>5.8250000000000002</v>
      </c>
      <c r="J7451" s="2">
        <v>44706</v>
      </c>
      <c r="K7451" s="3">
        <f t="shared" si="232"/>
        <v>4.4000000000000004</v>
      </c>
      <c r="L7451" s="3">
        <f t="shared" si="233"/>
        <v>5.8540000000000001</v>
      </c>
    </row>
    <row r="7452" spans="1:12" x14ac:dyDescent="0.3">
      <c r="A7452" s="2">
        <v>43969</v>
      </c>
      <c r="B7452">
        <v>3.7</v>
      </c>
      <c r="D7452" s="2">
        <v>44700</v>
      </c>
      <c r="E7452">
        <v>4.4000000000000004</v>
      </c>
      <c r="G7452" s="2">
        <v>44700</v>
      </c>
      <c r="H7452">
        <v>5.8250000000000002</v>
      </c>
      <c r="J7452" s="2">
        <v>44707</v>
      </c>
      <c r="K7452" s="3">
        <f t="shared" si="232"/>
        <v>4.4000000000000004</v>
      </c>
      <c r="L7452" s="3">
        <f t="shared" si="233"/>
        <v>5.867</v>
      </c>
    </row>
    <row r="7453" spans="1:12" x14ac:dyDescent="0.3">
      <c r="A7453" s="2">
        <v>43970</v>
      </c>
      <c r="B7453">
        <v>3.67</v>
      </c>
      <c r="D7453" s="2">
        <v>44701</v>
      </c>
      <c r="E7453">
        <v>4.4000000000000004</v>
      </c>
      <c r="G7453" s="2">
        <v>44701</v>
      </c>
      <c r="H7453">
        <v>5.7859999999999996</v>
      </c>
      <c r="J7453" s="2">
        <v>44708</v>
      </c>
      <c r="K7453" s="3">
        <f t="shared" si="232"/>
        <v>4.4000000000000004</v>
      </c>
      <c r="L7453" s="3">
        <f t="shared" si="233"/>
        <v>5.9119999999999999</v>
      </c>
    </row>
    <row r="7454" spans="1:12" x14ac:dyDescent="0.3">
      <c r="A7454" s="2">
        <v>43971</v>
      </c>
      <c r="B7454">
        <v>3.77</v>
      </c>
      <c r="D7454" s="2">
        <v>44702</v>
      </c>
      <c r="E7454">
        <v>4.4000000000000004</v>
      </c>
      <c r="G7454" s="2">
        <v>44702</v>
      </c>
      <c r="H7454">
        <v>5.7859999999999996</v>
      </c>
      <c r="J7454" s="2">
        <v>44709</v>
      </c>
      <c r="K7454" s="3">
        <f t="shared" si="232"/>
        <v>4.4000000000000004</v>
      </c>
      <c r="L7454" s="3">
        <f t="shared" si="233"/>
        <v>5.9119999999999999</v>
      </c>
    </row>
    <row r="7455" spans="1:12" x14ac:dyDescent="0.3">
      <c r="A7455" s="2">
        <v>43972</v>
      </c>
      <c r="B7455">
        <v>3.7</v>
      </c>
      <c r="D7455" s="2">
        <v>44703</v>
      </c>
      <c r="E7455">
        <v>4.4000000000000004</v>
      </c>
      <c r="G7455" s="2">
        <v>44703</v>
      </c>
      <c r="H7455">
        <v>5.7859999999999996</v>
      </c>
      <c r="J7455" s="2">
        <v>44710</v>
      </c>
      <c r="K7455" s="3">
        <f t="shared" si="232"/>
        <v>4.4000000000000004</v>
      </c>
      <c r="L7455" s="3">
        <f t="shared" si="233"/>
        <v>5.9119999999999999</v>
      </c>
    </row>
    <row r="7456" spans="1:12" x14ac:dyDescent="0.3">
      <c r="A7456" s="2">
        <v>43973</v>
      </c>
      <c r="B7456">
        <v>3.42</v>
      </c>
      <c r="D7456" s="2">
        <v>44704</v>
      </c>
      <c r="E7456">
        <v>4.4000000000000004</v>
      </c>
      <c r="G7456" s="2">
        <v>44704</v>
      </c>
      <c r="H7456">
        <v>5.8120000000000003</v>
      </c>
      <c r="J7456" s="2">
        <v>44711</v>
      </c>
      <c r="K7456" s="3">
        <f t="shared" si="232"/>
        <v>4.4000000000000004</v>
      </c>
      <c r="L7456" s="3">
        <f t="shared" si="233"/>
        <v>6.0289999999999999</v>
      </c>
    </row>
    <row r="7457" spans="1:12" x14ac:dyDescent="0.3">
      <c r="A7457" s="2">
        <v>43974</v>
      </c>
      <c r="B7457">
        <v>3.42</v>
      </c>
      <c r="D7457" s="2">
        <v>44705</v>
      </c>
      <c r="E7457">
        <v>4.4000000000000004</v>
      </c>
      <c r="G7457" s="2">
        <v>44705</v>
      </c>
      <c r="H7457">
        <v>5.8310000000000004</v>
      </c>
      <c r="J7457" s="2">
        <v>44712</v>
      </c>
      <c r="K7457" s="3">
        <f t="shared" si="232"/>
        <v>4.4000000000000004</v>
      </c>
      <c r="L7457" s="3">
        <f t="shared" si="233"/>
        <v>6.0129999999999999</v>
      </c>
    </row>
    <row r="7458" spans="1:12" x14ac:dyDescent="0.3">
      <c r="A7458" s="2">
        <v>43975</v>
      </c>
      <c r="B7458">
        <v>3.42</v>
      </c>
      <c r="D7458" s="2">
        <v>44706</v>
      </c>
      <c r="E7458">
        <v>4.4000000000000004</v>
      </c>
      <c r="G7458" s="2">
        <v>44706</v>
      </c>
      <c r="H7458">
        <v>5.8540000000000001</v>
      </c>
      <c r="J7458" s="2">
        <v>44713</v>
      </c>
      <c r="K7458" s="3">
        <f t="shared" si="232"/>
        <v>4.4000000000000004</v>
      </c>
      <c r="L7458" s="3">
        <f t="shared" si="233"/>
        <v>6.0439999999999996</v>
      </c>
    </row>
    <row r="7459" spans="1:12" x14ac:dyDescent="0.3">
      <c r="A7459" s="2">
        <v>43976</v>
      </c>
      <c r="B7459">
        <v>3.42</v>
      </c>
      <c r="D7459" s="2">
        <v>44707</v>
      </c>
      <c r="E7459">
        <v>4.4000000000000004</v>
      </c>
      <c r="G7459" s="2">
        <v>44707</v>
      </c>
      <c r="H7459">
        <v>5.867</v>
      </c>
      <c r="J7459" s="2">
        <v>44714</v>
      </c>
      <c r="K7459" s="3">
        <f t="shared" si="232"/>
        <v>4.4000000000000004</v>
      </c>
      <c r="L7459" s="3">
        <f t="shared" si="233"/>
        <v>6.0519999999999996</v>
      </c>
    </row>
    <row r="7460" spans="1:12" x14ac:dyDescent="0.3">
      <c r="A7460" s="2">
        <v>43977</v>
      </c>
      <c r="B7460">
        <v>3.44</v>
      </c>
      <c r="D7460" s="2">
        <v>44708</v>
      </c>
      <c r="E7460">
        <v>4.4000000000000004</v>
      </c>
      <c r="G7460" s="2">
        <v>44708</v>
      </c>
      <c r="H7460">
        <v>5.9119999999999999</v>
      </c>
      <c r="J7460" s="2">
        <v>44715</v>
      </c>
      <c r="K7460" s="3">
        <f t="shared" si="232"/>
        <v>4.4000000000000004</v>
      </c>
      <c r="L7460" s="3">
        <f t="shared" si="233"/>
        <v>6.0750000000000002</v>
      </c>
    </row>
    <row r="7461" spans="1:12" x14ac:dyDescent="0.3">
      <c r="A7461" s="2">
        <v>43978</v>
      </c>
      <c r="B7461">
        <v>3.4</v>
      </c>
      <c r="D7461" s="2">
        <v>44709</v>
      </c>
      <c r="E7461">
        <v>4.4000000000000004</v>
      </c>
      <c r="G7461" s="2">
        <v>44709</v>
      </c>
      <c r="H7461">
        <v>5.9119999999999999</v>
      </c>
    </row>
    <row r="7462" spans="1:12" x14ac:dyDescent="0.3">
      <c r="A7462" s="2">
        <v>43979</v>
      </c>
      <c r="B7462">
        <v>3.41</v>
      </c>
      <c r="D7462" s="2">
        <v>44710</v>
      </c>
      <c r="E7462">
        <v>4.4000000000000004</v>
      </c>
      <c r="G7462" s="2">
        <v>44710</v>
      </c>
      <c r="H7462">
        <v>5.9119999999999999</v>
      </c>
    </row>
    <row r="7463" spans="1:12" x14ac:dyDescent="0.3">
      <c r="A7463" s="2">
        <v>43980</v>
      </c>
      <c r="B7463">
        <v>3.41</v>
      </c>
      <c r="D7463" s="2">
        <v>44711</v>
      </c>
      <c r="E7463">
        <v>4.4000000000000004</v>
      </c>
      <c r="G7463" s="2">
        <v>44711</v>
      </c>
      <c r="H7463">
        <v>6.0289999999999999</v>
      </c>
    </row>
    <row r="7464" spans="1:12" x14ac:dyDescent="0.3">
      <c r="A7464" s="2">
        <v>43981</v>
      </c>
      <c r="B7464">
        <v>3.41</v>
      </c>
      <c r="D7464" s="2">
        <v>44712</v>
      </c>
      <c r="E7464">
        <v>4.4000000000000004</v>
      </c>
      <c r="G7464" s="2">
        <v>44712</v>
      </c>
      <c r="H7464">
        <v>6.0129999999999999</v>
      </c>
    </row>
    <row r="7465" spans="1:12" x14ac:dyDescent="0.3">
      <c r="A7465" s="2">
        <v>43982</v>
      </c>
      <c r="B7465">
        <v>3.41</v>
      </c>
      <c r="D7465" s="2">
        <v>44713</v>
      </c>
      <c r="E7465">
        <v>4.4000000000000004</v>
      </c>
      <c r="G7465" s="2">
        <v>44713</v>
      </c>
      <c r="H7465">
        <v>6.0439999999999996</v>
      </c>
    </row>
    <row r="7466" spans="1:12" x14ac:dyDescent="0.3">
      <c r="A7466" s="2">
        <v>43983</v>
      </c>
      <c r="B7466">
        <v>3.45</v>
      </c>
      <c r="D7466" s="2">
        <v>44714</v>
      </c>
      <c r="E7466">
        <v>4.4000000000000004</v>
      </c>
      <c r="G7466" s="2">
        <v>44714</v>
      </c>
      <c r="H7466">
        <v>6.0519999999999996</v>
      </c>
    </row>
    <row r="7467" spans="1:12" x14ac:dyDescent="0.3">
      <c r="A7467" s="2">
        <v>43984</v>
      </c>
      <c r="B7467">
        <v>3.44</v>
      </c>
      <c r="D7467" s="2">
        <v>44715</v>
      </c>
      <c r="E7467">
        <v>4.4000000000000004</v>
      </c>
      <c r="G7467" s="2">
        <v>44715</v>
      </c>
      <c r="H7467">
        <v>6.0750000000000002</v>
      </c>
    </row>
    <row r="7468" spans="1:12" x14ac:dyDescent="0.3">
      <c r="A7468" s="2">
        <v>43985</v>
      </c>
      <c r="B7468">
        <v>3.44</v>
      </c>
      <c r="D7468" s="2"/>
    </row>
    <row r="7469" spans="1:12" x14ac:dyDescent="0.3">
      <c r="A7469" s="2">
        <v>43986</v>
      </c>
      <c r="B7469">
        <v>3.5</v>
      </c>
      <c r="D7469" s="2"/>
    </row>
    <row r="7470" spans="1:12" x14ac:dyDescent="0.3">
      <c r="A7470" s="2">
        <v>43987</v>
      </c>
      <c r="B7470">
        <v>3.45</v>
      </c>
      <c r="D7470" s="2"/>
    </row>
    <row r="7471" spans="1:12" x14ac:dyDescent="0.3">
      <c r="A7471" s="2">
        <v>43988</v>
      </c>
      <c r="B7471">
        <v>3.45</v>
      </c>
      <c r="D7471" s="2"/>
    </row>
    <row r="7472" spans="1:12" x14ac:dyDescent="0.3">
      <c r="A7472" s="2">
        <v>43989</v>
      </c>
      <c r="B7472">
        <v>3.45</v>
      </c>
      <c r="D7472" s="2"/>
    </row>
    <row r="7473" spans="1:4" x14ac:dyDescent="0.3">
      <c r="A7473" s="2">
        <v>43990</v>
      </c>
      <c r="B7473">
        <v>3.43</v>
      </c>
      <c r="D7473" s="2"/>
    </row>
    <row r="7474" spans="1:4" x14ac:dyDescent="0.3">
      <c r="A7474" s="2">
        <v>43991</v>
      </c>
      <c r="B7474">
        <v>3.5</v>
      </c>
      <c r="D7474" s="2"/>
    </row>
    <row r="7475" spans="1:4" x14ac:dyDescent="0.3">
      <c r="A7475" s="2">
        <v>43992</v>
      </c>
      <c r="B7475">
        <v>3.54</v>
      </c>
      <c r="D7475" s="2"/>
    </row>
    <row r="7476" spans="1:4" x14ac:dyDescent="0.3">
      <c r="A7476" s="2">
        <v>43993</v>
      </c>
      <c r="B7476">
        <v>3.52</v>
      </c>
      <c r="D7476" s="2"/>
    </row>
    <row r="7477" spans="1:4" x14ac:dyDescent="0.3">
      <c r="A7477" s="2">
        <v>43994</v>
      </c>
      <c r="B7477">
        <v>3.54</v>
      </c>
      <c r="D7477" s="2"/>
    </row>
    <row r="7478" spans="1:4" x14ac:dyDescent="0.3">
      <c r="A7478" s="2">
        <v>43995</v>
      </c>
      <c r="B7478">
        <v>3.54</v>
      </c>
      <c r="D7478" s="2"/>
    </row>
    <row r="7479" spans="1:4" x14ac:dyDescent="0.3">
      <c r="A7479" s="2">
        <v>43996</v>
      </c>
      <c r="B7479">
        <v>3.54</v>
      </c>
      <c r="D7479" s="2"/>
    </row>
    <row r="7480" spans="1:4" x14ac:dyDescent="0.3">
      <c r="A7480" s="2">
        <v>43997</v>
      </c>
      <c r="B7480">
        <v>3.52</v>
      </c>
      <c r="D7480" s="2"/>
    </row>
    <row r="7481" spans="1:4" x14ac:dyDescent="0.3">
      <c r="A7481" s="2">
        <v>43998</v>
      </c>
      <c r="B7481">
        <v>3.51</v>
      </c>
      <c r="D7481" s="2"/>
    </row>
    <row r="7482" spans="1:4" x14ac:dyDescent="0.3">
      <c r="A7482" s="2">
        <v>43999</v>
      </c>
      <c r="B7482">
        <v>3.54</v>
      </c>
      <c r="D7482" s="2"/>
    </row>
    <row r="7483" spans="1:4" x14ac:dyDescent="0.3">
      <c r="A7483" s="2">
        <v>44000</v>
      </c>
      <c r="B7483">
        <v>3.52</v>
      </c>
      <c r="D7483" s="2"/>
    </row>
    <row r="7484" spans="1:4" x14ac:dyDescent="0.3">
      <c r="A7484" s="2">
        <v>44001</v>
      </c>
      <c r="B7484">
        <v>3.51</v>
      </c>
      <c r="D7484" s="2"/>
    </row>
    <row r="7485" spans="1:4" x14ac:dyDescent="0.3">
      <c r="A7485" s="2">
        <v>44002</v>
      </c>
      <c r="B7485">
        <v>3.51</v>
      </c>
      <c r="D7485" s="2"/>
    </row>
    <row r="7486" spans="1:4" x14ac:dyDescent="0.3">
      <c r="A7486" s="2">
        <v>44003</v>
      </c>
      <c r="B7486">
        <v>3.51</v>
      </c>
      <c r="D7486" s="2"/>
    </row>
    <row r="7487" spans="1:4" x14ac:dyDescent="0.3">
      <c r="A7487" s="2">
        <v>44004</v>
      </c>
      <c r="B7487">
        <v>3.5</v>
      </c>
      <c r="D7487" s="2"/>
    </row>
    <row r="7488" spans="1:4" x14ac:dyDescent="0.3">
      <c r="A7488" s="2">
        <v>44005</v>
      </c>
      <c r="B7488">
        <v>3.5</v>
      </c>
      <c r="D7488" s="2"/>
    </row>
    <row r="7489" spans="1:4" x14ac:dyDescent="0.3">
      <c r="A7489" s="2">
        <v>44006</v>
      </c>
      <c r="B7489">
        <v>3.54</v>
      </c>
      <c r="D7489" s="2"/>
    </row>
    <row r="7490" spans="1:4" x14ac:dyDescent="0.3">
      <c r="A7490" s="2">
        <v>44007</v>
      </c>
      <c r="B7490">
        <v>3.5</v>
      </c>
      <c r="D7490" s="2"/>
    </row>
    <row r="7491" spans="1:4" x14ac:dyDescent="0.3">
      <c r="A7491" s="2">
        <v>44008</v>
      </c>
      <c r="B7491">
        <v>3.49</v>
      </c>
      <c r="D7491" s="2"/>
    </row>
    <row r="7492" spans="1:4" x14ac:dyDescent="0.3">
      <c r="A7492" s="2">
        <v>44009</v>
      </c>
      <c r="B7492">
        <v>3.49</v>
      </c>
      <c r="D7492" s="2"/>
    </row>
    <row r="7493" spans="1:4" x14ac:dyDescent="0.3">
      <c r="A7493" s="2">
        <v>44010</v>
      </c>
      <c r="B7493">
        <v>3.49</v>
      </c>
      <c r="D7493" s="2"/>
    </row>
    <row r="7494" spans="1:4" x14ac:dyDescent="0.3">
      <c r="A7494" s="2">
        <v>44011</v>
      </c>
      <c r="B7494">
        <v>3.46</v>
      </c>
      <c r="D7494" s="2"/>
    </row>
    <row r="7495" spans="1:4" x14ac:dyDescent="0.3">
      <c r="A7495" s="2">
        <v>44012</v>
      </c>
      <c r="B7495">
        <v>3.45</v>
      </c>
      <c r="D7495" s="2"/>
    </row>
    <row r="7496" spans="1:4" x14ac:dyDescent="0.3">
      <c r="A7496" s="2">
        <v>44013</v>
      </c>
      <c r="B7496">
        <v>3.45</v>
      </c>
      <c r="D7496" s="2"/>
    </row>
    <row r="7497" spans="1:4" x14ac:dyDescent="0.3">
      <c r="A7497" s="2">
        <v>44014</v>
      </c>
      <c r="B7497">
        <v>3.42</v>
      </c>
      <c r="D7497" s="2"/>
    </row>
    <row r="7498" spans="1:4" x14ac:dyDescent="0.3">
      <c r="A7498" s="2">
        <v>44015</v>
      </c>
      <c r="B7498">
        <v>3.41</v>
      </c>
      <c r="D7498" s="2"/>
    </row>
    <row r="7499" spans="1:4" x14ac:dyDescent="0.3">
      <c r="A7499" s="2">
        <v>44016</v>
      </c>
      <c r="B7499">
        <v>3.41</v>
      </c>
      <c r="D7499" s="2"/>
    </row>
    <row r="7500" spans="1:4" x14ac:dyDescent="0.3">
      <c r="A7500" s="2">
        <v>44017</v>
      </c>
      <c r="B7500">
        <v>3.41</v>
      </c>
      <c r="D7500" s="2"/>
    </row>
    <row r="7501" spans="1:4" x14ac:dyDescent="0.3">
      <c r="A7501" s="2">
        <v>44018</v>
      </c>
      <c r="B7501">
        <v>3.4</v>
      </c>
      <c r="D7501" s="2"/>
    </row>
    <row r="7502" spans="1:4" x14ac:dyDescent="0.3">
      <c r="A7502" s="2">
        <v>44019</v>
      </c>
      <c r="B7502">
        <v>3.39</v>
      </c>
      <c r="D7502" s="2"/>
    </row>
    <row r="7503" spans="1:4" x14ac:dyDescent="0.3">
      <c r="A7503" s="2">
        <v>44020</v>
      </c>
      <c r="B7503">
        <v>3.38</v>
      </c>
      <c r="D7503" s="2"/>
    </row>
    <row r="7504" spans="1:4" x14ac:dyDescent="0.3">
      <c r="A7504" s="2">
        <v>44021</v>
      </c>
      <c r="B7504">
        <v>3.38</v>
      </c>
      <c r="D7504" s="2"/>
    </row>
    <row r="7505" spans="1:4" x14ac:dyDescent="0.3">
      <c r="A7505" s="2">
        <v>44022</v>
      </c>
      <c r="B7505">
        <v>3.38</v>
      </c>
      <c r="D7505" s="2"/>
    </row>
    <row r="7506" spans="1:4" x14ac:dyDescent="0.3">
      <c r="A7506" s="2">
        <v>44023</v>
      </c>
      <c r="B7506">
        <v>3.38</v>
      </c>
      <c r="D7506" s="2"/>
    </row>
    <row r="7507" spans="1:4" x14ac:dyDescent="0.3">
      <c r="A7507" s="2">
        <v>44024</v>
      </c>
      <c r="B7507">
        <v>3.38</v>
      </c>
      <c r="D7507" s="2"/>
    </row>
    <row r="7508" spans="1:4" x14ac:dyDescent="0.3">
      <c r="A7508" s="2">
        <v>44025</v>
      </c>
      <c r="B7508">
        <v>3.36</v>
      </c>
      <c r="D7508" s="2"/>
    </row>
    <row r="7509" spans="1:4" x14ac:dyDescent="0.3">
      <c r="A7509" s="2">
        <v>44026</v>
      </c>
      <c r="B7509">
        <v>3.36</v>
      </c>
      <c r="D7509" s="2"/>
    </row>
    <row r="7510" spans="1:4" x14ac:dyDescent="0.3">
      <c r="A7510" s="2">
        <v>44027</v>
      </c>
      <c r="B7510">
        <v>3.38</v>
      </c>
      <c r="D7510" s="2"/>
    </row>
    <row r="7511" spans="1:4" x14ac:dyDescent="0.3">
      <c r="A7511" s="2">
        <v>44028</v>
      </c>
      <c r="B7511">
        <v>3.36</v>
      </c>
      <c r="D7511" s="2"/>
    </row>
    <row r="7512" spans="1:4" x14ac:dyDescent="0.3">
      <c r="A7512" s="2">
        <v>44029</v>
      </c>
      <c r="B7512">
        <v>3.36</v>
      </c>
      <c r="D7512" s="2"/>
    </row>
    <row r="7513" spans="1:4" x14ac:dyDescent="0.3">
      <c r="A7513" s="2">
        <v>44030</v>
      </c>
      <c r="B7513">
        <v>3.36</v>
      </c>
      <c r="D7513" s="2"/>
    </row>
    <row r="7514" spans="1:4" x14ac:dyDescent="0.3">
      <c r="A7514" s="2">
        <v>44031</v>
      </c>
      <c r="B7514">
        <v>3.36</v>
      </c>
      <c r="D7514" s="2"/>
    </row>
    <row r="7515" spans="1:4" x14ac:dyDescent="0.3">
      <c r="A7515" s="2">
        <v>44032</v>
      </c>
      <c r="B7515">
        <v>3.39</v>
      </c>
      <c r="D7515" s="2"/>
    </row>
    <row r="7516" spans="1:4" x14ac:dyDescent="0.3">
      <c r="A7516" s="2">
        <v>44033</v>
      </c>
      <c r="B7516">
        <v>3.36</v>
      </c>
      <c r="D7516" s="2"/>
    </row>
    <row r="7517" spans="1:4" x14ac:dyDescent="0.3">
      <c r="A7517" s="2">
        <v>44034</v>
      </c>
      <c r="B7517">
        <v>3.44</v>
      </c>
      <c r="D7517" s="2"/>
    </row>
    <row r="7518" spans="1:4" x14ac:dyDescent="0.3">
      <c r="A7518" s="2">
        <v>44035</v>
      </c>
      <c r="B7518">
        <v>3.46</v>
      </c>
      <c r="D7518" s="2"/>
    </row>
    <row r="7519" spans="1:4" x14ac:dyDescent="0.3">
      <c r="A7519" s="2">
        <v>44036</v>
      </c>
      <c r="B7519">
        <v>3.45</v>
      </c>
      <c r="D7519" s="2"/>
    </row>
    <row r="7520" spans="1:4" x14ac:dyDescent="0.3">
      <c r="A7520" s="2">
        <v>44037</v>
      </c>
      <c r="B7520">
        <v>3.45</v>
      </c>
      <c r="D7520" s="2"/>
    </row>
    <row r="7521" spans="1:4" x14ac:dyDescent="0.3">
      <c r="A7521" s="2">
        <v>44038</v>
      </c>
      <c r="B7521">
        <v>3.45</v>
      </c>
      <c r="D7521" s="2"/>
    </row>
    <row r="7522" spans="1:4" x14ac:dyDescent="0.3">
      <c r="A7522" s="2">
        <v>44039</v>
      </c>
      <c r="B7522">
        <v>3.45</v>
      </c>
      <c r="D7522" s="2"/>
    </row>
    <row r="7523" spans="1:4" x14ac:dyDescent="0.3">
      <c r="A7523" s="2">
        <v>44040</v>
      </c>
      <c r="B7523">
        <v>3.45</v>
      </c>
      <c r="D7523" s="2"/>
    </row>
    <row r="7524" spans="1:4" x14ac:dyDescent="0.3">
      <c r="A7524" s="2">
        <v>44041</v>
      </c>
      <c r="B7524">
        <v>3.48</v>
      </c>
      <c r="D7524" s="2"/>
    </row>
    <row r="7525" spans="1:4" x14ac:dyDescent="0.3">
      <c r="A7525" s="2">
        <v>44042</v>
      </c>
      <c r="B7525">
        <v>3.47</v>
      </c>
      <c r="D7525" s="2"/>
    </row>
    <row r="7526" spans="1:4" x14ac:dyDescent="0.3">
      <c r="A7526" s="2">
        <v>44043</v>
      </c>
      <c r="B7526">
        <v>3.46</v>
      </c>
      <c r="D7526" s="2"/>
    </row>
    <row r="7527" spans="1:4" x14ac:dyDescent="0.3">
      <c r="A7527" s="2">
        <v>44044</v>
      </c>
      <c r="B7527">
        <v>3.46</v>
      </c>
      <c r="D7527" s="2"/>
    </row>
    <row r="7528" spans="1:4" x14ac:dyDescent="0.3">
      <c r="A7528" s="2">
        <v>44045</v>
      </c>
      <c r="B7528">
        <v>3.46</v>
      </c>
      <c r="D7528" s="2"/>
    </row>
    <row r="7529" spans="1:4" x14ac:dyDescent="0.3">
      <c r="A7529" s="2">
        <v>44046</v>
      </c>
      <c r="B7529">
        <v>3.47</v>
      </c>
      <c r="D7529" s="2"/>
    </row>
    <row r="7530" spans="1:4" x14ac:dyDescent="0.3">
      <c r="A7530" s="2">
        <v>44047</v>
      </c>
      <c r="B7530">
        <v>3.47</v>
      </c>
      <c r="D7530" s="2"/>
    </row>
    <row r="7531" spans="1:4" x14ac:dyDescent="0.3">
      <c r="A7531" s="2">
        <v>44048</v>
      </c>
      <c r="B7531">
        <v>3.48</v>
      </c>
      <c r="D7531" s="2"/>
    </row>
    <row r="7532" spans="1:4" x14ac:dyDescent="0.3">
      <c r="A7532" s="2">
        <v>44049</v>
      </c>
      <c r="B7532">
        <v>3.45</v>
      </c>
      <c r="D7532" s="2"/>
    </row>
    <row r="7533" spans="1:4" x14ac:dyDescent="0.3">
      <c r="A7533" s="2">
        <v>44050</v>
      </c>
      <c r="B7533">
        <v>3.46</v>
      </c>
      <c r="D7533" s="2"/>
    </row>
    <row r="7534" spans="1:4" x14ac:dyDescent="0.3">
      <c r="A7534" s="2">
        <v>44051</v>
      </c>
      <c r="B7534">
        <v>3.46</v>
      </c>
      <c r="D7534" s="2"/>
    </row>
    <row r="7535" spans="1:4" x14ac:dyDescent="0.3">
      <c r="A7535" s="2">
        <v>44052</v>
      </c>
      <c r="B7535">
        <v>3.46</v>
      </c>
      <c r="D7535" s="2"/>
    </row>
    <row r="7536" spans="1:4" x14ac:dyDescent="0.3">
      <c r="A7536" s="2">
        <v>44053</v>
      </c>
      <c r="B7536">
        <v>3.52</v>
      </c>
      <c r="D7536" s="2"/>
    </row>
    <row r="7537" spans="1:4" x14ac:dyDescent="0.3">
      <c r="A7537" s="2">
        <v>44054</v>
      </c>
      <c r="B7537">
        <v>3.48</v>
      </c>
      <c r="D7537" s="2"/>
    </row>
    <row r="7538" spans="1:4" x14ac:dyDescent="0.3">
      <c r="A7538" s="2">
        <v>44055</v>
      </c>
      <c r="B7538">
        <v>3.51</v>
      </c>
      <c r="D7538" s="2"/>
    </row>
    <row r="7539" spans="1:4" x14ac:dyDescent="0.3">
      <c r="A7539" s="2">
        <v>44056</v>
      </c>
      <c r="B7539">
        <v>3.5</v>
      </c>
      <c r="D7539" s="2"/>
    </row>
    <row r="7540" spans="1:4" x14ac:dyDescent="0.3">
      <c r="A7540" s="2">
        <v>44057</v>
      </c>
      <c r="B7540">
        <v>3.53</v>
      </c>
      <c r="D7540" s="2"/>
    </row>
    <row r="7541" spans="1:4" x14ac:dyDescent="0.3">
      <c r="A7541" s="2">
        <v>44058</v>
      </c>
      <c r="B7541">
        <v>3.53</v>
      </c>
      <c r="D7541" s="2"/>
    </row>
    <row r="7542" spans="1:4" x14ac:dyDescent="0.3">
      <c r="A7542" s="2">
        <v>44059</v>
      </c>
      <c r="B7542">
        <v>3.53</v>
      </c>
      <c r="D7542" s="2"/>
    </row>
    <row r="7543" spans="1:4" x14ac:dyDescent="0.3">
      <c r="A7543" s="2">
        <v>44060</v>
      </c>
      <c r="B7543">
        <v>3.5</v>
      </c>
      <c r="D7543" s="2"/>
    </row>
    <row r="7544" spans="1:4" x14ac:dyDescent="0.3">
      <c r="A7544" s="2">
        <v>44061</v>
      </c>
      <c r="B7544">
        <v>3.52</v>
      </c>
      <c r="D7544" s="2"/>
    </row>
    <row r="7545" spans="1:4" x14ac:dyDescent="0.3">
      <c r="A7545" s="2">
        <v>44062</v>
      </c>
      <c r="B7545">
        <v>3.51</v>
      </c>
      <c r="D7545" s="2"/>
    </row>
    <row r="7546" spans="1:4" x14ac:dyDescent="0.3">
      <c r="A7546" s="2">
        <v>44063</v>
      </c>
      <c r="B7546">
        <v>3.5</v>
      </c>
      <c r="D7546" s="2"/>
    </row>
    <row r="7547" spans="1:4" x14ac:dyDescent="0.3">
      <c r="A7547" s="2">
        <v>44064</v>
      </c>
      <c r="B7547">
        <v>3.51</v>
      </c>
      <c r="D7547" s="2"/>
    </row>
    <row r="7548" spans="1:4" x14ac:dyDescent="0.3">
      <c r="A7548" s="2">
        <v>44065</v>
      </c>
      <c r="B7548">
        <v>3.51</v>
      </c>
      <c r="D7548" s="2"/>
    </row>
    <row r="7549" spans="1:4" x14ac:dyDescent="0.3">
      <c r="A7549" s="2">
        <v>44066</v>
      </c>
      <c r="B7549">
        <v>3.51</v>
      </c>
      <c r="D7549" s="2"/>
    </row>
    <row r="7550" spans="1:4" x14ac:dyDescent="0.3">
      <c r="A7550" s="2">
        <v>44067</v>
      </c>
      <c r="B7550">
        <v>3.47</v>
      </c>
      <c r="D7550" s="2"/>
    </row>
    <row r="7551" spans="1:4" x14ac:dyDescent="0.3">
      <c r="A7551" s="2">
        <v>44068</v>
      </c>
      <c r="B7551">
        <v>3.49</v>
      </c>
      <c r="D7551" s="2"/>
    </row>
    <row r="7552" spans="1:4" x14ac:dyDescent="0.3">
      <c r="A7552" s="2">
        <v>44069</v>
      </c>
      <c r="B7552">
        <v>3.55</v>
      </c>
      <c r="D7552" s="2"/>
    </row>
    <row r="7553" spans="1:4" x14ac:dyDescent="0.3">
      <c r="A7553" s="2">
        <v>44070</v>
      </c>
      <c r="B7553">
        <v>3.56</v>
      </c>
      <c r="D7553" s="2"/>
    </row>
    <row r="7554" spans="1:4" x14ac:dyDescent="0.3">
      <c r="A7554" s="2">
        <v>44071</v>
      </c>
      <c r="B7554">
        <v>3.58</v>
      </c>
      <c r="D7554" s="2"/>
    </row>
    <row r="7555" spans="1:4" x14ac:dyDescent="0.3">
      <c r="A7555" s="2">
        <v>44072</v>
      </c>
      <c r="B7555">
        <v>3.58</v>
      </c>
      <c r="D7555" s="2"/>
    </row>
    <row r="7556" spans="1:4" x14ac:dyDescent="0.3">
      <c r="A7556" s="2">
        <v>44073</v>
      </c>
      <c r="B7556">
        <v>3.58</v>
      </c>
      <c r="D7556" s="2"/>
    </row>
    <row r="7557" spans="1:4" x14ac:dyDescent="0.3">
      <c r="A7557" s="2">
        <v>44074</v>
      </c>
      <c r="B7557">
        <v>3.55</v>
      </c>
      <c r="D7557" s="2"/>
    </row>
    <row r="7558" spans="1:4" x14ac:dyDescent="0.3">
      <c r="A7558" s="2">
        <v>44075</v>
      </c>
      <c r="B7558">
        <v>3.54</v>
      </c>
      <c r="D7558" s="2"/>
    </row>
    <row r="7559" spans="1:4" x14ac:dyDescent="0.3">
      <c r="A7559" s="2">
        <v>44076</v>
      </c>
      <c r="B7559">
        <v>3.54</v>
      </c>
      <c r="D7559" s="2"/>
    </row>
    <row r="7560" spans="1:4" x14ac:dyDescent="0.3">
      <c r="A7560" s="2">
        <v>44077</v>
      </c>
      <c r="B7560">
        <v>3.55</v>
      </c>
      <c r="D7560" s="2"/>
    </row>
    <row r="7561" spans="1:4" x14ac:dyDescent="0.3">
      <c r="A7561" s="2">
        <v>44078</v>
      </c>
      <c r="B7561">
        <v>3.52</v>
      </c>
      <c r="D7561" s="2"/>
    </row>
    <row r="7562" spans="1:4" x14ac:dyDescent="0.3">
      <c r="A7562" s="2">
        <v>44079</v>
      </c>
      <c r="B7562">
        <v>3.52</v>
      </c>
      <c r="D7562" s="2"/>
    </row>
    <row r="7563" spans="1:4" x14ac:dyDescent="0.3">
      <c r="A7563" s="2">
        <v>44080</v>
      </c>
      <c r="B7563">
        <v>3.52</v>
      </c>
      <c r="D7563" s="2"/>
    </row>
    <row r="7564" spans="1:4" x14ac:dyDescent="0.3">
      <c r="A7564" s="2">
        <v>44081</v>
      </c>
      <c r="B7564">
        <v>3.53</v>
      </c>
      <c r="D7564" s="2"/>
    </row>
    <row r="7565" spans="1:4" x14ac:dyDescent="0.3">
      <c r="A7565" s="2">
        <v>44082</v>
      </c>
      <c r="B7565">
        <v>3.5</v>
      </c>
      <c r="D7565" s="2"/>
    </row>
    <row r="7566" spans="1:4" x14ac:dyDescent="0.3">
      <c r="A7566" s="2">
        <v>44083</v>
      </c>
      <c r="B7566">
        <v>3.61</v>
      </c>
      <c r="D7566" s="2"/>
    </row>
    <row r="7567" spans="1:4" x14ac:dyDescent="0.3">
      <c r="A7567" s="2">
        <v>44084</v>
      </c>
      <c r="B7567">
        <v>3.61</v>
      </c>
      <c r="D7567" s="2"/>
    </row>
    <row r="7568" spans="1:4" x14ac:dyDescent="0.3">
      <c r="A7568" s="2">
        <v>44085</v>
      </c>
      <c r="B7568">
        <v>3.59</v>
      </c>
      <c r="D7568" s="2"/>
    </row>
    <row r="7569" spans="1:4" x14ac:dyDescent="0.3">
      <c r="A7569" s="2">
        <v>44086</v>
      </c>
      <c r="B7569">
        <v>3.59</v>
      </c>
      <c r="D7569" s="2"/>
    </row>
    <row r="7570" spans="1:4" x14ac:dyDescent="0.3">
      <c r="A7570" s="2">
        <v>44087</v>
      </c>
      <c r="B7570">
        <v>3.59</v>
      </c>
      <c r="D7570" s="2"/>
    </row>
    <row r="7571" spans="1:4" x14ac:dyDescent="0.3">
      <c r="A7571" s="2">
        <v>44088</v>
      </c>
      <c r="B7571">
        <v>3.58</v>
      </c>
      <c r="D7571" s="2"/>
    </row>
    <row r="7572" spans="1:4" x14ac:dyDescent="0.3">
      <c r="A7572" s="2">
        <v>44089</v>
      </c>
      <c r="B7572">
        <v>3.58</v>
      </c>
      <c r="D7572" s="2"/>
    </row>
    <row r="7573" spans="1:4" x14ac:dyDescent="0.3">
      <c r="A7573" s="2">
        <v>44090</v>
      </c>
      <c r="B7573">
        <v>3.66</v>
      </c>
      <c r="D7573" s="2"/>
    </row>
    <row r="7574" spans="1:4" x14ac:dyDescent="0.3">
      <c r="A7574" s="2">
        <v>44091</v>
      </c>
      <c r="B7574">
        <v>3.61</v>
      </c>
      <c r="D7574" s="2"/>
    </row>
    <row r="7575" spans="1:4" x14ac:dyDescent="0.3">
      <c r="A7575" s="2">
        <v>44092</v>
      </c>
      <c r="B7575">
        <v>3.62</v>
      </c>
      <c r="D7575" s="2"/>
    </row>
    <row r="7576" spans="1:4" x14ac:dyDescent="0.3">
      <c r="A7576" s="2">
        <v>44093</v>
      </c>
      <c r="B7576">
        <v>3.62</v>
      </c>
      <c r="D7576" s="2"/>
    </row>
    <row r="7577" spans="1:4" x14ac:dyDescent="0.3">
      <c r="A7577" s="2">
        <v>44094</v>
      </c>
      <c r="B7577">
        <v>3.62</v>
      </c>
      <c r="D7577" s="2"/>
    </row>
    <row r="7578" spans="1:4" x14ac:dyDescent="0.3">
      <c r="A7578" s="2">
        <v>44095</v>
      </c>
      <c r="B7578">
        <v>3.61</v>
      </c>
      <c r="D7578" s="2"/>
    </row>
    <row r="7579" spans="1:4" x14ac:dyDescent="0.3">
      <c r="A7579" s="2">
        <v>44096</v>
      </c>
      <c r="B7579">
        <v>3.6</v>
      </c>
      <c r="D7579" s="2"/>
    </row>
    <row r="7580" spans="1:4" x14ac:dyDescent="0.3">
      <c r="A7580" s="2">
        <v>44097</v>
      </c>
      <c r="B7580">
        <v>3.69</v>
      </c>
      <c r="D7580" s="2"/>
    </row>
    <row r="7581" spans="1:4" x14ac:dyDescent="0.3">
      <c r="A7581" s="2">
        <v>44098</v>
      </c>
      <c r="B7581">
        <v>3.68</v>
      </c>
      <c r="D7581" s="2"/>
    </row>
    <row r="7582" spans="1:4" x14ac:dyDescent="0.3">
      <c r="A7582" s="2">
        <v>44099</v>
      </c>
      <c r="B7582">
        <v>3.72</v>
      </c>
      <c r="D7582" s="2"/>
    </row>
    <row r="7583" spans="1:4" x14ac:dyDescent="0.3">
      <c r="A7583" s="2">
        <v>44100</v>
      </c>
      <c r="B7583">
        <v>3.72</v>
      </c>
      <c r="D7583" s="2"/>
    </row>
    <row r="7584" spans="1:4" x14ac:dyDescent="0.3">
      <c r="A7584" s="2">
        <v>44101</v>
      </c>
      <c r="B7584">
        <v>3.72</v>
      </c>
      <c r="D7584" s="2"/>
    </row>
    <row r="7585" spans="1:4" x14ac:dyDescent="0.3">
      <c r="A7585" s="2">
        <v>44102</v>
      </c>
      <c r="B7585">
        <v>3.71</v>
      </c>
      <c r="D7585" s="2"/>
    </row>
    <row r="7586" spans="1:4" x14ac:dyDescent="0.3">
      <c r="A7586" s="2">
        <v>44103</v>
      </c>
      <c r="B7586">
        <v>3.65</v>
      </c>
      <c r="D7586" s="2"/>
    </row>
    <row r="7587" spans="1:4" x14ac:dyDescent="0.3">
      <c r="A7587" s="2">
        <v>44104</v>
      </c>
      <c r="B7587">
        <v>3.65</v>
      </c>
      <c r="D7587" s="2"/>
    </row>
    <row r="7588" spans="1:4" x14ac:dyDescent="0.3">
      <c r="A7588" s="2">
        <v>44105</v>
      </c>
      <c r="B7588">
        <v>3.57</v>
      </c>
      <c r="D7588" s="2"/>
    </row>
    <row r="7589" spans="1:4" x14ac:dyDescent="0.3">
      <c r="A7589" s="2">
        <v>44106</v>
      </c>
      <c r="B7589">
        <v>3.57</v>
      </c>
      <c r="D7589" s="2"/>
    </row>
    <row r="7590" spans="1:4" x14ac:dyDescent="0.3">
      <c r="A7590" s="2">
        <v>44107</v>
      </c>
      <c r="B7590">
        <v>3.57</v>
      </c>
      <c r="D7590" s="2"/>
    </row>
    <row r="7591" spans="1:4" x14ac:dyDescent="0.3">
      <c r="A7591" s="2">
        <v>44108</v>
      </c>
      <c r="B7591">
        <v>3.57</v>
      </c>
      <c r="D7591" s="2"/>
    </row>
    <row r="7592" spans="1:4" x14ac:dyDescent="0.3">
      <c r="A7592" s="2">
        <v>44109</v>
      </c>
      <c r="B7592">
        <v>3.55</v>
      </c>
      <c r="D7592" s="2"/>
    </row>
    <row r="7593" spans="1:4" x14ac:dyDescent="0.3">
      <c r="A7593" s="2">
        <v>44110</v>
      </c>
      <c r="B7593">
        <v>3.55</v>
      </c>
      <c r="D7593" s="2"/>
    </row>
    <row r="7594" spans="1:4" x14ac:dyDescent="0.3">
      <c r="A7594" s="2">
        <v>44111</v>
      </c>
      <c r="B7594">
        <v>3.48</v>
      </c>
      <c r="D7594" s="2"/>
    </row>
    <row r="7595" spans="1:4" x14ac:dyDescent="0.3">
      <c r="A7595" s="2">
        <v>44112</v>
      </c>
      <c r="B7595">
        <v>3.5</v>
      </c>
      <c r="D7595" s="2"/>
    </row>
    <row r="7596" spans="1:4" x14ac:dyDescent="0.3">
      <c r="A7596" s="2">
        <v>44113</v>
      </c>
      <c r="B7596">
        <v>3.46</v>
      </c>
      <c r="D7596" s="2"/>
    </row>
    <row r="7597" spans="1:4" x14ac:dyDescent="0.3">
      <c r="A7597" s="2">
        <v>44114</v>
      </c>
      <c r="B7597">
        <v>3.46</v>
      </c>
      <c r="D7597" s="2"/>
    </row>
    <row r="7598" spans="1:4" x14ac:dyDescent="0.3">
      <c r="A7598" s="2">
        <v>44115</v>
      </c>
      <c r="B7598">
        <v>3.46</v>
      </c>
      <c r="D7598" s="2"/>
    </row>
    <row r="7599" spans="1:4" x14ac:dyDescent="0.3">
      <c r="A7599" s="2">
        <v>44116</v>
      </c>
      <c r="B7599">
        <v>3.51</v>
      </c>
      <c r="D7599" s="2"/>
    </row>
    <row r="7600" spans="1:4" x14ac:dyDescent="0.3">
      <c r="A7600" s="2">
        <v>44117</v>
      </c>
      <c r="B7600">
        <v>3.48</v>
      </c>
      <c r="D7600" s="2"/>
    </row>
    <row r="7601" spans="1:4" x14ac:dyDescent="0.3">
      <c r="A7601" s="2">
        <v>44118</v>
      </c>
      <c r="B7601">
        <v>3.47</v>
      </c>
      <c r="D7601" s="2"/>
    </row>
    <row r="7602" spans="1:4" x14ac:dyDescent="0.3">
      <c r="A7602" s="2">
        <v>44119</v>
      </c>
      <c r="B7602">
        <v>3.46</v>
      </c>
      <c r="D7602" s="2"/>
    </row>
    <row r="7603" spans="1:4" x14ac:dyDescent="0.3">
      <c r="A7603" s="2">
        <v>44120</v>
      </c>
      <c r="B7603">
        <v>3.49</v>
      </c>
      <c r="D7603" s="2"/>
    </row>
    <row r="7604" spans="1:4" x14ac:dyDescent="0.3">
      <c r="A7604" s="2">
        <v>44121</v>
      </c>
      <c r="B7604">
        <v>3.49</v>
      </c>
      <c r="D7604" s="2"/>
    </row>
    <row r="7605" spans="1:4" x14ac:dyDescent="0.3">
      <c r="A7605" s="2">
        <v>44122</v>
      </c>
      <c r="B7605">
        <v>3.49</v>
      </c>
      <c r="D7605" s="2"/>
    </row>
    <row r="7606" spans="1:4" x14ac:dyDescent="0.3">
      <c r="A7606" s="2">
        <v>44123</v>
      </c>
      <c r="B7606">
        <v>3.44</v>
      </c>
      <c r="D7606" s="2"/>
    </row>
    <row r="7607" spans="1:4" x14ac:dyDescent="0.3">
      <c r="A7607" s="2">
        <v>44124</v>
      </c>
      <c r="B7607">
        <v>3.37</v>
      </c>
      <c r="D7607" s="2"/>
    </row>
    <row r="7608" spans="1:4" x14ac:dyDescent="0.3">
      <c r="A7608" s="2">
        <v>44125</v>
      </c>
      <c r="B7608">
        <v>3.45</v>
      </c>
      <c r="D7608" s="2"/>
    </row>
    <row r="7609" spans="1:4" x14ac:dyDescent="0.3">
      <c r="A7609" s="2">
        <v>44126</v>
      </c>
      <c r="B7609">
        <v>3.43</v>
      </c>
      <c r="D7609" s="2"/>
    </row>
    <row r="7610" spans="1:4" x14ac:dyDescent="0.3">
      <c r="A7610" s="2">
        <v>44127</v>
      </c>
      <c r="B7610">
        <v>3.45</v>
      </c>
      <c r="D7610" s="2"/>
    </row>
    <row r="7611" spans="1:4" x14ac:dyDescent="0.3">
      <c r="A7611" s="2">
        <v>44128</v>
      </c>
      <c r="B7611">
        <v>3.45</v>
      </c>
      <c r="D7611" s="2"/>
    </row>
    <row r="7612" spans="1:4" x14ac:dyDescent="0.3">
      <c r="A7612" s="2">
        <v>44129</v>
      </c>
      <c r="B7612">
        <v>3.45</v>
      </c>
      <c r="D7612" s="2"/>
    </row>
    <row r="7613" spans="1:4" x14ac:dyDescent="0.3">
      <c r="A7613" s="2">
        <v>44130</v>
      </c>
      <c r="B7613">
        <v>3.45</v>
      </c>
      <c r="D7613" s="2"/>
    </row>
    <row r="7614" spans="1:4" x14ac:dyDescent="0.3">
      <c r="A7614" s="2">
        <v>44131</v>
      </c>
      <c r="B7614">
        <v>3.45</v>
      </c>
      <c r="D7614" s="2"/>
    </row>
    <row r="7615" spans="1:4" x14ac:dyDescent="0.3">
      <c r="A7615" s="2">
        <v>44132</v>
      </c>
      <c r="B7615">
        <v>3.45</v>
      </c>
      <c r="D7615" s="2"/>
    </row>
    <row r="7616" spans="1:4" x14ac:dyDescent="0.3">
      <c r="A7616" s="2">
        <v>44133</v>
      </c>
      <c r="B7616">
        <v>3.44</v>
      </c>
      <c r="D7616" s="2"/>
    </row>
    <row r="7617" spans="1:4" x14ac:dyDescent="0.3">
      <c r="A7617" s="2">
        <v>44134</v>
      </c>
      <c r="B7617">
        <v>3.44</v>
      </c>
      <c r="D7617" s="2"/>
    </row>
    <row r="7618" spans="1:4" x14ac:dyDescent="0.3">
      <c r="A7618" s="2">
        <v>44135</v>
      </c>
      <c r="B7618">
        <v>3.44</v>
      </c>
      <c r="D7618" s="2"/>
    </row>
    <row r="7619" spans="1:4" x14ac:dyDescent="0.3">
      <c r="A7619" s="2">
        <v>44136</v>
      </c>
      <c r="B7619">
        <v>3.44</v>
      </c>
      <c r="D7619" s="2"/>
    </row>
    <row r="7620" spans="1:4" x14ac:dyDescent="0.3">
      <c r="A7620" s="2">
        <v>44137</v>
      </c>
      <c r="B7620">
        <v>3.48</v>
      </c>
      <c r="D7620" s="2"/>
    </row>
    <row r="7621" spans="1:4" x14ac:dyDescent="0.3">
      <c r="A7621" s="2">
        <v>44138</v>
      </c>
      <c r="B7621">
        <v>3.44</v>
      </c>
      <c r="D7621" s="2"/>
    </row>
    <row r="7622" spans="1:4" x14ac:dyDescent="0.3">
      <c r="A7622" s="2">
        <v>44139</v>
      </c>
      <c r="B7622">
        <v>3.44</v>
      </c>
      <c r="D7622" s="2"/>
    </row>
    <row r="7623" spans="1:4" x14ac:dyDescent="0.3">
      <c r="A7623" s="2">
        <v>44140</v>
      </c>
      <c r="B7623">
        <v>3.45</v>
      </c>
      <c r="D7623" s="2"/>
    </row>
    <row r="7624" spans="1:4" x14ac:dyDescent="0.3">
      <c r="A7624" s="2">
        <v>44141</v>
      </c>
      <c r="B7624">
        <v>3.45</v>
      </c>
      <c r="D7624" s="2"/>
    </row>
    <row r="7625" spans="1:4" x14ac:dyDescent="0.3">
      <c r="A7625" s="2">
        <v>44142</v>
      </c>
      <c r="B7625">
        <v>3.45</v>
      </c>
      <c r="D7625" s="2"/>
    </row>
    <row r="7626" spans="1:4" x14ac:dyDescent="0.3">
      <c r="A7626" s="2">
        <v>44143</v>
      </c>
      <c r="B7626">
        <v>3.45</v>
      </c>
      <c r="D7626" s="2"/>
    </row>
    <row r="7627" spans="1:4" x14ac:dyDescent="0.3">
      <c r="A7627" s="2">
        <v>44144</v>
      </c>
      <c r="B7627">
        <v>3.46</v>
      </c>
      <c r="D7627" s="2"/>
    </row>
    <row r="7628" spans="1:4" x14ac:dyDescent="0.3">
      <c r="A7628" s="2">
        <v>44145</v>
      </c>
      <c r="B7628">
        <v>3.46</v>
      </c>
      <c r="D7628" s="2"/>
    </row>
    <row r="7629" spans="1:4" x14ac:dyDescent="0.3">
      <c r="A7629" s="2">
        <v>44146</v>
      </c>
      <c r="B7629">
        <v>3.43</v>
      </c>
      <c r="D7629" s="2"/>
    </row>
    <row r="7630" spans="1:4" x14ac:dyDescent="0.3">
      <c r="A7630" s="2">
        <v>44147</v>
      </c>
      <c r="B7630">
        <v>3.43</v>
      </c>
      <c r="D7630" s="2"/>
    </row>
    <row r="7631" spans="1:4" x14ac:dyDescent="0.3">
      <c r="A7631" s="2">
        <v>44148</v>
      </c>
      <c r="B7631">
        <v>3.45</v>
      </c>
      <c r="D7631" s="2"/>
    </row>
    <row r="7632" spans="1:4" x14ac:dyDescent="0.3">
      <c r="A7632" s="2">
        <v>44149</v>
      </c>
      <c r="B7632">
        <v>3.45</v>
      </c>
      <c r="D7632" s="2"/>
    </row>
    <row r="7633" spans="1:4" x14ac:dyDescent="0.3">
      <c r="A7633" s="2">
        <v>44150</v>
      </c>
      <c r="B7633">
        <v>3.45</v>
      </c>
      <c r="D7633" s="2"/>
    </row>
    <row r="7634" spans="1:4" x14ac:dyDescent="0.3">
      <c r="A7634" s="2">
        <v>44151</v>
      </c>
      <c r="B7634">
        <v>3.45</v>
      </c>
      <c r="D7634" s="2"/>
    </row>
    <row r="7635" spans="1:4" x14ac:dyDescent="0.3">
      <c r="A7635" s="2">
        <v>44152</v>
      </c>
      <c r="B7635">
        <v>3.43</v>
      </c>
      <c r="D7635" s="2"/>
    </row>
    <row r="7636" spans="1:4" x14ac:dyDescent="0.3">
      <c r="A7636" s="2">
        <v>44153</v>
      </c>
      <c r="B7636">
        <v>3.41</v>
      </c>
      <c r="D7636" s="2"/>
    </row>
    <row r="7637" spans="1:4" x14ac:dyDescent="0.3">
      <c r="A7637" s="2">
        <v>44154</v>
      </c>
      <c r="B7637">
        <v>3.4</v>
      </c>
      <c r="D7637" s="2"/>
    </row>
    <row r="7638" spans="1:4" x14ac:dyDescent="0.3">
      <c r="A7638" s="2">
        <v>44155</v>
      </c>
      <c r="B7638">
        <v>3.38</v>
      </c>
      <c r="D7638" s="2"/>
    </row>
    <row r="7639" spans="1:4" x14ac:dyDescent="0.3">
      <c r="A7639" s="2">
        <v>44156</v>
      </c>
      <c r="B7639">
        <v>3.38</v>
      </c>
      <c r="D7639" s="2"/>
    </row>
    <row r="7640" spans="1:4" x14ac:dyDescent="0.3">
      <c r="A7640" s="2">
        <v>44157</v>
      </c>
      <c r="B7640">
        <v>3.38</v>
      </c>
      <c r="D7640" s="2"/>
    </row>
    <row r="7641" spans="1:4" x14ac:dyDescent="0.3">
      <c r="A7641" s="2">
        <v>44158</v>
      </c>
      <c r="B7641">
        <v>3.36</v>
      </c>
      <c r="D7641" s="2"/>
    </row>
    <row r="7642" spans="1:4" x14ac:dyDescent="0.3">
      <c r="A7642" s="2">
        <v>44159</v>
      </c>
      <c r="B7642">
        <v>3.39</v>
      </c>
      <c r="D7642" s="2"/>
    </row>
    <row r="7643" spans="1:4" x14ac:dyDescent="0.3">
      <c r="A7643" s="2">
        <v>44160</v>
      </c>
      <c r="B7643">
        <v>3.38</v>
      </c>
      <c r="D7643" s="2"/>
    </row>
    <row r="7644" spans="1:4" x14ac:dyDescent="0.3">
      <c r="A7644" s="2">
        <v>44161</v>
      </c>
      <c r="B7644">
        <v>3.35</v>
      </c>
      <c r="D7644" s="2"/>
    </row>
    <row r="7645" spans="1:4" x14ac:dyDescent="0.3">
      <c r="A7645" s="2">
        <v>44162</v>
      </c>
      <c r="B7645">
        <v>3.32</v>
      </c>
      <c r="D7645" s="2"/>
    </row>
    <row r="7646" spans="1:4" x14ac:dyDescent="0.3">
      <c r="A7646" s="2">
        <v>44163</v>
      </c>
      <c r="B7646">
        <v>3.32</v>
      </c>
      <c r="D7646" s="2"/>
    </row>
    <row r="7647" spans="1:4" x14ac:dyDescent="0.3">
      <c r="A7647" s="2">
        <v>44164</v>
      </c>
      <c r="B7647">
        <v>3.32</v>
      </c>
      <c r="D7647" s="2"/>
    </row>
    <row r="7648" spans="1:4" x14ac:dyDescent="0.3">
      <c r="A7648" s="2">
        <v>44165</v>
      </c>
      <c r="B7648">
        <v>3.32</v>
      </c>
      <c r="D7648" s="2"/>
    </row>
    <row r="7649" spans="1:4" x14ac:dyDescent="0.3">
      <c r="A7649" s="2">
        <v>44166</v>
      </c>
      <c r="B7649">
        <v>3.34</v>
      </c>
      <c r="D7649" s="2"/>
    </row>
    <row r="7650" spans="1:4" x14ac:dyDescent="0.3">
      <c r="A7650" s="2">
        <v>44167</v>
      </c>
      <c r="B7650">
        <v>3.4</v>
      </c>
      <c r="D7650" s="2"/>
    </row>
    <row r="7651" spans="1:4" x14ac:dyDescent="0.3">
      <c r="A7651" s="2">
        <v>44168</v>
      </c>
      <c r="B7651">
        <v>3.4</v>
      </c>
      <c r="D7651" s="2"/>
    </row>
    <row r="7652" spans="1:4" x14ac:dyDescent="0.3">
      <c r="A7652" s="2">
        <v>44169</v>
      </c>
      <c r="B7652">
        <v>3.35</v>
      </c>
      <c r="D7652" s="2"/>
    </row>
    <row r="7653" spans="1:4" x14ac:dyDescent="0.3">
      <c r="A7653" s="2">
        <v>44170</v>
      </c>
      <c r="B7653">
        <v>3.35</v>
      </c>
      <c r="D7653" s="2"/>
    </row>
    <row r="7654" spans="1:4" x14ac:dyDescent="0.3">
      <c r="A7654" s="2">
        <v>44171</v>
      </c>
      <c r="B7654">
        <v>3.35</v>
      </c>
      <c r="D7654" s="2"/>
    </row>
    <row r="7655" spans="1:4" x14ac:dyDescent="0.3">
      <c r="A7655" s="2">
        <v>44172</v>
      </c>
      <c r="B7655">
        <v>3.35</v>
      </c>
      <c r="D7655" s="2"/>
    </row>
    <row r="7656" spans="1:4" x14ac:dyDescent="0.3">
      <c r="A7656" s="2">
        <v>44173</v>
      </c>
      <c r="B7656">
        <v>3.37</v>
      </c>
      <c r="D7656" s="2"/>
    </row>
    <row r="7657" spans="1:4" x14ac:dyDescent="0.3">
      <c r="A7657" s="2">
        <v>44174</v>
      </c>
      <c r="B7657">
        <v>3.44</v>
      </c>
      <c r="D7657" s="2"/>
    </row>
    <row r="7658" spans="1:4" x14ac:dyDescent="0.3">
      <c r="A7658" s="2">
        <v>44175</v>
      </c>
      <c r="B7658">
        <v>3.41</v>
      </c>
      <c r="D7658" s="2"/>
    </row>
    <row r="7659" spans="1:4" x14ac:dyDescent="0.3">
      <c r="A7659" s="2">
        <v>44176</v>
      </c>
      <c r="B7659">
        <v>3.43</v>
      </c>
      <c r="D7659" s="2"/>
    </row>
    <row r="7660" spans="1:4" x14ac:dyDescent="0.3">
      <c r="A7660" s="2">
        <v>44177</v>
      </c>
      <c r="B7660">
        <v>3.43</v>
      </c>
      <c r="D7660" s="2"/>
    </row>
    <row r="7661" spans="1:4" x14ac:dyDescent="0.3">
      <c r="A7661" s="2">
        <v>44178</v>
      </c>
      <c r="B7661">
        <v>3.43</v>
      </c>
      <c r="D7661" s="2"/>
    </row>
    <row r="7662" spans="1:4" x14ac:dyDescent="0.3">
      <c r="A7662" s="2">
        <v>44179</v>
      </c>
      <c r="B7662">
        <v>3.39</v>
      </c>
      <c r="D7662" s="2"/>
    </row>
    <row r="7663" spans="1:4" x14ac:dyDescent="0.3">
      <c r="A7663" s="2">
        <v>44180</v>
      </c>
      <c r="B7663">
        <v>3.38</v>
      </c>
      <c r="D7663" s="2"/>
    </row>
    <row r="7664" spans="1:4" x14ac:dyDescent="0.3">
      <c r="A7664" s="2">
        <v>44181</v>
      </c>
      <c r="B7664">
        <v>3.41</v>
      </c>
      <c r="D7664" s="2"/>
    </row>
    <row r="7665" spans="1:4" x14ac:dyDescent="0.3">
      <c r="A7665" s="2">
        <v>44182</v>
      </c>
      <c r="B7665">
        <v>3.41</v>
      </c>
      <c r="D7665" s="2"/>
    </row>
    <row r="7666" spans="1:4" x14ac:dyDescent="0.3">
      <c r="A7666" s="2">
        <v>44183</v>
      </c>
      <c r="B7666">
        <v>3.4</v>
      </c>
      <c r="D7666" s="2"/>
    </row>
    <row r="7667" spans="1:4" x14ac:dyDescent="0.3">
      <c r="A7667" s="2">
        <v>44184</v>
      </c>
      <c r="B7667">
        <v>3.4</v>
      </c>
      <c r="D7667" s="2"/>
    </row>
    <row r="7668" spans="1:4" x14ac:dyDescent="0.3">
      <c r="A7668" s="2">
        <v>44185</v>
      </c>
      <c r="B7668">
        <v>3.4</v>
      </c>
      <c r="D7668" s="2"/>
    </row>
    <row r="7669" spans="1:4" x14ac:dyDescent="0.3">
      <c r="A7669" s="2">
        <v>44186</v>
      </c>
      <c r="B7669">
        <v>3.41</v>
      </c>
      <c r="D7669" s="2"/>
    </row>
    <row r="7670" spans="1:4" x14ac:dyDescent="0.3">
      <c r="A7670" s="2">
        <v>44187</v>
      </c>
      <c r="B7670">
        <v>3.41</v>
      </c>
      <c r="D7670" s="2"/>
    </row>
    <row r="7671" spans="1:4" x14ac:dyDescent="0.3">
      <c r="A7671" s="2">
        <v>44188</v>
      </c>
      <c r="B7671">
        <v>3.45</v>
      </c>
      <c r="D7671" s="2"/>
    </row>
    <row r="7672" spans="1:4" x14ac:dyDescent="0.3">
      <c r="A7672" s="2">
        <v>44189</v>
      </c>
      <c r="B7672">
        <v>3.45</v>
      </c>
      <c r="D7672" s="2"/>
    </row>
    <row r="7673" spans="1:4" x14ac:dyDescent="0.3">
      <c r="A7673" s="2">
        <v>44190</v>
      </c>
      <c r="B7673">
        <v>3.45</v>
      </c>
      <c r="D7673" s="2"/>
    </row>
    <row r="7674" spans="1:4" x14ac:dyDescent="0.3">
      <c r="A7674" s="2">
        <v>44191</v>
      </c>
      <c r="B7674">
        <v>3.45</v>
      </c>
      <c r="D7674" s="2"/>
    </row>
    <row r="7675" spans="1:4" x14ac:dyDescent="0.3">
      <c r="A7675" s="2">
        <v>44192</v>
      </c>
      <c r="B7675">
        <v>3.45</v>
      </c>
      <c r="D7675" s="2"/>
    </row>
    <row r="7676" spans="1:4" x14ac:dyDescent="0.3">
      <c r="A7676" s="2">
        <v>44193</v>
      </c>
      <c r="B7676">
        <v>3.43</v>
      </c>
      <c r="D7676" s="2"/>
    </row>
    <row r="7677" spans="1:4" x14ac:dyDescent="0.3">
      <c r="A7677" s="2">
        <v>44194</v>
      </c>
      <c r="B7677">
        <v>3.43</v>
      </c>
      <c r="D7677" s="2"/>
    </row>
    <row r="7678" spans="1:4" x14ac:dyDescent="0.3">
      <c r="A7678" s="2">
        <v>44195</v>
      </c>
      <c r="B7678">
        <v>3.44</v>
      </c>
      <c r="D7678" s="2"/>
    </row>
    <row r="7679" spans="1:4" x14ac:dyDescent="0.3">
      <c r="A7679" s="2">
        <v>44196</v>
      </c>
      <c r="B7679">
        <v>3.43</v>
      </c>
      <c r="D7679" s="2"/>
    </row>
    <row r="7680" spans="1:4" x14ac:dyDescent="0.3">
      <c r="A7680" s="2">
        <v>44197</v>
      </c>
      <c r="B7680">
        <v>3.43</v>
      </c>
      <c r="D7680" s="2"/>
    </row>
    <row r="7681" spans="1:4" x14ac:dyDescent="0.3">
      <c r="A7681" s="2">
        <v>44198</v>
      </c>
      <c r="B7681">
        <v>3.43</v>
      </c>
      <c r="D7681" s="2"/>
    </row>
    <row r="7682" spans="1:4" x14ac:dyDescent="0.3">
      <c r="A7682" s="2">
        <v>44199</v>
      </c>
      <c r="B7682">
        <v>3.43</v>
      </c>
      <c r="D7682" s="2"/>
    </row>
    <row r="7683" spans="1:4" x14ac:dyDescent="0.3">
      <c r="A7683" s="2">
        <v>44200</v>
      </c>
      <c r="B7683">
        <v>3.4338000000000002</v>
      </c>
      <c r="D7683" s="2"/>
    </row>
    <row r="7684" spans="1:4" x14ac:dyDescent="0.3">
      <c r="A7684" s="2">
        <v>44201</v>
      </c>
      <c r="B7684">
        <v>3.43</v>
      </c>
      <c r="D7684" s="2"/>
    </row>
    <row r="7685" spans="1:4" x14ac:dyDescent="0.3">
      <c r="A7685" s="2">
        <v>44202</v>
      </c>
      <c r="B7685">
        <v>3.45</v>
      </c>
      <c r="D7685" s="2"/>
    </row>
    <row r="7686" spans="1:4" x14ac:dyDescent="0.3">
      <c r="A7686" s="2">
        <v>44203</v>
      </c>
      <c r="B7686">
        <v>3.44</v>
      </c>
      <c r="D7686" s="2"/>
    </row>
    <row r="7687" spans="1:4" x14ac:dyDescent="0.3">
      <c r="A7687" s="2">
        <v>44204</v>
      </c>
      <c r="B7687">
        <v>3.45</v>
      </c>
      <c r="D7687" s="2"/>
    </row>
    <row r="7688" spans="1:4" x14ac:dyDescent="0.3">
      <c r="A7688" s="2">
        <v>44205</v>
      </c>
      <c r="B7688">
        <v>3.45</v>
      </c>
      <c r="D7688" s="2"/>
    </row>
    <row r="7689" spans="1:4" x14ac:dyDescent="0.3">
      <c r="A7689" s="2">
        <v>44206</v>
      </c>
      <c r="B7689">
        <v>3.45</v>
      </c>
      <c r="D7689" s="2"/>
    </row>
    <row r="7690" spans="1:4" x14ac:dyDescent="0.3">
      <c r="A7690" s="2">
        <v>44207</v>
      </c>
      <c r="B7690">
        <v>3.55</v>
      </c>
      <c r="D7690" s="2"/>
    </row>
    <row r="7691" spans="1:4" x14ac:dyDescent="0.3">
      <c r="A7691" s="2">
        <v>44208</v>
      </c>
      <c r="B7691">
        <v>3.49</v>
      </c>
      <c r="D7691" s="2"/>
    </row>
    <row r="7692" spans="1:4" x14ac:dyDescent="0.3">
      <c r="A7692" s="2">
        <v>44209</v>
      </c>
      <c r="B7692">
        <v>3.56</v>
      </c>
      <c r="D7692" s="2"/>
    </row>
    <row r="7693" spans="1:4" x14ac:dyDescent="0.3">
      <c r="A7693" s="2">
        <v>44210</v>
      </c>
      <c r="B7693">
        <v>3.57</v>
      </c>
    </row>
    <row r="7694" spans="1:4" x14ac:dyDescent="0.3">
      <c r="A7694" s="2">
        <v>44211</v>
      </c>
      <c r="B7694">
        <v>3.56</v>
      </c>
    </row>
    <row r="7695" spans="1:4" x14ac:dyDescent="0.3">
      <c r="A7695" s="2">
        <v>44212</v>
      </c>
      <c r="B7695">
        <v>3.56</v>
      </c>
    </row>
    <row r="7696" spans="1:4" x14ac:dyDescent="0.3">
      <c r="A7696" s="2">
        <v>44213</v>
      </c>
      <c r="B7696">
        <v>3.56</v>
      </c>
    </row>
    <row r="7697" spans="1:2" x14ac:dyDescent="0.3">
      <c r="A7697" s="2">
        <v>44214</v>
      </c>
      <c r="B7697">
        <v>3.55</v>
      </c>
    </row>
    <row r="7698" spans="1:2" x14ac:dyDescent="0.3">
      <c r="A7698" s="2">
        <v>44215</v>
      </c>
      <c r="B7698">
        <v>3.54</v>
      </c>
    </row>
    <row r="7699" spans="1:2" x14ac:dyDescent="0.3">
      <c r="A7699" s="2">
        <v>44216</v>
      </c>
      <c r="B7699">
        <v>3.61</v>
      </c>
    </row>
    <row r="7700" spans="1:2" x14ac:dyDescent="0.3">
      <c r="A7700" s="2">
        <v>44217</v>
      </c>
      <c r="B7700">
        <v>3.58</v>
      </c>
    </row>
    <row r="7701" spans="1:2" x14ac:dyDescent="0.3">
      <c r="A7701" s="2">
        <v>44218</v>
      </c>
      <c r="B7701">
        <v>3.58</v>
      </c>
    </row>
    <row r="7702" spans="1:2" x14ac:dyDescent="0.3">
      <c r="A7702" s="2">
        <v>44219</v>
      </c>
      <c r="B7702">
        <v>3.58</v>
      </c>
    </row>
    <row r="7703" spans="1:2" x14ac:dyDescent="0.3">
      <c r="A7703" s="2">
        <v>44220</v>
      </c>
      <c r="B7703">
        <v>3.58</v>
      </c>
    </row>
    <row r="7704" spans="1:2" x14ac:dyDescent="0.3">
      <c r="A7704" s="2">
        <v>44221</v>
      </c>
      <c r="B7704">
        <v>3.58</v>
      </c>
    </row>
    <row r="7705" spans="1:2" x14ac:dyDescent="0.3">
      <c r="A7705" s="2">
        <v>44222</v>
      </c>
      <c r="B7705">
        <v>3.58</v>
      </c>
    </row>
    <row r="7706" spans="1:2" x14ac:dyDescent="0.3">
      <c r="A7706" s="2">
        <v>44223</v>
      </c>
      <c r="B7706">
        <v>3.65</v>
      </c>
    </row>
    <row r="7707" spans="1:2" x14ac:dyDescent="0.3">
      <c r="A7707" s="2">
        <v>44224</v>
      </c>
      <c r="B7707">
        <v>3.65</v>
      </c>
    </row>
    <row r="7708" spans="1:2" x14ac:dyDescent="0.3">
      <c r="A7708" s="2">
        <v>44225</v>
      </c>
      <c r="B7708">
        <v>3.63</v>
      </c>
    </row>
    <row r="7709" spans="1:2" x14ac:dyDescent="0.3">
      <c r="A7709" s="2">
        <v>44226</v>
      </c>
      <c r="B7709">
        <v>3.63</v>
      </c>
    </row>
    <row r="7710" spans="1:2" x14ac:dyDescent="0.3">
      <c r="A7710" s="2">
        <v>44227</v>
      </c>
      <c r="B7710">
        <v>3.63</v>
      </c>
    </row>
    <row r="7711" spans="1:2" x14ac:dyDescent="0.3">
      <c r="A7711" s="2">
        <v>44228</v>
      </c>
      <c r="B7711">
        <v>3.69</v>
      </c>
    </row>
    <row r="7712" spans="1:2" x14ac:dyDescent="0.3">
      <c r="A7712" s="2">
        <v>44229</v>
      </c>
      <c r="B7712">
        <v>3.69</v>
      </c>
    </row>
    <row r="7713" spans="1:2" x14ac:dyDescent="0.3">
      <c r="A7713" s="2">
        <v>44230</v>
      </c>
      <c r="B7713">
        <v>3.71</v>
      </c>
    </row>
    <row r="7714" spans="1:2" x14ac:dyDescent="0.3">
      <c r="A7714" s="2">
        <v>44231</v>
      </c>
      <c r="B7714">
        <v>3.68</v>
      </c>
    </row>
    <row r="7715" spans="1:2" x14ac:dyDescent="0.3">
      <c r="A7715" s="2">
        <v>44232</v>
      </c>
      <c r="B7715">
        <v>3.7</v>
      </c>
    </row>
    <row r="7716" spans="1:2" x14ac:dyDescent="0.3">
      <c r="A7716" s="2">
        <v>44233</v>
      </c>
      <c r="B7716">
        <v>3.7</v>
      </c>
    </row>
    <row r="7717" spans="1:2" x14ac:dyDescent="0.3">
      <c r="A7717" s="2">
        <v>44234</v>
      </c>
      <c r="B7717">
        <v>3.7</v>
      </c>
    </row>
    <row r="7718" spans="1:2" x14ac:dyDescent="0.3">
      <c r="A7718" s="2">
        <v>44235</v>
      </c>
      <c r="B7718">
        <v>3.68</v>
      </c>
    </row>
    <row r="7719" spans="1:2" x14ac:dyDescent="0.3">
      <c r="A7719" s="2">
        <v>44236</v>
      </c>
      <c r="B7719">
        <v>3.68</v>
      </c>
    </row>
    <row r="7720" spans="1:2" x14ac:dyDescent="0.3">
      <c r="A7720" s="2">
        <v>44237</v>
      </c>
      <c r="B7720">
        <v>3.73</v>
      </c>
    </row>
    <row r="7721" spans="1:2" x14ac:dyDescent="0.3">
      <c r="A7721" s="2">
        <v>44238</v>
      </c>
      <c r="B7721">
        <v>3.74</v>
      </c>
    </row>
    <row r="7722" spans="1:2" x14ac:dyDescent="0.3">
      <c r="A7722" s="2">
        <v>44239</v>
      </c>
      <c r="B7722">
        <v>3.76</v>
      </c>
    </row>
    <row r="7723" spans="1:2" x14ac:dyDescent="0.3">
      <c r="A7723" s="2">
        <v>44240</v>
      </c>
      <c r="B7723">
        <v>3.76</v>
      </c>
    </row>
    <row r="7724" spans="1:2" x14ac:dyDescent="0.3">
      <c r="A7724" s="2">
        <v>44241</v>
      </c>
      <c r="B7724">
        <v>3.76</v>
      </c>
    </row>
    <row r="7725" spans="1:2" x14ac:dyDescent="0.3">
      <c r="A7725" s="2">
        <v>44242</v>
      </c>
      <c r="B7725">
        <v>3.7645</v>
      </c>
    </row>
    <row r="7726" spans="1:2" x14ac:dyDescent="0.3">
      <c r="A7726" s="2">
        <v>44243</v>
      </c>
      <c r="B7726">
        <v>3.7646999999999999</v>
      </c>
    </row>
    <row r="7727" spans="1:2" x14ac:dyDescent="0.3">
      <c r="A7727" s="2">
        <v>44244</v>
      </c>
      <c r="B7727">
        <v>3.7</v>
      </c>
    </row>
    <row r="7728" spans="1:2" x14ac:dyDescent="0.3">
      <c r="A7728" s="2">
        <v>44245</v>
      </c>
      <c r="B7728">
        <v>3.61</v>
      </c>
    </row>
    <row r="7729" spans="1:2" x14ac:dyDescent="0.3">
      <c r="A7729" s="2">
        <v>44246</v>
      </c>
      <c r="B7729">
        <v>3.61</v>
      </c>
    </row>
    <row r="7730" spans="1:2" x14ac:dyDescent="0.3">
      <c r="A7730" s="2">
        <v>44247</v>
      </c>
      <c r="B7730">
        <v>3.61</v>
      </c>
    </row>
    <row r="7731" spans="1:2" x14ac:dyDescent="0.3">
      <c r="A7731" s="2">
        <v>44248</v>
      </c>
      <c r="B7731">
        <v>3.61</v>
      </c>
    </row>
    <row r="7732" spans="1:2" x14ac:dyDescent="0.3">
      <c r="A7732" s="2">
        <v>44249</v>
      </c>
      <c r="B7732">
        <v>3.66</v>
      </c>
    </row>
    <row r="7733" spans="1:2" x14ac:dyDescent="0.3">
      <c r="A7733" s="2">
        <v>44250</v>
      </c>
      <c r="B7733">
        <v>3.63</v>
      </c>
    </row>
    <row r="7734" spans="1:2" x14ac:dyDescent="0.3">
      <c r="A7734" s="2">
        <v>44251</v>
      </c>
      <c r="B7734">
        <v>3.67</v>
      </c>
    </row>
    <row r="7735" spans="1:2" x14ac:dyDescent="0.3">
      <c r="A7735" s="2">
        <v>44252</v>
      </c>
      <c r="B7735">
        <v>3.63</v>
      </c>
    </row>
    <row r="7736" spans="1:2" x14ac:dyDescent="0.3">
      <c r="A7736" s="2">
        <v>44253</v>
      </c>
      <c r="B7736">
        <v>3.63</v>
      </c>
    </row>
    <row r="7737" spans="1:2" x14ac:dyDescent="0.3">
      <c r="A7737" s="2">
        <v>44254</v>
      </c>
      <c r="B7737">
        <v>3.63</v>
      </c>
    </row>
    <row r="7738" spans="1:2" x14ac:dyDescent="0.3">
      <c r="A7738" s="2">
        <v>44255</v>
      </c>
      <c r="B7738">
        <v>3.63</v>
      </c>
    </row>
    <row r="7739" spans="1:2" x14ac:dyDescent="0.3">
      <c r="A7739" s="2">
        <v>44256</v>
      </c>
      <c r="B7739">
        <v>3.64</v>
      </c>
    </row>
    <row r="7740" spans="1:2" x14ac:dyDescent="0.3">
      <c r="A7740" s="2">
        <v>44257</v>
      </c>
      <c r="B7740">
        <v>3.65</v>
      </c>
    </row>
    <row r="7741" spans="1:2" x14ac:dyDescent="0.3">
      <c r="A7741" s="2">
        <v>44258</v>
      </c>
      <c r="B7741">
        <v>3.7</v>
      </c>
    </row>
    <row r="7742" spans="1:2" x14ac:dyDescent="0.3">
      <c r="A7742" s="2">
        <v>44259</v>
      </c>
      <c r="B7742">
        <v>3.69</v>
      </c>
    </row>
    <row r="7743" spans="1:2" x14ac:dyDescent="0.3">
      <c r="A7743" s="2">
        <v>44260</v>
      </c>
      <c r="B7743">
        <v>3.74</v>
      </c>
    </row>
    <row r="7744" spans="1:2" x14ac:dyDescent="0.3">
      <c r="A7744" s="2">
        <v>44261</v>
      </c>
      <c r="B7744">
        <v>3.74</v>
      </c>
    </row>
    <row r="7745" spans="1:2" x14ac:dyDescent="0.3">
      <c r="A7745" s="2">
        <v>44262</v>
      </c>
      <c r="B7745">
        <v>3.74</v>
      </c>
    </row>
    <row r="7746" spans="1:2" x14ac:dyDescent="0.3">
      <c r="A7746" s="2">
        <v>44263</v>
      </c>
      <c r="B7746">
        <v>3.67</v>
      </c>
    </row>
    <row r="7747" spans="1:2" x14ac:dyDescent="0.3">
      <c r="A7747" s="2">
        <v>44264</v>
      </c>
      <c r="B7747">
        <v>3.66</v>
      </c>
    </row>
    <row r="7748" spans="1:2" x14ac:dyDescent="0.3">
      <c r="A7748" s="2">
        <v>44265</v>
      </c>
      <c r="B7748">
        <v>3.76</v>
      </c>
    </row>
    <row r="7749" spans="1:2" x14ac:dyDescent="0.3">
      <c r="A7749" s="2">
        <v>44266</v>
      </c>
      <c r="B7749">
        <v>3.76</v>
      </c>
    </row>
    <row r="7750" spans="1:2" x14ac:dyDescent="0.3">
      <c r="A7750" s="2">
        <v>44267</v>
      </c>
      <c r="B7750">
        <v>3.8</v>
      </c>
    </row>
    <row r="7751" spans="1:2" x14ac:dyDescent="0.3">
      <c r="A7751" s="2">
        <v>44268</v>
      </c>
      <c r="B7751">
        <v>3.8</v>
      </c>
    </row>
    <row r="7752" spans="1:2" x14ac:dyDescent="0.3">
      <c r="A7752" s="2">
        <v>44269</v>
      </c>
      <c r="B7752">
        <v>3.8</v>
      </c>
    </row>
    <row r="7753" spans="1:2" x14ac:dyDescent="0.3">
      <c r="A7753" s="2">
        <v>44270</v>
      </c>
      <c r="B7753">
        <v>3.75</v>
      </c>
    </row>
    <row r="7754" spans="1:2" x14ac:dyDescent="0.3">
      <c r="A7754" s="2">
        <v>44271</v>
      </c>
      <c r="B7754">
        <v>3.8</v>
      </c>
    </row>
    <row r="7755" spans="1:2" x14ac:dyDescent="0.3">
      <c r="A7755" s="2">
        <v>44272</v>
      </c>
      <c r="B7755">
        <v>3.82</v>
      </c>
    </row>
    <row r="7756" spans="1:2" x14ac:dyDescent="0.3">
      <c r="A7756" s="2">
        <v>44273</v>
      </c>
      <c r="B7756">
        <v>3.78</v>
      </c>
    </row>
    <row r="7757" spans="1:2" x14ac:dyDescent="0.3">
      <c r="A7757" s="2">
        <v>44274</v>
      </c>
      <c r="B7757">
        <v>3.78</v>
      </c>
    </row>
    <row r="7758" spans="1:2" x14ac:dyDescent="0.3">
      <c r="A7758" s="2">
        <v>44275</v>
      </c>
      <c r="B7758">
        <v>3.78</v>
      </c>
    </row>
    <row r="7759" spans="1:2" x14ac:dyDescent="0.3">
      <c r="A7759" s="2">
        <v>44276</v>
      </c>
      <c r="B7759">
        <v>3.78</v>
      </c>
    </row>
    <row r="7760" spans="1:2" x14ac:dyDescent="0.3">
      <c r="A7760" s="2">
        <v>44277</v>
      </c>
      <c r="B7760">
        <v>3.78</v>
      </c>
    </row>
    <row r="7761" spans="1:2" x14ac:dyDescent="0.3">
      <c r="A7761" s="2">
        <v>44278</v>
      </c>
      <c r="B7761">
        <v>3.74</v>
      </c>
    </row>
    <row r="7762" spans="1:2" x14ac:dyDescent="0.3">
      <c r="A7762" s="2">
        <v>44279</v>
      </c>
      <c r="B7762">
        <v>3.77</v>
      </c>
    </row>
    <row r="7763" spans="1:2" x14ac:dyDescent="0.3">
      <c r="A7763" s="2">
        <v>44280</v>
      </c>
      <c r="B7763">
        <v>3.71</v>
      </c>
    </row>
    <row r="7764" spans="1:2" x14ac:dyDescent="0.3">
      <c r="A7764" s="2">
        <v>44281</v>
      </c>
      <c r="B7764">
        <v>3.7</v>
      </c>
    </row>
    <row r="7765" spans="1:2" x14ac:dyDescent="0.3">
      <c r="A7765" s="2">
        <v>44282</v>
      </c>
      <c r="B7765">
        <v>3.7</v>
      </c>
    </row>
    <row r="7766" spans="1:2" x14ac:dyDescent="0.3">
      <c r="A7766" s="2">
        <v>44283</v>
      </c>
      <c r="B7766">
        <v>3.7</v>
      </c>
    </row>
    <row r="7767" spans="1:2" x14ac:dyDescent="0.3">
      <c r="A7767" s="2">
        <v>44284</v>
      </c>
      <c r="B7767">
        <v>3.7</v>
      </c>
    </row>
    <row r="7768" spans="1:2" x14ac:dyDescent="0.3">
      <c r="A7768" s="2">
        <v>44285</v>
      </c>
      <c r="B7768">
        <v>3.77</v>
      </c>
    </row>
    <row r="7769" spans="1:2" x14ac:dyDescent="0.3">
      <c r="A7769" s="2">
        <v>44286</v>
      </c>
      <c r="B7769">
        <v>3.76</v>
      </c>
    </row>
    <row r="7770" spans="1:2" x14ac:dyDescent="0.3">
      <c r="A7770" s="2">
        <v>44287</v>
      </c>
      <c r="B7770">
        <v>3.76</v>
      </c>
    </row>
    <row r="7771" spans="1:2" x14ac:dyDescent="0.3">
      <c r="A7771" s="2">
        <v>44288</v>
      </c>
      <c r="B7771">
        <v>3.76</v>
      </c>
    </row>
    <row r="7772" spans="1:2" x14ac:dyDescent="0.3">
      <c r="A7772" s="2">
        <v>44289</v>
      </c>
      <c r="B7772">
        <v>3.76</v>
      </c>
    </row>
    <row r="7773" spans="1:2" x14ac:dyDescent="0.3">
      <c r="A7773" s="2">
        <v>44290</v>
      </c>
      <c r="B7773">
        <v>3.76</v>
      </c>
    </row>
    <row r="7774" spans="1:2" x14ac:dyDescent="0.3">
      <c r="A7774" s="2">
        <v>44291</v>
      </c>
      <c r="B7774">
        <v>3.73</v>
      </c>
    </row>
    <row r="7775" spans="1:2" x14ac:dyDescent="0.3">
      <c r="A7775" s="2">
        <v>44292</v>
      </c>
      <c r="B7775">
        <v>3.68</v>
      </c>
    </row>
    <row r="7776" spans="1:2" x14ac:dyDescent="0.3">
      <c r="A7776" s="2">
        <v>44293</v>
      </c>
      <c r="B7776">
        <v>3.71</v>
      </c>
    </row>
    <row r="7777" spans="1:2" x14ac:dyDescent="0.3">
      <c r="A7777" s="2">
        <v>44294</v>
      </c>
      <c r="B7777">
        <v>3.73</v>
      </c>
    </row>
    <row r="7778" spans="1:2" x14ac:dyDescent="0.3">
      <c r="A7778" s="2">
        <v>44295</v>
      </c>
      <c r="B7778">
        <v>3.72</v>
      </c>
    </row>
    <row r="7779" spans="1:2" x14ac:dyDescent="0.3">
      <c r="A7779" s="2">
        <v>44296</v>
      </c>
      <c r="B7779">
        <v>3.72</v>
      </c>
    </row>
    <row r="7780" spans="1:2" x14ac:dyDescent="0.3">
      <c r="A7780" s="2">
        <v>44297</v>
      </c>
      <c r="B7780">
        <v>3.72</v>
      </c>
    </row>
    <row r="7781" spans="1:2" x14ac:dyDescent="0.3">
      <c r="A7781" s="2">
        <v>44298</v>
      </c>
      <c r="B7781">
        <v>3.75</v>
      </c>
    </row>
    <row r="7782" spans="1:2" x14ac:dyDescent="0.3">
      <c r="A7782" s="2">
        <v>44299</v>
      </c>
      <c r="B7782">
        <v>3.75</v>
      </c>
    </row>
    <row r="7783" spans="1:2" x14ac:dyDescent="0.3">
      <c r="A7783" s="2">
        <v>44300</v>
      </c>
      <c r="B7783">
        <v>3.75</v>
      </c>
    </row>
    <row r="7784" spans="1:2" x14ac:dyDescent="0.3">
      <c r="A7784" s="2">
        <v>44301</v>
      </c>
      <c r="B7784">
        <v>3.7</v>
      </c>
    </row>
    <row r="7785" spans="1:2" x14ac:dyDescent="0.3">
      <c r="A7785" s="2">
        <v>44302</v>
      </c>
      <c r="B7785">
        <v>3.75</v>
      </c>
    </row>
    <row r="7786" spans="1:2" x14ac:dyDescent="0.3">
      <c r="A7786" s="2">
        <v>44303</v>
      </c>
      <c r="B7786">
        <v>3.75</v>
      </c>
    </row>
    <row r="7787" spans="1:2" x14ac:dyDescent="0.3">
      <c r="A7787" s="2">
        <v>44304</v>
      </c>
      <c r="B7787">
        <v>3.75</v>
      </c>
    </row>
    <row r="7788" spans="1:2" x14ac:dyDescent="0.3">
      <c r="A7788" s="2">
        <v>44305</v>
      </c>
      <c r="B7788">
        <v>3.72</v>
      </c>
    </row>
    <row r="7789" spans="1:2" x14ac:dyDescent="0.3">
      <c r="A7789" s="2">
        <v>44306</v>
      </c>
      <c r="B7789">
        <v>3.74</v>
      </c>
    </row>
    <row r="7790" spans="1:2" x14ac:dyDescent="0.3">
      <c r="A7790" s="2">
        <v>44307</v>
      </c>
      <c r="B7790">
        <v>3.74</v>
      </c>
    </row>
    <row r="7791" spans="1:2" x14ac:dyDescent="0.3">
      <c r="A7791" s="2">
        <v>44308</v>
      </c>
      <c r="B7791">
        <v>3.69</v>
      </c>
    </row>
    <row r="7792" spans="1:2" x14ac:dyDescent="0.3">
      <c r="A7792" s="2">
        <v>44309</v>
      </c>
      <c r="B7792">
        <v>3.7</v>
      </c>
    </row>
    <row r="7793" spans="1:2" x14ac:dyDescent="0.3">
      <c r="A7793" s="2">
        <v>44310</v>
      </c>
      <c r="B7793">
        <v>3.7</v>
      </c>
    </row>
    <row r="7794" spans="1:2" x14ac:dyDescent="0.3">
      <c r="A7794" s="2">
        <v>44311</v>
      </c>
      <c r="B7794">
        <v>3.7</v>
      </c>
    </row>
    <row r="7795" spans="1:2" x14ac:dyDescent="0.3">
      <c r="A7795" s="2">
        <v>44312</v>
      </c>
      <c r="B7795">
        <v>3.68</v>
      </c>
    </row>
    <row r="7796" spans="1:2" x14ac:dyDescent="0.3">
      <c r="A7796" s="2">
        <v>44313</v>
      </c>
      <c r="B7796">
        <v>3.7</v>
      </c>
    </row>
    <row r="7797" spans="1:2" x14ac:dyDescent="0.3">
      <c r="A7797" s="2">
        <v>44314</v>
      </c>
      <c r="B7797">
        <v>3.71</v>
      </c>
    </row>
    <row r="7798" spans="1:2" x14ac:dyDescent="0.3">
      <c r="A7798" s="2">
        <v>44315</v>
      </c>
      <c r="B7798">
        <v>3.68</v>
      </c>
    </row>
    <row r="7799" spans="1:2" x14ac:dyDescent="0.3">
      <c r="A7799" s="2">
        <v>44316</v>
      </c>
      <c r="B7799">
        <v>3.69</v>
      </c>
    </row>
    <row r="7800" spans="1:2" x14ac:dyDescent="0.3">
      <c r="A7800" s="2">
        <v>44317</v>
      </c>
      <c r="B7800">
        <v>3.69</v>
      </c>
    </row>
    <row r="7801" spans="1:2" x14ac:dyDescent="0.3">
      <c r="A7801" s="2">
        <v>44318</v>
      </c>
      <c r="B7801">
        <v>3.69</v>
      </c>
    </row>
    <row r="7802" spans="1:2" x14ac:dyDescent="0.3">
      <c r="A7802" s="2">
        <v>44319</v>
      </c>
      <c r="B7802">
        <v>3.67</v>
      </c>
    </row>
    <row r="7803" spans="1:2" x14ac:dyDescent="0.3">
      <c r="A7803" s="2">
        <v>44320</v>
      </c>
      <c r="B7803">
        <v>3.69</v>
      </c>
    </row>
    <row r="7804" spans="1:2" x14ac:dyDescent="0.3">
      <c r="A7804" s="2">
        <v>44321</v>
      </c>
      <c r="B7804">
        <v>3.71</v>
      </c>
    </row>
    <row r="7805" spans="1:2" x14ac:dyDescent="0.3">
      <c r="A7805" s="2">
        <v>44322</v>
      </c>
      <c r="B7805">
        <v>3.7</v>
      </c>
    </row>
    <row r="7806" spans="1:2" x14ac:dyDescent="0.3">
      <c r="A7806" s="2">
        <v>44323</v>
      </c>
      <c r="B7806">
        <v>3.7</v>
      </c>
    </row>
    <row r="7807" spans="1:2" x14ac:dyDescent="0.3">
      <c r="A7807" s="2">
        <v>44324</v>
      </c>
      <c r="B7807">
        <v>3.7</v>
      </c>
    </row>
    <row r="7808" spans="1:2" x14ac:dyDescent="0.3">
      <c r="A7808" s="2">
        <v>44325</v>
      </c>
      <c r="B7808">
        <v>3.7</v>
      </c>
    </row>
    <row r="7809" spans="1:2" x14ac:dyDescent="0.3">
      <c r="A7809" s="2">
        <v>44326</v>
      </c>
      <c r="B7809">
        <v>3.71</v>
      </c>
    </row>
    <row r="7810" spans="1:2" x14ac:dyDescent="0.3">
      <c r="A7810" s="2">
        <v>44327</v>
      </c>
      <c r="B7810">
        <v>3.71</v>
      </c>
    </row>
    <row r="7811" spans="1:2" x14ac:dyDescent="0.3">
      <c r="A7811" s="2">
        <v>44328</v>
      </c>
      <c r="B7811">
        <v>3.71</v>
      </c>
    </row>
    <row r="7812" spans="1:2" x14ac:dyDescent="0.3">
      <c r="A7812" s="2">
        <v>44329</v>
      </c>
      <c r="B7812">
        <v>3.71</v>
      </c>
    </row>
    <row r="7813" spans="1:2" x14ac:dyDescent="0.3">
      <c r="A7813" s="2">
        <v>44330</v>
      </c>
      <c r="B7813">
        <v>3.7</v>
      </c>
    </row>
    <row r="7814" spans="1:2" x14ac:dyDescent="0.3">
      <c r="A7814" s="2">
        <v>44331</v>
      </c>
      <c r="B7814">
        <v>3.7</v>
      </c>
    </row>
    <row r="7815" spans="1:2" x14ac:dyDescent="0.3">
      <c r="A7815" s="2">
        <v>44332</v>
      </c>
      <c r="B7815">
        <v>3.7</v>
      </c>
    </row>
    <row r="7816" spans="1:2" x14ac:dyDescent="0.3">
      <c r="A7816" s="2">
        <v>44333</v>
      </c>
      <c r="B7816">
        <v>3.7</v>
      </c>
    </row>
    <row r="7817" spans="1:2" x14ac:dyDescent="0.3">
      <c r="A7817" s="2">
        <v>44334</v>
      </c>
      <c r="B7817">
        <v>3.7</v>
      </c>
    </row>
    <row r="7818" spans="1:2" x14ac:dyDescent="0.3">
      <c r="A7818" s="2">
        <v>44335</v>
      </c>
      <c r="B7818">
        <v>3.72</v>
      </c>
    </row>
    <row r="7819" spans="1:2" x14ac:dyDescent="0.3">
      <c r="A7819" s="2">
        <v>44336</v>
      </c>
      <c r="B7819">
        <v>3.69</v>
      </c>
    </row>
    <row r="7820" spans="1:2" x14ac:dyDescent="0.3">
      <c r="A7820" s="2">
        <v>44337</v>
      </c>
      <c r="B7820">
        <v>3.71</v>
      </c>
    </row>
    <row r="7821" spans="1:2" x14ac:dyDescent="0.3">
      <c r="A7821" s="2">
        <v>44338</v>
      </c>
      <c r="B7821">
        <v>3.71</v>
      </c>
    </row>
    <row r="7822" spans="1:2" x14ac:dyDescent="0.3">
      <c r="A7822" s="2">
        <v>44339</v>
      </c>
      <c r="B7822">
        <v>3.71</v>
      </c>
    </row>
    <row r="7823" spans="1:2" x14ac:dyDescent="0.3">
      <c r="A7823" s="2">
        <v>44340</v>
      </c>
      <c r="B7823">
        <v>3.71</v>
      </c>
    </row>
    <row r="7824" spans="1:2" x14ac:dyDescent="0.3">
      <c r="A7824" s="2">
        <v>44341</v>
      </c>
      <c r="B7824">
        <v>3.72</v>
      </c>
    </row>
    <row r="7825" spans="1:2" x14ac:dyDescent="0.3">
      <c r="A7825" s="2">
        <v>44342</v>
      </c>
      <c r="B7825">
        <v>3.72</v>
      </c>
    </row>
    <row r="7826" spans="1:2" x14ac:dyDescent="0.3">
      <c r="A7826" s="2">
        <v>44343</v>
      </c>
      <c r="B7826">
        <v>3.71</v>
      </c>
    </row>
    <row r="7827" spans="1:2" x14ac:dyDescent="0.3">
      <c r="A7827" s="2">
        <v>44344</v>
      </c>
      <c r="B7827">
        <v>3.71</v>
      </c>
    </row>
    <row r="7828" spans="1:2" x14ac:dyDescent="0.3">
      <c r="A7828" s="2">
        <v>44345</v>
      </c>
      <c r="B7828">
        <v>3.71</v>
      </c>
    </row>
    <row r="7829" spans="1:2" x14ac:dyDescent="0.3">
      <c r="A7829" s="2">
        <v>44346</v>
      </c>
      <c r="B7829">
        <v>3.71</v>
      </c>
    </row>
    <row r="7830" spans="1:2" x14ac:dyDescent="0.3">
      <c r="A7830" s="2">
        <v>44347</v>
      </c>
      <c r="B7830">
        <v>3.72</v>
      </c>
    </row>
    <row r="7831" spans="1:2" x14ac:dyDescent="0.3">
      <c r="A7831" s="2">
        <v>44348</v>
      </c>
      <c r="B7831">
        <v>3.67</v>
      </c>
    </row>
    <row r="7832" spans="1:2" x14ac:dyDescent="0.3">
      <c r="A7832" s="2">
        <v>44349</v>
      </c>
      <c r="B7832">
        <v>3.73</v>
      </c>
    </row>
    <row r="7833" spans="1:2" x14ac:dyDescent="0.3">
      <c r="A7833" s="2">
        <v>44350</v>
      </c>
      <c r="B7833">
        <v>3.73</v>
      </c>
    </row>
    <row r="7834" spans="1:2" x14ac:dyDescent="0.3">
      <c r="A7834" s="2">
        <v>44351</v>
      </c>
      <c r="B7834">
        <v>3.72</v>
      </c>
    </row>
    <row r="7835" spans="1:2" x14ac:dyDescent="0.3">
      <c r="A7835" s="2">
        <v>44352</v>
      </c>
      <c r="B7835">
        <v>3.72</v>
      </c>
    </row>
    <row r="7836" spans="1:2" x14ac:dyDescent="0.3">
      <c r="A7836" s="2">
        <v>44353</v>
      </c>
      <c r="B7836">
        <v>3.72</v>
      </c>
    </row>
    <row r="7837" spans="1:2" x14ac:dyDescent="0.3">
      <c r="A7837" s="2">
        <v>44354</v>
      </c>
      <c r="B7837">
        <v>3.75</v>
      </c>
    </row>
    <row r="7838" spans="1:2" x14ac:dyDescent="0.3">
      <c r="A7838" s="2">
        <v>44355</v>
      </c>
      <c r="B7838">
        <v>3.72</v>
      </c>
    </row>
    <row r="7839" spans="1:2" x14ac:dyDescent="0.3">
      <c r="A7839" s="2">
        <v>44356</v>
      </c>
      <c r="B7839">
        <v>3.74</v>
      </c>
    </row>
    <row r="7840" spans="1:2" x14ac:dyDescent="0.3">
      <c r="A7840" s="2">
        <v>44357</v>
      </c>
      <c r="B7840">
        <v>3.74</v>
      </c>
    </row>
    <row r="7841" spans="1:2" x14ac:dyDescent="0.3">
      <c r="A7841" s="2">
        <v>44358</v>
      </c>
      <c r="B7841">
        <v>3.72</v>
      </c>
    </row>
    <row r="7842" spans="1:2" x14ac:dyDescent="0.3">
      <c r="A7842" s="2">
        <v>44359</v>
      </c>
      <c r="B7842">
        <v>3.72</v>
      </c>
    </row>
    <row r="7843" spans="1:2" x14ac:dyDescent="0.3">
      <c r="A7843" s="2">
        <v>44360</v>
      </c>
      <c r="B7843">
        <v>3.72</v>
      </c>
    </row>
    <row r="7844" spans="1:2" x14ac:dyDescent="0.3">
      <c r="A7844" s="2">
        <v>44361</v>
      </c>
      <c r="B7844">
        <v>3.71</v>
      </c>
    </row>
    <row r="7845" spans="1:2" x14ac:dyDescent="0.3">
      <c r="A7845" s="2">
        <v>44362</v>
      </c>
      <c r="B7845">
        <v>3.71</v>
      </c>
    </row>
    <row r="7846" spans="1:2" x14ac:dyDescent="0.3">
      <c r="A7846" s="2">
        <v>44363</v>
      </c>
      <c r="B7846">
        <v>3.79</v>
      </c>
    </row>
    <row r="7847" spans="1:2" x14ac:dyDescent="0.3">
      <c r="A7847" s="2">
        <v>44364</v>
      </c>
      <c r="B7847">
        <v>3.82</v>
      </c>
    </row>
    <row r="7848" spans="1:2" x14ac:dyDescent="0.3">
      <c r="A7848" s="2">
        <v>44365</v>
      </c>
      <c r="B7848">
        <v>3.83</v>
      </c>
    </row>
    <row r="7849" spans="1:2" x14ac:dyDescent="0.3">
      <c r="A7849" s="2">
        <v>44366</v>
      </c>
      <c r="B7849">
        <v>3.83</v>
      </c>
    </row>
    <row r="7850" spans="1:2" x14ac:dyDescent="0.3">
      <c r="A7850" s="2">
        <v>44367</v>
      </c>
      <c r="B7850">
        <v>3.83</v>
      </c>
    </row>
    <row r="7851" spans="1:2" x14ac:dyDescent="0.3">
      <c r="A7851" s="2">
        <v>44368</v>
      </c>
      <c r="B7851">
        <v>3.85</v>
      </c>
    </row>
    <row r="7852" spans="1:2" x14ac:dyDescent="0.3">
      <c r="A7852" s="2">
        <v>44369</v>
      </c>
      <c r="B7852">
        <v>3.85</v>
      </c>
    </row>
    <row r="7853" spans="1:2" x14ac:dyDescent="0.3">
      <c r="A7853" s="2">
        <v>44370</v>
      </c>
      <c r="B7853">
        <v>3.88</v>
      </c>
    </row>
    <row r="7854" spans="1:2" x14ac:dyDescent="0.3">
      <c r="A7854" s="2">
        <v>44371</v>
      </c>
      <c r="B7854">
        <v>3.85</v>
      </c>
    </row>
    <row r="7855" spans="1:2" x14ac:dyDescent="0.3">
      <c r="A7855" s="2">
        <v>44372</v>
      </c>
      <c r="B7855">
        <v>3.86</v>
      </c>
    </row>
    <row r="7856" spans="1:2" x14ac:dyDescent="0.3">
      <c r="A7856" s="2">
        <v>44373</v>
      </c>
      <c r="B7856">
        <v>3.86</v>
      </c>
    </row>
    <row r="7857" spans="1:2" x14ac:dyDescent="0.3">
      <c r="A7857" s="2">
        <v>44374</v>
      </c>
      <c r="B7857">
        <v>3.86</v>
      </c>
    </row>
    <row r="7858" spans="1:2" x14ac:dyDescent="0.3">
      <c r="A7858" s="2">
        <v>44375</v>
      </c>
      <c r="B7858">
        <v>3.87</v>
      </c>
    </row>
    <row r="7859" spans="1:2" x14ac:dyDescent="0.3">
      <c r="A7859" s="2">
        <v>44376</v>
      </c>
      <c r="B7859">
        <v>3.84</v>
      </c>
    </row>
    <row r="7860" spans="1:2" x14ac:dyDescent="0.3">
      <c r="A7860" s="2">
        <v>44377</v>
      </c>
      <c r="B7860">
        <v>3.88</v>
      </c>
    </row>
    <row r="7861" spans="1:2" x14ac:dyDescent="0.3">
      <c r="A7861" s="2">
        <v>44378</v>
      </c>
      <c r="B7861">
        <v>3.8</v>
      </c>
    </row>
    <row r="7862" spans="1:2" x14ac:dyDescent="0.3">
      <c r="A7862" s="2">
        <v>44379</v>
      </c>
      <c r="B7862">
        <v>3.77</v>
      </c>
    </row>
    <row r="7863" spans="1:2" x14ac:dyDescent="0.3">
      <c r="A7863" s="2">
        <v>44380</v>
      </c>
      <c r="B7863">
        <v>3.77</v>
      </c>
    </row>
    <row r="7864" spans="1:2" x14ac:dyDescent="0.3">
      <c r="A7864" s="2">
        <v>44381</v>
      </c>
      <c r="B7864">
        <v>3.77</v>
      </c>
    </row>
    <row r="7865" spans="1:2" x14ac:dyDescent="0.3">
      <c r="A7865" s="2">
        <v>44382</v>
      </c>
      <c r="B7865">
        <v>3.76</v>
      </c>
    </row>
    <row r="7866" spans="1:2" x14ac:dyDescent="0.3">
      <c r="A7866" s="2">
        <v>44383</v>
      </c>
      <c r="B7866">
        <v>3.79</v>
      </c>
    </row>
    <row r="7867" spans="1:2" x14ac:dyDescent="0.3">
      <c r="A7867" s="2">
        <v>44384</v>
      </c>
      <c r="B7867">
        <v>3.84</v>
      </c>
    </row>
    <row r="7868" spans="1:2" x14ac:dyDescent="0.3">
      <c r="A7868" s="2">
        <v>44385</v>
      </c>
      <c r="B7868">
        <v>3.83</v>
      </c>
    </row>
    <row r="7869" spans="1:2" x14ac:dyDescent="0.3">
      <c r="A7869" s="2">
        <v>44386</v>
      </c>
      <c r="B7869">
        <v>3.83</v>
      </c>
    </row>
    <row r="7870" spans="1:2" x14ac:dyDescent="0.3">
      <c r="A7870" s="2">
        <v>44387</v>
      </c>
      <c r="B7870">
        <v>3.83</v>
      </c>
    </row>
    <row r="7871" spans="1:2" x14ac:dyDescent="0.3">
      <c r="A7871" s="2">
        <v>44388</v>
      </c>
      <c r="B7871">
        <v>3.83</v>
      </c>
    </row>
    <row r="7872" spans="1:2" x14ac:dyDescent="0.3">
      <c r="A7872" s="2">
        <v>44389</v>
      </c>
      <c r="B7872">
        <v>3.8</v>
      </c>
    </row>
    <row r="7873" spans="1:2" x14ac:dyDescent="0.3">
      <c r="A7873" s="2">
        <v>44390</v>
      </c>
      <c r="B7873">
        <v>3.86</v>
      </c>
    </row>
    <row r="7874" spans="1:2" x14ac:dyDescent="0.3">
      <c r="A7874" s="2">
        <v>44391</v>
      </c>
      <c r="B7874">
        <v>3.81</v>
      </c>
    </row>
    <row r="7875" spans="1:2" x14ac:dyDescent="0.3">
      <c r="A7875" s="2">
        <v>44392</v>
      </c>
      <c r="B7875">
        <v>3.77</v>
      </c>
    </row>
    <row r="7876" spans="1:2" x14ac:dyDescent="0.3">
      <c r="A7876" s="2">
        <v>44393</v>
      </c>
      <c r="B7876">
        <v>3.77</v>
      </c>
    </row>
    <row r="7877" spans="1:2" x14ac:dyDescent="0.3">
      <c r="A7877" s="2">
        <v>44394</v>
      </c>
      <c r="B7877">
        <v>3.77</v>
      </c>
    </row>
    <row r="7878" spans="1:2" x14ac:dyDescent="0.3">
      <c r="A7878" s="2">
        <v>44395</v>
      </c>
      <c r="B7878">
        <v>3.77</v>
      </c>
    </row>
    <row r="7879" spans="1:2" x14ac:dyDescent="0.3">
      <c r="A7879" s="2">
        <v>44396</v>
      </c>
      <c r="B7879">
        <v>3.75</v>
      </c>
    </row>
    <row r="7880" spans="1:2" x14ac:dyDescent="0.3">
      <c r="A7880" s="2">
        <v>44397</v>
      </c>
      <c r="B7880">
        <v>3.77</v>
      </c>
    </row>
    <row r="7881" spans="1:2" x14ac:dyDescent="0.3">
      <c r="A7881" s="2">
        <v>44398</v>
      </c>
      <c r="B7881">
        <v>3.77</v>
      </c>
    </row>
    <row r="7882" spans="1:2" x14ac:dyDescent="0.3">
      <c r="A7882" s="2">
        <v>44399</v>
      </c>
      <c r="B7882">
        <v>3.73</v>
      </c>
    </row>
    <row r="7883" spans="1:2" x14ac:dyDescent="0.3">
      <c r="A7883" s="2">
        <v>44400</v>
      </c>
      <c r="B7883">
        <v>3.72</v>
      </c>
    </row>
    <row r="7884" spans="1:2" x14ac:dyDescent="0.3">
      <c r="A7884" s="2">
        <v>44401</v>
      </c>
      <c r="B7884">
        <v>3.72</v>
      </c>
    </row>
    <row r="7885" spans="1:2" x14ac:dyDescent="0.3">
      <c r="A7885" s="2">
        <v>44402</v>
      </c>
      <c r="B7885">
        <v>3.72</v>
      </c>
    </row>
    <row r="7886" spans="1:2" x14ac:dyDescent="0.3">
      <c r="A7886" s="2">
        <v>44403</v>
      </c>
      <c r="B7886">
        <v>3.77</v>
      </c>
    </row>
    <row r="7887" spans="1:2" x14ac:dyDescent="0.3">
      <c r="A7887" s="2">
        <v>44404</v>
      </c>
      <c r="B7887">
        <v>3.69</v>
      </c>
    </row>
    <row r="7888" spans="1:2" x14ac:dyDescent="0.3">
      <c r="A7888" s="2">
        <v>44405</v>
      </c>
      <c r="B7888">
        <v>3.66</v>
      </c>
    </row>
    <row r="7889" spans="1:2" x14ac:dyDescent="0.3">
      <c r="A7889" s="2">
        <v>44406</v>
      </c>
      <c r="B7889">
        <v>3.65</v>
      </c>
    </row>
    <row r="7890" spans="1:2" x14ac:dyDescent="0.3">
      <c r="A7890" s="2">
        <v>44407</v>
      </c>
      <c r="B7890">
        <v>3.67</v>
      </c>
    </row>
    <row r="7891" spans="1:2" x14ac:dyDescent="0.3">
      <c r="A7891" s="2">
        <v>44408</v>
      </c>
      <c r="B7891">
        <v>3.67</v>
      </c>
    </row>
    <row r="7892" spans="1:2" x14ac:dyDescent="0.3">
      <c r="A7892" s="2">
        <v>44409</v>
      </c>
      <c r="B7892">
        <v>3.67</v>
      </c>
    </row>
    <row r="7893" spans="1:2" x14ac:dyDescent="0.3">
      <c r="A7893" s="2">
        <v>44410</v>
      </c>
      <c r="B7893">
        <v>3.67</v>
      </c>
    </row>
    <row r="7894" spans="1:2" x14ac:dyDescent="0.3">
      <c r="A7894" s="2">
        <v>44411</v>
      </c>
      <c r="B7894">
        <v>3.69</v>
      </c>
    </row>
    <row r="7895" spans="1:2" x14ac:dyDescent="0.3">
      <c r="A7895" s="2">
        <v>44412</v>
      </c>
      <c r="B7895">
        <v>3.69</v>
      </c>
    </row>
    <row r="7896" spans="1:2" x14ac:dyDescent="0.3">
      <c r="A7896" s="2">
        <v>44413</v>
      </c>
      <c r="B7896">
        <v>3.68</v>
      </c>
    </row>
    <row r="7897" spans="1:2" x14ac:dyDescent="0.3">
      <c r="A7897" s="2">
        <v>44414</v>
      </c>
      <c r="B7897">
        <v>3.67</v>
      </c>
    </row>
    <row r="7898" spans="1:2" x14ac:dyDescent="0.3">
      <c r="A7898" s="2">
        <v>44415</v>
      </c>
      <c r="B7898">
        <v>3.67</v>
      </c>
    </row>
    <row r="7899" spans="1:2" x14ac:dyDescent="0.3">
      <c r="A7899" s="2">
        <v>44416</v>
      </c>
      <c r="B7899">
        <v>3.67</v>
      </c>
    </row>
    <row r="7900" spans="1:2" x14ac:dyDescent="0.3">
      <c r="A7900" s="2">
        <v>44417</v>
      </c>
      <c r="B7900">
        <v>3.63</v>
      </c>
    </row>
    <row r="7901" spans="1:2" x14ac:dyDescent="0.3">
      <c r="A7901" s="2">
        <v>44418</v>
      </c>
      <c r="B7901">
        <v>3.63</v>
      </c>
    </row>
    <row r="7902" spans="1:2" x14ac:dyDescent="0.3">
      <c r="A7902" s="2">
        <v>44419</v>
      </c>
      <c r="B7902">
        <v>3.67</v>
      </c>
    </row>
    <row r="7903" spans="1:2" x14ac:dyDescent="0.3">
      <c r="A7903" s="2">
        <v>44420</v>
      </c>
      <c r="B7903">
        <v>3.59</v>
      </c>
    </row>
    <row r="7904" spans="1:2" x14ac:dyDescent="0.3">
      <c r="A7904" s="2">
        <v>44421</v>
      </c>
      <c r="B7904">
        <v>3.63</v>
      </c>
    </row>
    <row r="7905" spans="1:2" x14ac:dyDescent="0.3">
      <c r="A7905" s="2">
        <v>44422</v>
      </c>
      <c r="B7905">
        <v>3.63</v>
      </c>
    </row>
    <row r="7906" spans="1:2" x14ac:dyDescent="0.3">
      <c r="A7906" s="2">
        <v>44423</v>
      </c>
      <c r="B7906">
        <v>3.63</v>
      </c>
    </row>
    <row r="7907" spans="1:2" x14ac:dyDescent="0.3">
      <c r="A7907" s="2">
        <v>44424</v>
      </c>
      <c r="B7907">
        <v>3.63</v>
      </c>
    </row>
    <row r="7908" spans="1:2" x14ac:dyDescent="0.3">
      <c r="A7908" s="2">
        <v>44425</v>
      </c>
      <c r="B7908">
        <v>3.6</v>
      </c>
    </row>
    <row r="7909" spans="1:2" x14ac:dyDescent="0.3">
      <c r="A7909" s="2">
        <v>44426</v>
      </c>
      <c r="B7909">
        <v>3.63</v>
      </c>
    </row>
    <row r="7910" spans="1:2" x14ac:dyDescent="0.3">
      <c r="A7910" s="2">
        <v>44427</v>
      </c>
      <c r="B7910">
        <v>3.63</v>
      </c>
    </row>
    <row r="7911" spans="1:2" x14ac:dyDescent="0.3">
      <c r="A7911" s="2">
        <v>44428</v>
      </c>
      <c r="B7911">
        <v>3.61</v>
      </c>
    </row>
    <row r="7912" spans="1:2" x14ac:dyDescent="0.3">
      <c r="A7912" s="2">
        <v>44429</v>
      </c>
      <c r="B7912">
        <v>3.61</v>
      </c>
    </row>
    <row r="7913" spans="1:2" x14ac:dyDescent="0.3">
      <c r="A7913" s="2">
        <v>44430</v>
      </c>
      <c r="B7913">
        <v>3.61</v>
      </c>
    </row>
    <row r="7914" spans="1:2" x14ac:dyDescent="0.3">
      <c r="A7914" s="2">
        <v>44431</v>
      </c>
      <c r="B7914">
        <v>3.63</v>
      </c>
    </row>
    <row r="7915" spans="1:2" x14ac:dyDescent="0.3">
      <c r="A7915" s="2">
        <v>44432</v>
      </c>
      <c r="B7915">
        <v>3.63</v>
      </c>
    </row>
    <row r="7916" spans="1:2" x14ac:dyDescent="0.3">
      <c r="A7916" s="2">
        <v>44433</v>
      </c>
      <c r="B7916">
        <v>3.64</v>
      </c>
    </row>
    <row r="7917" spans="1:2" x14ac:dyDescent="0.3">
      <c r="A7917" s="2">
        <v>44434</v>
      </c>
      <c r="B7917">
        <v>3.62</v>
      </c>
    </row>
    <row r="7918" spans="1:2" x14ac:dyDescent="0.3">
      <c r="A7918" s="2">
        <v>44435</v>
      </c>
      <c r="B7918">
        <v>3.62</v>
      </c>
    </row>
    <row r="7919" spans="1:2" x14ac:dyDescent="0.3">
      <c r="A7919" s="2">
        <v>44436</v>
      </c>
      <c r="B7919">
        <v>3.62</v>
      </c>
    </row>
    <row r="7920" spans="1:2" x14ac:dyDescent="0.3">
      <c r="A7920" s="2">
        <v>44437</v>
      </c>
      <c r="B7920">
        <v>3.62</v>
      </c>
    </row>
    <row r="7921" spans="1:2" x14ac:dyDescent="0.3">
      <c r="A7921" s="2">
        <v>44438</v>
      </c>
      <c r="B7921">
        <v>3.62</v>
      </c>
    </row>
    <row r="7922" spans="1:2" x14ac:dyDescent="0.3">
      <c r="A7922" s="2">
        <v>44439</v>
      </c>
      <c r="B7922">
        <v>3.63</v>
      </c>
    </row>
    <row r="7923" spans="1:2" x14ac:dyDescent="0.3">
      <c r="A7923" s="2">
        <v>44440</v>
      </c>
      <c r="B7923">
        <v>3.61</v>
      </c>
    </row>
    <row r="7924" spans="1:2" x14ac:dyDescent="0.3">
      <c r="A7924" s="2">
        <v>44441</v>
      </c>
      <c r="B7924">
        <v>3.6</v>
      </c>
    </row>
    <row r="7925" spans="1:2" x14ac:dyDescent="0.3">
      <c r="A7925" s="2">
        <v>44442</v>
      </c>
      <c r="B7925">
        <v>3.58</v>
      </c>
    </row>
    <row r="7926" spans="1:2" x14ac:dyDescent="0.3">
      <c r="A7926" s="2">
        <v>44443</v>
      </c>
      <c r="B7926">
        <v>3.58</v>
      </c>
    </row>
    <row r="7927" spans="1:2" x14ac:dyDescent="0.3">
      <c r="A7927" s="2">
        <v>44444</v>
      </c>
      <c r="B7927">
        <v>3.58</v>
      </c>
    </row>
    <row r="7928" spans="1:2" x14ac:dyDescent="0.3">
      <c r="A7928" s="2">
        <v>44445</v>
      </c>
      <c r="B7928">
        <v>3.56</v>
      </c>
    </row>
    <row r="7929" spans="1:2" x14ac:dyDescent="0.3">
      <c r="A7929" s="2">
        <v>44446</v>
      </c>
      <c r="B7929">
        <v>3.51</v>
      </c>
    </row>
    <row r="7930" spans="1:2" x14ac:dyDescent="0.3">
      <c r="A7930" s="2">
        <v>44447</v>
      </c>
      <c r="B7930">
        <v>3.5</v>
      </c>
    </row>
    <row r="7931" spans="1:2" x14ac:dyDescent="0.3">
      <c r="A7931" s="2">
        <v>44448</v>
      </c>
      <c r="B7931">
        <v>3.51</v>
      </c>
    </row>
    <row r="7932" spans="1:2" x14ac:dyDescent="0.3">
      <c r="A7932" s="2">
        <v>44449</v>
      </c>
      <c r="B7932">
        <v>3.51</v>
      </c>
    </row>
    <row r="7933" spans="1:2" x14ac:dyDescent="0.3">
      <c r="A7933" s="2">
        <v>44450</v>
      </c>
      <c r="B7933">
        <v>3.51</v>
      </c>
    </row>
    <row r="7934" spans="1:2" x14ac:dyDescent="0.3">
      <c r="A7934" s="2">
        <v>44451</v>
      </c>
      <c r="B7934">
        <v>3.51</v>
      </c>
    </row>
    <row r="7935" spans="1:2" x14ac:dyDescent="0.3">
      <c r="A7935" s="2">
        <v>44452</v>
      </c>
      <c r="B7935">
        <v>3.56</v>
      </c>
    </row>
    <row r="7936" spans="1:2" x14ac:dyDescent="0.3">
      <c r="A7936" s="2">
        <v>44453</v>
      </c>
      <c r="B7936">
        <v>3.53</v>
      </c>
    </row>
    <row r="7937" spans="1:2" x14ac:dyDescent="0.3">
      <c r="A7937" s="2">
        <v>44454</v>
      </c>
      <c r="B7937">
        <v>3.54</v>
      </c>
    </row>
    <row r="7938" spans="1:2" x14ac:dyDescent="0.3">
      <c r="A7938" s="2">
        <v>44455</v>
      </c>
      <c r="B7938">
        <v>3.55</v>
      </c>
    </row>
    <row r="7939" spans="1:2" x14ac:dyDescent="0.3">
      <c r="A7939" s="2">
        <v>44456</v>
      </c>
      <c r="B7939">
        <v>3.55</v>
      </c>
    </row>
    <row r="7940" spans="1:2" x14ac:dyDescent="0.3">
      <c r="A7940" s="2">
        <v>44457</v>
      </c>
      <c r="B7940">
        <v>3.55</v>
      </c>
    </row>
    <row r="7941" spans="1:2" x14ac:dyDescent="0.3">
      <c r="A7941" s="2">
        <v>44458</v>
      </c>
      <c r="B7941">
        <v>3.55</v>
      </c>
    </row>
    <row r="7942" spans="1:2" x14ac:dyDescent="0.3">
      <c r="A7942" s="2">
        <v>44459</v>
      </c>
      <c r="B7942">
        <v>3.52</v>
      </c>
    </row>
    <row r="7943" spans="1:2" x14ac:dyDescent="0.3">
      <c r="A7943" s="2">
        <v>44460</v>
      </c>
      <c r="B7943">
        <v>3.54</v>
      </c>
    </row>
    <row r="7944" spans="1:2" x14ac:dyDescent="0.3">
      <c r="A7944" s="2">
        <v>44461</v>
      </c>
      <c r="B7944">
        <v>3.58</v>
      </c>
    </row>
    <row r="7945" spans="1:2" x14ac:dyDescent="0.3">
      <c r="A7945" s="2">
        <v>44462</v>
      </c>
      <c r="B7945">
        <v>3.57</v>
      </c>
    </row>
    <row r="7946" spans="1:2" x14ac:dyDescent="0.3">
      <c r="A7946" s="2">
        <v>44463</v>
      </c>
      <c r="B7946">
        <v>3.57</v>
      </c>
    </row>
    <row r="7947" spans="1:2" x14ac:dyDescent="0.3">
      <c r="A7947" s="2">
        <v>44464</v>
      </c>
      <c r="B7947">
        <v>3.57</v>
      </c>
    </row>
    <row r="7948" spans="1:2" x14ac:dyDescent="0.3">
      <c r="A7948" s="2">
        <v>44465</v>
      </c>
      <c r="B7948">
        <v>3.57</v>
      </c>
    </row>
    <row r="7949" spans="1:2" x14ac:dyDescent="0.3">
      <c r="A7949" s="2">
        <v>44466</v>
      </c>
      <c r="B7949">
        <v>3.59</v>
      </c>
    </row>
    <row r="7950" spans="1:2" x14ac:dyDescent="0.3">
      <c r="A7950" s="2">
        <v>44467</v>
      </c>
      <c r="B7950">
        <v>3.61</v>
      </c>
    </row>
    <row r="7951" spans="1:2" x14ac:dyDescent="0.3">
      <c r="A7951" s="2">
        <v>44468</v>
      </c>
      <c r="B7951">
        <v>3.77</v>
      </c>
    </row>
    <row r="7952" spans="1:2" x14ac:dyDescent="0.3">
      <c r="A7952" s="2">
        <v>44469</v>
      </c>
      <c r="B7952">
        <v>3.75</v>
      </c>
    </row>
    <row r="7953" spans="1:2" x14ac:dyDescent="0.3">
      <c r="A7953" s="2">
        <v>44470</v>
      </c>
      <c r="B7953">
        <v>3.75</v>
      </c>
    </row>
    <row r="7954" spans="1:2" x14ac:dyDescent="0.3">
      <c r="A7954" s="2">
        <v>44471</v>
      </c>
      <c r="B7954">
        <v>3.75</v>
      </c>
    </row>
    <row r="7955" spans="1:2" x14ac:dyDescent="0.3">
      <c r="A7955" s="2">
        <v>44472</v>
      </c>
      <c r="B7955">
        <v>3.75</v>
      </c>
    </row>
    <row r="7956" spans="1:2" x14ac:dyDescent="0.3">
      <c r="A7956" s="2">
        <v>44473</v>
      </c>
      <c r="B7956">
        <v>3.7</v>
      </c>
    </row>
    <row r="7957" spans="1:2" x14ac:dyDescent="0.3">
      <c r="A7957" s="2">
        <v>44474</v>
      </c>
      <c r="B7957">
        <v>3.74</v>
      </c>
    </row>
    <row r="7958" spans="1:2" x14ac:dyDescent="0.3">
      <c r="A7958" s="2">
        <v>44475</v>
      </c>
      <c r="B7958">
        <v>3.83</v>
      </c>
    </row>
    <row r="7959" spans="1:2" x14ac:dyDescent="0.3">
      <c r="A7959" s="2">
        <v>44476</v>
      </c>
      <c r="B7959">
        <v>3.86</v>
      </c>
    </row>
    <row r="7960" spans="1:2" x14ac:dyDescent="0.3">
      <c r="A7960" s="2">
        <v>44477</v>
      </c>
      <c r="B7960">
        <v>3.84</v>
      </c>
    </row>
    <row r="7961" spans="1:2" x14ac:dyDescent="0.3">
      <c r="A7961" s="2">
        <v>44478</v>
      </c>
      <c r="B7961">
        <v>3.84</v>
      </c>
    </row>
    <row r="7962" spans="1:2" x14ac:dyDescent="0.3">
      <c r="A7962" s="2">
        <v>44479</v>
      </c>
      <c r="B7962">
        <v>3.84</v>
      </c>
    </row>
    <row r="7963" spans="1:2" x14ac:dyDescent="0.3">
      <c r="A7963" s="2">
        <v>44480</v>
      </c>
      <c r="B7963">
        <v>3.83</v>
      </c>
    </row>
    <row r="7964" spans="1:2" x14ac:dyDescent="0.3">
      <c r="A7964" s="2">
        <v>44481</v>
      </c>
      <c r="B7964">
        <v>3.83</v>
      </c>
    </row>
    <row r="7965" spans="1:2" x14ac:dyDescent="0.3">
      <c r="A7965" s="2">
        <v>44482</v>
      </c>
      <c r="B7965">
        <v>3.87</v>
      </c>
    </row>
    <row r="7966" spans="1:2" x14ac:dyDescent="0.3">
      <c r="A7966" s="2">
        <v>44483</v>
      </c>
      <c r="B7966">
        <v>3.86</v>
      </c>
    </row>
    <row r="7967" spans="1:2" x14ac:dyDescent="0.3">
      <c r="A7967" s="2">
        <v>44484</v>
      </c>
      <c r="B7967">
        <v>3.86</v>
      </c>
    </row>
    <row r="7968" spans="1:2" x14ac:dyDescent="0.3">
      <c r="A7968" s="2">
        <v>44485</v>
      </c>
      <c r="B7968">
        <v>3.86</v>
      </c>
    </row>
    <row r="7969" spans="1:2" x14ac:dyDescent="0.3">
      <c r="A7969" s="2">
        <v>44486</v>
      </c>
      <c r="B7969">
        <v>3.86</v>
      </c>
    </row>
    <row r="7970" spans="1:2" x14ac:dyDescent="0.3">
      <c r="A7970" s="2">
        <v>44487</v>
      </c>
      <c r="B7970">
        <v>3.87</v>
      </c>
    </row>
    <row r="7971" spans="1:2" x14ac:dyDescent="0.3">
      <c r="A7971" s="2">
        <v>44488</v>
      </c>
      <c r="B7971">
        <v>3.87</v>
      </c>
    </row>
    <row r="7972" spans="1:2" x14ac:dyDescent="0.3">
      <c r="A7972" s="2">
        <v>44489</v>
      </c>
      <c r="B7972">
        <v>3.93</v>
      </c>
    </row>
    <row r="7973" spans="1:2" x14ac:dyDescent="0.3">
      <c r="A7973" s="2">
        <v>44490</v>
      </c>
      <c r="B7973">
        <v>3.92</v>
      </c>
    </row>
    <row r="7974" spans="1:2" x14ac:dyDescent="0.3">
      <c r="A7974" s="2">
        <v>44491</v>
      </c>
      <c r="B7974">
        <v>3.92</v>
      </c>
    </row>
    <row r="7975" spans="1:2" x14ac:dyDescent="0.3">
      <c r="A7975" s="2">
        <v>44492</v>
      </c>
      <c r="B7975">
        <v>3.92</v>
      </c>
    </row>
    <row r="7976" spans="1:2" x14ac:dyDescent="0.3">
      <c r="A7976" s="2">
        <v>44493</v>
      </c>
      <c r="B7976">
        <v>3.92</v>
      </c>
    </row>
    <row r="7977" spans="1:2" x14ac:dyDescent="0.3">
      <c r="A7977" s="2">
        <v>44494</v>
      </c>
      <c r="B7977">
        <v>3.95</v>
      </c>
    </row>
    <row r="7978" spans="1:2" x14ac:dyDescent="0.3">
      <c r="A7978" s="2">
        <v>44495</v>
      </c>
      <c r="B7978">
        <v>3.97</v>
      </c>
    </row>
    <row r="7979" spans="1:2" x14ac:dyDescent="0.3">
      <c r="A7979" s="2">
        <v>44496</v>
      </c>
      <c r="B7979">
        <v>4.03</v>
      </c>
    </row>
    <row r="7980" spans="1:2" x14ac:dyDescent="0.3">
      <c r="A7980" s="2">
        <v>44497</v>
      </c>
      <c r="B7980">
        <v>4.0199999999999996</v>
      </c>
    </row>
    <row r="7981" spans="1:2" x14ac:dyDescent="0.3">
      <c r="A7981" s="2">
        <v>44498</v>
      </c>
      <c r="B7981">
        <v>4.0199999999999996</v>
      </c>
    </row>
    <row r="7982" spans="1:2" x14ac:dyDescent="0.3">
      <c r="A7982" s="2">
        <v>44499</v>
      </c>
      <c r="B7982">
        <v>4.0199999999999996</v>
      </c>
    </row>
    <row r="7983" spans="1:2" x14ac:dyDescent="0.3">
      <c r="A7983" s="2">
        <v>44500</v>
      </c>
      <c r="B7983">
        <v>4.0199999999999996</v>
      </c>
    </row>
    <row r="7984" spans="1:2" x14ac:dyDescent="0.3">
      <c r="A7984" s="2">
        <v>44501</v>
      </c>
      <c r="B7984">
        <v>4.03</v>
      </c>
    </row>
    <row r="7985" spans="1:2" x14ac:dyDescent="0.3">
      <c r="A7985" s="2">
        <v>44502</v>
      </c>
      <c r="B7985">
        <v>4.07</v>
      </c>
    </row>
    <row r="7986" spans="1:2" x14ac:dyDescent="0.3">
      <c r="A7986" s="2">
        <v>44503</v>
      </c>
      <c r="B7986">
        <v>4.05</v>
      </c>
    </row>
    <row r="7987" spans="1:2" x14ac:dyDescent="0.3">
      <c r="A7987" s="2">
        <v>44504</v>
      </c>
      <c r="B7987">
        <v>4.05</v>
      </c>
    </row>
    <row r="7988" spans="1:2" x14ac:dyDescent="0.3">
      <c r="A7988" s="2">
        <v>44505</v>
      </c>
      <c r="B7988">
        <v>4.05</v>
      </c>
    </row>
    <row r="7989" spans="1:2" x14ac:dyDescent="0.3">
      <c r="A7989" s="2">
        <v>44506</v>
      </c>
      <c r="B7989">
        <v>4.05</v>
      </c>
    </row>
    <row r="7990" spans="1:2" x14ac:dyDescent="0.3">
      <c r="A7990" s="2">
        <v>44507</v>
      </c>
      <c r="B7990">
        <v>4.05</v>
      </c>
    </row>
    <row r="7991" spans="1:2" x14ac:dyDescent="0.3">
      <c r="A7991" s="2">
        <v>44508</v>
      </c>
      <c r="B7991">
        <v>4.0199999999999996</v>
      </c>
    </row>
    <row r="7992" spans="1:2" x14ac:dyDescent="0.3">
      <c r="A7992" s="2">
        <v>44509</v>
      </c>
      <c r="B7992">
        <v>4.04</v>
      </c>
    </row>
    <row r="7993" spans="1:2" x14ac:dyDescent="0.3">
      <c r="A7993" s="2">
        <v>44510</v>
      </c>
      <c r="B7993">
        <v>4.05</v>
      </c>
    </row>
    <row r="7994" spans="1:2" x14ac:dyDescent="0.3">
      <c r="A7994" s="2">
        <v>44511</v>
      </c>
      <c r="B7994">
        <v>4.05</v>
      </c>
    </row>
    <row r="7995" spans="1:2" x14ac:dyDescent="0.3">
      <c r="A7995" s="2">
        <v>44512</v>
      </c>
      <c r="B7995">
        <v>4.03</v>
      </c>
    </row>
    <row r="7996" spans="1:2" x14ac:dyDescent="0.3">
      <c r="A7996" s="2">
        <v>44513</v>
      </c>
      <c r="B7996">
        <v>4.03</v>
      </c>
    </row>
    <row r="7997" spans="1:2" x14ac:dyDescent="0.3">
      <c r="A7997" s="2">
        <v>44514</v>
      </c>
      <c r="B7997">
        <v>4.03</v>
      </c>
    </row>
    <row r="7998" spans="1:2" x14ac:dyDescent="0.3">
      <c r="A7998" s="2">
        <v>44515</v>
      </c>
      <c r="B7998">
        <v>4.04</v>
      </c>
    </row>
    <row r="7999" spans="1:2" x14ac:dyDescent="0.3">
      <c r="A7999" s="2">
        <v>44516</v>
      </c>
      <c r="B7999">
        <v>4.05</v>
      </c>
    </row>
    <row r="8000" spans="1:2" x14ac:dyDescent="0.3">
      <c r="A8000" s="2">
        <v>44517</v>
      </c>
      <c r="B8000">
        <v>4.09</v>
      </c>
    </row>
    <row r="8001" spans="1:2" x14ac:dyDescent="0.3">
      <c r="A8001" s="2">
        <v>44518</v>
      </c>
      <c r="B8001">
        <v>4.0599999999999996</v>
      </c>
    </row>
    <row r="8002" spans="1:2" x14ac:dyDescent="0.3">
      <c r="A8002" s="2">
        <v>44519</v>
      </c>
      <c r="B8002">
        <v>4.0599999999999996</v>
      </c>
    </row>
    <row r="8003" spans="1:2" x14ac:dyDescent="0.3">
      <c r="A8003" s="2">
        <v>44520</v>
      </c>
      <c r="B8003">
        <v>4.0599999999999996</v>
      </c>
    </row>
    <row r="8004" spans="1:2" x14ac:dyDescent="0.3">
      <c r="A8004" s="2">
        <v>44521</v>
      </c>
      <c r="B8004">
        <v>4.0599999999999996</v>
      </c>
    </row>
    <row r="8005" spans="1:2" x14ac:dyDescent="0.3">
      <c r="A8005" s="2">
        <v>44522</v>
      </c>
      <c r="B8005">
        <v>4.05</v>
      </c>
    </row>
    <row r="8006" spans="1:2" x14ac:dyDescent="0.3">
      <c r="A8006" s="2">
        <v>44523</v>
      </c>
      <c r="B8006">
        <v>4.16</v>
      </c>
    </row>
    <row r="8007" spans="1:2" x14ac:dyDescent="0.3">
      <c r="A8007" s="2">
        <v>44524</v>
      </c>
      <c r="B8007">
        <v>4.12</v>
      </c>
    </row>
    <row r="8008" spans="1:2" x14ac:dyDescent="0.3">
      <c r="A8008" s="2">
        <v>44525</v>
      </c>
      <c r="B8008">
        <v>4.12</v>
      </c>
    </row>
    <row r="8009" spans="1:2" x14ac:dyDescent="0.3">
      <c r="A8009" s="2">
        <v>44526</v>
      </c>
      <c r="B8009">
        <v>4.1100000000000003</v>
      </c>
    </row>
    <row r="8010" spans="1:2" x14ac:dyDescent="0.3">
      <c r="A8010" s="2">
        <v>44527</v>
      </c>
      <c r="B8010">
        <v>4.1100000000000003</v>
      </c>
    </row>
    <row r="8011" spans="1:2" x14ac:dyDescent="0.3">
      <c r="A8011" s="2">
        <v>44528</v>
      </c>
      <c r="B8011">
        <v>4.1100000000000003</v>
      </c>
    </row>
    <row r="8012" spans="1:2" x14ac:dyDescent="0.3">
      <c r="A8012" s="2">
        <v>44529</v>
      </c>
      <c r="B8012">
        <v>4.1100000000000003</v>
      </c>
    </row>
    <row r="8013" spans="1:2" x14ac:dyDescent="0.3">
      <c r="A8013" s="2">
        <v>44530</v>
      </c>
      <c r="B8013">
        <v>4.0999999999999996</v>
      </c>
    </row>
    <row r="8014" spans="1:2" x14ac:dyDescent="0.3">
      <c r="A8014" s="2">
        <v>44531</v>
      </c>
      <c r="B8014">
        <v>4.13</v>
      </c>
    </row>
    <row r="8015" spans="1:2" x14ac:dyDescent="0.3">
      <c r="A8015" s="2">
        <v>44532</v>
      </c>
      <c r="B8015">
        <v>4.13</v>
      </c>
    </row>
    <row r="8016" spans="1:2" x14ac:dyDescent="0.3">
      <c r="A8016" s="2">
        <v>44533</v>
      </c>
      <c r="B8016">
        <v>4.13</v>
      </c>
    </row>
    <row r="8017" spans="1:2" x14ac:dyDescent="0.3">
      <c r="A8017" s="2">
        <v>44534</v>
      </c>
      <c r="B8017">
        <v>4.13</v>
      </c>
    </row>
    <row r="8018" spans="1:2" x14ac:dyDescent="0.3">
      <c r="A8018" s="2">
        <v>44535</v>
      </c>
      <c r="B8018">
        <v>4.13</v>
      </c>
    </row>
    <row r="8019" spans="1:2" x14ac:dyDescent="0.3">
      <c r="A8019" s="2">
        <v>44536</v>
      </c>
      <c r="B8019">
        <v>4.12</v>
      </c>
    </row>
    <row r="8020" spans="1:2" x14ac:dyDescent="0.3">
      <c r="A8020" s="2">
        <v>44537</v>
      </c>
      <c r="B8020">
        <v>4.1399999999999997</v>
      </c>
    </row>
    <row r="8021" spans="1:2" x14ac:dyDescent="0.3">
      <c r="A8021" s="2">
        <v>44538</v>
      </c>
      <c r="B8021">
        <v>4.12</v>
      </c>
    </row>
    <row r="8022" spans="1:2" x14ac:dyDescent="0.3">
      <c r="A8022" s="2">
        <v>44539</v>
      </c>
      <c r="B8022">
        <v>4.13</v>
      </c>
    </row>
    <row r="8023" spans="1:2" x14ac:dyDescent="0.3">
      <c r="A8023" s="2">
        <v>44540</v>
      </c>
      <c r="B8023">
        <v>4.1399999999999997</v>
      </c>
    </row>
    <row r="8024" spans="1:2" x14ac:dyDescent="0.3">
      <c r="A8024" s="2">
        <v>44541</v>
      </c>
      <c r="B8024">
        <v>4.1399999999999997</v>
      </c>
    </row>
    <row r="8025" spans="1:2" x14ac:dyDescent="0.3">
      <c r="A8025" s="2">
        <v>44542</v>
      </c>
      <c r="B8025">
        <v>4.1399999999999997</v>
      </c>
    </row>
    <row r="8026" spans="1:2" x14ac:dyDescent="0.3">
      <c r="A8026" s="2">
        <v>44543</v>
      </c>
      <c r="B8026">
        <v>4.12</v>
      </c>
    </row>
    <row r="8027" spans="1:2" x14ac:dyDescent="0.3">
      <c r="A8027" s="2">
        <v>44544</v>
      </c>
      <c r="B8027">
        <v>4.1399999999999997</v>
      </c>
    </row>
    <row r="8028" spans="1:2" x14ac:dyDescent="0.3">
      <c r="A8028" s="2">
        <v>44545</v>
      </c>
      <c r="B8028">
        <v>4.16</v>
      </c>
    </row>
    <row r="8029" spans="1:2" x14ac:dyDescent="0.3">
      <c r="A8029" s="2">
        <v>44546</v>
      </c>
      <c r="B8029">
        <v>4.16</v>
      </c>
    </row>
    <row r="8030" spans="1:2" x14ac:dyDescent="0.3">
      <c r="A8030" s="2">
        <v>44547</v>
      </c>
      <c r="B8030">
        <v>4.16</v>
      </c>
    </row>
    <row r="8031" spans="1:2" x14ac:dyDescent="0.3">
      <c r="A8031" s="2">
        <v>44548</v>
      </c>
      <c r="B8031">
        <v>4.16</v>
      </c>
    </row>
    <row r="8032" spans="1:2" x14ac:dyDescent="0.3">
      <c r="A8032" s="2">
        <v>44549</v>
      </c>
      <c r="B8032">
        <v>4.16</v>
      </c>
    </row>
    <row r="8033" spans="1:2" x14ac:dyDescent="0.3">
      <c r="A8033" s="2">
        <v>44550</v>
      </c>
      <c r="B8033">
        <v>4.17</v>
      </c>
    </row>
    <row r="8034" spans="1:2" x14ac:dyDescent="0.3">
      <c r="A8034" s="2">
        <v>44551</v>
      </c>
      <c r="B8034">
        <v>4.18</v>
      </c>
    </row>
    <row r="8035" spans="1:2" x14ac:dyDescent="0.3">
      <c r="A8035" s="2">
        <v>44552</v>
      </c>
      <c r="B8035">
        <v>4.24</v>
      </c>
    </row>
    <row r="8036" spans="1:2" x14ac:dyDescent="0.3">
      <c r="A8036" s="2">
        <v>44553</v>
      </c>
      <c r="B8036">
        <v>4.24</v>
      </c>
    </row>
    <row r="8037" spans="1:2" x14ac:dyDescent="0.3">
      <c r="A8037" s="2">
        <v>44554</v>
      </c>
      <c r="B8037">
        <v>4.21</v>
      </c>
    </row>
    <row r="8038" spans="1:2" x14ac:dyDescent="0.3">
      <c r="A8038" s="2">
        <v>44555</v>
      </c>
      <c r="B8038">
        <v>4.21</v>
      </c>
    </row>
    <row r="8039" spans="1:2" x14ac:dyDescent="0.3">
      <c r="A8039" s="2">
        <v>44556</v>
      </c>
      <c r="B8039">
        <v>4.21</v>
      </c>
    </row>
    <row r="8040" spans="1:2" x14ac:dyDescent="0.3">
      <c r="A8040" s="2">
        <v>44557</v>
      </c>
      <c r="B8040">
        <v>4.2</v>
      </c>
    </row>
    <row r="8041" spans="1:2" x14ac:dyDescent="0.3">
      <c r="A8041" s="2">
        <v>44558</v>
      </c>
      <c r="B8041">
        <v>4.2300000000000004</v>
      </c>
    </row>
    <row r="8042" spans="1:2" x14ac:dyDescent="0.3">
      <c r="A8042" s="2">
        <v>44559</v>
      </c>
      <c r="B8042">
        <v>4.25</v>
      </c>
    </row>
    <row r="8043" spans="1:2" x14ac:dyDescent="0.3">
      <c r="A8043" s="2">
        <v>44560</v>
      </c>
      <c r="B8043">
        <v>4.22</v>
      </c>
    </row>
    <row r="8044" spans="1:2" x14ac:dyDescent="0.3">
      <c r="A8044" s="2">
        <v>44561</v>
      </c>
      <c r="B8044">
        <v>4.21</v>
      </c>
    </row>
    <row r="8045" spans="1:2" x14ac:dyDescent="0.3">
      <c r="A8045" s="2">
        <v>44562</v>
      </c>
      <c r="B8045">
        <v>4.21</v>
      </c>
    </row>
    <row r="8046" spans="1:2" x14ac:dyDescent="0.3">
      <c r="A8046" s="2">
        <v>44563</v>
      </c>
      <c r="B8046">
        <v>4.21</v>
      </c>
    </row>
    <row r="8047" spans="1:2" x14ac:dyDescent="0.3">
      <c r="A8047" s="2">
        <v>44564</v>
      </c>
      <c r="B8047">
        <v>4.24</v>
      </c>
    </row>
    <row r="8048" spans="1:2" x14ac:dyDescent="0.3">
      <c r="A8048" s="2">
        <v>44565</v>
      </c>
      <c r="B8048">
        <v>4.0999999999999996</v>
      </c>
    </row>
    <row r="8049" spans="1:2" x14ac:dyDescent="0.3">
      <c r="A8049" s="2">
        <v>44566</v>
      </c>
      <c r="B8049">
        <v>4.3099999999999996</v>
      </c>
    </row>
    <row r="8050" spans="1:2" x14ac:dyDescent="0.3">
      <c r="A8050" s="2">
        <v>44567</v>
      </c>
      <c r="B8050">
        <v>4.3099999999999996</v>
      </c>
    </row>
    <row r="8051" spans="1:2" x14ac:dyDescent="0.3">
      <c r="A8051" s="2">
        <v>44568</v>
      </c>
      <c r="B8051">
        <v>4.32</v>
      </c>
    </row>
    <row r="8052" spans="1:2" x14ac:dyDescent="0.3">
      <c r="A8052" s="2">
        <v>44569</v>
      </c>
      <c r="B8052">
        <v>4.32</v>
      </c>
    </row>
    <row r="8053" spans="1:2" x14ac:dyDescent="0.3">
      <c r="A8053" s="2">
        <v>44570</v>
      </c>
      <c r="B8053">
        <v>4.32</v>
      </c>
    </row>
    <row r="8054" spans="1:2" x14ac:dyDescent="0.3">
      <c r="A8054" s="2">
        <v>44571</v>
      </c>
      <c r="B8054">
        <v>4.33</v>
      </c>
    </row>
    <row r="8055" spans="1:2" x14ac:dyDescent="0.3">
      <c r="A8055" s="2">
        <v>44572</v>
      </c>
      <c r="B8055">
        <v>4.34</v>
      </c>
    </row>
    <row r="8056" spans="1:2" x14ac:dyDescent="0.3">
      <c r="A8056" s="2">
        <v>44573</v>
      </c>
      <c r="B8056">
        <v>4.37</v>
      </c>
    </row>
    <row r="8057" spans="1:2" x14ac:dyDescent="0.3">
      <c r="A8057" s="2">
        <v>44574</v>
      </c>
      <c r="B8057">
        <v>4.3600000000000003</v>
      </c>
    </row>
    <row r="8058" spans="1:2" x14ac:dyDescent="0.3">
      <c r="A8058" s="2">
        <v>44575</v>
      </c>
      <c r="B8058">
        <v>4.3499999999999996</v>
      </c>
    </row>
    <row r="8059" spans="1:2" x14ac:dyDescent="0.3">
      <c r="A8059" s="2">
        <v>44576</v>
      </c>
      <c r="B8059">
        <v>4.3499999999999996</v>
      </c>
    </row>
    <row r="8060" spans="1:2" x14ac:dyDescent="0.3">
      <c r="A8060" s="2">
        <v>44577</v>
      </c>
      <c r="B8060">
        <v>4.3499999999999996</v>
      </c>
    </row>
    <row r="8061" spans="1:2" x14ac:dyDescent="0.3">
      <c r="A8061" s="2">
        <v>44578</v>
      </c>
      <c r="B8061">
        <v>4.3600000000000003</v>
      </c>
    </row>
    <row r="8062" spans="1:2" x14ac:dyDescent="0.3">
      <c r="A8062" s="2">
        <v>44579</v>
      </c>
      <c r="B8062">
        <v>4.38</v>
      </c>
    </row>
    <row r="8063" spans="1:2" x14ac:dyDescent="0.3">
      <c r="A8063" s="2">
        <v>44580</v>
      </c>
      <c r="B8063">
        <v>4.4400000000000004</v>
      </c>
    </row>
    <row r="8064" spans="1:2" x14ac:dyDescent="0.3">
      <c r="A8064" s="2">
        <v>44581</v>
      </c>
      <c r="B8064">
        <v>4.41</v>
      </c>
    </row>
    <row r="8065" spans="1:2" x14ac:dyDescent="0.3">
      <c r="A8065" s="2">
        <v>44582</v>
      </c>
      <c r="B8065">
        <v>4.47</v>
      </c>
    </row>
    <row r="8066" spans="1:2" x14ac:dyDescent="0.3">
      <c r="A8066" s="2">
        <v>44583</v>
      </c>
      <c r="B8066">
        <v>4.47</v>
      </c>
    </row>
    <row r="8067" spans="1:2" x14ac:dyDescent="0.3">
      <c r="A8067" s="2">
        <v>44584</v>
      </c>
      <c r="B8067">
        <v>4.47</v>
      </c>
    </row>
    <row r="8068" spans="1:2" x14ac:dyDescent="0.3">
      <c r="A8068" s="2">
        <v>44585</v>
      </c>
      <c r="B8068">
        <v>4.47</v>
      </c>
    </row>
    <row r="8069" spans="1:2" x14ac:dyDescent="0.3">
      <c r="A8069" s="2">
        <v>44586</v>
      </c>
      <c r="B8069">
        <v>4.5</v>
      </c>
    </row>
    <row r="8070" spans="1:2" x14ac:dyDescent="0.3">
      <c r="A8070" s="2">
        <v>44587</v>
      </c>
      <c r="B8070">
        <v>4.5</v>
      </c>
    </row>
    <row r="8071" spans="1:2" x14ac:dyDescent="0.3">
      <c r="A8071" s="2">
        <v>44588</v>
      </c>
      <c r="B8071">
        <v>4.49</v>
      </c>
    </row>
    <row r="8072" spans="1:2" x14ac:dyDescent="0.3">
      <c r="A8072" s="2">
        <v>44589</v>
      </c>
      <c r="B8072">
        <v>4.5</v>
      </c>
    </row>
    <row r="8073" spans="1:2" x14ac:dyDescent="0.3">
      <c r="A8073" s="2">
        <v>44590</v>
      </c>
      <c r="B8073">
        <v>4.5</v>
      </c>
    </row>
    <row r="8074" spans="1:2" x14ac:dyDescent="0.3">
      <c r="A8074" s="2">
        <v>44591</v>
      </c>
      <c r="B8074">
        <v>4.5</v>
      </c>
    </row>
    <row r="8075" spans="1:2" x14ac:dyDescent="0.3">
      <c r="A8075" s="2">
        <v>44592</v>
      </c>
      <c r="B8075">
        <v>4.51</v>
      </c>
    </row>
    <row r="8076" spans="1:2" x14ac:dyDescent="0.3">
      <c r="A8076" s="2">
        <v>44593</v>
      </c>
      <c r="B8076">
        <v>4.51</v>
      </c>
    </row>
    <row r="8077" spans="1:2" x14ac:dyDescent="0.3">
      <c r="A8077" s="2">
        <v>44594</v>
      </c>
      <c r="B8077">
        <v>4.63</v>
      </c>
    </row>
    <row r="8078" spans="1:2" x14ac:dyDescent="0.3">
      <c r="A8078" s="2">
        <v>44595</v>
      </c>
      <c r="B8078">
        <v>4.5999999999999996</v>
      </c>
    </row>
    <row r="8079" spans="1:2" x14ac:dyDescent="0.3">
      <c r="A8079" s="2">
        <v>44596</v>
      </c>
      <c r="B8079">
        <v>4.5999999999999996</v>
      </c>
    </row>
    <row r="8080" spans="1:2" x14ac:dyDescent="0.3">
      <c r="A8080" s="2">
        <v>44597</v>
      </c>
      <c r="B8080">
        <v>4.5999999999999996</v>
      </c>
    </row>
    <row r="8081" spans="1:2" x14ac:dyDescent="0.3">
      <c r="A8081" s="2">
        <v>44598</v>
      </c>
      <c r="B8081">
        <v>4.5999999999999996</v>
      </c>
    </row>
    <row r="8082" spans="1:2" x14ac:dyDescent="0.3">
      <c r="A8082" s="2">
        <v>44599</v>
      </c>
      <c r="B8082">
        <v>4.5999999999999996</v>
      </c>
    </row>
    <row r="8083" spans="1:2" x14ac:dyDescent="0.3">
      <c r="A8083" s="2">
        <v>44600</v>
      </c>
      <c r="B8083">
        <v>4.59</v>
      </c>
    </row>
    <row r="8084" spans="1:2" x14ac:dyDescent="0.3">
      <c r="A8084" s="2">
        <v>44601</v>
      </c>
      <c r="B8084">
        <v>4.6500000000000004</v>
      </c>
    </row>
    <row r="8085" spans="1:2" x14ac:dyDescent="0.3">
      <c r="A8085" s="2">
        <v>44602</v>
      </c>
      <c r="B8085">
        <v>4.4800000000000004</v>
      </c>
    </row>
    <row r="8086" spans="1:2" x14ac:dyDescent="0.3">
      <c r="A8086" s="2">
        <v>44603</v>
      </c>
      <c r="B8086">
        <v>4.45</v>
      </c>
    </row>
    <row r="8087" spans="1:2" x14ac:dyDescent="0.3">
      <c r="A8087" s="2">
        <v>44604</v>
      </c>
      <c r="B8087">
        <v>4.45</v>
      </c>
    </row>
    <row r="8088" spans="1:2" x14ac:dyDescent="0.3">
      <c r="A8088" s="2">
        <v>44605</v>
      </c>
      <c r="B8088">
        <v>4.45</v>
      </c>
    </row>
    <row r="8089" spans="1:2" x14ac:dyDescent="0.3">
      <c r="A8089" s="2">
        <v>44606</v>
      </c>
      <c r="B8089">
        <v>4.45</v>
      </c>
    </row>
    <row r="8090" spans="1:2" x14ac:dyDescent="0.3">
      <c r="A8090" s="2">
        <v>44607</v>
      </c>
      <c r="B8090">
        <v>4.43</v>
      </c>
    </row>
    <row r="8091" spans="1:2" x14ac:dyDescent="0.3">
      <c r="A8091" s="2">
        <v>44608</v>
      </c>
      <c r="B8091">
        <v>4.47</v>
      </c>
    </row>
    <row r="8092" spans="1:2" x14ac:dyDescent="0.3">
      <c r="A8092" s="2">
        <v>44609</v>
      </c>
      <c r="B8092">
        <v>4.47</v>
      </c>
    </row>
    <row r="8093" spans="1:2" x14ac:dyDescent="0.3">
      <c r="A8093" s="2">
        <v>44610</v>
      </c>
      <c r="B8093">
        <v>4.41</v>
      </c>
    </row>
    <row r="8094" spans="1:2" x14ac:dyDescent="0.3">
      <c r="A8094" s="2">
        <v>44611</v>
      </c>
      <c r="B8094">
        <v>4.41</v>
      </c>
    </row>
    <row r="8095" spans="1:2" x14ac:dyDescent="0.3">
      <c r="A8095" s="2">
        <v>44612</v>
      </c>
      <c r="B8095">
        <v>4.41</v>
      </c>
    </row>
    <row r="8096" spans="1:2" x14ac:dyDescent="0.3">
      <c r="A8096" s="2">
        <v>44613</v>
      </c>
      <c r="B8096">
        <v>4.45</v>
      </c>
    </row>
    <row r="8097" spans="1:2" x14ac:dyDescent="0.3">
      <c r="A8097" s="2">
        <v>44614</v>
      </c>
      <c r="B8097">
        <v>4.49</v>
      </c>
    </row>
    <row r="8098" spans="1:2" x14ac:dyDescent="0.3">
      <c r="A8098" s="2">
        <v>44615</v>
      </c>
      <c r="B8098">
        <v>4.51</v>
      </c>
    </row>
    <row r="8099" spans="1:2" x14ac:dyDescent="0.3">
      <c r="A8099" s="2">
        <v>44616</v>
      </c>
      <c r="B8099">
        <v>4.51</v>
      </c>
    </row>
    <row r="8100" spans="1:2" x14ac:dyDescent="0.3">
      <c r="A8100" s="2">
        <v>44617</v>
      </c>
      <c r="B8100">
        <v>4.49</v>
      </c>
    </row>
    <row r="8101" spans="1:2" x14ac:dyDescent="0.3">
      <c r="A8101" s="2">
        <v>44618</v>
      </c>
      <c r="B8101">
        <v>4.49</v>
      </c>
    </row>
    <row r="8102" spans="1:2" x14ac:dyDescent="0.3">
      <c r="A8102" s="2">
        <v>44619</v>
      </c>
      <c r="B8102">
        <v>4.49</v>
      </c>
    </row>
    <row r="8103" spans="1:2" x14ac:dyDescent="0.3">
      <c r="A8103" s="2">
        <v>44620</v>
      </c>
      <c r="B8103">
        <v>4.55</v>
      </c>
    </row>
    <row r="8104" spans="1:2" x14ac:dyDescent="0.3">
      <c r="A8104" s="2">
        <v>44621</v>
      </c>
      <c r="B8104">
        <v>4.55</v>
      </c>
    </row>
    <row r="8105" spans="1:2" x14ac:dyDescent="0.3">
      <c r="A8105" s="2">
        <v>44622</v>
      </c>
      <c r="B8105">
        <v>4.5999999999999996</v>
      </c>
    </row>
    <row r="8106" spans="1:2" x14ac:dyDescent="0.3">
      <c r="A8106" s="2">
        <v>44623</v>
      </c>
      <c r="B8106">
        <v>4.6100000000000003</v>
      </c>
    </row>
    <row r="8107" spans="1:2" x14ac:dyDescent="0.3">
      <c r="A8107" s="2">
        <v>44624</v>
      </c>
      <c r="B8107">
        <v>4.5999999999999996</v>
      </c>
    </row>
    <row r="8108" spans="1:2" x14ac:dyDescent="0.3">
      <c r="A8108" s="2">
        <v>44625</v>
      </c>
      <c r="B8108">
        <v>4.5999999999999996</v>
      </c>
    </row>
    <row r="8109" spans="1:2" x14ac:dyDescent="0.3">
      <c r="A8109" s="2">
        <v>44626</v>
      </c>
      <c r="B8109">
        <v>4.5999999999999996</v>
      </c>
    </row>
    <row r="8110" spans="1:2" x14ac:dyDescent="0.3">
      <c r="A8110" s="2">
        <v>44627</v>
      </c>
      <c r="B8110">
        <v>4.58</v>
      </c>
    </row>
    <row r="8111" spans="1:2" x14ac:dyDescent="0.3">
      <c r="A8111" s="2">
        <v>44628</v>
      </c>
      <c r="B8111">
        <v>4.6500000000000004</v>
      </c>
    </row>
    <row r="8112" spans="1:2" x14ac:dyDescent="0.3">
      <c r="A8112" s="2">
        <v>44629</v>
      </c>
      <c r="B8112">
        <v>4.68</v>
      </c>
    </row>
    <row r="8113" spans="1:2" x14ac:dyDescent="0.3">
      <c r="A8113" s="2">
        <v>44630</v>
      </c>
      <c r="B8113">
        <v>4.6100000000000003</v>
      </c>
    </row>
    <row r="8114" spans="1:2" x14ac:dyDescent="0.3">
      <c r="A8114" s="2">
        <v>44631</v>
      </c>
      <c r="B8114">
        <v>4.62</v>
      </c>
    </row>
    <row r="8115" spans="1:2" x14ac:dyDescent="0.3">
      <c r="A8115" s="2">
        <v>44632</v>
      </c>
      <c r="B8115">
        <v>4.62</v>
      </c>
    </row>
    <row r="8116" spans="1:2" x14ac:dyDescent="0.3">
      <c r="A8116" s="2">
        <v>44633</v>
      </c>
      <c r="B8116">
        <v>4.62</v>
      </c>
    </row>
    <row r="8117" spans="1:2" x14ac:dyDescent="0.3">
      <c r="A8117" s="2">
        <v>44634</v>
      </c>
      <c r="B8117">
        <v>4.63</v>
      </c>
    </row>
    <row r="8118" spans="1:2" x14ac:dyDescent="0.3">
      <c r="A8118" s="2">
        <v>44635</v>
      </c>
      <c r="B8118">
        <v>4.5999999999999996</v>
      </c>
    </row>
    <row r="8119" spans="1:2" x14ac:dyDescent="0.3">
      <c r="A8119" s="2">
        <v>44636</v>
      </c>
      <c r="B8119">
        <v>4.62</v>
      </c>
    </row>
    <row r="8120" spans="1:2" x14ac:dyDescent="0.3">
      <c r="A8120" s="2">
        <v>44637</v>
      </c>
      <c r="B8120">
        <v>4.58</v>
      </c>
    </row>
    <row r="8121" spans="1:2" x14ac:dyDescent="0.3">
      <c r="A8121" s="2">
        <v>44638</v>
      </c>
      <c r="B8121">
        <v>4.58</v>
      </c>
    </row>
    <row r="8122" spans="1:2" x14ac:dyDescent="0.3">
      <c r="A8122" s="2">
        <v>44639</v>
      </c>
      <c r="B8122">
        <v>4.58</v>
      </c>
    </row>
    <row r="8123" spans="1:2" x14ac:dyDescent="0.3">
      <c r="A8123" s="2">
        <v>44640</v>
      </c>
      <c r="B8123">
        <v>4.58</v>
      </c>
    </row>
    <row r="8124" spans="1:2" x14ac:dyDescent="0.3">
      <c r="A8124" s="2">
        <v>44641</v>
      </c>
      <c r="B8124">
        <v>4.59</v>
      </c>
    </row>
    <row r="8125" spans="1:2" x14ac:dyDescent="0.3">
      <c r="A8125" s="2">
        <v>44642</v>
      </c>
      <c r="B8125">
        <v>4.62</v>
      </c>
    </row>
    <row r="8126" spans="1:2" x14ac:dyDescent="0.3">
      <c r="A8126" s="2">
        <v>44643</v>
      </c>
      <c r="B8126">
        <v>4.58</v>
      </c>
    </row>
    <row r="8127" spans="1:2" x14ac:dyDescent="0.3">
      <c r="A8127" s="2">
        <v>44644</v>
      </c>
      <c r="B8127">
        <v>4.57</v>
      </c>
    </row>
    <row r="8128" spans="1:2" x14ac:dyDescent="0.3">
      <c r="A8128" s="2">
        <v>44645</v>
      </c>
      <c r="B8128">
        <v>4.57</v>
      </c>
    </row>
    <row r="8129" spans="1:2" x14ac:dyDescent="0.3">
      <c r="A8129" s="2">
        <v>44646</v>
      </c>
      <c r="B8129">
        <v>4.57</v>
      </c>
    </row>
    <row r="8130" spans="1:2" x14ac:dyDescent="0.3">
      <c r="A8130" s="2">
        <v>44647</v>
      </c>
      <c r="B8130">
        <v>4.57</v>
      </c>
    </row>
    <row r="8131" spans="1:2" x14ac:dyDescent="0.3">
      <c r="A8131" s="2">
        <v>44648</v>
      </c>
      <c r="B8131">
        <v>4.57</v>
      </c>
    </row>
    <row r="8132" spans="1:2" x14ac:dyDescent="0.3">
      <c r="A8132" s="2">
        <v>44649</v>
      </c>
      <c r="B8132">
        <v>4.57</v>
      </c>
    </row>
    <row r="8133" spans="1:2" x14ac:dyDescent="0.3">
      <c r="A8133" s="2">
        <v>44650</v>
      </c>
      <c r="B8133">
        <v>4.5599999999999996</v>
      </c>
    </row>
    <row r="8134" spans="1:2" x14ac:dyDescent="0.3">
      <c r="A8134" s="2">
        <v>44651</v>
      </c>
      <c r="B8134">
        <v>4.45</v>
      </c>
    </row>
    <row r="8135" spans="1:2" x14ac:dyDescent="0.3">
      <c r="A8135" s="2">
        <v>44652</v>
      </c>
      <c r="B8135">
        <v>4.45</v>
      </c>
    </row>
    <row r="8136" spans="1:2" x14ac:dyDescent="0.3">
      <c r="A8136" s="2">
        <v>44653</v>
      </c>
      <c r="B8136">
        <v>4.45</v>
      </c>
    </row>
    <row r="8137" spans="1:2" x14ac:dyDescent="0.3">
      <c r="A8137" s="2">
        <v>44654</v>
      </c>
      <c r="B8137">
        <v>4.45</v>
      </c>
    </row>
    <row r="8138" spans="1:2" x14ac:dyDescent="0.3">
      <c r="A8138" s="2">
        <v>44655</v>
      </c>
      <c r="B8138">
        <v>4.54</v>
      </c>
    </row>
    <row r="8139" spans="1:2" x14ac:dyDescent="0.3">
      <c r="A8139" s="2">
        <v>44656</v>
      </c>
      <c r="B8139">
        <v>4.53</v>
      </c>
    </row>
    <row r="8140" spans="1:2" x14ac:dyDescent="0.3">
      <c r="A8140" s="2">
        <v>44657</v>
      </c>
      <c r="B8140">
        <v>4.54</v>
      </c>
    </row>
    <row r="8141" spans="1:2" x14ac:dyDescent="0.3">
      <c r="A8141" s="2">
        <v>44658</v>
      </c>
      <c r="B8141">
        <v>4.53</v>
      </c>
    </row>
    <row r="8142" spans="1:2" x14ac:dyDescent="0.3">
      <c r="A8142" s="2">
        <v>44659</v>
      </c>
      <c r="B8142">
        <v>4.68</v>
      </c>
    </row>
    <row r="8143" spans="1:2" x14ac:dyDescent="0.3">
      <c r="A8143" s="2">
        <v>44660</v>
      </c>
      <c r="B8143">
        <v>4.68</v>
      </c>
    </row>
    <row r="8144" spans="1:2" x14ac:dyDescent="0.3">
      <c r="A8144" s="2">
        <v>44661</v>
      </c>
      <c r="B8144">
        <v>4.68</v>
      </c>
    </row>
    <row r="8145" spans="1:2" x14ac:dyDescent="0.3">
      <c r="A8145" s="2">
        <v>44662</v>
      </c>
      <c r="B8145">
        <v>4.75</v>
      </c>
    </row>
    <row r="8146" spans="1:2" x14ac:dyDescent="0.3">
      <c r="A8146" s="2">
        <v>44663</v>
      </c>
      <c r="B8146">
        <v>4.78</v>
      </c>
    </row>
    <row r="8147" spans="1:2" x14ac:dyDescent="0.3">
      <c r="A8147" s="2">
        <v>44664</v>
      </c>
      <c r="B8147">
        <v>4.76</v>
      </c>
    </row>
    <row r="8148" spans="1:2" x14ac:dyDescent="0.3">
      <c r="A8148" s="2">
        <v>44665</v>
      </c>
      <c r="B8148">
        <v>4.76</v>
      </c>
    </row>
    <row r="8149" spans="1:2" x14ac:dyDescent="0.3">
      <c r="A8149" s="2">
        <v>44666</v>
      </c>
      <c r="B8149">
        <v>4.76</v>
      </c>
    </row>
    <row r="8150" spans="1:2" x14ac:dyDescent="0.3">
      <c r="A8150" s="2">
        <v>44667</v>
      </c>
      <c r="B8150">
        <v>4.76</v>
      </c>
    </row>
    <row r="8151" spans="1:2" x14ac:dyDescent="0.3">
      <c r="A8151" s="2">
        <v>44668</v>
      </c>
      <c r="B8151">
        <v>4.76</v>
      </c>
    </row>
    <row r="8152" spans="1:2" x14ac:dyDescent="0.3">
      <c r="A8152" s="2">
        <v>44669</v>
      </c>
      <c r="B8152">
        <v>4.62</v>
      </c>
    </row>
    <row r="8153" spans="1:2" x14ac:dyDescent="0.3">
      <c r="A8153" s="2">
        <v>44670</v>
      </c>
      <c r="B8153">
        <v>4.7699999999999996</v>
      </c>
    </row>
    <row r="8154" spans="1:2" x14ac:dyDescent="0.3">
      <c r="A8154" s="2">
        <v>44671</v>
      </c>
      <c r="B8154">
        <v>4.8</v>
      </c>
    </row>
    <row r="8155" spans="1:2" x14ac:dyDescent="0.3">
      <c r="A8155" s="2">
        <v>44672</v>
      </c>
      <c r="B8155">
        <v>4.78</v>
      </c>
    </row>
    <row r="8156" spans="1:2" x14ac:dyDescent="0.3">
      <c r="A8156" s="2">
        <v>44673</v>
      </c>
      <c r="B8156">
        <v>4.78</v>
      </c>
    </row>
    <row r="8157" spans="1:2" x14ac:dyDescent="0.3">
      <c r="A8157" s="2">
        <v>44674</v>
      </c>
      <c r="B8157">
        <v>4.78</v>
      </c>
    </row>
    <row r="8158" spans="1:2" x14ac:dyDescent="0.3">
      <c r="A8158" s="2">
        <v>44675</v>
      </c>
      <c r="B8158">
        <v>4.78</v>
      </c>
    </row>
    <row r="8159" spans="1:2" x14ac:dyDescent="0.3">
      <c r="A8159" s="2">
        <v>44676</v>
      </c>
      <c r="B8159">
        <v>4.74</v>
      </c>
    </row>
    <row r="8160" spans="1:2" x14ac:dyDescent="0.3">
      <c r="A8160" s="2">
        <v>44677</v>
      </c>
      <c r="B8160">
        <v>4.75</v>
      </c>
    </row>
    <row r="8161" spans="1:2" x14ac:dyDescent="0.3">
      <c r="A8161" s="2">
        <v>44678</v>
      </c>
      <c r="B8161">
        <v>4.79</v>
      </c>
    </row>
    <row r="8162" spans="1:2" x14ac:dyDescent="0.3">
      <c r="A8162" s="2">
        <v>44679</v>
      </c>
      <c r="B8162">
        <v>4.7699999999999996</v>
      </c>
    </row>
    <row r="8163" spans="1:2" x14ac:dyDescent="0.3">
      <c r="A8163" s="2">
        <v>44680</v>
      </c>
      <c r="B8163">
        <v>4.76</v>
      </c>
    </row>
    <row r="8164" spans="1:2" x14ac:dyDescent="0.3">
      <c r="A8164" s="2">
        <v>44681</v>
      </c>
      <c r="B8164">
        <v>4.76</v>
      </c>
    </row>
    <row r="8165" spans="1:2" x14ac:dyDescent="0.3">
      <c r="A8165" s="2">
        <v>44682</v>
      </c>
      <c r="B8165">
        <v>4.76</v>
      </c>
    </row>
    <row r="8166" spans="1:2" x14ac:dyDescent="0.3">
      <c r="A8166" s="2">
        <v>44683</v>
      </c>
      <c r="B8166">
        <v>4.7699999999999996</v>
      </c>
    </row>
    <row r="8167" spans="1:2" x14ac:dyDescent="0.3">
      <c r="A8167" s="2">
        <v>44684</v>
      </c>
      <c r="B8167">
        <v>4.7699999999999996</v>
      </c>
    </row>
    <row r="8168" spans="1:2" x14ac:dyDescent="0.3">
      <c r="A8168" s="2">
        <v>44685</v>
      </c>
      <c r="B8168">
        <v>4.82</v>
      </c>
    </row>
    <row r="8169" spans="1:2" x14ac:dyDescent="0.3">
      <c r="A8169" s="2">
        <v>44686</v>
      </c>
      <c r="B8169">
        <v>5.18</v>
      </c>
    </row>
    <row r="8170" spans="1:2" x14ac:dyDescent="0.3">
      <c r="A8170" s="2">
        <v>44687</v>
      </c>
      <c r="B8170">
        <v>5.42</v>
      </c>
    </row>
    <row r="8171" spans="1:2" x14ac:dyDescent="0.3">
      <c r="A8171" s="2">
        <v>44688</v>
      </c>
      <c r="B8171">
        <v>5.42</v>
      </c>
    </row>
    <row r="8172" spans="1:2" x14ac:dyDescent="0.3">
      <c r="A8172" s="2">
        <v>44689</v>
      </c>
      <c r="B8172">
        <v>5.42</v>
      </c>
    </row>
    <row r="8173" spans="1:2" x14ac:dyDescent="0.3">
      <c r="A8173" s="2">
        <v>44690</v>
      </c>
      <c r="B8173">
        <v>5.43</v>
      </c>
    </row>
    <row r="8174" spans="1:2" x14ac:dyDescent="0.3">
      <c r="A8174" s="2">
        <v>44691</v>
      </c>
      <c r="B8174">
        <v>5.53</v>
      </c>
    </row>
    <row r="8175" spans="1:2" x14ac:dyDescent="0.3">
      <c r="A8175" s="2">
        <v>44692</v>
      </c>
      <c r="B8175">
        <v>5.83</v>
      </c>
    </row>
    <row r="8176" spans="1:2" x14ac:dyDescent="0.3">
      <c r="A8176" s="2">
        <v>44693</v>
      </c>
      <c r="B8176">
        <v>5.86</v>
      </c>
    </row>
    <row r="8177" spans="1:2" x14ac:dyDescent="0.3">
      <c r="A8177" s="2">
        <v>44694</v>
      </c>
      <c r="B8177">
        <v>5.84</v>
      </c>
    </row>
    <row r="8178" spans="1:2" x14ac:dyDescent="0.3">
      <c r="A8178" s="2">
        <v>44695</v>
      </c>
      <c r="B8178">
        <v>5.84</v>
      </c>
    </row>
    <row r="8179" spans="1:2" x14ac:dyDescent="0.3">
      <c r="A8179" s="2">
        <v>44696</v>
      </c>
      <c r="B8179">
        <v>5.84</v>
      </c>
    </row>
    <row r="8180" spans="1:2" x14ac:dyDescent="0.3">
      <c r="A8180" s="2">
        <v>44697</v>
      </c>
      <c r="B8180">
        <v>5.84</v>
      </c>
    </row>
    <row r="8181" spans="1:2" x14ac:dyDescent="0.3">
      <c r="A8181" s="2">
        <v>44698</v>
      </c>
      <c r="B8181">
        <v>5.8</v>
      </c>
    </row>
    <row r="8182" spans="1:2" x14ac:dyDescent="0.3">
      <c r="A8182" s="2">
        <v>44699</v>
      </c>
      <c r="B8182">
        <v>5.9</v>
      </c>
    </row>
    <row r="8183" spans="1:2" x14ac:dyDescent="0.3">
      <c r="A8183" s="2">
        <v>44700</v>
      </c>
      <c r="B8183">
        <v>5.87</v>
      </c>
    </row>
    <row r="8184" spans="1:2" x14ac:dyDescent="0.3">
      <c r="A8184" s="2">
        <v>44701</v>
      </c>
      <c r="B8184">
        <v>5.89</v>
      </c>
    </row>
    <row r="8185" spans="1:2" x14ac:dyDescent="0.3">
      <c r="A8185" s="2">
        <v>44702</v>
      </c>
      <c r="B8185">
        <v>5.89</v>
      </c>
    </row>
    <row r="8186" spans="1:2" x14ac:dyDescent="0.3">
      <c r="A8186" s="2">
        <v>44703</v>
      </c>
      <c r="B8186">
        <v>5.89</v>
      </c>
    </row>
    <row r="8187" spans="1:2" x14ac:dyDescent="0.3">
      <c r="A8187" s="2">
        <v>44704</v>
      </c>
      <c r="B8187">
        <v>5.8</v>
      </c>
    </row>
    <row r="8188" spans="1:2" x14ac:dyDescent="0.3">
      <c r="A8188" s="2">
        <v>44705</v>
      </c>
      <c r="B8188">
        <v>5.88</v>
      </c>
    </row>
    <row r="8189" spans="1:2" x14ac:dyDescent="0.3">
      <c r="A8189" s="2">
        <v>44706</v>
      </c>
      <c r="B8189">
        <v>5.88</v>
      </c>
    </row>
    <row r="8190" spans="1:2" x14ac:dyDescent="0.3">
      <c r="A8190" s="2">
        <v>44707</v>
      </c>
      <c r="B8190">
        <v>5.89</v>
      </c>
    </row>
    <row r="8191" spans="1:2" x14ac:dyDescent="0.3">
      <c r="A8191" s="2">
        <v>44708</v>
      </c>
      <c r="B8191">
        <v>5.91</v>
      </c>
    </row>
    <row r="8192" spans="1:2" x14ac:dyDescent="0.3">
      <c r="A8192" s="2">
        <v>44709</v>
      </c>
      <c r="B8192">
        <v>5.91</v>
      </c>
    </row>
    <row r="8193" spans="1:2" x14ac:dyDescent="0.3">
      <c r="A8193" s="2">
        <v>44710</v>
      </c>
      <c r="B8193">
        <v>5.91</v>
      </c>
    </row>
    <row r="8194" spans="1:2" x14ac:dyDescent="0.3">
      <c r="A8194" s="2">
        <v>44711</v>
      </c>
      <c r="B8194">
        <v>5.93</v>
      </c>
    </row>
    <row r="8195" spans="1:2" x14ac:dyDescent="0.3">
      <c r="A8195" s="2">
        <v>44712</v>
      </c>
      <c r="B8195">
        <v>5.94</v>
      </c>
    </row>
    <row r="8196" spans="1:2" x14ac:dyDescent="0.3">
      <c r="A8196" s="2">
        <v>44713</v>
      </c>
      <c r="B8196">
        <v>6</v>
      </c>
    </row>
    <row r="8197" spans="1:2" x14ac:dyDescent="0.3">
      <c r="A8197" s="2">
        <v>44714</v>
      </c>
      <c r="B8197">
        <v>6.07</v>
      </c>
    </row>
    <row r="8198" spans="1:2" x14ac:dyDescent="0.3">
      <c r="A8198" s="2">
        <v>44715</v>
      </c>
      <c r="B8198">
        <v>6.07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D0C63-9A81-4326-AB09-2CF60488AED0}">
  <dimension ref="A1:C7460"/>
  <sheetViews>
    <sheetView tabSelected="1" topLeftCell="A7433" workbookViewId="0">
      <selection activeCell="I7443" sqref="I7443"/>
    </sheetView>
  </sheetViews>
  <sheetFormatPr defaultRowHeight="14.4" x14ac:dyDescent="0.3"/>
  <cols>
    <col min="1" max="1" width="10.33203125" bestFit="1" customWidth="1"/>
  </cols>
  <sheetData>
    <row r="1" spans="1:3" x14ac:dyDescent="0.3">
      <c r="A1" t="s">
        <v>9</v>
      </c>
      <c r="B1" t="s">
        <v>16</v>
      </c>
      <c r="C1" t="s">
        <v>18</v>
      </c>
    </row>
    <row r="2" spans="1:3" x14ac:dyDescent="0.3">
      <c r="A2" s="2">
        <v>37257</v>
      </c>
      <c r="B2">
        <f>8.5/(100)</f>
        <v>8.5000000000000006E-2</v>
      </c>
      <c r="C2">
        <f>7.04/(100)</f>
        <v>7.0400000000000004E-2</v>
      </c>
    </row>
    <row r="3" spans="1:3" x14ac:dyDescent="0.3">
      <c r="A3" s="2">
        <v>37258</v>
      </c>
      <c r="B3">
        <f>8.5/(100)</f>
        <v>8.5000000000000006E-2</v>
      </c>
      <c r="C3">
        <f>7.02/(100)</f>
        <v>7.0199999999999999E-2</v>
      </c>
    </row>
    <row r="4" spans="1:3" x14ac:dyDescent="0.3">
      <c r="A4" s="2">
        <v>37259</v>
      </c>
      <c r="B4">
        <f>8.5/(100)</f>
        <v>8.5000000000000006E-2</v>
      </c>
      <c r="C4">
        <f>7.02/(100)</f>
        <v>7.0199999999999999E-2</v>
      </c>
    </row>
    <row r="5" spans="1:3" x14ac:dyDescent="0.3">
      <c r="A5" s="2">
        <v>37260</v>
      </c>
      <c r="B5">
        <f>8.5/(100)</f>
        <v>8.5000000000000006E-2</v>
      </c>
      <c r="C5">
        <f>7.04/(100)</f>
        <v>7.0400000000000004E-2</v>
      </c>
    </row>
    <row r="6" spans="1:3" x14ac:dyDescent="0.3">
      <c r="A6" s="2">
        <v>37261</v>
      </c>
      <c r="B6">
        <f>8.5/(100)</f>
        <v>8.5000000000000006E-2</v>
      </c>
      <c r="C6">
        <f>7.02/(100)</f>
        <v>7.0199999999999999E-2</v>
      </c>
    </row>
    <row r="7" spans="1:3" x14ac:dyDescent="0.3">
      <c r="A7" s="2">
        <v>37262</v>
      </c>
      <c r="B7">
        <f>8.5/(100)</f>
        <v>8.5000000000000006E-2</v>
      </c>
      <c r="C7">
        <f>7.02/(100)</f>
        <v>7.0199999999999999E-2</v>
      </c>
    </row>
    <row r="8" spans="1:3" x14ac:dyDescent="0.3">
      <c r="A8" s="2">
        <v>37263</v>
      </c>
      <c r="B8">
        <f>8.5/(100)</f>
        <v>8.5000000000000006E-2</v>
      </c>
      <c r="C8">
        <f>6.97/(100)</f>
        <v>6.9699999999999998E-2</v>
      </c>
    </row>
    <row r="9" spans="1:3" x14ac:dyDescent="0.3">
      <c r="A9" s="2">
        <v>37264</v>
      </c>
      <c r="B9">
        <f>8.5/(100)</f>
        <v>8.5000000000000006E-2</v>
      </c>
      <c r="C9">
        <f>6.98/(100)</f>
        <v>6.9800000000000001E-2</v>
      </c>
    </row>
    <row r="10" spans="1:3" x14ac:dyDescent="0.3">
      <c r="A10" s="2">
        <v>37265</v>
      </c>
      <c r="B10">
        <f>8.5/(100)</f>
        <v>8.5000000000000006E-2</v>
      </c>
      <c r="C10">
        <f>6.98/(100)</f>
        <v>6.9800000000000001E-2</v>
      </c>
    </row>
    <row r="11" spans="1:3" x14ac:dyDescent="0.3">
      <c r="A11" s="2">
        <v>37266</v>
      </c>
      <c r="B11">
        <f>8.5/(100)</f>
        <v>8.5000000000000006E-2</v>
      </c>
      <c r="C11">
        <f>7.01/(100)</f>
        <v>7.0099999999999996E-2</v>
      </c>
    </row>
    <row r="12" spans="1:3" x14ac:dyDescent="0.3">
      <c r="A12" s="2">
        <v>37267</v>
      </c>
      <c r="B12">
        <f>8.5/(100)</f>
        <v>8.5000000000000006E-2</v>
      </c>
      <c r="C12">
        <f>7.03/(100)</f>
        <v>7.0300000000000001E-2</v>
      </c>
    </row>
    <row r="13" spans="1:3" x14ac:dyDescent="0.3">
      <c r="A13" s="2">
        <v>37268</v>
      </c>
      <c r="B13">
        <f>8.5/(100)</f>
        <v>8.5000000000000006E-2</v>
      </c>
      <c r="C13">
        <f>7.01/(100)</f>
        <v>7.0099999999999996E-2</v>
      </c>
    </row>
    <row r="14" spans="1:3" x14ac:dyDescent="0.3">
      <c r="A14" s="2">
        <v>37269</v>
      </c>
      <c r="B14">
        <f>8.5/(100)</f>
        <v>8.5000000000000006E-2</v>
      </c>
      <c r="C14">
        <f>7.01/(100)</f>
        <v>7.0099999999999996E-2</v>
      </c>
    </row>
    <row r="15" spans="1:3" x14ac:dyDescent="0.3">
      <c r="A15" s="2">
        <v>37270</v>
      </c>
      <c r="B15">
        <f>8.5/(100)</f>
        <v>8.5000000000000006E-2</v>
      </c>
      <c r="C15">
        <f>6.96/(100)</f>
        <v>6.9599999999999995E-2</v>
      </c>
    </row>
    <row r="16" spans="1:3" x14ac:dyDescent="0.3">
      <c r="A16" s="2">
        <v>37271</v>
      </c>
      <c r="B16">
        <f>8.5/(100)</f>
        <v>8.5000000000000006E-2</v>
      </c>
      <c r="C16">
        <f>6.95/(100)</f>
        <v>6.9500000000000006E-2</v>
      </c>
    </row>
    <row r="17" spans="1:3" x14ac:dyDescent="0.3">
      <c r="A17" s="2">
        <v>37272</v>
      </c>
      <c r="B17">
        <f>8.5/(100)</f>
        <v>8.5000000000000006E-2</v>
      </c>
      <c r="C17">
        <f>6.92/(100)</f>
        <v>6.9199999999999998E-2</v>
      </c>
    </row>
    <row r="18" spans="1:3" x14ac:dyDescent="0.3">
      <c r="A18" s="2">
        <v>37273</v>
      </c>
      <c r="B18">
        <f>8.5/(100)</f>
        <v>8.5000000000000006E-2</v>
      </c>
      <c r="C18">
        <f>6.86/(100)</f>
        <v>6.8600000000000008E-2</v>
      </c>
    </row>
    <row r="19" spans="1:3" x14ac:dyDescent="0.3">
      <c r="A19" s="2">
        <v>37274</v>
      </c>
      <c r="B19">
        <f>8.5/(100)</f>
        <v>8.5000000000000006E-2</v>
      </c>
      <c r="C19">
        <f>6.87/(100)</f>
        <v>6.8699999999999997E-2</v>
      </c>
    </row>
    <row r="20" spans="1:3" x14ac:dyDescent="0.3">
      <c r="A20" s="2">
        <v>37275</v>
      </c>
      <c r="B20">
        <f>8.5/(100)</f>
        <v>8.5000000000000006E-2</v>
      </c>
      <c r="C20">
        <f>6.85/(100)</f>
        <v>6.8499999999999991E-2</v>
      </c>
    </row>
    <row r="21" spans="1:3" x14ac:dyDescent="0.3">
      <c r="A21" s="2">
        <v>37276</v>
      </c>
      <c r="B21">
        <f>8.5/(100)</f>
        <v>8.5000000000000006E-2</v>
      </c>
      <c r="C21">
        <f>6.85/(100)</f>
        <v>6.8499999999999991E-2</v>
      </c>
    </row>
    <row r="22" spans="1:3" x14ac:dyDescent="0.3">
      <c r="A22" s="2">
        <v>37277</v>
      </c>
      <c r="B22">
        <f>8.5/(100)</f>
        <v>8.5000000000000006E-2</v>
      </c>
      <c r="C22">
        <f>6.82/(100)</f>
        <v>6.8199999999999997E-2</v>
      </c>
    </row>
    <row r="23" spans="1:3" x14ac:dyDescent="0.3">
      <c r="A23" s="2">
        <v>37278</v>
      </c>
      <c r="B23">
        <f>8.5/(100)</f>
        <v>8.5000000000000006E-2</v>
      </c>
      <c r="C23">
        <f>6.81/(100)</f>
        <v>6.8099999999999994E-2</v>
      </c>
    </row>
    <row r="24" spans="1:3" x14ac:dyDescent="0.3">
      <c r="A24" s="2">
        <v>37279</v>
      </c>
      <c r="B24">
        <f>8.5/(100)</f>
        <v>8.5000000000000006E-2</v>
      </c>
      <c r="C24">
        <f>6.78/(100)</f>
        <v>6.7799999999999999E-2</v>
      </c>
    </row>
    <row r="25" spans="1:3" x14ac:dyDescent="0.3">
      <c r="A25" s="2">
        <v>37280</v>
      </c>
      <c r="B25">
        <f>8.5/(100)</f>
        <v>8.5000000000000006E-2</v>
      </c>
      <c r="C25">
        <f>6.75/(100)</f>
        <v>6.7500000000000004E-2</v>
      </c>
    </row>
    <row r="26" spans="1:3" x14ac:dyDescent="0.3">
      <c r="A26" s="2">
        <v>37281</v>
      </c>
      <c r="B26">
        <f>8.5/(100)</f>
        <v>8.5000000000000006E-2</v>
      </c>
      <c r="C26">
        <f>6.73/(100)</f>
        <v>6.7299999999999999E-2</v>
      </c>
    </row>
    <row r="27" spans="1:3" x14ac:dyDescent="0.3">
      <c r="A27" s="2">
        <v>37282</v>
      </c>
      <c r="B27">
        <f>8.5/(100)</f>
        <v>8.5000000000000006E-2</v>
      </c>
      <c r="C27">
        <f>6.67/(100)</f>
        <v>6.6699999999999995E-2</v>
      </c>
    </row>
    <row r="28" spans="1:3" x14ac:dyDescent="0.3">
      <c r="A28" s="2">
        <v>37283</v>
      </c>
      <c r="B28">
        <f>8.5/(100)</f>
        <v>8.5000000000000006E-2</v>
      </c>
      <c r="C28">
        <f>6.67/(100)</f>
        <v>6.6699999999999995E-2</v>
      </c>
    </row>
    <row r="29" spans="1:3" x14ac:dyDescent="0.3">
      <c r="A29" s="2">
        <v>37284</v>
      </c>
      <c r="B29">
        <f>8.5/(100)</f>
        <v>8.5000000000000006E-2</v>
      </c>
      <c r="C29">
        <f>6.68/(100)</f>
        <v>6.6799999999999998E-2</v>
      </c>
    </row>
    <row r="30" spans="1:3" x14ac:dyDescent="0.3">
      <c r="A30" s="2">
        <v>37285</v>
      </c>
      <c r="B30">
        <f>8.5/(100)</f>
        <v>8.5000000000000006E-2</v>
      </c>
      <c r="C30">
        <f>6.64/(100)</f>
        <v>6.6400000000000001E-2</v>
      </c>
    </row>
    <row r="31" spans="1:3" x14ac:dyDescent="0.3">
      <c r="A31" s="2">
        <v>37286</v>
      </c>
      <c r="B31">
        <f>8.5/(100)</f>
        <v>8.5000000000000006E-2</v>
      </c>
      <c r="C31">
        <f>6.62/(100)</f>
        <v>6.6199999999999995E-2</v>
      </c>
    </row>
    <row r="32" spans="1:3" x14ac:dyDescent="0.3">
      <c r="A32" s="2">
        <v>37287</v>
      </c>
      <c r="B32">
        <f>8.5/(100)</f>
        <v>8.5000000000000006E-2</v>
      </c>
      <c r="C32">
        <f>6.65/(100)</f>
        <v>6.6500000000000004E-2</v>
      </c>
    </row>
    <row r="33" spans="1:3" x14ac:dyDescent="0.3">
      <c r="A33" s="2">
        <v>37288</v>
      </c>
      <c r="B33">
        <f>8.5/(100)</f>
        <v>8.5000000000000006E-2</v>
      </c>
      <c r="C33">
        <f>6.61/(100)</f>
        <v>6.6100000000000006E-2</v>
      </c>
    </row>
    <row r="34" spans="1:3" x14ac:dyDescent="0.3">
      <c r="A34" s="2">
        <v>37289</v>
      </c>
      <c r="B34">
        <f>8.5/(100)</f>
        <v>8.5000000000000006E-2</v>
      </c>
      <c r="C34">
        <f>6.59/(100)</f>
        <v>6.59E-2</v>
      </c>
    </row>
    <row r="35" spans="1:3" x14ac:dyDescent="0.3">
      <c r="A35" s="2">
        <v>37290</v>
      </c>
      <c r="B35">
        <f>8.5/(100)</f>
        <v>8.5000000000000006E-2</v>
      </c>
      <c r="C35">
        <f>6.59/(100)</f>
        <v>6.59E-2</v>
      </c>
    </row>
    <row r="36" spans="1:3" x14ac:dyDescent="0.3">
      <c r="A36" s="2">
        <v>37291</v>
      </c>
      <c r="B36">
        <f>8.5/(100)</f>
        <v>8.5000000000000006E-2</v>
      </c>
      <c r="C36">
        <f>6.52/(100)</f>
        <v>6.5199999999999994E-2</v>
      </c>
    </row>
    <row r="37" spans="1:3" x14ac:dyDescent="0.3">
      <c r="A37" s="2">
        <v>37292</v>
      </c>
      <c r="B37">
        <f>8.5/(100)</f>
        <v>8.5000000000000006E-2</v>
      </c>
      <c r="C37">
        <f>6.49/(100)</f>
        <v>6.4899999999999999E-2</v>
      </c>
    </row>
    <row r="38" spans="1:3" x14ac:dyDescent="0.3">
      <c r="A38" s="2">
        <v>37293</v>
      </c>
      <c r="B38">
        <f>8.5/(100)</f>
        <v>8.5000000000000006E-2</v>
      </c>
      <c r="C38">
        <f>6.48/(100)</f>
        <v>6.480000000000001E-2</v>
      </c>
    </row>
    <row r="39" spans="1:3" x14ac:dyDescent="0.3">
      <c r="A39" s="2">
        <v>37294</v>
      </c>
      <c r="B39">
        <f>8.5/(100)</f>
        <v>8.5000000000000006E-2</v>
      </c>
      <c r="C39">
        <f>6.46/(100)</f>
        <v>6.4600000000000005E-2</v>
      </c>
    </row>
    <row r="40" spans="1:3" x14ac:dyDescent="0.3">
      <c r="A40" s="2">
        <v>37295</v>
      </c>
      <c r="B40">
        <f>8.5/(100)</f>
        <v>8.5000000000000006E-2</v>
      </c>
      <c r="C40">
        <f>6.39/(100)</f>
        <v>6.3899999999999998E-2</v>
      </c>
    </row>
    <row r="41" spans="1:3" x14ac:dyDescent="0.3">
      <c r="A41" s="2">
        <v>37296</v>
      </c>
      <c r="B41">
        <f>8.5/(100)</f>
        <v>8.5000000000000006E-2</v>
      </c>
      <c r="C41">
        <f>6.37/(100)</f>
        <v>6.3700000000000007E-2</v>
      </c>
    </row>
    <row r="42" spans="1:3" x14ac:dyDescent="0.3">
      <c r="A42" s="2">
        <v>37297</v>
      </c>
      <c r="B42">
        <f>8.5/(100)</f>
        <v>8.5000000000000006E-2</v>
      </c>
      <c r="C42">
        <f>6.37/(100)</f>
        <v>6.3700000000000007E-2</v>
      </c>
    </row>
    <row r="43" spans="1:3" x14ac:dyDescent="0.3">
      <c r="A43" s="2">
        <v>37298</v>
      </c>
      <c r="B43">
        <f>8.5/(100)</f>
        <v>8.5000000000000006E-2</v>
      </c>
      <c r="C43">
        <f>6.37/(100)</f>
        <v>6.3700000000000007E-2</v>
      </c>
    </row>
    <row r="44" spans="1:3" x14ac:dyDescent="0.3">
      <c r="A44" s="2">
        <v>37299</v>
      </c>
      <c r="B44">
        <f>8.5/(100)</f>
        <v>8.5000000000000006E-2</v>
      </c>
      <c r="C44">
        <f>6.3/(100)</f>
        <v>6.3E-2</v>
      </c>
    </row>
    <row r="45" spans="1:3" x14ac:dyDescent="0.3">
      <c r="A45" s="2">
        <v>37300</v>
      </c>
      <c r="B45">
        <f>8.5/(100)</f>
        <v>8.5000000000000006E-2</v>
      </c>
      <c r="C45">
        <f>6.31/(100)</f>
        <v>6.3099999999999989E-2</v>
      </c>
    </row>
    <row r="46" spans="1:3" x14ac:dyDescent="0.3">
      <c r="A46" s="2">
        <v>37301</v>
      </c>
      <c r="B46">
        <f>8.5/(100)</f>
        <v>8.5000000000000006E-2</v>
      </c>
      <c r="C46">
        <f>6.27/(100)</f>
        <v>6.2699999999999992E-2</v>
      </c>
    </row>
    <row r="47" spans="1:3" x14ac:dyDescent="0.3">
      <c r="A47" s="2">
        <v>37302</v>
      </c>
      <c r="B47">
        <f>8.5/(100)</f>
        <v>8.5000000000000006E-2</v>
      </c>
      <c r="C47">
        <f>6.3/(100)</f>
        <v>6.3E-2</v>
      </c>
    </row>
    <row r="48" spans="1:3" x14ac:dyDescent="0.3">
      <c r="A48" s="2">
        <v>37303</v>
      </c>
      <c r="B48">
        <f>8.5/(100)</f>
        <v>8.5000000000000006E-2</v>
      </c>
      <c r="C48">
        <f>6.28/(100)</f>
        <v>6.2800000000000009E-2</v>
      </c>
    </row>
    <row r="49" spans="1:3" x14ac:dyDescent="0.3">
      <c r="A49" s="2">
        <v>37304</v>
      </c>
      <c r="B49">
        <f>8.5/(100)</f>
        <v>8.5000000000000006E-2</v>
      </c>
      <c r="C49">
        <f>6.28/(100)</f>
        <v>6.2800000000000009E-2</v>
      </c>
    </row>
    <row r="50" spans="1:3" x14ac:dyDescent="0.3">
      <c r="A50" s="2">
        <v>37305</v>
      </c>
      <c r="B50">
        <f>8.5/(100)</f>
        <v>8.5000000000000006E-2</v>
      </c>
      <c r="C50">
        <f>6.2/(100)</f>
        <v>6.2E-2</v>
      </c>
    </row>
    <row r="51" spans="1:3" x14ac:dyDescent="0.3">
      <c r="A51" s="2">
        <v>37306</v>
      </c>
      <c r="B51">
        <f>8.5/(100)</f>
        <v>8.5000000000000006E-2</v>
      </c>
      <c r="C51">
        <f>6.22/(100)</f>
        <v>6.2199999999999998E-2</v>
      </c>
    </row>
    <row r="52" spans="1:3" x14ac:dyDescent="0.3">
      <c r="A52" s="2">
        <v>37307</v>
      </c>
      <c r="B52">
        <f>8.5/(100)</f>
        <v>8.5000000000000006E-2</v>
      </c>
      <c r="C52">
        <f>6.33/(100)</f>
        <v>6.3299999999999995E-2</v>
      </c>
    </row>
    <row r="53" spans="1:3" x14ac:dyDescent="0.3">
      <c r="A53" s="2">
        <v>37308</v>
      </c>
      <c r="B53">
        <f>8.5/(100)</f>
        <v>8.5000000000000006E-2</v>
      </c>
      <c r="C53">
        <f>6.34/(100)</f>
        <v>6.3399999999999998E-2</v>
      </c>
    </row>
    <row r="54" spans="1:3" x14ac:dyDescent="0.3">
      <c r="A54" s="2">
        <v>37309</v>
      </c>
      <c r="B54">
        <f>8.5/(100)</f>
        <v>8.5000000000000006E-2</v>
      </c>
      <c r="C54">
        <f>6.23/(100)</f>
        <v>6.2300000000000001E-2</v>
      </c>
    </row>
    <row r="55" spans="1:3" x14ac:dyDescent="0.3">
      <c r="A55" s="2">
        <v>37310</v>
      </c>
      <c r="B55">
        <f>8.5/(100)</f>
        <v>8.5000000000000006E-2</v>
      </c>
      <c r="C55">
        <f>6.15/(100)</f>
        <v>6.1500000000000006E-2</v>
      </c>
    </row>
    <row r="56" spans="1:3" x14ac:dyDescent="0.3">
      <c r="A56" s="2">
        <v>37311</v>
      </c>
      <c r="B56">
        <f>8.5/(100)</f>
        <v>8.5000000000000006E-2</v>
      </c>
      <c r="C56">
        <f>6.15/(100)</f>
        <v>6.1500000000000006E-2</v>
      </c>
    </row>
    <row r="57" spans="1:3" x14ac:dyDescent="0.3">
      <c r="A57" s="2">
        <v>37312</v>
      </c>
      <c r="B57">
        <f>8.5/(100)</f>
        <v>8.5000000000000006E-2</v>
      </c>
      <c r="C57">
        <f>6.33/(100)</f>
        <v>6.3299999999999995E-2</v>
      </c>
    </row>
    <row r="58" spans="1:3" x14ac:dyDescent="0.3">
      <c r="A58" s="2">
        <v>37313</v>
      </c>
      <c r="B58">
        <f>8.5/(100)</f>
        <v>8.5000000000000006E-2</v>
      </c>
      <c r="C58">
        <f>6.33/(100)</f>
        <v>6.3299999999999995E-2</v>
      </c>
    </row>
    <row r="59" spans="1:3" x14ac:dyDescent="0.3">
      <c r="A59" s="2">
        <v>37314</v>
      </c>
      <c r="B59">
        <f>8.5/(100)</f>
        <v>8.5000000000000006E-2</v>
      </c>
      <c r="C59">
        <f>6.16/(100)</f>
        <v>6.1600000000000002E-2</v>
      </c>
    </row>
    <row r="60" spans="1:3" x14ac:dyDescent="0.3">
      <c r="A60" s="2">
        <v>37315</v>
      </c>
      <c r="B60">
        <f>8.5/(100)</f>
        <v>8.5000000000000006E-2</v>
      </c>
      <c r="C60">
        <f>6.13/(100)</f>
        <v>6.13E-2</v>
      </c>
    </row>
    <row r="61" spans="1:3" x14ac:dyDescent="0.3">
      <c r="A61" s="2">
        <v>37316</v>
      </c>
      <c r="B61">
        <f>8.5/(100)</f>
        <v>8.5000000000000006E-2</v>
      </c>
      <c r="C61">
        <f>6.054/(100)</f>
        <v>6.0540000000000004E-2</v>
      </c>
    </row>
    <row r="62" spans="1:3" x14ac:dyDescent="0.3">
      <c r="A62" s="2">
        <v>37317</v>
      </c>
      <c r="B62">
        <f>8.5/(100)</f>
        <v>8.5000000000000006E-2</v>
      </c>
      <c r="C62">
        <f>6.054/(100)</f>
        <v>6.0540000000000004E-2</v>
      </c>
    </row>
    <row r="63" spans="1:3" x14ac:dyDescent="0.3">
      <c r="A63" s="2">
        <v>37318</v>
      </c>
      <c r="B63">
        <f>8.5/(100)</f>
        <v>8.5000000000000006E-2</v>
      </c>
      <c r="C63">
        <f>6.054/(100)</f>
        <v>6.0540000000000004E-2</v>
      </c>
    </row>
    <row r="64" spans="1:3" x14ac:dyDescent="0.3">
      <c r="A64" s="2">
        <v>37319</v>
      </c>
      <c r="B64">
        <f>8.5/(100)</f>
        <v>8.5000000000000006E-2</v>
      </c>
      <c r="C64">
        <f>6.184/(100)</f>
        <v>6.1839999999999999E-2</v>
      </c>
    </row>
    <row r="65" spans="1:3" x14ac:dyDescent="0.3">
      <c r="A65" s="2">
        <v>37320</v>
      </c>
      <c r="B65">
        <f>6/(100)</f>
        <v>0.06</v>
      </c>
      <c r="C65">
        <f>6.155/(100)</f>
        <v>6.1550000000000001E-2</v>
      </c>
    </row>
    <row r="66" spans="1:3" x14ac:dyDescent="0.3">
      <c r="A66" s="2">
        <v>37321</v>
      </c>
      <c r="B66">
        <f>6/(100)</f>
        <v>0.06</v>
      </c>
      <c r="C66">
        <f>6.314/(100)</f>
        <v>6.3140000000000002E-2</v>
      </c>
    </row>
    <row r="67" spans="1:3" x14ac:dyDescent="0.3">
      <c r="A67" s="2">
        <v>37322</v>
      </c>
      <c r="B67">
        <f>6/(100)</f>
        <v>0.06</v>
      </c>
      <c r="C67">
        <f>6.28/(100)</f>
        <v>6.2800000000000009E-2</v>
      </c>
    </row>
    <row r="68" spans="1:3" x14ac:dyDescent="0.3">
      <c r="A68" s="2">
        <v>37323</v>
      </c>
      <c r="B68">
        <f>6/(100)</f>
        <v>0.06</v>
      </c>
      <c r="C68">
        <f>6.367/(100)</f>
        <v>6.3670000000000004E-2</v>
      </c>
    </row>
    <row r="69" spans="1:3" x14ac:dyDescent="0.3">
      <c r="A69" s="2">
        <v>37324</v>
      </c>
      <c r="B69">
        <f>6/(100)</f>
        <v>0.06</v>
      </c>
      <c r="C69">
        <f>6.367/(100)</f>
        <v>6.3670000000000004E-2</v>
      </c>
    </row>
    <row r="70" spans="1:3" x14ac:dyDescent="0.3">
      <c r="A70" s="2">
        <v>37325</v>
      </c>
      <c r="B70">
        <f>6/(100)</f>
        <v>0.06</v>
      </c>
      <c r="C70">
        <f>6.367/(100)</f>
        <v>6.3670000000000004E-2</v>
      </c>
    </row>
    <row r="71" spans="1:3" x14ac:dyDescent="0.3">
      <c r="A71" s="2">
        <v>37326</v>
      </c>
      <c r="B71">
        <f>6/(100)</f>
        <v>0.06</v>
      </c>
      <c r="C71">
        <f>6.2/(100)</f>
        <v>6.2E-2</v>
      </c>
    </row>
    <row r="72" spans="1:3" x14ac:dyDescent="0.3">
      <c r="A72" s="2">
        <v>37327</v>
      </c>
      <c r="B72">
        <f>6/(100)</f>
        <v>0.06</v>
      </c>
      <c r="C72">
        <f>6.141/(100)</f>
        <v>6.1409999999999999E-2</v>
      </c>
    </row>
    <row r="73" spans="1:3" x14ac:dyDescent="0.3">
      <c r="A73" s="2">
        <v>37328</v>
      </c>
      <c r="B73">
        <f>6/(100)</f>
        <v>0.06</v>
      </c>
      <c r="C73">
        <f>6.296/(100)</f>
        <v>6.2960000000000002E-2</v>
      </c>
    </row>
    <row r="74" spans="1:3" x14ac:dyDescent="0.3">
      <c r="A74" s="2">
        <v>37329</v>
      </c>
      <c r="B74">
        <f>6/(100)</f>
        <v>0.06</v>
      </c>
      <c r="C74">
        <f>6.288/(100)</f>
        <v>6.2880000000000005E-2</v>
      </c>
    </row>
    <row r="75" spans="1:3" x14ac:dyDescent="0.3">
      <c r="A75" s="2">
        <v>37330</v>
      </c>
      <c r="B75">
        <f>6/(100)</f>
        <v>0.06</v>
      </c>
      <c r="C75">
        <f>6.296/(100)</f>
        <v>6.2960000000000002E-2</v>
      </c>
    </row>
    <row r="76" spans="1:3" x14ac:dyDescent="0.3">
      <c r="A76" s="2">
        <v>37331</v>
      </c>
      <c r="B76">
        <f>6/(100)</f>
        <v>0.06</v>
      </c>
      <c r="C76">
        <f>6.296/(100)</f>
        <v>6.2960000000000002E-2</v>
      </c>
    </row>
    <row r="77" spans="1:3" x14ac:dyDescent="0.3">
      <c r="A77" s="2">
        <v>37332</v>
      </c>
      <c r="B77">
        <f>6/(100)</f>
        <v>0.06</v>
      </c>
      <c r="C77">
        <f>6.296/(100)</f>
        <v>6.2960000000000002E-2</v>
      </c>
    </row>
    <row r="78" spans="1:3" x14ac:dyDescent="0.3">
      <c r="A78" s="2">
        <v>37333</v>
      </c>
      <c r="B78">
        <f>6/(100)</f>
        <v>0.06</v>
      </c>
      <c r="C78">
        <f>6.235/(100)</f>
        <v>6.2350000000000003E-2</v>
      </c>
    </row>
    <row r="79" spans="1:3" x14ac:dyDescent="0.3">
      <c r="A79" s="2">
        <v>37334</v>
      </c>
      <c r="B79">
        <f>6/(100)</f>
        <v>0.06</v>
      </c>
      <c r="C79">
        <f>6.233/(100)</f>
        <v>6.2329999999999997E-2</v>
      </c>
    </row>
    <row r="80" spans="1:3" x14ac:dyDescent="0.3">
      <c r="A80" s="2">
        <v>37335</v>
      </c>
      <c r="B80">
        <f>6/(100)</f>
        <v>0.06</v>
      </c>
      <c r="C80">
        <f>6.283/(100)</f>
        <v>6.2829999999999997E-2</v>
      </c>
    </row>
    <row r="81" spans="1:3" x14ac:dyDescent="0.3">
      <c r="A81" s="2">
        <v>37336</v>
      </c>
      <c r="B81">
        <f>6/(100)</f>
        <v>0.06</v>
      </c>
      <c r="C81">
        <f>6.268/(100)</f>
        <v>6.268E-2</v>
      </c>
    </row>
    <row r="82" spans="1:3" x14ac:dyDescent="0.3">
      <c r="A82" s="2">
        <v>37337</v>
      </c>
      <c r="B82">
        <f>6/(100)</f>
        <v>0.06</v>
      </c>
      <c r="C82">
        <f>6.238/(100)</f>
        <v>6.2380000000000005E-2</v>
      </c>
    </row>
    <row r="83" spans="1:3" x14ac:dyDescent="0.3">
      <c r="A83" s="2">
        <v>37338</v>
      </c>
      <c r="B83">
        <f>6/(100)</f>
        <v>0.06</v>
      </c>
      <c r="C83">
        <f>6.238/(100)</f>
        <v>6.2380000000000005E-2</v>
      </c>
    </row>
    <row r="84" spans="1:3" x14ac:dyDescent="0.3">
      <c r="A84" s="2">
        <v>37339</v>
      </c>
      <c r="B84">
        <f>6/(100)</f>
        <v>0.06</v>
      </c>
      <c r="C84">
        <f>6.238/(100)</f>
        <v>6.2380000000000005E-2</v>
      </c>
    </row>
    <row r="85" spans="1:3" x14ac:dyDescent="0.3">
      <c r="A85" s="2">
        <v>37340</v>
      </c>
      <c r="B85">
        <f>6/(100)</f>
        <v>0.06</v>
      </c>
      <c r="C85">
        <f>6.238/(100)</f>
        <v>6.2380000000000005E-2</v>
      </c>
    </row>
    <row r="86" spans="1:3" x14ac:dyDescent="0.3">
      <c r="A86" s="2">
        <v>37341</v>
      </c>
      <c r="B86">
        <f>6/(100)</f>
        <v>0.06</v>
      </c>
      <c r="C86">
        <f>6.238/(100)</f>
        <v>6.2380000000000005E-2</v>
      </c>
    </row>
    <row r="87" spans="1:3" x14ac:dyDescent="0.3">
      <c r="A87" s="2">
        <v>37342</v>
      </c>
      <c r="B87">
        <f>6/(100)</f>
        <v>0.06</v>
      </c>
      <c r="C87">
        <f>6.238/(100)</f>
        <v>6.2380000000000005E-2</v>
      </c>
    </row>
    <row r="88" spans="1:3" x14ac:dyDescent="0.3">
      <c r="A88" s="2">
        <v>37343</v>
      </c>
      <c r="B88">
        <f>6/(100)</f>
        <v>0.06</v>
      </c>
      <c r="C88">
        <f>6.238/(100)</f>
        <v>6.2380000000000005E-2</v>
      </c>
    </row>
    <row r="89" spans="1:3" x14ac:dyDescent="0.3">
      <c r="A89" s="2">
        <v>37344</v>
      </c>
      <c r="B89">
        <f>6/(100)</f>
        <v>0.06</v>
      </c>
      <c r="C89">
        <f>6.238/(100)</f>
        <v>6.2380000000000005E-2</v>
      </c>
    </row>
    <row r="90" spans="1:3" x14ac:dyDescent="0.3">
      <c r="A90" s="2">
        <v>37345</v>
      </c>
      <c r="B90">
        <f>6/(100)</f>
        <v>0.06</v>
      </c>
      <c r="C90">
        <f>6.238/(100)</f>
        <v>6.2380000000000005E-2</v>
      </c>
    </row>
    <row r="91" spans="1:3" x14ac:dyDescent="0.3">
      <c r="A91" s="2">
        <v>37346</v>
      </c>
      <c r="B91">
        <f>6/(100)</f>
        <v>0.06</v>
      </c>
      <c r="C91">
        <f>6.238/(100)</f>
        <v>6.2380000000000005E-2</v>
      </c>
    </row>
    <row r="92" spans="1:3" x14ac:dyDescent="0.3">
      <c r="A92" s="2">
        <v>37347</v>
      </c>
      <c r="B92">
        <f>6/(100)</f>
        <v>0.06</v>
      </c>
      <c r="C92">
        <f>6.238/(100)</f>
        <v>6.2380000000000005E-2</v>
      </c>
    </row>
    <row r="93" spans="1:3" x14ac:dyDescent="0.3">
      <c r="A93" s="2">
        <v>37348</v>
      </c>
      <c r="B93">
        <f>6/(100)</f>
        <v>0.06</v>
      </c>
      <c r="C93">
        <f>6.238/(100)</f>
        <v>6.2380000000000005E-2</v>
      </c>
    </row>
    <row r="94" spans="1:3" x14ac:dyDescent="0.3">
      <c r="A94" s="2">
        <v>37349</v>
      </c>
      <c r="B94">
        <f>6/(100)</f>
        <v>0.06</v>
      </c>
      <c r="C94">
        <f>6.238/(100)</f>
        <v>6.2380000000000005E-2</v>
      </c>
    </row>
    <row r="95" spans="1:3" x14ac:dyDescent="0.3">
      <c r="A95" s="2">
        <v>37350</v>
      </c>
      <c r="B95">
        <f>6/(100)</f>
        <v>0.06</v>
      </c>
      <c r="C95">
        <f>6.238/(100)</f>
        <v>6.2380000000000005E-2</v>
      </c>
    </row>
    <row r="96" spans="1:3" x14ac:dyDescent="0.3">
      <c r="A96" s="2">
        <v>37351</v>
      </c>
      <c r="B96">
        <f>6/(100)</f>
        <v>0.06</v>
      </c>
      <c r="C96">
        <f>6.238/(100)</f>
        <v>6.2380000000000005E-2</v>
      </c>
    </row>
    <row r="97" spans="1:3" x14ac:dyDescent="0.3">
      <c r="A97" s="2">
        <v>37352</v>
      </c>
      <c r="B97">
        <f>6/(100)</f>
        <v>0.06</v>
      </c>
      <c r="C97">
        <f>6.238/(100)</f>
        <v>6.2380000000000005E-2</v>
      </c>
    </row>
    <row r="98" spans="1:3" x14ac:dyDescent="0.3">
      <c r="A98" s="2">
        <v>37353</v>
      </c>
      <c r="B98">
        <f>6/(100)</f>
        <v>0.06</v>
      </c>
      <c r="C98">
        <f>6.238/(100)</f>
        <v>6.2380000000000005E-2</v>
      </c>
    </row>
    <row r="99" spans="1:3" x14ac:dyDescent="0.3">
      <c r="A99" s="2">
        <v>37354</v>
      </c>
      <c r="B99">
        <f>6/(100)</f>
        <v>0.06</v>
      </c>
      <c r="C99">
        <f>6.238/(100)</f>
        <v>6.2380000000000005E-2</v>
      </c>
    </row>
    <row r="100" spans="1:3" x14ac:dyDescent="0.3">
      <c r="A100" s="2">
        <v>37355</v>
      </c>
      <c r="B100">
        <f>6/(100)</f>
        <v>0.06</v>
      </c>
      <c r="C100">
        <f>6.238/(100)</f>
        <v>6.2380000000000005E-2</v>
      </c>
    </row>
    <row r="101" spans="1:3" x14ac:dyDescent="0.3">
      <c r="A101" s="2">
        <v>37356</v>
      </c>
      <c r="B101">
        <f>6/(100)</f>
        <v>0.06</v>
      </c>
      <c r="C101">
        <f>6.238/(100)</f>
        <v>6.2380000000000005E-2</v>
      </c>
    </row>
    <row r="102" spans="1:3" x14ac:dyDescent="0.3">
      <c r="A102" s="2">
        <v>37357</v>
      </c>
      <c r="B102">
        <f>6/(100)</f>
        <v>0.06</v>
      </c>
      <c r="C102">
        <f>6.238/(100)</f>
        <v>6.2380000000000005E-2</v>
      </c>
    </row>
    <row r="103" spans="1:3" x14ac:dyDescent="0.3">
      <c r="A103" s="2">
        <v>37358</v>
      </c>
      <c r="B103">
        <f>6/(100)</f>
        <v>0.06</v>
      </c>
      <c r="C103">
        <f>6.238/(100)</f>
        <v>6.2380000000000005E-2</v>
      </c>
    </row>
    <row r="104" spans="1:3" x14ac:dyDescent="0.3">
      <c r="A104" s="2">
        <v>37359</v>
      </c>
      <c r="B104">
        <f>6/(100)</f>
        <v>0.06</v>
      </c>
      <c r="C104">
        <f>6.238/(100)</f>
        <v>6.2380000000000005E-2</v>
      </c>
    </row>
    <row r="105" spans="1:3" x14ac:dyDescent="0.3">
      <c r="A105" s="2">
        <v>37360</v>
      </c>
      <c r="B105">
        <f>6/(100)</f>
        <v>0.06</v>
      </c>
      <c r="C105">
        <f>6.238/(100)</f>
        <v>6.2380000000000005E-2</v>
      </c>
    </row>
    <row r="106" spans="1:3" x14ac:dyDescent="0.3">
      <c r="A106" s="2">
        <v>37361</v>
      </c>
      <c r="B106">
        <f>6/(100)</f>
        <v>0.06</v>
      </c>
      <c r="C106">
        <f>6.238/(100)</f>
        <v>6.2380000000000005E-2</v>
      </c>
    </row>
    <row r="107" spans="1:3" x14ac:dyDescent="0.3">
      <c r="A107" s="2">
        <v>37362</v>
      </c>
      <c r="B107">
        <f>6/(100)</f>
        <v>0.06</v>
      </c>
      <c r="C107">
        <f>6.238/(100)</f>
        <v>6.2380000000000005E-2</v>
      </c>
    </row>
    <row r="108" spans="1:3" x14ac:dyDescent="0.3">
      <c r="A108" s="2">
        <v>37363</v>
      </c>
      <c r="B108">
        <f>6/(100)</f>
        <v>0.06</v>
      </c>
      <c r="C108">
        <f>6.238/(100)</f>
        <v>6.2380000000000005E-2</v>
      </c>
    </row>
    <row r="109" spans="1:3" x14ac:dyDescent="0.3">
      <c r="A109" s="2">
        <v>37364</v>
      </c>
      <c r="B109">
        <f>6/(100)</f>
        <v>0.06</v>
      </c>
      <c r="C109">
        <f>6.238/(100)</f>
        <v>6.2380000000000005E-2</v>
      </c>
    </row>
    <row r="110" spans="1:3" x14ac:dyDescent="0.3">
      <c r="A110" s="2">
        <v>37365</v>
      </c>
      <c r="B110">
        <f>6/(100)</f>
        <v>0.06</v>
      </c>
      <c r="C110">
        <f>6.238/(100)</f>
        <v>6.2380000000000005E-2</v>
      </c>
    </row>
    <row r="111" spans="1:3" x14ac:dyDescent="0.3">
      <c r="A111" s="2">
        <v>37366</v>
      </c>
      <c r="B111">
        <f>6/(100)</f>
        <v>0.06</v>
      </c>
      <c r="C111">
        <f>6.238/(100)</f>
        <v>6.2380000000000005E-2</v>
      </c>
    </row>
    <row r="112" spans="1:3" x14ac:dyDescent="0.3">
      <c r="A112" s="2">
        <v>37367</v>
      </c>
      <c r="B112">
        <f>6/(100)</f>
        <v>0.06</v>
      </c>
      <c r="C112">
        <f>6.238/(100)</f>
        <v>6.2380000000000005E-2</v>
      </c>
    </row>
    <row r="113" spans="1:3" x14ac:dyDescent="0.3">
      <c r="A113" s="2">
        <v>37368</v>
      </c>
      <c r="B113">
        <f>6/(100)</f>
        <v>0.06</v>
      </c>
      <c r="C113">
        <f>6.341/(100)</f>
        <v>6.3410000000000008E-2</v>
      </c>
    </row>
    <row r="114" spans="1:3" x14ac:dyDescent="0.3">
      <c r="A114" s="2">
        <v>37369</v>
      </c>
      <c r="B114">
        <f>6/(100)</f>
        <v>0.06</v>
      </c>
      <c r="C114">
        <f>6.304/(100)</f>
        <v>6.3039999999999999E-2</v>
      </c>
    </row>
    <row r="115" spans="1:3" x14ac:dyDescent="0.3">
      <c r="A115" s="2">
        <v>37370</v>
      </c>
      <c r="B115">
        <f>6/(100)</f>
        <v>0.06</v>
      </c>
      <c r="C115">
        <f>6.267/(100)</f>
        <v>6.2670000000000003E-2</v>
      </c>
    </row>
    <row r="116" spans="1:3" x14ac:dyDescent="0.3">
      <c r="A116" s="2">
        <v>37371</v>
      </c>
      <c r="B116">
        <f>6/(100)</f>
        <v>0.06</v>
      </c>
      <c r="C116">
        <f>6.19/(100)</f>
        <v>6.1900000000000004E-2</v>
      </c>
    </row>
    <row r="117" spans="1:3" x14ac:dyDescent="0.3">
      <c r="A117" s="2">
        <v>37372</v>
      </c>
      <c r="B117">
        <f>6/(100)</f>
        <v>0.06</v>
      </c>
      <c r="C117">
        <f>6.19/(100)</f>
        <v>6.1900000000000004E-2</v>
      </c>
    </row>
    <row r="118" spans="1:3" x14ac:dyDescent="0.3">
      <c r="A118" s="2">
        <v>37373</v>
      </c>
      <c r="B118">
        <f>6/(100)</f>
        <v>0.06</v>
      </c>
      <c r="C118">
        <f>6.19/(100)</f>
        <v>6.1900000000000004E-2</v>
      </c>
    </row>
    <row r="119" spans="1:3" x14ac:dyDescent="0.3">
      <c r="A119" s="2">
        <v>37374</v>
      </c>
      <c r="B119">
        <f>6/(100)</f>
        <v>0.06</v>
      </c>
      <c r="C119">
        <f>6.19/(100)</f>
        <v>6.1900000000000004E-2</v>
      </c>
    </row>
    <row r="120" spans="1:3" x14ac:dyDescent="0.3">
      <c r="A120" s="2">
        <v>37375</v>
      </c>
      <c r="B120">
        <f>6/(100)</f>
        <v>0.06</v>
      </c>
      <c r="C120">
        <f>6.19/(100)</f>
        <v>6.1900000000000004E-2</v>
      </c>
    </row>
    <row r="121" spans="1:3" x14ac:dyDescent="0.3">
      <c r="A121" s="2">
        <v>37376</v>
      </c>
      <c r="B121">
        <f>6/(100)</f>
        <v>0.06</v>
      </c>
      <c r="C121">
        <f>6.19/(100)</f>
        <v>6.1900000000000004E-2</v>
      </c>
    </row>
    <row r="122" spans="1:3" x14ac:dyDescent="0.3">
      <c r="A122" s="2">
        <v>37377</v>
      </c>
      <c r="B122">
        <f>6/(100)</f>
        <v>0.06</v>
      </c>
      <c r="C122">
        <f>6.19/(100)</f>
        <v>6.1900000000000004E-2</v>
      </c>
    </row>
    <row r="123" spans="1:3" x14ac:dyDescent="0.3">
      <c r="A123" s="2">
        <v>37378</v>
      </c>
      <c r="B123">
        <f>6/(100)</f>
        <v>0.06</v>
      </c>
      <c r="C123">
        <f>6.19/(100)</f>
        <v>6.1900000000000004E-2</v>
      </c>
    </row>
    <row r="124" spans="1:3" x14ac:dyDescent="0.3">
      <c r="A124" s="2">
        <v>37379</v>
      </c>
      <c r="B124">
        <f>6/(100)</f>
        <v>0.06</v>
      </c>
      <c r="C124">
        <f>6.19/(100)</f>
        <v>6.1900000000000004E-2</v>
      </c>
    </row>
    <row r="125" spans="1:3" x14ac:dyDescent="0.3">
      <c r="A125" s="2">
        <v>37380</v>
      </c>
      <c r="B125">
        <f>6/(100)</f>
        <v>0.06</v>
      </c>
      <c r="C125">
        <f>6.19/(100)</f>
        <v>6.1900000000000004E-2</v>
      </c>
    </row>
    <row r="126" spans="1:3" x14ac:dyDescent="0.3">
      <c r="A126" s="2">
        <v>37381</v>
      </c>
      <c r="B126">
        <f>6/(100)</f>
        <v>0.06</v>
      </c>
      <c r="C126">
        <f>6.19/(100)</f>
        <v>6.1900000000000004E-2</v>
      </c>
    </row>
    <row r="127" spans="1:3" x14ac:dyDescent="0.3">
      <c r="A127" s="2">
        <v>37382</v>
      </c>
      <c r="B127">
        <f>6/(100)</f>
        <v>0.06</v>
      </c>
      <c r="C127">
        <f>6.19/(100)</f>
        <v>6.1900000000000004E-2</v>
      </c>
    </row>
    <row r="128" spans="1:3" x14ac:dyDescent="0.3">
      <c r="A128" s="2">
        <v>37383</v>
      </c>
      <c r="B128">
        <f>6/(100)</f>
        <v>0.06</v>
      </c>
      <c r="C128">
        <f>6.19/(100)</f>
        <v>6.1900000000000004E-2</v>
      </c>
    </row>
    <row r="129" spans="1:3" x14ac:dyDescent="0.3">
      <c r="A129" s="2">
        <v>37384</v>
      </c>
      <c r="B129">
        <f>6/(100)</f>
        <v>0.06</v>
      </c>
      <c r="C129">
        <f>6.19/(100)</f>
        <v>6.1900000000000004E-2</v>
      </c>
    </row>
    <row r="130" spans="1:3" x14ac:dyDescent="0.3">
      <c r="A130" s="2">
        <v>37385</v>
      </c>
      <c r="B130">
        <f>6/(100)</f>
        <v>0.06</v>
      </c>
      <c r="C130">
        <f>6.19/(100)</f>
        <v>6.1900000000000004E-2</v>
      </c>
    </row>
    <row r="131" spans="1:3" x14ac:dyDescent="0.3">
      <c r="A131" s="2">
        <v>37386</v>
      </c>
      <c r="B131">
        <f>6/(100)</f>
        <v>0.06</v>
      </c>
      <c r="C131">
        <f>6.19/(100)</f>
        <v>6.1900000000000004E-2</v>
      </c>
    </row>
    <row r="132" spans="1:3" x14ac:dyDescent="0.3">
      <c r="A132" s="2">
        <v>37387</v>
      </c>
      <c r="B132">
        <f>6/(100)</f>
        <v>0.06</v>
      </c>
      <c r="C132">
        <f>6.19/(100)</f>
        <v>6.1900000000000004E-2</v>
      </c>
    </row>
    <row r="133" spans="1:3" x14ac:dyDescent="0.3">
      <c r="A133" s="2">
        <v>37388</v>
      </c>
      <c r="B133">
        <f>6/(100)</f>
        <v>0.06</v>
      </c>
      <c r="C133">
        <f>6.19/(100)</f>
        <v>6.1900000000000004E-2</v>
      </c>
    </row>
    <row r="134" spans="1:3" x14ac:dyDescent="0.3">
      <c r="A134" s="2">
        <v>37389</v>
      </c>
      <c r="B134">
        <f>6/(100)</f>
        <v>0.06</v>
      </c>
      <c r="C134">
        <f>6.19/(100)</f>
        <v>6.1900000000000004E-2</v>
      </c>
    </row>
    <row r="135" spans="1:3" x14ac:dyDescent="0.3">
      <c r="A135" s="2">
        <v>37390</v>
      </c>
      <c r="B135">
        <f>6/(100)</f>
        <v>0.06</v>
      </c>
      <c r="C135">
        <f>6.19/(100)</f>
        <v>6.1900000000000004E-2</v>
      </c>
    </row>
    <row r="136" spans="1:3" x14ac:dyDescent="0.3">
      <c r="A136" s="2">
        <v>37391</v>
      </c>
      <c r="B136">
        <f>6/(100)</f>
        <v>0.06</v>
      </c>
      <c r="C136">
        <f>6.19/(100)</f>
        <v>6.1900000000000004E-2</v>
      </c>
    </row>
    <row r="137" spans="1:3" x14ac:dyDescent="0.3">
      <c r="A137" s="2">
        <v>37392</v>
      </c>
      <c r="B137">
        <f>6/(100)</f>
        <v>0.06</v>
      </c>
      <c r="C137">
        <f>6.19/(100)</f>
        <v>6.1900000000000004E-2</v>
      </c>
    </row>
    <row r="138" spans="1:3" x14ac:dyDescent="0.3">
      <c r="A138" s="2">
        <v>37393</v>
      </c>
      <c r="B138">
        <f>6/(100)</f>
        <v>0.06</v>
      </c>
      <c r="C138">
        <f>6.19/(100)</f>
        <v>6.1900000000000004E-2</v>
      </c>
    </row>
    <row r="139" spans="1:3" x14ac:dyDescent="0.3">
      <c r="A139" s="2">
        <v>37394</v>
      </c>
      <c r="B139">
        <f>6/(100)</f>
        <v>0.06</v>
      </c>
      <c r="C139">
        <f>6.19/(100)</f>
        <v>6.1900000000000004E-2</v>
      </c>
    </row>
    <row r="140" spans="1:3" x14ac:dyDescent="0.3">
      <c r="A140" s="2">
        <v>37395</v>
      </c>
      <c r="B140">
        <f>6/(100)</f>
        <v>0.06</v>
      </c>
      <c r="C140">
        <f>6.19/(100)</f>
        <v>6.1900000000000004E-2</v>
      </c>
    </row>
    <row r="141" spans="1:3" x14ac:dyDescent="0.3">
      <c r="A141" s="2">
        <v>37396</v>
      </c>
      <c r="B141">
        <f>6/(100)</f>
        <v>0.06</v>
      </c>
      <c r="C141">
        <f>6.19/(100)</f>
        <v>6.1900000000000004E-2</v>
      </c>
    </row>
    <row r="142" spans="1:3" x14ac:dyDescent="0.3">
      <c r="A142" s="2">
        <v>37397</v>
      </c>
      <c r="B142">
        <f>6/(100)</f>
        <v>0.06</v>
      </c>
      <c r="C142">
        <f>6.19/(100)</f>
        <v>6.1900000000000004E-2</v>
      </c>
    </row>
    <row r="143" spans="1:3" x14ac:dyDescent="0.3">
      <c r="A143" s="2">
        <v>37398</v>
      </c>
      <c r="B143">
        <f>6/(100)</f>
        <v>0.06</v>
      </c>
      <c r="C143">
        <f>6.19/(100)</f>
        <v>6.1900000000000004E-2</v>
      </c>
    </row>
    <row r="144" spans="1:3" x14ac:dyDescent="0.3">
      <c r="A144" s="2">
        <v>37399</v>
      </c>
      <c r="B144">
        <f>6/(100)</f>
        <v>0.06</v>
      </c>
      <c r="C144">
        <f>6.19/(100)</f>
        <v>6.1900000000000004E-2</v>
      </c>
    </row>
    <row r="145" spans="1:3" x14ac:dyDescent="0.3">
      <c r="A145" s="2">
        <v>37400</v>
      </c>
      <c r="B145">
        <f>6/(100)</f>
        <v>0.06</v>
      </c>
      <c r="C145">
        <f>6.19/(100)</f>
        <v>6.1900000000000004E-2</v>
      </c>
    </row>
    <row r="146" spans="1:3" x14ac:dyDescent="0.3">
      <c r="A146" s="2">
        <v>37401</v>
      </c>
      <c r="B146">
        <f>6/(100)</f>
        <v>0.06</v>
      </c>
      <c r="C146">
        <f>6.19/(100)</f>
        <v>6.1900000000000004E-2</v>
      </c>
    </row>
    <row r="147" spans="1:3" x14ac:dyDescent="0.3">
      <c r="A147" s="2">
        <v>37402</v>
      </c>
      <c r="B147">
        <f>6/(100)</f>
        <v>0.06</v>
      </c>
      <c r="C147">
        <f>6.19/(100)</f>
        <v>6.1900000000000004E-2</v>
      </c>
    </row>
    <row r="148" spans="1:3" x14ac:dyDescent="0.3">
      <c r="A148" s="2">
        <v>37403</v>
      </c>
      <c r="B148">
        <f>6/(100)</f>
        <v>0.06</v>
      </c>
      <c r="C148">
        <f>6.19/(100)</f>
        <v>6.1900000000000004E-2</v>
      </c>
    </row>
    <row r="149" spans="1:3" x14ac:dyDescent="0.3">
      <c r="A149" s="2">
        <v>37404</v>
      </c>
      <c r="B149">
        <f>6/(100)</f>
        <v>0.06</v>
      </c>
      <c r="C149">
        <f>6.19/(100)</f>
        <v>6.1900000000000004E-2</v>
      </c>
    </row>
    <row r="150" spans="1:3" x14ac:dyDescent="0.3">
      <c r="A150" s="2">
        <v>37405</v>
      </c>
      <c r="B150">
        <f>6/(100)</f>
        <v>0.06</v>
      </c>
      <c r="C150">
        <f>6.19/(100)</f>
        <v>6.1900000000000004E-2</v>
      </c>
    </row>
    <row r="151" spans="1:3" x14ac:dyDescent="0.3">
      <c r="A151" s="2">
        <v>37406</v>
      </c>
      <c r="B151">
        <f>6/(100)</f>
        <v>0.06</v>
      </c>
      <c r="C151">
        <f>6.19/(100)</f>
        <v>6.1900000000000004E-2</v>
      </c>
    </row>
    <row r="152" spans="1:3" x14ac:dyDescent="0.3">
      <c r="A152" s="2">
        <v>37407</v>
      </c>
      <c r="B152">
        <f>6/(100)</f>
        <v>0.06</v>
      </c>
      <c r="C152">
        <f>6.19/(100)</f>
        <v>6.1900000000000004E-2</v>
      </c>
    </row>
    <row r="153" spans="1:3" x14ac:dyDescent="0.3">
      <c r="A153" s="2">
        <v>37408</v>
      </c>
      <c r="B153">
        <f>6/(100)</f>
        <v>0.06</v>
      </c>
      <c r="C153">
        <f>6.19/(100)</f>
        <v>6.1900000000000004E-2</v>
      </c>
    </row>
    <row r="154" spans="1:3" x14ac:dyDescent="0.3">
      <c r="A154" s="2">
        <v>37409</v>
      </c>
      <c r="B154">
        <f>6/(100)</f>
        <v>0.06</v>
      </c>
      <c r="C154">
        <f>6.19/(100)</f>
        <v>6.1900000000000004E-2</v>
      </c>
    </row>
    <row r="155" spans="1:3" x14ac:dyDescent="0.3">
      <c r="A155" s="2">
        <v>37410</v>
      </c>
      <c r="B155">
        <f>6/(100)</f>
        <v>0.06</v>
      </c>
      <c r="C155">
        <f>6.19/(100)</f>
        <v>6.1900000000000004E-2</v>
      </c>
    </row>
    <row r="156" spans="1:3" x14ac:dyDescent="0.3">
      <c r="A156" s="2">
        <v>37411</v>
      </c>
      <c r="B156">
        <f>6/(100)</f>
        <v>0.06</v>
      </c>
      <c r="C156">
        <f>6.19/(100)</f>
        <v>6.1900000000000004E-2</v>
      </c>
    </row>
    <row r="157" spans="1:3" x14ac:dyDescent="0.3">
      <c r="A157" s="2">
        <v>37412</v>
      </c>
      <c r="B157">
        <f>6/(100)</f>
        <v>0.06</v>
      </c>
      <c r="C157">
        <f>6.19/(100)</f>
        <v>6.1900000000000004E-2</v>
      </c>
    </row>
    <row r="158" spans="1:3" x14ac:dyDescent="0.3">
      <c r="A158" s="2">
        <v>37413</v>
      </c>
      <c r="B158">
        <f>6/(100)</f>
        <v>0.06</v>
      </c>
      <c r="C158">
        <f>6.19/(100)</f>
        <v>6.1900000000000004E-2</v>
      </c>
    </row>
    <row r="159" spans="1:3" x14ac:dyDescent="0.3">
      <c r="A159" s="2">
        <v>37414</v>
      </c>
      <c r="B159">
        <f>6/(100)</f>
        <v>0.06</v>
      </c>
      <c r="C159">
        <f>6.19/(100)</f>
        <v>6.1900000000000004E-2</v>
      </c>
    </row>
    <row r="160" spans="1:3" x14ac:dyDescent="0.3">
      <c r="A160" s="2">
        <v>37415</v>
      </c>
      <c r="B160">
        <f>6/(100)</f>
        <v>0.06</v>
      </c>
      <c r="C160">
        <f>6.19/(100)</f>
        <v>6.1900000000000004E-2</v>
      </c>
    </row>
    <row r="161" spans="1:3" x14ac:dyDescent="0.3">
      <c r="A161" s="2">
        <v>37416</v>
      </c>
      <c r="B161">
        <f>6/(100)</f>
        <v>0.06</v>
      </c>
      <c r="C161">
        <f>6.19/(100)</f>
        <v>6.1900000000000004E-2</v>
      </c>
    </row>
    <row r="162" spans="1:3" x14ac:dyDescent="0.3">
      <c r="A162" s="2">
        <v>37417</v>
      </c>
      <c r="B162">
        <f>6/(100)</f>
        <v>0.06</v>
      </c>
      <c r="C162">
        <f>6.19/(100)</f>
        <v>6.1900000000000004E-2</v>
      </c>
    </row>
    <row r="163" spans="1:3" x14ac:dyDescent="0.3">
      <c r="A163" s="2">
        <v>37418</v>
      </c>
      <c r="B163">
        <f>6/(100)</f>
        <v>0.06</v>
      </c>
      <c r="C163">
        <f>6.19/(100)</f>
        <v>6.1900000000000004E-2</v>
      </c>
    </row>
    <row r="164" spans="1:3" x14ac:dyDescent="0.3">
      <c r="A164" s="2">
        <v>37419</v>
      </c>
      <c r="B164">
        <f>6/(100)</f>
        <v>0.06</v>
      </c>
      <c r="C164">
        <f>6.19/(100)</f>
        <v>6.1900000000000004E-2</v>
      </c>
    </row>
    <row r="165" spans="1:3" x14ac:dyDescent="0.3">
      <c r="A165" s="2">
        <v>37420</v>
      </c>
      <c r="B165">
        <f>6/(100)</f>
        <v>0.06</v>
      </c>
      <c r="C165">
        <f>6.19/(100)</f>
        <v>6.1900000000000004E-2</v>
      </c>
    </row>
    <row r="166" spans="1:3" x14ac:dyDescent="0.3">
      <c r="A166" s="2">
        <v>37421</v>
      </c>
      <c r="B166">
        <f>6/(100)</f>
        <v>0.06</v>
      </c>
      <c r="C166">
        <f>6.19/(100)</f>
        <v>6.1900000000000004E-2</v>
      </c>
    </row>
    <row r="167" spans="1:3" x14ac:dyDescent="0.3">
      <c r="A167" s="2">
        <v>37422</v>
      </c>
      <c r="B167">
        <f>6/(100)</f>
        <v>0.06</v>
      </c>
      <c r="C167">
        <f>6.19/(100)</f>
        <v>6.1900000000000004E-2</v>
      </c>
    </row>
    <row r="168" spans="1:3" x14ac:dyDescent="0.3">
      <c r="A168" s="2">
        <v>37423</v>
      </c>
      <c r="B168">
        <f>6/(100)</f>
        <v>0.06</v>
      </c>
      <c r="C168">
        <f>6.19/(100)</f>
        <v>6.1900000000000004E-2</v>
      </c>
    </row>
    <row r="169" spans="1:3" x14ac:dyDescent="0.3">
      <c r="A169" s="2">
        <v>37424</v>
      </c>
      <c r="B169">
        <f>6/(100)</f>
        <v>0.06</v>
      </c>
      <c r="C169">
        <f>6.19/(100)</f>
        <v>6.1900000000000004E-2</v>
      </c>
    </row>
    <row r="170" spans="1:3" x14ac:dyDescent="0.3">
      <c r="A170" s="2">
        <v>37425</v>
      </c>
      <c r="B170">
        <f>6/(100)</f>
        <v>0.06</v>
      </c>
      <c r="C170">
        <f>6.19/(100)</f>
        <v>6.1900000000000004E-2</v>
      </c>
    </row>
    <row r="171" spans="1:3" x14ac:dyDescent="0.3">
      <c r="A171" s="2">
        <v>37426</v>
      </c>
      <c r="B171">
        <f>6/(100)</f>
        <v>0.06</v>
      </c>
      <c r="C171">
        <f>6.19/(100)</f>
        <v>6.1900000000000004E-2</v>
      </c>
    </row>
    <row r="172" spans="1:3" x14ac:dyDescent="0.3">
      <c r="A172" s="2">
        <v>37427</v>
      </c>
      <c r="B172">
        <f>6/(100)</f>
        <v>0.06</v>
      </c>
      <c r="C172">
        <f>6.19/(100)</f>
        <v>6.1900000000000004E-2</v>
      </c>
    </row>
    <row r="173" spans="1:3" x14ac:dyDescent="0.3">
      <c r="A173" s="2">
        <v>37428</v>
      </c>
      <c r="B173">
        <f>6/(100)</f>
        <v>0.06</v>
      </c>
      <c r="C173">
        <f>6.19/(100)</f>
        <v>6.1900000000000004E-2</v>
      </c>
    </row>
    <row r="174" spans="1:3" x14ac:dyDescent="0.3">
      <c r="A174" s="2">
        <v>37429</v>
      </c>
      <c r="B174">
        <f>6/(100)</f>
        <v>0.06</v>
      </c>
      <c r="C174">
        <f>6.19/(100)</f>
        <v>6.1900000000000004E-2</v>
      </c>
    </row>
    <row r="175" spans="1:3" x14ac:dyDescent="0.3">
      <c r="A175" s="2">
        <v>37430</v>
      </c>
      <c r="B175">
        <f>6/(100)</f>
        <v>0.06</v>
      </c>
      <c r="C175">
        <f>6.19/(100)</f>
        <v>6.1900000000000004E-2</v>
      </c>
    </row>
    <row r="176" spans="1:3" x14ac:dyDescent="0.3">
      <c r="A176" s="2">
        <v>37431</v>
      </c>
      <c r="B176">
        <f>6/(100)</f>
        <v>0.06</v>
      </c>
      <c r="C176">
        <f>6.19/(100)</f>
        <v>6.1900000000000004E-2</v>
      </c>
    </row>
    <row r="177" spans="1:3" x14ac:dyDescent="0.3">
      <c r="A177" s="2">
        <v>37432</v>
      </c>
      <c r="B177">
        <f>6/(100)</f>
        <v>0.06</v>
      </c>
      <c r="C177">
        <f>6.19/(100)</f>
        <v>6.1900000000000004E-2</v>
      </c>
    </row>
    <row r="178" spans="1:3" x14ac:dyDescent="0.3">
      <c r="A178" s="2">
        <v>37433</v>
      </c>
      <c r="B178">
        <f>6/(100)</f>
        <v>0.06</v>
      </c>
      <c r="C178">
        <f>6.19/(100)</f>
        <v>6.1900000000000004E-2</v>
      </c>
    </row>
    <row r="179" spans="1:3" x14ac:dyDescent="0.3">
      <c r="A179" s="2">
        <v>37434</v>
      </c>
      <c r="B179">
        <f>5.75/(100)</f>
        <v>5.7500000000000002E-2</v>
      </c>
      <c r="C179">
        <f>6.19/(100)</f>
        <v>6.1900000000000004E-2</v>
      </c>
    </row>
    <row r="180" spans="1:3" x14ac:dyDescent="0.3">
      <c r="A180" s="2">
        <v>37435</v>
      </c>
      <c r="B180">
        <f>5.75/(100)</f>
        <v>5.7500000000000002E-2</v>
      </c>
      <c r="C180">
        <f>6.19/(100)</f>
        <v>6.1900000000000004E-2</v>
      </c>
    </row>
    <row r="181" spans="1:3" x14ac:dyDescent="0.3">
      <c r="A181" s="2">
        <v>37436</v>
      </c>
      <c r="B181">
        <f>5.75/(100)</f>
        <v>5.7500000000000002E-2</v>
      </c>
      <c r="C181">
        <f>6.19/(100)</f>
        <v>6.1900000000000004E-2</v>
      </c>
    </row>
    <row r="182" spans="1:3" x14ac:dyDescent="0.3">
      <c r="A182" s="2">
        <v>37437</v>
      </c>
      <c r="B182">
        <f>5.75/(100)</f>
        <v>5.7500000000000002E-2</v>
      </c>
      <c r="C182">
        <f>6.19/(100)</f>
        <v>6.1900000000000004E-2</v>
      </c>
    </row>
    <row r="183" spans="1:3" x14ac:dyDescent="0.3">
      <c r="A183" s="2">
        <v>37438</v>
      </c>
      <c r="B183">
        <f>5.75/(100)</f>
        <v>5.7500000000000002E-2</v>
      </c>
      <c r="C183">
        <f>6.19/(100)</f>
        <v>6.1900000000000004E-2</v>
      </c>
    </row>
    <row r="184" spans="1:3" x14ac:dyDescent="0.3">
      <c r="A184" s="2">
        <v>37439</v>
      </c>
      <c r="B184">
        <f>5.75/(100)</f>
        <v>5.7500000000000002E-2</v>
      </c>
      <c r="C184">
        <f>6.19/(100)</f>
        <v>6.1900000000000004E-2</v>
      </c>
    </row>
    <row r="185" spans="1:3" x14ac:dyDescent="0.3">
      <c r="A185" s="2">
        <v>37440</v>
      </c>
      <c r="B185">
        <f>5.75/(100)</f>
        <v>5.7500000000000002E-2</v>
      </c>
      <c r="C185">
        <f>6.19/(100)</f>
        <v>6.1900000000000004E-2</v>
      </c>
    </row>
    <row r="186" spans="1:3" x14ac:dyDescent="0.3">
      <c r="A186" s="2">
        <v>37441</v>
      </c>
      <c r="B186">
        <f>5.75/(100)</f>
        <v>5.7500000000000002E-2</v>
      </c>
      <c r="C186">
        <f>6.19/(100)</f>
        <v>6.1900000000000004E-2</v>
      </c>
    </row>
    <row r="187" spans="1:3" x14ac:dyDescent="0.3">
      <c r="A187" s="2">
        <v>37442</v>
      </c>
      <c r="B187">
        <f>5.75/(100)</f>
        <v>5.7500000000000002E-2</v>
      </c>
      <c r="C187">
        <f>6.19/(100)</f>
        <v>6.1900000000000004E-2</v>
      </c>
    </row>
    <row r="188" spans="1:3" x14ac:dyDescent="0.3">
      <c r="A188" s="2">
        <v>37443</v>
      </c>
      <c r="B188">
        <f>5.75/(100)</f>
        <v>5.7500000000000002E-2</v>
      </c>
      <c r="C188">
        <f>6.19/(100)</f>
        <v>6.1900000000000004E-2</v>
      </c>
    </row>
    <row r="189" spans="1:3" x14ac:dyDescent="0.3">
      <c r="A189" s="2">
        <v>37444</v>
      </c>
      <c r="B189">
        <f>5.75/(100)</f>
        <v>5.7500000000000002E-2</v>
      </c>
      <c r="C189">
        <f>6.19/(100)</f>
        <v>6.1900000000000004E-2</v>
      </c>
    </row>
    <row r="190" spans="1:3" x14ac:dyDescent="0.3">
      <c r="A190" s="2">
        <v>37445</v>
      </c>
      <c r="B190">
        <f>5.75/(100)</f>
        <v>5.7500000000000002E-2</v>
      </c>
      <c r="C190">
        <f>6.19/(100)</f>
        <v>6.1900000000000004E-2</v>
      </c>
    </row>
    <row r="191" spans="1:3" x14ac:dyDescent="0.3">
      <c r="A191" s="2">
        <v>37446</v>
      </c>
      <c r="B191">
        <f>5.75/(100)</f>
        <v>5.7500000000000002E-2</v>
      </c>
      <c r="C191">
        <f>6.19/(100)</f>
        <v>6.1900000000000004E-2</v>
      </c>
    </row>
    <row r="192" spans="1:3" x14ac:dyDescent="0.3">
      <c r="A192" s="2">
        <v>37447</v>
      </c>
      <c r="B192">
        <f>5.75/(100)</f>
        <v>5.7500000000000002E-2</v>
      </c>
      <c r="C192">
        <f>6.19/(100)</f>
        <v>6.1900000000000004E-2</v>
      </c>
    </row>
    <row r="193" spans="1:3" x14ac:dyDescent="0.3">
      <c r="A193" s="2">
        <v>37448</v>
      </c>
      <c r="B193">
        <f>5.75/(100)</f>
        <v>5.7500000000000002E-2</v>
      </c>
      <c r="C193">
        <f>6.19/(100)</f>
        <v>6.1900000000000004E-2</v>
      </c>
    </row>
    <row r="194" spans="1:3" x14ac:dyDescent="0.3">
      <c r="A194" s="2">
        <v>37449</v>
      </c>
      <c r="B194">
        <f>5.75/(100)</f>
        <v>5.7500000000000002E-2</v>
      </c>
      <c r="C194">
        <f>6.19/(100)</f>
        <v>6.1900000000000004E-2</v>
      </c>
    </row>
    <row r="195" spans="1:3" x14ac:dyDescent="0.3">
      <c r="A195" s="2">
        <v>37450</v>
      </c>
      <c r="B195">
        <f>5.75/(100)</f>
        <v>5.7500000000000002E-2</v>
      </c>
      <c r="C195">
        <f>6.19/(100)</f>
        <v>6.1900000000000004E-2</v>
      </c>
    </row>
    <row r="196" spans="1:3" x14ac:dyDescent="0.3">
      <c r="A196" s="2">
        <v>37451</v>
      </c>
      <c r="B196">
        <f>5.75/(100)</f>
        <v>5.7500000000000002E-2</v>
      </c>
      <c r="C196">
        <f>6.19/(100)</f>
        <v>6.1900000000000004E-2</v>
      </c>
    </row>
    <row r="197" spans="1:3" x14ac:dyDescent="0.3">
      <c r="A197" s="2">
        <v>37452</v>
      </c>
      <c r="B197">
        <f>5.75/(100)</f>
        <v>5.7500000000000002E-2</v>
      </c>
      <c r="C197">
        <f>6.19/(100)</f>
        <v>6.1900000000000004E-2</v>
      </c>
    </row>
    <row r="198" spans="1:3" x14ac:dyDescent="0.3">
      <c r="A198" s="2">
        <v>37453</v>
      </c>
      <c r="B198">
        <f>5.75/(100)</f>
        <v>5.7500000000000002E-2</v>
      </c>
      <c r="C198">
        <f>6.19/(100)</f>
        <v>6.1900000000000004E-2</v>
      </c>
    </row>
    <row r="199" spans="1:3" x14ac:dyDescent="0.3">
      <c r="A199" s="2">
        <v>37454</v>
      </c>
      <c r="B199">
        <f>5.75/(100)</f>
        <v>5.7500000000000002E-2</v>
      </c>
      <c r="C199">
        <f>6.19/(100)</f>
        <v>6.1900000000000004E-2</v>
      </c>
    </row>
    <row r="200" spans="1:3" x14ac:dyDescent="0.3">
      <c r="A200" s="2">
        <v>37455</v>
      </c>
      <c r="B200">
        <f>5.75/(100)</f>
        <v>5.7500000000000002E-2</v>
      </c>
      <c r="C200">
        <f>6.19/(100)</f>
        <v>6.1900000000000004E-2</v>
      </c>
    </row>
    <row r="201" spans="1:3" x14ac:dyDescent="0.3">
      <c r="A201" s="2">
        <v>37456</v>
      </c>
      <c r="B201">
        <f>5.75/(100)</f>
        <v>5.7500000000000002E-2</v>
      </c>
      <c r="C201">
        <f>6.19/(100)</f>
        <v>6.1900000000000004E-2</v>
      </c>
    </row>
    <row r="202" spans="1:3" x14ac:dyDescent="0.3">
      <c r="A202" s="2">
        <v>37457</v>
      </c>
      <c r="B202">
        <f>5.75/(100)</f>
        <v>5.7500000000000002E-2</v>
      </c>
      <c r="C202">
        <f>6.19/(100)</f>
        <v>6.1900000000000004E-2</v>
      </c>
    </row>
    <row r="203" spans="1:3" x14ac:dyDescent="0.3">
      <c r="A203" s="2">
        <v>37458</v>
      </c>
      <c r="B203">
        <f>5.75/(100)</f>
        <v>5.7500000000000002E-2</v>
      </c>
      <c r="C203">
        <f>6.19/(100)</f>
        <v>6.1900000000000004E-2</v>
      </c>
    </row>
    <row r="204" spans="1:3" x14ac:dyDescent="0.3">
      <c r="A204" s="2">
        <v>37459</v>
      </c>
      <c r="B204">
        <f>5.75/(100)</f>
        <v>5.7500000000000002E-2</v>
      </c>
      <c r="C204">
        <f>6.19/(100)</f>
        <v>6.1900000000000004E-2</v>
      </c>
    </row>
    <row r="205" spans="1:3" x14ac:dyDescent="0.3">
      <c r="A205" s="2">
        <v>37460</v>
      </c>
      <c r="B205">
        <f>5.75/(100)</f>
        <v>5.7500000000000002E-2</v>
      </c>
      <c r="C205">
        <f>6.19/(100)</f>
        <v>6.1900000000000004E-2</v>
      </c>
    </row>
    <row r="206" spans="1:3" x14ac:dyDescent="0.3">
      <c r="A206" s="2">
        <v>37461</v>
      </c>
      <c r="B206">
        <f>5.75/(100)</f>
        <v>5.7500000000000002E-2</v>
      </c>
      <c r="C206">
        <f>6.19/(100)</f>
        <v>6.1900000000000004E-2</v>
      </c>
    </row>
    <row r="207" spans="1:3" x14ac:dyDescent="0.3">
      <c r="A207" s="2">
        <v>37462</v>
      </c>
      <c r="B207">
        <f>5.75/(100)</f>
        <v>5.7500000000000002E-2</v>
      </c>
      <c r="C207">
        <f>6.19/(100)</f>
        <v>6.1900000000000004E-2</v>
      </c>
    </row>
    <row r="208" spans="1:3" x14ac:dyDescent="0.3">
      <c r="A208" s="2">
        <v>37463</v>
      </c>
      <c r="B208">
        <f>5.75/(100)</f>
        <v>5.7500000000000002E-2</v>
      </c>
      <c r="C208">
        <f>6.19/(100)</f>
        <v>6.1900000000000004E-2</v>
      </c>
    </row>
    <row r="209" spans="1:3" x14ac:dyDescent="0.3">
      <c r="A209" s="2">
        <v>37464</v>
      </c>
      <c r="B209">
        <f>5.75/(100)</f>
        <v>5.7500000000000002E-2</v>
      </c>
      <c r="C209">
        <f>6.19/(100)</f>
        <v>6.1900000000000004E-2</v>
      </c>
    </row>
    <row r="210" spans="1:3" x14ac:dyDescent="0.3">
      <c r="A210" s="2">
        <v>37465</v>
      </c>
      <c r="B210">
        <f>5.75/(100)</f>
        <v>5.7500000000000002E-2</v>
      </c>
      <c r="C210">
        <f>6.19/(100)</f>
        <v>6.1900000000000004E-2</v>
      </c>
    </row>
    <row r="211" spans="1:3" x14ac:dyDescent="0.3">
      <c r="A211" s="2">
        <v>37466</v>
      </c>
      <c r="B211">
        <f>5.75/(100)</f>
        <v>5.7500000000000002E-2</v>
      </c>
      <c r="C211">
        <f>6.19/(100)</f>
        <v>6.1900000000000004E-2</v>
      </c>
    </row>
    <row r="212" spans="1:3" x14ac:dyDescent="0.3">
      <c r="A212" s="2">
        <v>37467</v>
      </c>
      <c r="B212">
        <f>5.75/(100)</f>
        <v>5.7500000000000002E-2</v>
      </c>
      <c r="C212">
        <f>6.19/(100)</f>
        <v>6.1900000000000004E-2</v>
      </c>
    </row>
    <row r="213" spans="1:3" x14ac:dyDescent="0.3">
      <c r="A213" s="2">
        <v>37468</v>
      </c>
      <c r="B213">
        <f>5.75/(100)</f>
        <v>5.7500000000000002E-2</v>
      </c>
      <c r="C213">
        <f>6.19/(100)</f>
        <v>6.1900000000000004E-2</v>
      </c>
    </row>
    <row r="214" spans="1:3" x14ac:dyDescent="0.3">
      <c r="A214" s="2">
        <v>37469</v>
      </c>
      <c r="B214">
        <f>5.75/(100)</f>
        <v>5.7500000000000002E-2</v>
      </c>
      <c r="C214">
        <f>6.19/(100)</f>
        <v>6.1900000000000004E-2</v>
      </c>
    </row>
    <row r="215" spans="1:3" x14ac:dyDescent="0.3">
      <c r="A215" s="2">
        <v>37470</v>
      </c>
      <c r="B215">
        <f>5.75/(100)</f>
        <v>5.7500000000000002E-2</v>
      </c>
      <c r="C215">
        <f>6.19/(100)</f>
        <v>6.1900000000000004E-2</v>
      </c>
    </row>
    <row r="216" spans="1:3" x14ac:dyDescent="0.3">
      <c r="A216" s="2">
        <v>37471</v>
      </c>
      <c r="B216">
        <f>5.75/(100)</f>
        <v>5.7500000000000002E-2</v>
      </c>
      <c r="C216">
        <f>6.19/(100)</f>
        <v>6.1900000000000004E-2</v>
      </c>
    </row>
    <row r="217" spans="1:3" x14ac:dyDescent="0.3">
      <c r="A217" s="2">
        <v>37472</v>
      </c>
      <c r="B217">
        <f>5.75/(100)</f>
        <v>5.7500000000000002E-2</v>
      </c>
      <c r="C217">
        <f>6.19/(100)</f>
        <v>6.1900000000000004E-2</v>
      </c>
    </row>
    <row r="218" spans="1:3" x14ac:dyDescent="0.3">
      <c r="A218" s="2">
        <v>37473</v>
      </c>
      <c r="B218">
        <f>5.75/(100)</f>
        <v>5.7500000000000002E-2</v>
      </c>
      <c r="C218">
        <f>6.19/(100)</f>
        <v>6.1900000000000004E-2</v>
      </c>
    </row>
    <row r="219" spans="1:3" x14ac:dyDescent="0.3">
      <c r="A219" s="2">
        <v>37474</v>
      </c>
      <c r="B219">
        <f>5.75/(100)</f>
        <v>5.7500000000000002E-2</v>
      </c>
      <c r="C219">
        <f>6.19/(100)</f>
        <v>6.1900000000000004E-2</v>
      </c>
    </row>
    <row r="220" spans="1:3" x14ac:dyDescent="0.3">
      <c r="A220" s="2">
        <v>37475</v>
      </c>
      <c r="B220">
        <f>5.75/(100)</f>
        <v>5.7500000000000002E-2</v>
      </c>
      <c r="C220">
        <f>6.19/(100)</f>
        <v>6.1900000000000004E-2</v>
      </c>
    </row>
    <row r="221" spans="1:3" x14ac:dyDescent="0.3">
      <c r="A221" s="2">
        <v>37476</v>
      </c>
      <c r="B221">
        <f>5.75/(100)</f>
        <v>5.7500000000000002E-2</v>
      </c>
      <c r="C221">
        <f>6.19/(100)</f>
        <v>6.1900000000000004E-2</v>
      </c>
    </row>
    <row r="222" spans="1:3" x14ac:dyDescent="0.3">
      <c r="A222" s="2">
        <v>37477</v>
      </c>
      <c r="B222">
        <f>5.75/(100)</f>
        <v>5.7500000000000002E-2</v>
      </c>
      <c r="C222">
        <f>6.19/(100)</f>
        <v>6.1900000000000004E-2</v>
      </c>
    </row>
    <row r="223" spans="1:3" x14ac:dyDescent="0.3">
      <c r="A223" s="2">
        <v>37478</v>
      </c>
      <c r="B223">
        <f>5.75/(100)</f>
        <v>5.7500000000000002E-2</v>
      </c>
      <c r="C223">
        <f>6.19/(100)</f>
        <v>6.1900000000000004E-2</v>
      </c>
    </row>
    <row r="224" spans="1:3" x14ac:dyDescent="0.3">
      <c r="A224" s="2">
        <v>37479</v>
      </c>
      <c r="B224">
        <f>5.75/(100)</f>
        <v>5.7500000000000002E-2</v>
      </c>
      <c r="C224">
        <f>6.19/(100)</f>
        <v>6.1900000000000004E-2</v>
      </c>
    </row>
    <row r="225" spans="1:3" x14ac:dyDescent="0.3">
      <c r="A225" s="2">
        <v>37480</v>
      </c>
      <c r="B225">
        <f>5.75/(100)</f>
        <v>5.7500000000000002E-2</v>
      </c>
      <c r="C225">
        <f>6.19/(100)</f>
        <v>6.1900000000000004E-2</v>
      </c>
    </row>
    <row r="226" spans="1:3" x14ac:dyDescent="0.3">
      <c r="A226" s="2">
        <v>37481</v>
      </c>
      <c r="B226">
        <f>5.75/(100)</f>
        <v>5.7500000000000002E-2</v>
      </c>
      <c r="C226">
        <f>6.19/(100)</f>
        <v>6.1900000000000004E-2</v>
      </c>
    </row>
    <row r="227" spans="1:3" x14ac:dyDescent="0.3">
      <c r="A227" s="2">
        <v>37482</v>
      </c>
      <c r="B227">
        <f>5.75/(100)</f>
        <v>5.7500000000000002E-2</v>
      </c>
      <c r="C227">
        <f>6.19/(100)</f>
        <v>6.1900000000000004E-2</v>
      </c>
    </row>
    <row r="228" spans="1:3" x14ac:dyDescent="0.3">
      <c r="A228" s="2">
        <v>37483</v>
      </c>
      <c r="B228">
        <f>5.75/(100)</f>
        <v>5.7500000000000002E-2</v>
      </c>
      <c r="C228">
        <f>6.19/(100)</f>
        <v>6.1900000000000004E-2</v>
      </c>
    </row>
    <row r="229" spans="1:3" x14ac:dyDescent="0.3">
      <c r="A229" s="2">
        <v>37484</v>
      </c>
      <c r="B229">
        <f>5.75/(100)</f>
        <v>5.7500000000000002E-2</v>
      </c>
      <c r="C229">
        <f>6.19/(100)</f>
        <v>6.1900000000000004E-2</v>
      </c>
    </row>
    <row r="230" spans="1:3" x14ac:dyDescent="0.3">
      <c r="A230" s="2">
        <v>37485</v>
      </c>
      <c r="B230">
        <f>5.75/(100)</f>
        <v>5.7500000000000002E-2</v>
      </c>
      <c r="C230">
        <f>6.19/(100)</f>
        <v>6.1900000000000004E-2</v>
      </c>
    </row>
    <row r="231" spans="1:3" x14ac:dyDescent="0.3">
      <c r="A231" s="2">
        <v>37486</v>
      </c>
      <c r="B231">
        <f>5.75/(100)</f>
        <v>5.7500000000000002E-2</v>
      </c>
      <c r="C231">
        <f>6.19/(100)</f>
        <v>6.1900000000000004E-2</v>
      </c>
    </row>
    <row r="232" spans="1:3" x14ac:dyDescent="0.3">
      <c r="A232" s="2">
        <v>37487</v>
      </c>
      <c r="B232">
        <f>5.75/(100)</f>
        <v>5.7500000000000002E-2</v>
      </c>
      <c r="C232">
        <f>6.19/(100)</f>
        <v>6.1900000000000004E-2</v>
      </c>
    </row>
    <row r="233" spans="1:3" x14ac:dyDescent="0.3">
      <c r="A233" s="2">
        <v>37488</v>
      </c>
      <c r="B233">
        <f>5.75/(100)</f>
        <v>5.7500000000000002E-2</v>
      </c>
      <c r="C233">
        <f>6.19/(100)</f>
        <v>6.1900000000000004E-2</v>
      </c>
    </row>
    <row r="234" spans="1:3" x14ac:dyDescent="0.3">
      <c r="A234" s="2">
        <v>37489</v>
      </c>
      <c r="B234">
        <f>5.75/(100)</f>
        <v>5.7500000000000002E-2</v>
      </c>
      <c r="C234">
        <f>6.19/(100)</f>
        <v>6.1900000000000004E-2</v>
      </c>
    </row>
    <row r="235" spans="1:3" x14ac:dyDescent="0.3">
      <c r="A235" s="2">
        <v>37490</v>
      </c>
      <c r="B235">
        <f>5.75/(100)</f>
        <v>5.7500000000000002E-2</v>
      </c>
      <c r="C235">
        <f>6.19/(100)</f>
        <v>6.1900000000000004E-2</v>
      </c>
    </row>
    <row r="236" spans="1:3" x14ac:dyDescent="0.3">
      <c r="A236" s="2">
        <v>37491</v>
      </c>
      <c r="B236">
        <f>5.75/(100)</f>
        <v>5.7500000000000002E-2</v>
      </c>
      <c r="C236">
        <f>6.19/(100)</f>
        <v>6.1900000000000004E-2</v>
      </c>
    </row>
    <row r="237" spans="1:3" x14ac:dyDescent="0.3">
      <c r="A237" s="2">
        <v>37492</v>
      </c>
      <c r="B237">
        <f>5.75/(100)</f>
        <v>5.7500000000000002E-2</v>
      </c>
      <c r="C237">
        <f>6.19/(100)</f>
        <v>6.1900000000000004E-2</v>
      </c>
    </row>
    <row r="238" spans="1:3" x14ac:dyDescent="0.3">
      <c r="A238" s="2">
        <v>37493</v>
      </c>
      <c r="B238">
        <f>5.75/(100)</f>
        <v>5.7500000000000002E-2</v>
      </c>
      <c r="C238">
        <f>6.19/(100)</f>
        <v>6.1900000000000004E-2</v>
      </c>
    </row>
    <row r="239" spans="1:3" x14ac:dyDescent="0.3">
      <c r="A239" s="2">
        <v>37494</v>
      </c>
      <c r="B239">
        <f>5.75/(100)</f>
        <v>5.7500000000000002E-2</v>
      </c>
      <c r="C239">
        <f>6.19/(100)</f>
        <v>6.1900000000000004E-2</v>
      </c>
    </row>
    <row r="240" spans="1:3" x14ac:dyDescent="0.3">
      <c r="A240" s="2">
        <v>37495</v>
      </c>
      <c r="B240">
        <f>5.75/(100)</f>
        <v>5.7500000000000002E-2</v>
      </c>
      <c r="C240">
        <f>6.19/(100)</f>
        <v>6.1900000000000004E-2</v>
      </c>
    </row>
    <row r="241" spans="1:3" x14ac:dyDescent="0.3">
      <c r="A241" s="2">
        <v>37496</v>
      </c>
      <c r="B241">
        <f>5.75/(100)</f>
        <v>5.7500000000000002E-2</v>
      </c>
      <c r="C241">
        <f>6.19/(100)</f>
        <v>6.1900000000000004E-2</v>
      </c>
    </row>
    <row r="242" spans="1:3" x14ac:dyDescent="0.3">
      <c r="A242" s="2">
        <v>37497</v>
      </c>
      <c r="B242">
        <f>5.75/(100)</f>
        <v>5.7500000000000002E-2</v>
      </c>
      <c r="C242">
        <f>6.19/(100)</f>
        <v>6.1900000000000004E-2</v>
      </c>
    </row>
    <row r="243" spans="1:3" x14ac:dyDescent="0.3">
      <c r="A243" s="2">
        <v>37498</v>
      </c>
      <c r="B243">
        <f>5.75/(100)</f>
        <v>5.7500000000000002E-2</v>
      </c>
      <c r="C243">
        <f>6.19/(100)</f>
        <v>6.1900000000000004E-2</v>
      </c>
    </row>
    <row r="244" spans="1:3" x14ac:dyDescent="0.3">
      <c r="A244" s="2">
        <v>37499</v>
      </c>
      <c r="B244">
        <f>5.75/(100)</f>
        <v>5.7500000000000002E-2</v>
      </c>
      <c r="C244">
        <f>6.19/(100)</f>
        <v>6.1900000000000004E-2</v>
      </c>
    </row>
    <row r="245" spans="1:3" x14ac:dyDescent="0.3">
      <c r="A245" s="2">
        <v>37500</v>
      </c>
      <c r="B245">
        <f>5.75/(100)</f>
        <v>5.7500000000000002E-2</v>
      </c>
      <c r="C245">
        <f>6.19/(100)</f>
        <v>6.1900000000000004E-2</v>
      </c>
    </row>
    <row r="246" spans="1:3" x14ac:dyDescent="0.3">
      <c r="A246" s="2">
        <v>37501</v>
      </c>
      <c r="B246">
        <f>5.75/(100)</f>
        <v>5.7500000000000002E-2</v>
      </c>
      <c r="C246">
        <f>6.19/(100)</f>
        <v>6.1900000000000004E-2</v>
      </c>
    </row>
    <row r="247" spans="1:3" x14ac:dyDescent="0.3">
      <c r="A247" s="2">
        <v>37502</v>
      </c>
      <c r="B247">
        <f>5.75/(100)</f>
        <v>5.7500000000000002E-2</v>
      </c>
      <c r="C247">
        <f>6.19/(100)</f>
        <v>6.1900000000000004E-2</v>
      </c>
    </row>
    <row r="248" spans="1:3" x14ac:dyDescent="0.3">
      <c r="A248" s="2">
        <v>37503</v>
      </c>
      <c r="B248">
        <f>5.75/(100)</f>
        <v>5.7500000000000002E-2</v>
      </c>
      <c r="C248">
        <f>6.19/(100)</f>
        <v>6.1900000000000004E-2</v>
      </c>
    </row>
    <row r="249" spans="1:3" x14ac:dyDescent="0.3">
      <c r="A249" s="2">
        <v>37504</v>
      </c>
      <c r="B249">
        <f>5.75/(100)</f>
        <v>5.7500000000000002E-2</v>
      </c>
      <c r="C249">
        <f>6.19/(100)</f>
        <v>6.1900000000000004E-2</v>
      </c>
    </row>
    <row r="250" spans="1:3" x14ac:dyDescent="0.3">
      <c r="A250" s="2">
        <v>37505</v>
      </c>
      <c r="B250">
        <f>5.75/(100)</f>
        <v>5.7500000000000002E-2</v>
      </c>
      <c r="C250">
        <f>6.19/(100)</f>
        <v>6.1900000000000004E-2</v>
      </c>
    </row>
    <row r="251" spans="1:3" x14ac:dyDescent="0.3">
      <c r="A251" s="2">
        <v>37506</v>
      </c>
      <c r="B251">
        <f>5.75/(100)</f>
        <v>5.7500000000000002E-2</v>
      </c>
      <c r="C251">
        <f>6.19/(100)</f>
        <v>6.1900000000000004E-2</v>
      </c>
    </row>
    <row r="252" spans="1:3" x14ac:dyDescent="0.3">
      <c r="A252" s="2">
        <v>37507</v>
      </c>
      <c r="B252">
        <f>5.75/(100)</f>
        <v>5.7500000000000002E-2</v>
      </c>
      <c r="C252">
        <f>6.19/(100)</f>
        <v>6.1900000000000004E-2</v>
      </c>
    </row>
    <row r="253" spans="1:3" x14ac:dyDescent="0.3">
      <c r="A253" s="2">
        <v>37508</v>
      </c>
      <c r="B253">
        <f>5.75/(100)</f>
        <v>5.7500000000000002E-2</v>
      </c>
      <c r="C253">
        <f>6.19/(100)</f>
        <v>6.1900000000000004E-2</v>
      </c>
    </row>
    <row r="254" spans="1:3" x14ac:dyDescent="0.3">
      <c r="A254" s="2">
        <v>37509</v>
      </c>
      <c r="B254">
        <f>5.75/(100)</f>
        <v>5.7500000000000002E-2</v>
      </c>
      <c r="C254">
        <f>6.19/(100)</f>
        <v>6.1900000000000004E-2</v>
      </c>
    </row>
    <row r="255" spans="1:3" x14ac:dyDescent="0.3">
      <c r="A255" s="2">
        <v>37510</v>
      </c>
      <c r="B255">
        <f>5.75/(100)</f>
        <v>5.7500000000000002E-2</v>
      </c>
      <c r="C255">
        <f>6.19/(100)</f>
        <v>6.1900000000000004E-2</v>
      </c>
    </row>
    <row r="256" spans="1:3" x14ac:dyDescent="0.3">
      <c r="A256" s="2">
        <v>37511</v>
      </c>
      <c r="B256">
        <f>5.75/(100)</f>
        <v>5.7500000000000002E-2</v>
      </c>
      <c r="C256">
        <f>6.19/(100)</f>
        <v>6.1900000000000004E-2</v>
      </c>
    </row>
    <row r="257" spans="1:3" x14ac:dyDescent="0.3">
      <c r="A257" s="2">
        <v>37512</v>
      </c>
      <c r="B257">
        <f>5.75/(100)</f>
        <v>5.7500000000000002E-2</v>
      </c>
      <c r="C257">
        <f>6.19/(100)</f>
        <v>6.1900000000000004E-2</v>
      </c>
    </row>
    <row r="258" spans="1:3" x14ac:dyDescent="0.3">
      <c r="A258" s="2">
        <v>37513</v>
      </c>
      <c r="B258">
        <f>5.75/(100)</f>
        <v>5.7500000000000002E-2</v>
      </c>
      <c r="C258">
        <f>6.19/(100)</f>
        <v>6.1900000000000004E-2</v>
      </c>
    </row>
    <row r="259" spans="1:3" x14ac:dyDescent="0.3">
      <c r="A259" s="2">
        <v>37514</v>
      </c>
      <c r="B259">
        <f>5.75/(100)</f>
        <v>5.7500000000000002E-2</v>
      </c>
      <c r="C259">
        <f>6.19/(100)</f>
        <v>6.1900000000000004E-2</v>
      </c>
    </row>
    <row r="260" spans="1:3" x14ac:dyDescent="0.3">
      <c r="A260" s="2">
        <v>37515</v>
      </c>
      <c r="B260">
        <f>5.75/(100)</f>
        <v>5.7500000000000002E-2</v>
      </c>
      <c r="C260">
        <f>5.92/(100)</f>
        <v>5.9200000000000003E-2</v>
      </c>
    </row>
    <row r="261" spans="1:3" x14ac:dyDescent="0.3">
      <c r="A261" s="2">
        <v>37516</v>
      </c>
      <c r="B261">
        <f>5.75/(100)</f>
        <v>5.7500000000000002E-2</v>
      </c>
      <c r="C261">
        <f>5.92/(100)</f>
        <v>5.9200000000000003E-2</v>
      </c>
    </row>
    <row r="262" spans="1:3" x14ac:dyDescent="0.3">
      <c r="A262" s="2">
        <v>37517</v>
      </c>
      <c r="B262">
        <f>5.75/(100)</f>
        <v>5.7500000000000002E-2</v>
      </c>
      <c r="C262">
        <f>5.91/(100)</f>
        <v>5.91E-2</v>
      </c>
    </row>
    <row r="263" spans="1:3" x14ac:dyDescent="0.3">
      <c r="A263" s="2">
        <v>37518</v>
      </c>
      <c r="B263">
        <f>5.75/(100)</f>
        <v>5.7500000000000002E-2</v>
      </c>
      <c r="C263">
        <f>5.91/(100)</f>
        <v>5.91E-2</v>
      </c>
    </row>
    <row r="264" spans="1:3" x14ac:dyDescent="0.3">
      <c r="A264" s="2">
        <v>37519</v>
      </c>
      <c r="B264">
        <f>5.75/(100)</f>
        <v>5.7500000000000002E-2</v>
      </c>
      <c r="C264">
        <f>5.89/(100)</f>
        <v>5.8899999999999994E-2</v>
      </c>
    </row>
    <row r="265" spans="1:3" x14ac:dyDescent="0.3">
      <c r="A265" s="2">
        <v>37520</v>
      </c>
      <c r="B265">
        <f>5.75/(100)</f>
        <v>5.7500000000000002E-2</v>
      </c>
      <c r="C265">
        <f>5.89/(100)</f>
        <v>5.8899999999999994E-2</v>
      </c>
    </row>
    <row r="266" spans="1:3" x14ac:dyDescent="0.3">
      <c r="A266" s="2">
        <v>37521</v>
      </c>
      <c r="B266">
        <f>5.75/(100)</f>
        <v>5.7500000000000002E-2</v>
      </c>
      <c r="C266">
        <f>5.89/(100)</f>
        <v>5.8899999999999994E-2</v>
      </c>
    </row>
    <row r="267" spans="1:3" x14ac:dyDescent="0.3">
      <c r="A267" s="2">
        <v>37522</v>
      </c>
      <c r="B267">
        <f>5.75/(100)</f>
        <v>5.7500000000000002E-2</v>
      </c>
      <c r="C267">
        <f>5.89/(100)</f>
        <v>5.8899999999999994E-2</v>
      </c>
    </row>
    <row r="268" spans="1:3" x14ac:dyDescent="0.3">
      <c r="A268" s="2">
        <v>37523</v>
      </c>
      <c r="B268">
        <f>5.75/(100)</f>
        <v>5.7500000000000002E-2</v>
      </c>
      <c r="C268">
        <f>5.92/(100)</f>
        <v>5.9200000000000003E-2</v>
      </c>
    </row>
    <row r="269" spans="1:3" x14ac:dyDescent="0.3">
      <c r="A269" s="2">
        <v>37524</v>
      </c>
      <c r="B269">
        <f>5.75/(100)</f>
        <v>5.7500000000000002E-2</v>
      </c>
      <c r="C269">
        <f>5.93/(100)</f>
        <v>5.9299999999999999E-2</v>
      </c>
    </row>
    <row r="270" spans="1:3" x14ac:dyDescent="0.3">
      <c r="A270" s="2">
        <v>37525</v>
      </c>
      <c r="B270">
        <f>5.75/(100)</f>
        <v>5.7500000000000002E-2</v>
      </c>
      <c r="C270">
        <f>5.93/(100)</f>
        <v>5.9299999999999999E-2</v>
      </c>
    </row>
    <row r="271" spans="1:3" x14ac:dyDescent="0.3">
      <c r="A271" s="2">
        <v>37526</v>
      </c>
      <c r="B271">
        <f>5.75/(100)</f>
        <v>5.7500000000000002E-2</v>
      </c>
      <c r="C271">
        <f>5.92/(100)</f>
        <v>5.9200000000000003E-2</v>
      </c>
    </row>
    <row r="272" spans="1:3" x14ac:dyDescent="0.3">
      <c r="A272" s="2">
        <v>37527</v>
      </c>
      <c r="B272">
        <f>5.75/(100)</f>
        <v>5.7500000000000002E-2</v>
      </c>
      <c r="C272">
        <f>5.92/(100)</f>
        <v>5.9200000000000003E-2</v>
      </c>
    </row>
    <row r="273" spans="1:3" x14ac:dyDescent="0.3">
      <c r="A273" s="2">
        <v>37528</v>
      </c>
      <c r="B273">
        <f>5.75/(100)</f>
        <v>5.7500000000000002E-2</v>
      </c>
      <c r="C273">
        <f>5.92/(100)</f>
        <v>5.9200000000000003E-2</v>
      </c>
    </row>
    <row r="274" spans="1:3" x14ac:dyDescent="0.3">
      <c r="A274" s="2">
        <v>37529</v>
      </c>
      <c r="B274">
        <f>5.75/(100)</f>
        <v>5.7500000000000002E-2</v>
      </c>
      <c r="C274">
        <f>5.93/(100)</f>
        <v>5.9299999999999999E-2</v>
      </c>
    </row>
    <row r="275" spans="1:3" x14ac:dyDescent="0.3">
      <c r="A275" s="2">
        <v>37530</v>
      </c>
      <c r="B275">
        <f>5.75/(100)</f>
        <v>5.7500000000000002E-2</v>
      </c>
      <c r="C275">
        <f>5.93/(100)</f>
        <v>5.9299999999999999E-2</v>
      </c>
    </row>
    <row r="276" spans="1:3" x14ac:dyDescent="0.3">
      <c r="A276" s="2">
        <v>37531</v>
      </c>
      <c r="B276">
        <f>5.75/(100)</f>
        <v>5.7500000000000002E-2</v>
      </c>
      <c r="C276">
        <f>5.93/(100)</f>
        <v>5.9299999999999999E-2</v>
      </c>
    </row>
    <row r="277" spans="1:3" x14ac:dyDescent="0.3">
      <c r="A277" s="2">
        <v>37532</v>
      </c>
      <c r="B277">
        <f>5.75/(100)</f>
        <v>5.7500000000000002E-2</v>
      </c>
      <c r="C277">
        <f>5.93/(100)</f>
        <v>5.9299999999999999E-2</v>
      </c>
    </row>
    <row r="278" spans="1:3" x14ac:dyDescent="0.3">
      <c r="A278" s="2">
        <v>37533</v>
      </c>
      <c r="B278">
        <f>5.75/(100)</f>
        <v>5.7500000000000002E-2</v>
      </c>
      <c r="C278">
        <f>5.93/(100)</f>
        <v>5.9299999999999999E-2</v>
      </c>
    </row>
    <row r="279" spans="1:3" x14ac:dyDescent="0.3">
      <c r="A279" s="2">
        <v>37534</v>
      </c>
      <c r="B279">
        <f>5.75/(100)</f>
        <v>5.7500000000000002E-2</v>
      </c>
      <c r="C279">
        <f>5.93/(100)</f>
        <v>5.9299999999999999E-2</v>
      </c>
    </row>
    <row r="280" spans="1:3" x14ac:dyDescent="0.3">
      <c r="A280" s="2">
        <v>37535</v>
      </c>
      <c r="B280">
        <f>5.75/(100)</f>
        <v>5.7500000000000002E-2</v>
      </c>
      <c r="C280">
        <f>5.93/(100)</f>
        <v>5.9299999999999999E-2</v>
      </c>
    </row>
    <row r="281" spans="1:3" x14ac:dyDescent="0.3">
      <c r="A281" s="2">
        <v>37536</v>
      </c>
      <c r="B281">
        <f>5.75/(100)</f>
        <v>5.7500000000000002E-2</v>
      </c>
      <c r="C281">
        <f>5.93/(100)</f>
        <v>5.9299999999999999E-2</v>
      </c>
    </row>
    <row r="282" spans="1:3" x14ac:dyDescent="0.3">
      <c r="A282" s="2">
        <v>37537</v>
      </c>
      <c r="B282">
        <f>5.75/(100)</f>
        <v>5.7500000000000002E-2</v>
      </c>
      <c r="C282">
        <f>5.93/(100)</f>
        <v>5.9299999999999999E-2</v>
      </c>
    </row>
    <row r="283" spans="1:3" x14ac:dyDescent="0.3">
      <c r="A283" s="2">
        <v>37538</v>
      </c>
      <c r="B283">
        <f>5.75/(100)</f>
        <v>5.7500000000000002E-2</v>
      </c>
      <c r="C283">
        <f>5.93/(100)</f>
        <v>5.9299999999999999E-2</v>
      </c>
    </row>
    <row r="284" spans="1:3" x14ac:dyDescent="0.3">
      <c r="A284" s="2">
        <v>37539</v>
      </c>
      <c r="B284">
        <f>5.75/(100)</f>
        <v>5.7500000000000002E-2</v>
      </c>
      <c r="C284">
        <f>5.93/(100)</f>
        <v>5.9299999999999999E-2</v>
      </c>
    </row>
    <row r="285" spans="1:3" x14ac:dyDescent="0.3">
      <c r="A285" s="2">
        <v>37540</v>
      </c>
      <c r="B285">
        <f>5.75/(100)</f>
        <v>5.7500000000000002E-2</v>
      </c>
      <c r="C285">
        <f>5.93/(100)</f>
        <v>5.9299999999999999E-2</v>
      </c>
    </row>
    <row r="286" spans="1:3" x14ac:dyDescent="0.3">
      <c r="A286" s="2">
        <v>37541</v>
      </c>
      <c r="B286">
        <f>5.75/(100)</f>
        <v>5.7500000000000002E-2</v>
      </c>
      <c r="C286">
        <f>5.93/(100)</f>
        <v>5.9299999999999999E-2</v>
      </c>
    </row>
    <row r="287" spans="1:3" x14ac:dyDescent="0.3">
      <c r="A287" s="2">
        <v>37542</v>
      </c>
      <c r="B287">
        <f>5.75/(100)</f>
        <v>5.7500000000000002E-2</v>
      </c>
      <c r="C287">
        <f>5.93/(100)</f>
        <v>5.9299999999999999E-2</v>
      </c>
    </row>
    <row r="288" spans="1:3" x14ac:dyDescent="0.3">
      <c r="A288" s="2">
        <v>37543</v>
      </c>
      <c r="B288">
        <f>5.75/(100)</f>
        <v>5.7500000000000002E-2</v>
      </c>
      <c r="C288">
        <f>5.93/(100)</f>
        <v>5.9299999999999999E-2</v>
      </c>
    </row>
    <row r="289" spans="1:3" x14ac:dyDescent="0.3">
      <c r="A289" s="2">
        <v>37544</v>
      </c>
      <c r="B289">
        <f>5.75/(100)</f>
        <v>5.7500000000000002E-2</v>
      </c>
      <c r="C289">
        <f>5.93/(100)</f>
        <v>5.9299999999999999E-2</v>
      </c>
    </row>
    <row r="290" spans="1:3" x14ac:dyDescent="0.3">
      <c r="A290" s="2">
        <v>37545</v>
      </c>
      <c r="B290">
        <f>5.75/(100)</f>
        <v>5.7500000000000002E-2</v>
      </c>
      <c r="C290">
        <f>5.93/(100)</f>
        <v>5.9299999999999999E-2</v>
      </c>
    </row>
    <row r="291" spans="1:3" x14ac:dyDescent="0.3">
      <c r="A291" s="2">
        <v>37546</v>
      </c>
      <c r="B291">
        <f>5.75/(100)</f>
        <v>5.7500000000000002E-2</v>
      </c>
      <c r="C291">
        <f>5.93/(100)</f>
        <v>5.9299999999999999E-2</v>
      </c>
    </row>
    <row r="292" spans="1:3" x14ac:dyDescent="0.3">
      <c r="A292" s="2">
        <v>37547</v>
      </c>
      <c r="B292">
        <f>5.75/(100)</f>
        <v>5.7500000000000002E-2</v>
      </c>
      <c r="C292">
        <f>5.93/(100)</f>
        <v>5.9299999999999999E-2</v>
      </c>
    </row>
    <row r="293" spans="1:3" x14ac:dyDescent="0.3">
      <c r="A293" s="2">
        <v>37548</v>
      </c>
      <c r="B293">
        <f>5.75/(100)</f>
        <v>5.7500000000000002E-2</v>
      </c>
      <c r="C293">
        <f>5.93/(100)</f>
        <v>5.9299999999999999E-2</v>
      </c>
    </row>
    <row r="294" spans="1:3" x14ac:dyDescent="0.3">
      <c r="A294" s="2">
        <v>37549</v>
      </c>
      <c r="B294">
        <f>5.75/(100)</f>
        <v>5.7500000000000002E-2</v>
      </c>
      <c r="C294">
        <f>5.93/(100)</f>
        <v>5.9299999999999999E-2</v>
      </c>
    </row>
    <row r="295" spans="1:3" x14ac:dyDescent="0.3">
      <c r="A295" s="2">
        <v>37550</v>
      </c>
      <c r="B295">
        <f>5.75/(100)</f>
        <v>5.7500000000000002E-2</v>
      </c>
      <c r="C295">
        <f>5.93/(100)</f>
        <v>5.9299999999999999E-2</v>
      </c>
    </row>
    <row r="296" spans="1:3" x14ac:dyDescent="0.3">
      <c r="A296" s="2">
        <v>37551</v>
      </c>
      <c r="B296">
        <f>5.75/(100)</f>
        <v>5.7500000000000002E-2</v>
      </c>
      <c r="C296">
        <f>5.93/(100)</f>
        <v>5.9299999999999999E-2</v>
      </c>
    </row>
    <row r="297" spans="1:3" x14ac:dyDescent="0.3">
      <c r="A297" s="2">
        <v>37552</v>
      </c>
      <c r="B297">
        <f>5.75/(100)</f>
        <v>5.7500000000000002E-2</v>
      </c>
      <c r="C297">
        <f>5.93/(100)</f>
        <v>5.9299999999999999E-2</v>
      </c>
    </row>
    <row r="298" spans="1:3" x14ac:dyDescent="0.3">
      <c r="A298" s="2">
        <v>37553</v>
      </c>
      <c r="B298">
        <f>5.75/(100)</f>
        <v>5.7500000000000002E-2</v>
      </c>
      <c r="C298">
        <f>5.93/(100)</f>
        <v>5.9299999999999999E-2</v>
      </c>
    </row>
    <row r="299" spans="1:3" x14ac:dyDescent="0.3">
      <c r="A299" s="2">
        <v>37554</v>
      </c>
      <c r="B299">
        <f>5.75/(100)</f>
        <v>5.7500000000000002E-2</v>
      </c>
      <c r="C299">
        <f>5.93/(100)</f>
        <v>5.9299999999999999E-2</v>
      </c>
    </row>
    <row r="300" spans="1:3" x14ac:dyDescent="0.3">
      <c r="A300" s="2">
        <v>37555</v>
      </c>
      <c r="B300">
        <f>5.75/(100)</f>
        <v>5.7500000000000002E-2</v>
      </c>
      <c r="C300">
        <f>5.93/(100)</f>
        <v>5.9299999999999999E-2</v>
      </c>
    </row>
    <row r="301" spans="1:3" x14ac:dyDescent="0.3">
      <c r="A301" s="2">
        <v>37556</v>
      </c>
      <c r="B301">
        <f>5.75/(100)</f>
        <v>5.7500000000000002E-2</v>
      </c>
      <c r="C301">
        <f>5.93/(100)</f>
        <v>5.9299999999999999E-2</v>
      </c>
    </row>
    <row r="302" spans="1:3" x14ac:dyDescent="0.3">
      <c r="A302" s="2">
        <v>37557</v>
      </c>
      <c r="B302">
        <f>5.75/(100)</f>
        <v>5.7500000000000002E-2</v>
      </c>
      <c r="C302">
        <f>5.93/(100)</f>
        <v>5.9299999999999999E-2</v>
      </c>
    </row>
    <row r="303" spans="1:3" x14ac:dyDescent="0.3">
      <c r="A303" s="2">
        <v>37558</v>
      </c>
      <c r="B303">
        <f>5.75/(100)</f>
        <v>5.7500000000000002E-2</v>
      </c>
      <c r="C303">
        <f>5.93/(100)</f>
        <v>5.9299999999999999E-2</v>
      </c>
    </row>
    <row r="304" spans="1:3" x14ac:dyDescent="0.3">
      <c r="A304" s="2">
        <v>37559</v>
      </c>
      <c r="B304">
        <f>5.5/(100)</f>
        <v>5.5E-2</v>
      </c>
      <c r="C304">
        <f>5.93/(100)</f>
        <v>5.9299999999999999E-2</v>
      </c>
    </row>
    <row r="305" spans="1:3" x14ac:dyDescent="0.3">
      <c r="A305" s="2">
        <v>37560</v>
      </c>
      <c r="B305">
        <f>5.5/(100)</f>
        <v>5.5E-2</v>
      </c>
      <c r="C305">
        <f>5.93/(100)</f>
        <v>5.9299999999999999E-2</v>
      </c>
    </row>
    <row r="306" spans="1:3" x14ac:dyDescent="0.3">
      <c r="A306" s="2">
        <v>37561</v>
      </c>
      <c r="B306">
        <f>5.5/(100)</f>
        <v>5.5E-2</v>
      </c>
      <c r="C306">
        <f>5.93/(100)</f>
        <v>5.9299999999999999E-2</v>
      </c>
    </row>
    <row r="307" spans="1:3" x14ac:dyDescent="0.3">
      <c r="A307" s="2">
        <v>37562</v>
      </c>
      <c r="B307">
        <f>5.5/(100)</f>
        <v>5.5E-2</v>
      </c>
      <c r="C307">
        <f>5.93/(100)</f>
        <v>5.9299999999999999E-2</v>
      </c>
    </row>
    <row r="308" spans="1:3" x14ac:dyDescent="0.3">
      <c r="A308" s="2">
        <v>37563</v>
      </c>
      <c r="B308">
        <f>5.5/(100)</f>
        <v>5.5E-2</v>
      </c>
      <c r="C308">
        <f>5.93/(100)</f>
        <v>5.9299999999999999E-2</v>
      </c>
    </row>
    <row r="309" spans="1:3" x14ac:dyDescent="0.3">
      <c r="A309" s="2">
        <v>37564</v>
      </c>
      <c r="B309">
        <f>5.5/(100)</f>
        <v>5.5E-2</v>
      </c>
      <c r="C309">
        <f>5.93/(100)</f>
        <v>5.9299999999999999E-2</v>
      </c>
    </row>
    <row r="310" spans="1:3" x14ac:dyDescent="0.3">
      <c r="A310" s="2">
        <v>37565</v>
      </c>
      <c r="B310">
        <f>5.5/(100)</f>
        <v>5.5E-2</v>
      </c>
      <c r="C310">
        <f>5.93/(100)</f>
        <v>5.9299999999999999E-2</v>
      </c>
    </row>
    <row r="311" spans="1:3" x14ac:dyDescent="0.3">
      <c r="A311" s="2">
        <v>37566</v>
      </c>
      <c r="B311">
        <f>5.5/(100)</f>
        <v>5.5E-2</v>
      </c>
      <c r="C311">
        <f>5.93/(100)</f>
        <v>5.9299999999999999E-2</v>
      </c>
    </row>
    <row r="312" spans="1:3" x14ac:dyDescent="0.3">
      <c r="A312" s="2">
        <v>37567</v>
      </c>
      <c r="B312">
        <f>5.5/(100)</f>
        <v>5.5E-2</v>
      </c>
      <c r="C312">
        <f>5.93/(100)</f>
        <v>5.9299999999999999E-2</v>
      </c>
    </row>
    <row r="313" spans="1:3" x14ac:dyDescent="0.3">
      <c r="A313" s="2">
        <v>37568</v>
      </c>
      <c r="B313">
        <f>5.5/(100)</f>
        <v>5.5E-2</v>
      </c>
      <c r="C313">
        <f>5.93/(100)</f>
        <v>5.9299999999999999E-2</v>
      </c>
    </row>
    <row r="314" spans="1:3" x14ac:dyDescent="0.3">
      <c r="A314" s="2">
        <v>37569</v>
      </c>
      <c r="B314">
        <f>5.5/(100)</f>
        <v>5.5E-2</v>
      </c>
      <c r="C314">
        <f>5.93/(100)</f>
        <v>5.9299999999999999E-2</v>
      </c>
    </row>
    <row r="315" spans="1:3" x14ac:dyDescent="0.3">
      <c r="A315" s="2">
        <v>37570</v>
      </c>
      <c r="B315">
        <f>5.5/(100)</f>
        <v>5.5E-2</v>
      </c>
      <c r="C315">
        <f>5.93/(100)</f>
        <v>5.9299999999999999E-2</v>
      </c>
    </row>
    <row r="316" spans="1:3" x14ac:dyDescent="0.3">
      <c r="A316" s="2">
        <v>37571</v>
      </c>
      <c r="B316">
        <f>5.5/(100)</f>
        <v>5.5E-2</v>
      </c>
      <c r="C316">
        <f>5.93/(100)</f>
        <v>5.9299999999999999E-2</v>
      </c>
    </row>
    <row r="317" spans="1:3" x14ac:dyDescent="0.3">
      <c r="A317" s="2">
        <v>37572</v>
      </c>
      <c r="B317">
        <f>5.5/(100)</f>
        <v>5.5E-2</v>
      </c>
      <c r="C317">
        <f>5.93/(100)</f>
        <v>5.9299999999999999E-2</v>
      </c>
    </row>
    <row r="318" spans="1:3" x14ac:dyDescent="0.3">
      <c r="A318" s="2">
        <v>37573</v>
      </c>
      <c r="B318">
        <f>5.5/(100)</f>
        <v>5.5E-2</v>
      </c>
      <c r="C318">
        <f>5.93/(100)</f>
        <v>5.9299999999999999E-2</v>
      </c>
    </row>
    <row r="319" spans="1:3" x14ac:dyDescent="0.3">
      <c r="A319" s="2">
        <v>37574</v>
      </c>
      <c r="B319">
        <f>5.5/(100)</f>
        <v>5.5E-2</v>
      </c>
      <c r="C319">
        <f>5.93/(100)</f>
        <v>5.9299999999999999E-2</v>
      </c>
    </row>
    <row r="320" spans="1:3" x14ac:dyDescent="0.3">
      <c r="A320" s="2">
        <v>37575</v>
      </c>
      <c r="B320">
        <f>5.5/(100)</f>
        <v>5.5E-2</v>
      </c>
      <c r="C320">
        <f>5.93/(100)</f>
        <v>5.9299999999999999E-2</v>
      </c>
    </row>
    <row r="321" spans="1:3" x14ac:dyDescent="0.3">
      <c r="A321" s="2">
        <v>37576</v>
      </c>
      <c r="B321">
        <f>5.5/(100)</f>
        <v>5.5E-2</v>
      </c>
      <c r="C321">
        <f>5.93/(100)</f>
        <v>5.9299999999999999E-2</v>
      </c>
    </row>
    <row r="322" spans="1:3" x14ac:dyDescent="0.3">
      <c r="A322" s="2">
        <v>37577</v>
      </c>
      <c r="B322">
        <f>5.5/(100)</f>
        <v>5.5E-2</v>
      </c>
      <c r="C322">
        <f>5.93/(100)</f>
        <v>5.9299999999999999E-2</v>
      </c>
    </row>
    <row r="323" spans="1:3" x14ac:dyDescent="0.3">
      <c r="A323" s="2">
        <v>37578</v>
      </c>
      <c r="B323">
        <f>5.5/(100)</f>
        <v>5.5E-2</v>
      </c>
      <c r="C323">
        <f>5.93/(100)</f>
        <v>5.9299999999999999E-2</v>
      </c>
    </row>
    <row r="324" spans="1:3" x14ac:dyDescent="0.3">
      <c r="A324" s="2">
        <v>37579</v>
      </c>
      <c r="B324">
        <f>5.5/(100)</f>
        <v>5.5E-2</v>
      </c>
      <c r="C324">
        <f>5.93/(100)</f>
        <v>5.9299999999999999E-2</v>
      </c>
    </row>
    <row r="325" spans="1:3" x14ac:dyDescent="0.3">
      <c r="A325" s="2">
        <v>37580</v>
      </c>
      <c r="B325">
        <f>5.5/(100)</f>
        <v>5.5E-2</v>
      </c>
      <c r="C325">
        <f>5.93/(100)</f>
        <v>5.9299999999999999E-2</v>
      </c>
    </row>
    <row r="326" spans="1:3" x14ac:dyDescent="0.3">
      <c r="A326" s="2">
        <v>37581</v>
      </c>
      <c r="B326">
        <f>5.5/(100)</f>
        <v>5.5E-2</v>
      </c>
      <c r="C326">
        <f>5.93/(100)</f>
        <v>5.9299999999999999E-2</v>
      </c>
    </row>
    <row r="327" spans="1:3" x14ac:dyDescent="0.3">
      <c r="A327" s="2">
        <v>37582</v>
      </c>
      <c r="B327">
        <f>5.5/(100)</f>
        <v>5.5E-2</v>
      </c>
      <c r="C327">
        <f>5.93/(100)</f>
        <v>5.9299999999999999E-2</v>
      </c>
    </row>
    <row r="328" spans="1:3" x14ac:dyDescent="0.3">
      <c r="A328" s="2">
        <v>37583</v>
      </c>
      <c r="B328">
        <f>5.5/(100)</f>
        <v>5.5E-2</v>
      </c>
      <c r="C328">
        <f>5.93/(100)</f>
        <v>5.9299999999999999E-2</v>
      </c>
    </row>
    <row r="329" spans="1:3" x14ac:dyDescent="0.3">
      <c r="A329" s="2">
        <v>37584</v>
      </c>
      <c r="B329">
        <f>5.5/(100)</f>
        <v>5.5E-2</v>
      </c>
      <c r="C329">
        <f>5.93/(100)</f>
        <v>5.9299999999999999E-2</v>
      </c>
    </row>
    <row r="330" spans="1:3" x14ac:dyDescent="0.3">
      <c r="A330" s="2">
        <v>37585</v>
      </c>
      <c r="B330">
        <f>5.5/(100)</f>
        <v>5.5E-2</v>
      </c>
      <c r="C330">
        <f>5.93/(100)</f>
        <v>5.9299999999999999E-2</v>
      </c>
    </row>
    <row r="331" spans="1:3" x14ac:dyDescent="0.3">
      <c r="A331" s="2">
        <v>37586</v>
      </c>
      <c r="B331">
        <f>5.5/(100)</f>
        <v>5.5E-2</v>
      </c>
      <c r="C331">
        <f>5.93/(100)</f>
        <v>5.9299999999999999E-2</v>
      </c>
    </row>
    <row r="332" spans="1:3" x14ac:dyDescent="0.3">
      <c r="A332" s="2">
        <v>37587</v>
      </c>
      <c r="B332">
        <f>5.5/(100)</f>
        <v>5.5E-2</v>
      </c>
      <c r="C332">
        <f>5.93/(100)</f>
        <v>5.9299999999999999E-2</v>
      </c>
    </row>
    <row r="333" spans="1:3" x14ac:dyDescent="0.3">
      <c r="A333" s="2">
        <v>37588</v>
      </c>
      <c r="B333">
        <f>5.5/(100)</f>
        <v>5.5E-2</v>
      </c>
      <c r="C333">
        <f>5.93/(100)</f>
        <v>5.9299999999999999E-2</v>
      </c>
    </row>
    <row r="334" spans="1:3" x14ac:dyDescent="0.3">
      <c r="A334" s="2">
        <v>37589</v>
      </c>
      <c r="B334">
        <f>5.5/(100)</f>
        <v>5.5E-2</v>
      </c>
      <c r="C334">
        <f>5.93/(100)</f>
        <v>5.9299999999999999E-2</v>
      </c>
    </row>
    <row r="335" spans="1:3" x14ac:dyDescent="0.3">
      <c r="A335" s="2">
        <v>37590</v>
      </c>
      <c r="B335">
        <f>5.5/(100)</f>
        <v>5.5E-2</v>
      </c>
      <c r="C335">
        <f>5.93/(100)</f>
        <v>5.9299999999999999E-2</v>
      </c>
    </row>
    <row r="336" spans="1:3" x14ac:dyDescent="0.3">
      <c r="A336" s="2">
        <v>37591</v>
      </c>
      <c r="B336">
        <f>5.5/(100)</f>
        <v>5.5E-2</v>
      </c>
      <c r="C336">
        <f>5.93/(100)</f>
        <v>5.9299999999999999E-2</v>
      </c>
    </row>
    <row r="337" spans="1:3" x14ac:dyDescent="0.3">
      <c r="A337" s="2">
        <v>37592</v>
      </c>
      <c r="B337">
        <f>5.5/(100)</f>
        <v>5.5E-2</v>
      </c>
      <c r="C337">
        <f>5.93/(100)</f>
        <v>5.9299999999999999E-2</v>
      </c>
    </row>
    <row r="338" spans="1:3" x14ac:dyDescent="0.3">
      <c r="A338" s="2">
        <v>37593</v>
      </c>
      <c r="B338">
        <f>5.5/(100)</f>
        <v>5.5E-2</v>
      </c>
      <c r="C338">
        <f>5.93/(100)</f>
        <v>5.9299999999999999E-2</v>
      </c>
    </row>
    <row r="339" spans="1:3" x14ac:dyDescent="0.3">
      <c r="A339" s="2">
        <v>37594</v>
      </c>
      <c r="B339">
        <f>5.5/(100)</f>
        <v>5.5E-2</v>
      </c>
      <c r="C339">
        <f>5.93/(100)</f>
        <v>5.9299999999999999E-2</v>
      </c>
    </row>
    <row r="340" spans="1:3" x14ac:dyDescent="0.3">
      <c r="A340" s="2">
        <v>37595</v>
      </c>
      <c r="B340">
        <f>5.5/(100)</f>
        <v>5.5E-2</v>
      </c>
      <c r="C340">
        <f>5.93/(100)</f>
        <v>5.9299999999999999E-2</v>
      </c>
    </row>
    <row r="341" spans="1:3" x14ac:dyDescent="0.3">
      <c r="A341" s="2">
        <v>37596</v>
      </c>
      <c r="B341">
        <f>5.5/(100)</f>
        <v>5.5E-2</v>
      </c>
      <c r="C341">
        <f>5.93/(100)</f>
        <v>5.9299999999999999E-2</v>
      </c>
    </row>
    <row r="342" spans="1:3" x14ac:dyDescent="0.3">
      <c r="A342" s="2">
        <v>37597</v>
      </c>
      <c r="B342">
        <f>5.5/(100)</f>
        <v>5.5E-2</v>
      </c>
      <c r="C342">
        <f>5.93/(100)</f>
        <v>5.9299999999999999E-2</v>
      </c>
    </row>
    <row r="343" spans="1:3" x14ac:dyDescent="0.3">
      <c r="A343" s="2">
        <v>37598</v>
      </c>
      <c r="B343">
        <f>5.5/(100)</f>
        <v>5.5E-2</v>
      </c>
      <c r="C343">
        <f>5.93/(100)</f>
        <v>5.9299999999999999E-2</v>
      </c>
    </row>
    <row r="344" spans="1:3" x14ac:dyDescent="0.3">
      <c r="A344" s="2">
        <v>37599</v>
      </c>
      <c r="B344">
        <f>5.5/(100)</f>
        <v>5.5E-2</v>
      </c>
      <c r="C344">
        <f>5.93/(100)</f>
        <v>5.9299999999999999E-2</v>
      </c>
    </row>
    <row r="345" spans="1:3" x14ac:dyDescent="0.3">
      <c r="A345" s="2">
        <v>37600</v>
      </c>
      <c r="B345">
        <f>5.5/(100)</f>
        <v>5.5E-2</v>
      </c>
      <c r="C345">
        <f>5.93/(100)</f>
        <v>5.9299999999999999E-2</v>
      </c>
    </row>
    <row r="346" spans="1:3" x14ac:dyDescent="0.3">
      <c r="A346" s="2">
        <v>37601</v>
      </c>
      <c r="B346">
        <f>5.5/(100)</f>
        <v>5.5E-2</v>
      </c>
      <c r="C346">
        <f>5.93/(100)</f>
        <v>5.9299999999999999E-2</v>
      </c>
    </row>
    <row r="347" spans="1:3" x14ac:dyDescent="0.3">
      <c r="A347" s="2">
        <v>37602</v>
      </c>
      <c r="B347">
        <f>5.5/(100)</f>
        <v>5.5E-2</v>
      </c>
      <c r="C347">
        <f>5.93/(100)</f>
        <v>5.9299999999999999E-2</v>
      </c>
    </row>
    <row r="348" spans="1:3" x14ac:dyDescent="0.3">
      <c r="A348" s="2">
        <v>37603</v>
      </c>
      <c r="B348">
        <f>5.5/(100)</f>
        <v>5.5E-2</v>
      </c>
      <c r="C348">
        <f>5.93/(100)</f>
        <v>5.9299999999999999E-2</v>
      </c>
    </row>
    <row r="349" spans="1:3" x14ac:dyDescent="0.3">
      <c r="A349" s="2">
        <v>37604</v>
      </c>
      <c r="B349">
        <f>5.5/(100)</f>
        <v>5.5E-2</v>
      </c>
      <c r="C349">
        <f>5.93/(100)</f>
        <v>5.9299999999999999E-2</v>
      </c>
    </row>
    <row r="350" spans="1:3" x14ac:dyDescent="0.3">
      <c r="A350" s="2">
        <v>37605</v>
      </c>
      <c r="B350">
        <f>5.5/(100)</f>
        <v>5.5E-2</v>
      </c>
      <c r="C350">
        <f>5.93/(100)</f>
        <v>5.9299999999999999E-2</v>
      </c>
    </row>
    <row r="351" spans="1:3" x14ac:dyDescent="0.3">
      <c r="A351" s="2">
        <v>37606</v>
      </c>
      <c r="B351">
        <f>5.5/(100)</f>
        <v>5.5E-2</v>
      </c>
      <c r="C351">
        <f>5.93/(100)</f>
        <v>5.9299999999999999E-2</v>
      </c>
    </row>
    <row r="352" spans="1:3" x14ac:dyDescent="0.3">
      <c r="A352" s="2">
        <v>37607</v>
      </c>
      <c r="B352">
        <f>5.5/(100)</f>
        <v>5.5E-2</v>
      </c>
      <c r="C352">
        <f>5.93/(100)</f>
        <v>5.9299999999999999E-2</v>
      </c>
    </row>
    <row r="353" spans="1:3" x14ac:dyDescent="0.3">
      <c r="A353" s="2">
        <v>37608</v>
      </c>
      <c r="B353">
        <f>5.5/(100)</f>
        <v>5.5E-2</v>
      </c>
      <c r="C353">
        <f>5.93/(100)</f>
        <v>5.9299999999999999E-2</v>
      </c>
    </row>
    <row r="354" spans="1:3" x14ac:dyDescent="0.3">
      <c r="A354" s="2">
        <v>37609</v>
      </c>
      <c r="B354">
        <f>5.5/(100)</f>
        <v>5.5E-2</v>
      </c>
      <c r="C354">
        <f>5.93/(100)</f>
        <v>5.9299999999999999E-2</v>
      </c>
    </row>
    <row r="355" spans="1:3" x14ac:dyDescent="0.3">
      <c r="A355" s="2">
        <v>37610</v>
      </c>
      <c r="B355">
        <f>5.5/(100)</f>
        <v>5.5E-2</v>
      </c>
      <c r="C355">
        <f>5.93/(100)</f>
        <v>5.9299999999999999E-2</v>
      </c>
    </row>
    <row r="356" spans="1:3" x14ac:dyDescent="0.3">
      <c r="A356" s="2">
        <v>37611</v>
      </c>
      <c r="B356">
        <f>5.5/(100)</f>
        <v>5.5E-2</v>
      </c>
      <c r="C356">
        <f>5.93/(100)</f>
        <v>5.9299999999999999E-2</v>
      </c>
    </row>
    <row r="357" spans="1:3" x14ac:dyDescent="0.3">
      <c r="A357" s="2">
        <v>37612</v>
      </c>
      <c r="B357">
        <f>5.5/(100)</f>
        <v>5.5E-2</v>
      </c>
      <c r="C357">
        <f>5.93/(100)</f>
        <v>5.9299999999999999E-2</v>
      </c>
    </row>
    <row r="358" spans="1:3" x14ac:dyDescent="0.3">
      <c r="A358" s="2">
        <v>37613</v>
      </c>
      <c r="B358">
        <f>5.5/(100)</f>
        <v>5.5E-2</v>
      </c>
      <c r="C358">
        <f>5.93/(100)</f>
        <v>5.9299999999999999E-2</v>
      </c>
    </row>
    <row r="359" spans="1:3" x14ac:dyDescent="0.3">
      <c r="A359" s="2">
        <v>37614</v>
      </c>
      <c r="B359">
        <f>5.5/(100)</f>
        <v>5.5E-2</v>
      </c>
      <c r="C359">
        <f>5.93/(100)</f>
        <v>5.9299999999999999E-2</v>
      </c>
    </row>
    <row r="360" spans="1:3" x14ac:dyDescent="0.3">
      <c r="A360" s="2">
        <v>37615</v>
      </c>
      <c r="B360">
        <f>5.5/(100)</f>
        <v>5.5E-2</v>
      </c>
      <c r="C360">
        <f>5.93/(100)</f>
        <v>5.9299999999999999E-2</v>
      </c>
    </row>
    <row r="361" spans="1:3" x14ac:dyDescent="0.3">
      <c r="A361" s="2">
        <v>37616</v>
      </c>
      <c r="B361">
        <f>5.5/(100)</f>
        <v>5.5E-2</v>
      </c>
      <c r="C361">
        <f>5.93/(100)</f>
        <v>5.9299999999999999E-2</v>
      </c>
    </row>
    <row r="362" spans="1:3" x14ac:dyDescent="0.3">
      <c r="A362" s="2">
        <v>37617</v>
      </c>
      <c r="B362">
        <f>5.5/(100)</f>
        <v>5.5E-2</v>
      </c>
      <c r="C362">
        <f>5.93/(100)</f>
        <v>5.9299999999999999E-2</v>
      </c>
    </row>
    <row r="363" spans="1:3" x14ac:dyDescent="0.3">
      <c r="A363" s="2">
        <v>37618</v>
      </c>
      <c r="B363">
        <f>5.5/(100)</f>
        <v>5.5E-2</v>
      </c>
      <c r="C363">
        <f>5.93/(100)</f>
        <v>5.9299999999999999E-2</v>
      </c>
    </row>
    <row r="364" spans="1:3" x14ac:dyDescent="0.3">
      <c r="A364" s="2">
        <v>37619</v>
      </c>
      <c r="B364">
        <f>5.5/(100)</f>
        <v>5.5E-2</v>
      </c>
      <c r="C364">
        <f>5.93/(100)</f>
        <v>5.9299999999999999E-2</v>
      </c>
    </row>
    <row r="365" spans="1:3" x14ac:dyDescent="0.3">
      <c r="A365" s="2">
        <v>37620</v>
      </c>
      <c r="B365">
        <f>5.5/(100)</f>
        <v>5.5E-2</v>
      </c>
      <c r="C365">
        <f>5.93/(100)</f>
        <v>5.9299999999999999E-2</v>
      </c>
    </row>
    <row r="366" spans="1:3" x14ac:dyDescent="0.3">
      <c r="A366" s="2">
        <v>37621</v>
      </c>
      <c r="B366">
        <f>5.5/(100)</f>
        <v>5.5E-2</v>
      </c>
      <c r="C366">
        <f>5.93/(100)</f>
        <v>5.9299999999999999E-2</v>
      </c>
    </row>
    <row r="367" spans="1:3" x14ac:dyDescent="0.3">
      <c r="A367" s="2">
        <v>37622</v>
      </c>
      <c r="B367">
        <f>5.5/(100)</f>
        <v>5.5E-2</v>
      </c>
      <c r="C367">
        <f>5.93/(100)</f>
        <v>5.9299999999999999E-2</v>
      </c>
    </row>
    <row r="368" spans="1:3" x14ac:dyDescent="0.3">
      <c r="A368" s="2">
        <v>37623</v>
      </c>
      <c r="B368">
        <f>5.5/(100)</f>
        <v>5.5E-2</v>
      </c>
      <c r="C368">
        <f>5.93/(100)</f>
        <v>5.9299999999999999E-2</v>
      </c>
    </row>
    <row r="369" spans="1:3" x14ac:dyDescent="0.3">
      <c r="A369" s="2">
        <v>37624</v>
      </c>
      <c r="B369">
        <f>5.5/(100)</f>
        <v>5.5E-2</v>
      </c>
      <c r="C369">
        <f>5.93/(100)</f>
        <v>5.9299999999999999E-2</v>
      </c>
    </row>
    <row r="370" spans="1:3" x14ac:dyDescent="0.3">
      <c r="A370" s="2">
        <v>37625</v>
      </c>
      <c r="B370">
        <f>5.5/(100)</f>
        <v>5.5E-2</v>
      </c>
      <c r="C370">
        <f>5.93/(100)</f>
        <v>5.9299999999999999E-2</v>
      </c>
    </row>
    <row r="371" spans="1:3" x14ac:dyDescent="0.3">
      <c r="A371" s="2">
        <v>37626</v>
      </c>
      <c r="B371">
        <f>5.5/(100)</f>
        <v>5.5E-2</v>
      </c>
      <c r="C371">
        <f>5.93/(100)</f>
        <v>5.9299999999999999E-2</v>
      </c>
    </row>
    <row r="372" spans="1:3" x14ac:dyDescent="0.3">
      <c r="A372" s="2">
        <v>37627</v>
      </c>
      <c r="B372">
        <f>5.5/(100)</f>
        <v>5.5E-2</v>
      </c>
      <c r="C372">
        <f>5.93/(100)</f>
        <v>5.9299999999999999E-2</v>
      </c>
    </row>
    <row r="373" spans="1:3" x14ac:dyDescent="0.3">
      <c r="A373" s="2">
        <v>37628</v>
      </c>
      <c r="B373">
        <f>5.5/(100)</f>
        <v>5.5E-2</v>
      </c>
      <c r="C373">
        <f>5.93/(100)</f>
        <v>5.9299999999999999E-2</v>
      </c>
    </row>
    <row r="374" spans="1:3" x14ac:dyDescent="0.3">
      <c r="A374" s="2">
        <v>37629</v>
      </c>
      <c r="B374">
        <f>5.5/(100)</f>
        <v>5.5E-2</v>
      </c>
      <c r="C374">
        <f>5.93/(100)</f>
        <v>5.9299999999999999E-2</v>
      </c>
    </row>
    <row r="375" spans="1:3" x14ac:dyDescent="0.3">
      <c r="A375" s="2">
        <v>37630</v>
      </c>
      <c r="B375">
        <f>5.5/(100)</f>
        <v>5.5E-2</v>
      </c>
      <c r="C375">
        <f>5.93/(100)</f>
        <v>5.9299999999999999E-2</v>
      </c>
    </row>
    <row r="376" spans="1:3" x14ac:dyDescent="0.3">
      <c r="A376" s="2">
        <v>37631</v>
      </c>
      <c r="B376">
        <f>5.5/(100)</f>
        <v>5.5E-2</v>
      </c>
      <c r="C376">
        <f>5.93/(100)</f>
        <v>5.9299999999999999E-2</v>
      </c>
    </row>
    <row r="377" spans="1:3" x14ac:dyDescent="0.3">
      <c r="A377" s="2">
        <v>37632</v>
      </c>
      <c r="B377">
        <f>5.5/(100)</f>
        <v>5.5E-2</v>
      </c>
      <c r="C377">
        <f>5.93/(100)</f>
        <v>5.9299999999999999E-2</v>
      </c>
    </row>
    <row r="378" spans="1:3" x14ac:dyDescent="0.3">
      <c r="A378" s="2">
        <v>37633</v>
      </c>
      <c r="B378">
        <f>5.5/(100)</f>
        <v>5.5E-2</v>
      </c>
      <c r="C378">
        <f>5.93/(100)</f>
        <v>5.9299999999999999E-2</v>
      </c>
    </row>
    <row r="379" spans="1:3" x14ac:dyDescent="0.3">
      <c r="A379" s="2">
        <v>37634</v>
      </c>
      <c r="B379">
        <f>5.5/(100)</f>
        <v>5.5E-2</v>
      </c>
      <c r="C379">
        <f>5.93/(100)</f>
        <v>5.9299999999999999E-2</v>
      </c>
    </row>
    <row r="380" spans="1:3" x14ac:dyDescent="0.3">
      <c r="A380" s="2">
        <v>37635</v>
      </c>
      <c r="B380">
        <f>5.5/(100)</f>
        <v>5.5E-2</v>
      </c>
      <c r="C380">
        <f>5.93/(100)</f>
        <v>5.9299999999999999E-2</v>
      </c>
    </row>
    <row r="381" spans="1:3" x14ac:dyDescent="0.3">
      <c r="A381" s="2">
        <v>37636</v>
      </c>
      <c r="B381">
        <f>5.5/(100)</f>
        <v>5.5E-2</v>
      </c>
      <c r="C381">
        <f>5.93/(100)</f>
        <v>5.9299999999999999E-2</v>
      </c>
    </row>
    <row r="382" spans="1:3" x14ac:dyDescent="0.3">
      <c r="A382" s="2">
        <v>37637</v>
      </c>
      <c r="B382">
        <f>5.5/(100)</f>
        <v>5.5E-2</v>
      </c>
      <c r="C382">
        <f>5.93/(100)</f>
        <v>5.9299999999999999E-2</v>
      </c>
    </row>
    <row r="383" spans="1:3" x14ac:dyDescent="0.3">
      <c r="A383" s="2">
        <v>37638</v>
      </c>
      <c r="B383">
        <f>5.5/(100)</f>
        <v>5.5E-2</v>
      </c>
      <c r="C383">
        <f>5.93/(100)</f>
        <v>5.9299999999999999E-2</v>
      </c>
    </row>
    <row r="384" spans="1:3" x14ac:dyDescent="0.3">
      <c r="A384" s="2">
        <v>37639</v>
      </c>
      <c r="B384">
        <f>5.5/(100)</f>
        <v>5.5E-2</v>
      </c>
      <c r="C384">
        <f>5.93/(100)</f>
        <v>5.9299999999999999E-2</v>
      </c>
    </row>
    <row r="385" spans="1:3" x14ac:dyDescent="0.3">
      <c r="A385" s="2">
        <v>37640</v>
      </c>
      <c r="B385">
        <f>5.5/(100)</f>
        <v>5.5E-2</v>
      </c>
      <c r="C385">
        <f>5.93/(100)</f>
        <v>5.9299999999999999E-2</v>
      </c>
    </row>
    <row r="386" spans="1:3" x14ac:dyDescent="0.3">
      <c r="A386" s="2">
        <v>37641</v>
      </c>
      <c r="B386">
        <f>5.5/(100)</f>
        <v>5.5E-2</v>
      </c>
      <c r="C386">
        <f>5.93/(100)</f>
        <v>5.9299999999999999E-2</v>
      </c>
    </row>
    <row r="387" spans="1:3" x14ac:dyDescent="0.3">
      <c r="A387" s="2">
        <v>37642</v>
      </c>
      <c r="B387">
        <f>5.5/(100)</f>
        <v>5.5E-2</v>
      </c>
      <c r="C387">
        <f>5.93/(100)</f>
        <v>5.9299999999999999E-2</v>
      </c>
    </row>
    <row r="388" spans="1:3" x14ac:dyDescent="0.3">
      <c r="A388" s="2">
        <v>37643</v>
      </c>
      <c r="B388">
        <f>5.5/(100)</f>
        <v>5.5E-2</v>
      </c>
      <c r="C388">
        <f>5.93/(100)</f>
        <v>5.9299999999999999E-2</v>
      </c>
    </row>
    <row r="389" spans="1:3" x14ac:dyDescent="0.3">
      <c r="A389" s="2">
        <v>37644</v>
      </c>
      <c r="B389">
        <f>5.5/(100)</f>
        <v>5.5E-2</v>
      </c>
      <c r="C389">
        <f>5.52/(100)</f>
        <v>5.5199999999999999E-2</v>
      </c>
    </row>
    <row r="390" spans="1:3" x14ac:dyDescent="0.3">
      <c r="A390" s="2">
        <v>37645</v>
      </c>
      <c r="B390">
        <f>5.5/(100)</f>
        <v>5.5E-2</v>
      </c>
      <c r="C390">
        <f>5.53/(100)</f>
        <v>5.5300000000000002E-2</v>
      </c>
    </row>
    <row r="391" spans="1:3" x14ac:dyDescent="0.3">
      <c r="A391" s="2">
        <v>37646</v>
      </c>
      <c r="B391">
        <f>5.5/(100)</f>
        <v>5.5E-2</v>
      </c>
      <c r="C391">
        <f>5.547/(100)</f>
        <v>5.5469999999999998E-2</v>
      </c>
    </row>
    <row r="392" spans="1:3" x14ac:dyDescent="0.3">
      <c r="A392" s="2">
        <v>37647</v>
      </c>
      <c r="B392">
        <f>5.5/(100)</f>
        <v>5.5E-2</v>
      </c>
      <c r="C392">
        <f>5.547/(100)</f>
        <v>5.5469999999999998E-2</v>
      </c>
    </row>
    <row r="393" spans="1:3" x14ac:dyDescent="0.3">
      <c r="A393" s="2">
        <v>37648</v>
      </c>
      <c r="B393">
        <f>5.5/(100)</f>
        <v>5.5E-2</v>
      </c>
      <c r="C393">
        <f>5.53/(100)</f>
        <v>5.5300000000000002E-2</v>
      </c>
    </row>
    <row r="394" spans="1:3" x14ac:dyDescent="0.3">
      <c r="A394" s="2">
        <v>37649</v>
      </c>
      <c r="B394">
        <f>5.5/(100)</f>
        <v>5.5E-2</v>
      </c>
      <c r="C394">
        <f>5.57/(100)</f>
        <v>5.57E-2</v>
      </c>
    </row>
    <row r="395" spans="1:3" x14ac:dyDescent="0.3">
      <c r="A395" s="2">
        <v>37650</v>
      </c>
      <c r="B395">
        <f>5.5/(100)</f>
        <v>5.5E-2</v>
      </c>
      <c r="C395">
        <f>5.56/(100)</f>
        <v>5.5599999999999997E-2</v>
      </c>
    </row>
    <row r="396" spans="1:3" x14ac:dyDescent="0.3">
      <c r="A396" s="2">
        <v>37651</v>
      </c>
      <c r="B396">
        <f>5.5/(100)</f>
        <v>5.5E-2</v>
      </c>
      <c r="C396">
        <f>5.63/(100)</f>
        <v>5.6299999999999996E-2</v>
      </c>
    </row>
    <row r="397" spans="1:3" x14ac:dyDescent="0.3">
      <c r="A397" s="2">
        <v>37652</v>
      </c>
      <c r="B397">
        <f>5.5/(100)</f>
        <v>5.5E-2</v>
      </c>
      <c r="C397">
        <f>5.82/(100)</f>
        <v>5.8200000000000002E-2</v>
      </c>
    </row>
    <row r="398" spans="1:3" x14ac:dyDescent="0.3">
      <c r="A398" s="2">
        <v>37653</v>
      </c>
      <c r="B398">
        <f>5.5/(100)</f>
        <v>5.5E-2</v>
      </c>
      <c r="C398">
        <f>5.747/(100)</f>
        <v>5.747E-2</v>
      </c>
    </row>
    <row r="399" spans="1:3" x14ac:dyDescent="0.3">
      <c r="A399" s="2">
        <v>37654</v>
      </c>
      <c r="B399">
        <f>5.5/(100)</f>
        <v>5.5E-2</v>
      </c>
      <c r="C399">
        <f>5.747/(100)</f>
        <v>5.747E-2</v>
      </c>
    </row>
    <row r="400" spans="1:3" x14ac:dyDescent="0.3">
      <c r="A400" s="2">
        <v>37655</v>
      </c>
      <c r="B400">
        <f>5.5/(100)</f>
        <v>5.5E-2</v>
      </c>
      <c r="C400">
        <f>5.71/(100)</f>
        <v>5.7099999999999998E-2</v>
      </c>
    </row>
    <row r="401" spans="1:3" x14ac:dyDescent="0.3">
      <c r="A401" s="2">
        <v>37656</v>
      </c>
      <c r="B401">
        <f>5.5/(100)</f>
        <v>5.5E-2</v>
      </c>
      <c r="C401">
        <f>5.65/(100)</f>
        <v>5.6500000000000002E-2</v>
      </c>
    </row>
    <row r="402" spans="1:3" x14ac:dyDescent="0.3">
      <c r="A402" s="2">
        <v>37657</v>
      </c>
      <c r="B402">
        <f>5.5/(100)</f>
        <v>5.5E-2</v>
      </c>
      <c r="C402">
        <f>5.68/(100)</f>
        <v>5.6799999999999996E-2</v>
      </c>
    </row>
    <row r="403" spans="1:3" x14ac:dyDescent="0.3">
      <c r="A403" s="2">
        <v>37658</v>
      </c>
      <c r="B403">
        <f>5.5/(100)</f>
        <v>5.5E-2</v>
      </c>
      <c r="C403">
        <f>5.66/(100)</f>
        <v>5.6600000000000004E-2</v>
      </c>
    </row>
    <row r="404" spans="1:3" x14ac:dyDescent="0.3">
      <c r="A404" s="2">
        <v>37659</v>
      </c>
      <c r="B404">
        <f>5.5/(100)</f>
        <v>5.5E-2</v>
      </c>
      <c r="C404">
        <f>5.73/(100)</f>
        <v>5.7300000000000004E-2</v>
      </c>
    </row>
    <row r="405" spans="1:3" x14ac:dyDescent="0.3">
      <c r="A405" s="2">
        <v>37660</v>
      </c>
      <c r="B405">
        <f>5.5/(100)</f>
        <v>5.5E-2</v>
      </c>
      <c r="C405">
        <f>5.74/(100)</f>
        <v>5.74E-2</v>
      </c>
    </row>
    <row r="406" spans="1:3" x14ac:dyDescent="0.3">
      <c r="A406" s="2">
        <v>37661</v>
      </c>
      <c r="B406">
        <f>5.5/(100)</f>
        <v>5.5E-2</v>
      </c>
      <c r="C406">
        <f>5.74/(100)</f>
        <v>5.74E-2</v>
      </c>
    </row>
    <row r="407" spans="1:3" x14ac:dyDescent="0.3">
      <c r="A407" s="2">
        <v>37662</v>
      </c>
      <c r="B407">
        <f>5.5/(100)</f>
        <v>5.5E-2</v>
      </c>
      <c r="C407">
        <f>5.76/(100)</f>
        <v>5.7599999999999998E-2</v>
      </c>
    </row>
    <row r="408" spans="1:3" x14ac:dyDescent="0.3">
      <c r="A408" s="2">
        <v>37663</v>
      </c>
      <c r="B408">
        <f>5.5/(100)</f>
        <v>5.5E-2</v>
      </c>
      <c r="C408">
        <f>5.8/(100)</f>
        <v>5.7999999999999996E-2</v>
      </c>
    </row>
    <row r="409" spans="1:3" x14ac:dyDescent="0.3">
      <c r="A409" s="2">
        <v>37664</v>
      </c>
      <c r="B409">
        <f>5.5/(100)</f>
        <v>5.5E-2</v>
      </c>
      <c r="C409">
        <f>5.91/(100)</f>
        <v>5.91E-2</v>
      </c>
    </row>
    <row r="410" spans="1:3" x14ac:dyDescent="0.3">
      <c r="A410" s="2">
        <v>37665</v>
      </c>
      <c r="B410">
        <f>5.5/(100)</f>
        <v>5.5E-2</v>
      </c>
      <c r="C410">
        <f>5.91/(100)</f>
        <v>5.91E-2</v>
      </c>
    </row>
    <row r="411" spans="1:3" x14ac:dyDescent="0.3">
      <c r="A411" s="2">
        <v>37666</v>
      </c>
      <c r="B411">
        <f>5.5/(100)</f>
        <v>5.5E-2</v>
      </c>
      <c r="C411">
        <f>6.13/(100)</f>
        <v>6.13E-2</v>
      </c>
    </row>
    <row r="412" spans="1:3" x14ac:dyDescent="0.3">
      <c r="A412" s="2">
        <v>37667</v>
      </c>
      <c r="B412">
        <f>5.5/(100)</f>
        <v>5.5E-2</v>
      </c>
      <c r="C412">
        <f>5.941/(100)</f>
        <v>5.9409999999999998E-2</v>
      </c>
    </row>
    <row r="413" spans="1:3" x14ac:dyDescent="0.3">
      <c r="A413" s="2">
        <v>37668</v>
      </c>
      <c r="B413">
        <f>5.5/(100)</f>
        <v>5.5E-2</v>
      </c>
      <c r="C413">
        <f>5.941/(100)</f>
        <v>5.9409999999999998E-2</v>
      </c>
    </row>
    <row r="414" spans="1:3" x14ac:dyDescent="0.3">
      <c r="A414" s="2">
        <v>37669</v>
      </c>
      <c r="B414">
        <f>5.5/(100)</f>
        <v>5.5E-2</v>
      </c>
      <c r="C414">
        <f>5.88/(100)</f>
        <v>5.8799999999999998E-2</v>
      </c>
    </row>
    <row r="415" spans="1:3" x14ac:dyDescent="0.3">
      <c r="A415" s="2">
        <v>37670</v>
      </c>
      <c r="B415">
        <f>5.5/(100)</f>
        <v>5.5E-2</v>
      </c>
      <c r="C415">
        <f>5.8/(100)</f>
        <v>5.7999999999999996E-2</v>
      </c>
    </row>
    <row r="416" spans="1:3" x14ac:dyDescent="0.3">
      <c r="A416" s="2">
        <v>37671</v>
      </c>
      <c r="B416">
        <f>5.5/(100)</f>
        <v>5.5E-2</v>
      </c>
      <c r="C416">
        <f>5.99/(100)</f>
        <v>5.9900000000000002E-2</v>
      </c>
    </row>
    <row r="417" spans="1:3" x14ac:dyDescent="0.3">
      <c r="A417" s="2">
        <v>37672</v>
      </c>
      <c r="B417">
        <f>5.5/(100)</f>
        <v>5.5E-2</v>
      </c>
      <c r="C417">
        <f>6.01/(100)</f>
        <v>6.0100000000000001E-2</v>
      </c>
    </row>
    <row r="418" spans="1:3" x14ac:dyDescent="0.3">
      <c r="A418" s="2">
        <v>37673</v>
      </c>
      <c r="B418">
        <f>5.5/(100)</f>
        <v>5.5E-2</v>
      </c>
      <c r="C418">
        <f>6.01/(100)</f>
        <v>6.0100000000000001E-2</v>
      </c>
    </row>
    <row r="419" spans="1:3" x14ac:dyDescent="0.3">
      <c r="A419" s="2">
        <v>37674</v>
      </c>
      <c r="B419">
        <f>5.5/(100)</f>
        <v>5.5E-2</v>
      </c>
      <c r="C419">
        <f>6.1/(100)</f>
        <v>6.0999999999999999E-2</v>
      </c>
    </row>
    <row r="420" spans="1:3" x14ac:dyDescent="0.3">
      <c r="A420" s="2">
        <v>37675</v>
      </c>
      <c r="B420">
        <f>5.5/(100)</f>
        <v>5.5E-2</v>
      </c>
      <c r="C420">
        <f>6.1/(100)</f>
        <v>6.0999999999999999E-2</v>
      </c>
    </row>
    <row r="421" spans="1:3" x14ac:dyDescent="0.3">
      <c r="A421" s="2">
        <v>37676</v>
      </c>
      <c r="B421">
        <f>5.5/(100)</f>
        <v>5.5E-2</v>
      </c>
      <c r="C421">
        <f>6.12/(100)</f>
        <v>6.1200000000000004E-2</v>
      </c>
    </row>
    <row r="422" spans="1:3" x14ac:dyDescent="0.3">
      <c r="A422" s="2">
        <v>37677</v>
      </c>
      <c r="B422">
        <f>5.5/(100)</f>
        <v>5.5E-2</v>
      </c>
      <c r="C422">
        <f>6.07/(100)</f>
        <v>6.0700000000000004E-2</v>
      </c>
    </row>
    <row r="423" spans="1:3" x14ac:dyDescent="0.3">
      <c r="A423" s="2">
        <v>37678</v>
      </c>
      <c r="B423">
        <f>5.5/(100)</f>
        <v>5.5E-2</v>
      </c>
      <c r="C423">
        <f>6.11/(100)</f>
        <v>6.1100000000000002E-2</v>
      </c>
    </row>
    <row r="424" spans="1:3" x14ac:dyDescent="0.3">
      <c r="A424" s="2">
        <v>37679</v>
      </c>
      <c r="B424">
        <f>5.5/(100)</f>
        <v>5.5E-2</v>
      </c>
      <c r="C424">
        <f>6.05/(100)</f>
        <v>6.0499999999999998E-2</v>
      </c>
    </row>
    <row r="425" spans="1:3" x14ac:dyDescent="0.3">
      <c r="A425" s="2">
        <v>37680</v>
      </c>
      <c r="B425">
        <f>5.5/(100)</f>
        <v>5.5E-2</v>
      </c>
      <c r="C425">
        <f>5.97/(100)</f>
        <v>5.9699999999999996E-2</v>
      </c>
    </row>
    <row r="426" spans="1:3" x14ac:dyDescent="0.3">
      <c r="A426" s="2">
        <v>37681</v>
      </c>
      <c r="B426">
        <f>5.5/(100)</f>
        <v>5.5E-2</v>
      </c>
      <c r="C426">
        <f>5.97/(100)</f>
        <v>5.9699999999999996E-2</v>
      </c>
    </row>
    <row r="427" spans="1:3" x14ac:dyDescent="0.3">
      <c r="A427" s="2">
        <v>37682</v>
      </c>
      <c r="B427">
        <f>5.5/(100)</f>
        <v>5.5E-2</v>
      </c>
      <c r="C427">
        <f>5.97/(100)</f>
        <v>5.9699999999999996E-2</v>
      </c>
    </row>
    <row r="428" spans="1:3" x14ac:dyDescent="0.3">
      <c r="A428" s="2">
        <v>37683</v>
      </c>
      <c r="B428">
        <f>5/(100)</f>
        <v>0.05</v>
      </c>
      <c r="C428">
        <f>5.55/(100)</f>
        <v>5.5500000000000001E-2</v>
      </c>
    </row>
    <row r="429" spans="1:3" x14ac:dyDescent="0.3">
      <c r="A429" s="2">
        <v>37684</v>
      </c>
      <c r="B429">
        <f>5/(100)</f>
        <v>0.05</v>
      </c>
      <c r="C429">
        <f>5.56/(100)</f>
        <v>5.5599999999999997E-2</v>
      </c>
    </row>
    <row r="430" spans="1:3" x14ac:dyDescent="0.3">
      <c r="A430" s="2">
        <v>37685</v>
      </c>
      <c r="B430">
        <f>5/(100)</f>
        <v>0.05</v>
      </c>
      <c r="C430">
        <f>5.53/(100)</f>
        <v>5.5300000000000002E-2</v>
      </c>
    </row>
    <row r="431" spans="1:3" x14ac:dyDescent="0.3">
      <c r="A431" s="2">
        <v>37686</v>
      </c>
      <c r="B431">
        <f>5/(100)</f>
        <v>0.05</v>
      </c>
      <c r="C431">
        <f>5.62/(100)</f>
        <v>5.62E-2</v>
      </c>
    </row>
    <row r="432" spans="1:3" x14ac:dyDescent="0.3">
      <c r="A432" s="2">
        <v>37687</v>
      </c>
      <c r="B432">
        <f>5/(100)</f>
        <v>0.05</v>
      </c>
      <c r="C432">
        <f>5.88/(100)</f>
        <v>5.8799999999999998E-2</v>
      </c>
    </row>
    <row r="433" spans="1:3" x14ac:dyDescent="0.3">
      <c r="A433" s="2">
        <v>37688</v>
      </c>
      <c r="B433">
        <f>5/(100)</f>
        <v>0.05</v>
      </c>
      <c r="C433">
        <f>5.812/(100)</f>
        <v>5.8120000000000005E-2</v>
      </c>
    </row>
    <row r="434" spans="1:3" x14ac:dyDescent="0.3">
      <c r="A434" s="2">
        <v>37689</v>
      </c>
      <c r="B434">
        <f>5/(100)</f>
        <v>0.05</v>
      </c>
      <c r="C434">
        <f>5.812/(100)</f>
        <v>5.8120000000000005E-2</v>
      </c>
    </row>
    <row r="435" spans="1:3" x14ac:dyDescent="0.3">
      <c r="A435" s="2">
        <v>37690</v>
      </c>
      <c r="B435">
        <f>5/(100)</f>
        <v>0.05</v>
      </c>
      <c r="C435">
        <f>5.95/(100)</f>
        <v>5.9500000000000004E-2</v>
      </c>
    </row>
    <row r="436" spans="1:3" x14ac:dyDescent="0.3">
      <c r="A436" s="2">
        <v>37691</v>
      </c>
      <c r="B436">
        <f>5/(100)</f>
        <v>0.05</v>
      </c>
      <c r="C436">
        <f>5.83/(100)</f>
        <v>5.8299999999999998E-2</v>
      </c>
    </row>
    <row r="437" spans="1:3" x14ac:dyDescent="0.3">
      <c r="A437" s="2">
        <v>37692</v>
      </c>
      <c r="B437">
        <f>5/(100)</f>
        <v>0.05</v>
      </c>
      <c r="C437">
        <f>5.83/(100)</f>
        <v>5.8299999999999998E-2</v>
      </c>
    </row>
    <row r="438" spans="1:3" x14ac:dyDescent="0.3">
      <c r="A438" s="2">
        <v>37693</v>
      </c>
      <c r="B438">
        <f>5/(100)</f>
        <v>0.05</v>
      </c>
      <c r="C438">
        <f>5.85/(100)</f>
        <v>5.8499999999999996E-2</v>
      </c>
    </row>
    <row r="439" spans="1:3" x14ac:dyDescent="0.3">
      <c r="A439" s="2">
        <v>37694</v>
      </c>
      <c r="B439">
        <f>5/(100)</f>
        <v>0.05</v>
      </c>
      <c r="C439">
        <f>5.85/(100)</f>
        <v>5.8499999999999996E-2</v>
      </c>
    </row>
    <row r="440" spans="1:3" x14ac:dyDescent="0.3">
      <c r="A440" s="2">
        <v>37695</v>
      </c>
      <c r="B440">
        <f>5/(100)</f>
        <v>0.05</v>
      </c>
      <c r="C440">
        <f>5.717/(100)</f>
        <v>5.7169999999999999E-2</v>
      </c>
    </row>
    <row r="441" spans="1:3" x14ac:dyDescent="0.3">
      <c r="A441" s="2">
        <v>37696</v>
      </c>
      <c r="B441">
        <f>5/(100)</f>
        <v>0.05</v>
      </c>
      <c r="C441">
        <f>5.717/(100)</f>
        <v>5.7169999999999999E-2</v>
      </c>
    </row>
    <row r="442" spans="1:3" x14ac:dyDescent="0.3">
      <c r="A442" s="2">
        <v>37697</v>
      </c>
      <c r="B442">
        <f>5/(100)</f>
        <v>0.05</v>
      </c>
      <c r="C442">
        <f>5.857/(100)</f>
        <v>5.8570000000000004E-2</v>
      </c>
    </row>
    <row r="443" spans="1:3" x14ac:dyDescent="0.3">
      <c r="A443" s="2">
        <v>37698</v>
      </c>
      <c r="B443">
        <f>5/(100)</f>
        <v>0.05</v>
      </c>
      <c r="C443">
        <f>5.808/(100)</f>
        <v>5.808E-2</v>
      </c>
    </row>
    <row r="444" spans="1:3" x14ac:dyDescent="0.3">
      <c r="A444" s="2">
        <v>37699</v>
      </c>
      <c r="B444">
        <f>5/(100)</f>
        <v>0.05</v>
      </c>
      <c r="C444">
        <f>5.814/(100)</f>
        <v>5.8139999999999997E-2</v>
      </c>
    </row>
    <row r="445" spans="1:3" x14ac:dyDescent="0.3">
      <c r="A445" s="2">
        <v>37700</v>
      </c>
      <c r="B445">
        <f>5/(100)</f>
        <v>0.05</v>
      </c>
      <c r="C445">
        <f>5.914/(100)</f>
        <v>5.9139999999999998E-2</v>
      </c>
    </row>
    <row r="446" spans="1:3" x14ac:dyDescent="0.3">
      <c r="A446" s="2">
        <v>37701</v>
      </c>
      <c r="B446">
        <f>5/(100)</f>
        <v>0.05</v>
      </c>
      <c r="C446">
        <f>5.838/(100)</f>
        <v>5.8380000000000001E-2</v>
      </c>
    </row>
    <row r="447" spans="1:3" x14ac:dyDescent="0.3">
      <c r="A447" s="2">
        <v>37702</v>
      </c>
      <c r="B447">
        <f>5/(100)</f>
        <v>0.05</v>
      </c>
      <c r="C447">
        <f>5.763/(100)</f>
        <v>5.7630000000000001E-2</v>
      </c>
    </row>
    <row r="448" spans="1:3" x14ac:dyDescent="0.3">
      <c r="A448" s="2">
        <v>37703</v>
      </c>
      <c r="B448">
        <f>5/(100)</f>
        <v>0.05</v>
      </c>
      <c r="C448">
        <f>5.763/(100)</f>
        <v>5.7630000000000001E-2</v>
      </c>
    </row>
    <row r="449" spans="1:3" x14ac:dyDescent="0.3">
      <c r="A449" s="2">
        <v>37704</v>
      </c>
      <c r="B449">
        <f>5/(100)</f>
        <v>0.05</v>
      </c>
      <c r="C449">
        <f>5.942/(100)</f>
        <v>5.9420000000000001E-2</v>
      </c>
    </row>
    <row r="450" spans="1:3" x14ac:dyDescent="0.3">
      <c r="A450" s="2">
        <v>37705</v>
      </c>
      <c r="B450">
        <f>5/(100)</f>
        <v>0.05</v>
      </c>
      <c r="C450">
        <f>6.07/(100)</f>
        <v>6.0700000000000004E-2</v>
      </c>
    </row>
    <row r="451" spans="1:3" x14ac:dyDescent="0.3">
      <c r="A451" s="2">
        <v>37706</v>
      </c>
      <c r="B451">
        <f>5/(100)</f>
        <v>0.05</v>
      </c>
      <c r="C451">
        <f>6.084/(100)</f>
        <v>6.0839999999999998E-2</v>
      </c>
    </row>
    <row r="452" spans="1:3" x14ac:dyDescent="0.3">
      <c r="A452" s="2">
        <v>37707</v>
      </c>
      <c r="B452">
        <f>5/(100)</f>
        <v>0.05</v>
      </c>
      <c r="C452">
        <f>6.093/(100)</f>
        <v>6.0929999999999998E-2</v>
      </c>
    </row>
    <row r="453" spans="1:3" x14ac:dyDescent="0.3">
      <c r="A453" s="2">
        <v>37708</v>
      </c>
      <c r="B453">
        <f>5/(100)</f>
        <v>0.05</v>
      </c>
      <c r="C453">
        <f>6.069/(100)</f>
        <v>6.0690000000000001E-2</v>
      </c>
    </row>
    <row r="454" spans="1:3" x14ac:dyDescent="0.3">
      <c r="A454" s="2">
        <v>37709</v>
      </c>
      <c r="B454">
        <f>5/(100)</f>
        <v>0.05</v>
      </c>
      <c r="C454">
        <f>6.068/(100)</f>
        <v>6.0679999999999998E-2</v>
      </c>
    </row>
    <row r="455" spans="1:3" x14ac:dyDescent="0.3">
      <c r="A455" s="2">
        <v>37710</v>
      </c>
      <c r="B455">
        <f>5/(100)</f>
        <v>0.05</v>
      </c>
      <c r="C455">
        <f>6.068/(100)</f>
        <v>6.0679999999999998E-2</v>
      </c>
    </row>
    <row r="456" spans="1:3" x14ac:dyDescent="0.3">
      <c r="A456" s="2">
        <v>37711</v>
      </c>
      <c r="B456">
        <f>5/(100)</f>
        <v>0.05</v>
      </c>
      <c r="C456">
        <f>5.693/(100)</f>
        <v>5.6929999999999994E-2</v>
      </c>
    </row>
    <row r="457" spans="1:3" x14ac:dyDescent="0.3">
      <c r="A457" s="2">
        <v>37712</v>
      </c>
      <c r="B457">
        <f>5/(100)</f>
        <v>0.05</v>
      </c>
      <c r="C457">
        <f>5.674/(100)</f>
        <v>5.6740000000000006E-2</v>
      </c>
    </row>
    <row r="458" spans="1:3" x14ac:dyDescent="0.3">
      <c r="A458" s="2">
        <v>37713</v>
      </c>
      <c r="B458">
        <f>5/(100)</f>
        <v>0.05</v>
      </c>
      <c r="C458">
        <f>5.65/(100)</f>
        <v>5.6500000000000002E-2</v>
      </c>
    </row>
    <row r="459" spans="1:3" x14ac:dyDescent="0.3">
      <c r="A459" s="2">
        <v>37714</v>
      </c>
      <c r="B459">
        <f>5/(100)</f>
        <v>0.05</v>
      </c>
      <c r="C459">
        <f>5.559/(100)</f>
        <v>5.5590000000000001E-2</v>
      </c>
    </row>
    <row r="460" spans="1:3" x14ac:dyDescent="0.3">
      <c r="A460" s="2">
        <v>37715</v>
      </c>
      <c r="B460">
        <f>5/(100)</f>
        <v>0.05</v>
      </c>
      <c r="C460">
        <f>5.536/(100)</f>
        <v>5.5359999999999993E-2</v>
      </c>
    </row>
    <row r="461" spans="1:3" x14ac:dyDescent="0.3">
      <c r="A461" s="2">
        <v>37716</v>
      </c>
      <c r="B461">
        <f>5/(100)</f>
        <v>0.05</v>
      </c>
      <c r="C461">
        <f>5.529/(100)</f>
        <v>5.5289999999999999E-2</v>
      </c>
    </row>
    <row r="462" spans="1:3" x14ac:dyDescent="0.3">
      <c r="A462" s="2">
        <v>37717</v>
      </c>
      <c r="B462">
        <f>5/(100)</f>
        <v>0.05</v>
      </c>
      <c r="C462">
        <f>5.529/(100)</f>
        <v>5.5289999999999999E-2</v>
      </c>
    </row>
    <row r="463" spans="1:3" x14ac:dyDescent="0.3">
      <c r="A463" s="2">
        <v>37718</v>
      </c>
      <c r="B463">
        <f>5/(100)</f>
        <v>0.05</v>
      </c>
      <c r="C463">
        <f>5.457/(100)</f>
        <v>5.457E-2</v>
      </c>
    </row>
    <row r="464" spans="1:3" x14ac:dyDescent="0.3">
      <c r="A464" s="2">
        <v>37719</v>
      </c>
      <c r="B464">
        <f>5/(100)</f>
        <v>0.05</v>
      </c>
      <c r="C464">
        <f>5.449/(100)</f>
        <v>5.4489999999999997E-2</v>
      </c>
    </row>
    <row r="465" spans="1:3" x14ac:dyDescent="0.3">
      <c r="A465" s="2">
        <v>37720</v>
      </c>
      <c r="B465">
        <f>5/(100)</f>
        <v>0.05</v>
      </c>
      <c r="C465">
        <f>5.366/(100)</f>
        <v>5.3659999999999999E-2</v>
      </c>
    </row>
    <row r="466" spans="1:3" x14ac:dyDescent="0.3">
      <c r="A466" s="2">
        <v>37721</v>
      </c>
      <c r="B466">
        <f>5/(100)</f>
        <v>0.05</v>
      </c>
      <c r="C466">
        <f>5.352/(100)</f>
        <v>5.3520000000000005E-2</v>
      </c>
    </row>
    <row r="467" spans="1:3" x14ac:dyDescent="0.3">
      <c r="A467" s="2">
        <v>37722</v>
      </c>
      <c r="B467">
        <f>5/(100)</f>
        <v>0.05</v>
      </c>
      <c r="C467">
        <f>5.352/(100)</f>
        <v>5.3520000000000005E-2</v>
      </c>
    </row>
    <row r="468" spans="1:3" x14ac:dyDescent="0.3">
      <c r="A468" s="2">
        <v>37723</v>
      </c>
      <c r="B468">
        <f>5/(100)</f>
        <v>0.05</v>
      </c>
      <c r="C468">
        <f>5.195/(100)</f>
        <v>5.1950000000000003E-2</v>
      </c>
    </row>
    <row r="469" spans="1:3" x14ac:dyDescent="0.3">
      <c r="A469" s="2">
        <v>37724</v>
      </c>
      <c r="B469">
        <f>5/(100)</f>
        <v>0.05</v>
      </c>
      <c r="C469">
        <f>5.195/(100)</f>
        <v>5.1950000000000003E-2</v>
      </c>
    </row>
    <row r="470" spans="1:3" x14ac:dyDescent="0.3">
      <c r="A470" s="2">
        <v>37725</v>
      </c>
      <c r="B470">
        <f>5/(100)</f>
        <v>0.05</v>
      </c>
      <c r="C470">
        <f>5.195/(100)</f>
        <v>5.1950000000000003E-2</v>
      </c>
    </row>
    <row r="471" spans="1:3" x14ac:dyDescent="0.3">
      <c r="A471" s="2">
        <v>37726</v>
      </c>
      <c r="B471">
        <f>5/(100)</f>
        <v>0.05</v>
      </c>
      <c r="C471">
        <f>5.195/(100)</f>
        <v>5.1950000000000003E-2</v>
      </c>
    </row>
    <row r="472" spans="1:3" x14ac:dyDescent="0.3">
      <c r="A472" s="2">
        <v>37727</v>
      </c>
      <c r="B472">
        <f>5/(100)</f>
        <v>0.05</v>
      </c>
      <c r="C472">
        <f>5.302/(100)</f>
        <v>5.3019999999999998E-2</v>
      </c>
    </row>
    <row r="473" spans="1:3" x14ac:dyDescent="0.3">
      <c r="A473" s="2">
        <v>37728</v>
      </c>
      <c r="B473">
        <f>5/(100)</f>
        <v>0.05</v>
      </c>
      <c r="C473">
        <f>5.278/(100)</f>
        <v>5.2779999999999994E-2</v>
      </c>
    </row>
    <row r="474" spans="1:3" x14ac:dyDescent="0.3">
      <c r="A474" s="2">
        <v>37729</v>
      </c>
      <c r="B474">
        <f>5/(100)</f>
        <v>0.05</v>
      </c>
      <c r="C474">
        <f>5.278/(100)</f>
        <v>5.2779999999999994E-2</v>
      </c>
    </row>
    <row r="475" spans="1:3" x14ac:dyDescent="0.3">
      <c r="A475" s="2">
        <v>37730</v>
      </c>
      <c r="B475">
        <f>5/(100)</f>
        <v>0.05</v>
      </c>
      <c r="C475">
        <f>5.254/(100)</f>
        <v>5.2539999999999996E-2</v>
      </c>
    </row>
    <row r="476" spans="1:3" x14ac:dyDescent="0.3">
      <c r="A476" s="2">
        <v>37731</v>
      </c>
      <c r="B476">
        <f>5/(100)</f>
        <v>0.05</v>
      </c>
      <c r="C476">
        <f>5.254/(100)</f>
        <v>5.2539999999999996E-2</v>
      </c>
    </row>
    <row r="477" spans="1:3" x14ac:dyDescent="0.3">
      <c r="A477" s="2">
        <v>37732</v>
      </c>
      <c r="B477">
        <f>5/(100)</f>
        <v>0.05</v>
      </c>
      <c r="C477">
        <f>5.214/(100)</f>
        <v>5.2140000000000006E-2</v>
      </c>
    </row>
    <row r="478" spans="1:3" x14ac:dyDescent="0.3">
      <c r="A478" s="2">
        <v>37733</v>
      </c>
      <c r="B478">
        <f>5/(100)</f>
        <v>0.05</v>
      </c>
      <c r="C478">
        <f>5.243/(100)</f>
        <v>5.2430000000000004E-2</v>
      </c>
    </row>
    <row r="479" spans="1:3" x14ac:dyDescent="0.3">
      <c r="A479" s="2">
        <v>37734</v>
      </c>
      <c r="B479">
        <f>5/(100)</f>
        <v>0.05</v>
      </c>
      <c r="C479">
        <f>5.179/(100)</f>
        <v>5.1790000000000003E-2</v>
      </c>
    </row>
    <row r="480" spans="1:3" x14ac:dyDescent="0.3">
      <c r="A480" s="2">
        <v>37735</v>
      </c>
      <c r="B480">
        <f>5/(100)</f>
        <v>0.05</v>
      </c>
      <c r="C480">
        <f>5.167/(100)</f>
        <v>5.1670000000000001E-2</v>
      </c>
    </row>
    <row r="481" spans="1:3" x14ac:dyDescent="0.3">
      <c r="A481" s="2">
        <v>37736</v>
      </c>
      <c r="B481">
        <f>5/(100)</f>
        <v>0.05</v>
      </c>
      <c r="C481">
        <f>5.168/(100)</f>
        <v>5.1680000000000004E-2</v>
      </c>
    </row>
    <row r="482" spans="1:3" x14ac:dyDescent="0.3">
      <c r="A482" s="2">
        <v>37737</v>
      </c>
      <c r="B482">
        <f>5/(100)</f>
        <v>0.05</v>
      </c>
      <c r="C482">
        <f>5.117/(100)</f>
        <v>5.117E-2</v>
      </c>
    </row>
    <row r="483" spans="1:3" x14ac:dyDescent="0.3">
      <c r="A483" s="2">
        <v>37738</v>
      </c>
      <c r="B483">
        <f>5/(100)</f>
        <v>0.05</v>
      </c>
      <c r="C483">
        <f>5.117/(100)</f>
        <v>5.117E-2</v>
      </c>
    </row>
    <row r="484" spans="1:3" x14ac:dyDescent="0.3">
      <c r="A484" s="2">
        <v>37739</v>
      </c>
      <c r="B484">
        <f>5/(100)</f>
        <v>0.05</v>
      </c>
      <c r="C484">
        <f>5.107/(100)</f>
        <v>5.1070000000000004E-2</v>
      </c>
    </row>
    <row r="485" spans="1:3" x14ac:dyDescent="0.3">
      <c r="A485" s="2">
        <v>37740</v>
      </c>
      <c r="B485">
        <f>5/(100)</f>
        <v>0.05</v>
      </c>
      <c r="C485">
        <f>5.119/(100)</f>
        <v>5.1189999999999999E-2</v>
      </c>
    </row>
    <row r="486" spans="1:3" x14ac:dyDescent="0.3">
      <c r="A486" s="2">
        <v>37741</v>
      </c>
      <c r="B486">
        <f>5/(100)</f>
        <v>0.05</v>
      </c>
      <c r="C486">
        <f>4.988/(100)</f>
        <v>4.9880000000000008E-2</v>
      </c>
    </row>
    <row r="487" spans="1:3" x14ac:dyDescent="0.3">
      <c r="A487" s="2">
        <v>37742</v>
      </c>
      <c r="B487">
        <f>5/(100)</f>
        <v>0.05</v>
      </c>
      <c r="C487">
        <f>4.988/(100)</f>
        <v>4.9880000000000008E-2</v>
      </c>
    </row>
    <row r="488" spans="1:3" x14ac:dyDescent="0.3">
      <c r="A488" s="2">
        <v>37743</v>
      </c>
      <c r="B488">
        <f>5/(100)</f>
        <v>0.05</v>
      </c>
      <c r="C488">
        <f>5.032/(100)</f>
        <v>5.0320000000000004E-2</v>
      </c>
    </row>
    <row r="489" spans="1:3" x14ac:dyDescent="0.3">
      <c r="A489" s="2">
        <v>37744</v>
      </c>
      <c r="B489">
        <f>5/(100)</f>
        <v>0.05</v>
      </c>
      <c r="C489">
        <f>4.981/(100)</f>
        <v>4.981E-2</v>
      </c>
    </row>
    <row r="490" spans="1:3" x14ac:dyDescent="0.3">
      <c r="A490" s="2">
        <v>37745</v>
      </c>
      <c r="B490">
        <f>5/(100)</f>
        <v>0.05</v>
      </c>
      <c r="C490">
        <f>4.981/(100)</f>
        <v>4.981E-2</v>
      </c>
    </row>
    <row r="491" spans="1:3" x14ac:dyDescent="0.3">
      <c r="A491" s="2">
        <v>37746</v>
      </c>
      <c r="B491">
        <f>5/(100)</f>
        <v>0.05</v>
      </c>
      <c r="C491">
        <f>4.959/(100)</f>
        <v>4.9589999999999995E-2</v>
      </c>
    </row>
    <row r="492" spans="1:3" x14ac:dyDescent="0.3">
      <c r="A492" s="2">
        <v>37747</v>
      </c>
      <c r="B492">
        <f>5/(100)</f>
        <v>0.05</v>
      </c>
      <c r="C492">
        <f>4.943/(100)</f>
        <v>4.9429999999999995E-2</v>
      </c>
    </row>
    <row r="493" spans="1:3" x14ac:dyDescent="0.3">
      <c r="A493" s="2">
        <v>37748</v>
      </c>
      <c r="B493">
        <f>5/(100)</f>
        <v>0.05</v>
      </c>
      <c r="C493">
        <f>4.91/(100)</f>
        <v>4.9100000000000005E-2</v>
      </c>
    </row>
    <row r="494" spans="1:3" x14ac:dyDescent="0.3">
      <c r="A494" s="2">
        <v>37749</v>
      </c>
      <c r="B494">
        <f>5/(100)</f>
        <v>0.05</v>
      </c>
      <c r="C494">
        <f>4.91/(100)</f>
        <v>4.9100000000000005E-2</v>
      </c>
    </row>
    <row r="495" spans="1:3" x14ac:dyDescent="0.3">
      <c r="A495" s="2">
        <v>37750</v>
      </c>
      <c r="B495">
        <f>5/(100)</f>
        <v>0.05</v>
      </c>
      <c r="C495">
        <f>4.966/(100)</f>
        <v>4.9660000000000003E-2</v>
      </c>
    </row>
    <row r="496" spans="1:3" x14ac:dyDescent="0.3">
      <c r="A496" s="2">
        <v>37751</v>
      </c>
      <c r="B496">
        <f>5/(100)</f>
        <v>0.05</v>
      </c>
      <c r="C496">
        <f>4.954/(100)</f>
        <v>4.9540000000000001E-2</v>
      </c>
    </row>
    <row r="497" spans="1:3" x14ac:dyDescent="0.3">
      <c r="A497" s="2">
        <v>37752</v>
      </c>
      <c r="B497">
        <f>5/(100)</f>
        <v>0.05</v>
      </c>
      <c r="C497">
        <f>4.954/(100)</f>
        <v>4.9540000000000001E-2</v>
      </c>
    </row>
    <row r="498" spans="1:3" x14ac:dyDescent="0.3">
      <c r="A498" s="2">
        <v>37753</v>
      </c>
      <c r="B498">
        <f>5/(100)</f>
        <v>0.05</v>
      </c>
      <c r="C498">
        <f>4.954/(100)</f>
        <v>4.9540000000000001E-2</v>
      </c>
    </row>
    <row r="499" spans="1:3" x14ac:dyDescent="0.3">
      <c r="A499" s="2">
        <v>37754</v>
      </c>
      <c r="B499">
        <f>5/(100)</f>
        <v>0.05</v>
      </c>
      <c r="C499">
        <f>4.954/(100)</f>
        <v>4.9540000000000001E-2</v>
      </c>
    </row>
    <row r="500" spans="1:3" x14ac:dyDescent="0.3">
      <c r="A500" s="2">
        <v>37755</v>
      </c>
      <c r="B500">
        <f>5/(100)</f>
        <v>0.05</v>
      </c>
      <c r="C500">
        <f>4.954/(100)</f>
        <v>4.9540000000000001E-2</v>
      </c>
    </row>
    <row r="501" spans="1:3" x14ac:dyDescent="0.3">
      <c r="A501" s="2">
        <v>37756</v>
      </c>
      <c r="B501">
        <f>5/(100)</f>
        <v>0.05</v>
      </c>
      <c r="C501">
        <f>4.954/(100)</f>
        <v>4.9540000000000001E-2</v>
      </c>
    </row>
    <row r="502" spans="1:3" x14ac:dyDescent="0.3">
      <c r="A502" s="2">
        <v>37757</v>
      </c>
      <c r="B502">
        <f>5/(100)</f>
        <v>0.05</v>
      </c>
      <c r="C502">
        <f>4.954/(100)</f>
        <v>4.9540000000000001E-2</v>
      </c>
    </row>
    <row r="503" spans="1:3" x14ac:dyDescent="0.3">
      <c r="A503" s="2">
        <v>37758</v>
      </c>
      <c r="B503">
        <f>5/(100)</f>
        <v>0.05</v>
      </c>
      <c r="C503">
        <f>4.957/(100)</f>
        <v>4.9569999999999996E-2</v>
      </c>
    </row>
    <row r="504" spans="1:3" x14ac:dyDescent="0.3">
      <c r="A504" s="2">
        <v>37759</v>
      </c>
      <c r="B504">
        <f>5/(100)</f>
        <v>0.05</v>
      </c>
      <c r="C504">
        <f>4.957/(100)</f>
        <v>4.9569999999999996E-2</v>
      </c>
    </row>
    <row r="505" spans="1:3" x14ac:dyDescent="0.3">
      <c r="A505" s="2">
        <v>37760</v>
      </c>
      <c r="B505">
        <f>5/(100)</f>
        <v>0.05</v>
      </c>
      <c r="C505">
        <f>4.957/(100)</f>
        <v>4.9569999999999996E-2</v>
      </c>
    </row>
    <row r="506" spans="1:3" x14ac:dyDescent="0.3">
      <c r="A506" s="2">
        <v>37761</v>
      </c>
      <c r="B506">
        <f>5/(100)</f>
        <v>0.05</v>
      </c>
      <c r="C506">
        <f>4.989/(100)</f>
        <v>4.9889999999999997E-2</v>
      </c>
    </row>
    <row r="507" spans="1:3" x14ac:dyDescent="0.3">
      <c r="A507" s="2">
        <v>37762</v>
      </c>
      <c r="B507">
        <f>5/(100)</f>
        <v>0.05</v>
      </c>
      <c r="C507">
        <f>5.214/(100)</f>
        <v>5.2140000000000006E-2</v>
      </c>
    </row>
    <row r="508" spans="1:3" x14ac:dyDescent="0.3">
      <c r="A508" s="2">
        <v>37763</v>
      </c>
      <c r="B508">
        <f>5/(100)</f>
        <v>0.05</v>
      </c>
      <c r="C508">
        <f>4.964/(100)</f>
        <v>4.9640000000000004E-2</v>
      </c>
    </row>
    <row r="509" spans="1:3" x14ac:dyDescent="0.3">
      <c r="A509" s="2">
        <v>37764</v>
      </c>
      <c r="B509">
        <f>5/(100)</f>
        <v>0.05</v>
      </c>
      <c r="C509">
        <f>5.214/(100)</f>
        <v>5.2140000000000006E-2</v>
      </c>
    </row>
    <row r="510" spans="1:3" x14ac:dyDescent="0.3">
      <c r="A510" s="2">
        <v>37765</v>
      </c>
      <c r="B510">
        <f>5/(100)</f>
        <v>0.05</v>
      </c>
      <c r="C510">
        <f>4.917/(100)</f>
        <v>4.9169999999999998E-2</v>
      </c>
    </row>
    <row r="511" spans="1:3" x14ac:dyDescent="0.3">
      <c r="A511" s="2">
        <v>37766</v>
      </c>
      <c r="B511">
        <f>5/(100)</f>
        <v>0.05</v>
      </c>
      <c r="C511">
        <f>4.917/(100)</f>
        <v>4.9169999999999998E-2</v>
      </c>
    </row>
    <row r="512" spans="1:3" x14ac:dyDescent="0.3">
      <c r="A512" s="2">
        <v>37767</v>
      </c>
      <c r="B512">
        <f>5/(100)</f>
        <v>0.05</v>
      </c>
      <c r="C512">
        <f>4.917/(100)</f>
        <v>4.9169999999999998E-2</v>
      </c>
    </row>
    <row r="513" spans="1:3" x14ac:dyDescent="0.3">
      <c r="A513" s="2">
        <v>37768</v>
      </c>
      <c r="B513">
        <f>5/(100)</f>
        <v>0.05</v>
      </c>
      <c r="C513">
        <f>4.917/(100)</f>
        <v>4.9169999999999998E-2</v>
      </c>
    </row>
    <row r="514" spans="1:3" x14ac:dyDescent="0.3">
      <c r="A514" s="2">
        <v>37769</v>
      </c>
      <c r="B514">
        <f>5/(100)</f>
        <v>0.05</v>
      </c>
      <c r="C514">
        <f>4.945/(100)</f>
        <v>4.9450000000000001E-2</v>
      </c>
    </row>
    <row r="515" spans="1:3" x14ac:dyDescent="0.3">
      <c r="A515" s="2">
        <v>37770</v>
      </c>
      <c r="B515">
        <f>5/(100)</f>
        <v>0.05</v>
      </c>
      <c r="C515">
        <f>4.982/(100)</f>
        <v>4.9820000000000003E-2</v>
      </c>
    </row>
    <row r="516" spans="1:3" x14ac:dyDescent="0.3">
      <c r="A516" s="2">
        <v>37771</v>
      </c>
      <c r="B516">
        <f>5/(100)</f>
        <v>0.05</v>
      </c>
      <c r="C516">
        <f>4.977/(100)</f>
        <v>4.9770000000000002E-2</v>
      </c>
    </row>
    <row r="517" spans="1:3" x14ac:dyDescent="0.3">
      <c r="A517" s="2">
        <v>37772</v>
      </c>
      <c r="B517">
        <f>5/(100)</f>
        <v>0.05</v>
      </c>
      <c r="C517">
        <f>5.051/(100)</f>
        <v>5.0509999999999999E-2</v>
      </c>
    </row>
    <row r="518" spans="1:3" x14ac:dyDescent="0.3">
      <c r="A518" s="2">
        <v>37773</v>
      </c>
      <c r="B518">
        <f>5/(100)</f>
        <v>0.05</v>
      </c>
      <c r="C518">
        <f>5.051/(100)</f>
        <v>5.0509999999999999E-2</v>
      </c>
    </row>
    <row r="519" spans="1:3" x14ac:dyDescent="0.3">
      <c r="A519" s="2">
        <v>37774</v>
      </c>
      <c r="B519">
        <f>5/(100)</f>
        <v>0.05</v>
      </c>
      <c r="C519">
        <f>5.065/(100)</f>
        <v>5.0650000000000001E-2</v>
      </c>
    </row>
    <row r="520" spans="1:3" x14ac:dyDescent="0.3">
      <c r="A520" s="2">
        <v>37775</v>
      </c>
      <c r="B520">
        <f>5/(100)</f>
        <v>0.05</v>
      </c>
      <c r="C520">
        <f>5.043/(100)</f>
        <v>5.0430000000000003E-2</v>
      </c>
    </row>
    <row r="521" spans="1:3" x14ac:dyDescent="0.3">
      <c r="A521" s="2">
        <v>37776</v>
      </c>
      <c r="B521">
        <f>5/(100)</f>
        <v>0.05</v>
      </c>
      <c r="C521">
        <f>4.959/(100)</f>
        <v>4.9589999999999995E-2</v>
      </c>
    </row>
    <row r="522" spans="1:3" x14ac:dyDescent="0.3">
      <c r="A522" s="2">
        <v>37777</v>
      </c>
      <c r="B522">
        <f>5/(100)</f>
        <v>0.05</v>
      </c>
      <c r="C522">
        <f>4.959/(100)</f>
        <v>4.9589999999999995E-2</v>
      </c>
    </row>
    <row r="523" spans="1:3" x14ac:dyDescent="0.3">
      <c r="A523" s="2">
        <v>37778</v>
      </c>
      <c r="B523">
        <f>5/(100)</f>
        <v>0.05</v>
      </c>
      <c r="C523">
        <f>5.064/(100)</f>
        <v>5.0639999999999998E-2</v>
      </c>
    </row>
    <row r="524" spans="1:3" x14ac:dyDescent="0.3">
      <c r="A524" s="2">
        <v>37779</v>
      </c>
      <c r="B524">
        <f>5/(100)</f>
        <v>0.05</v>
      </c>
      <c r="C524">
        <f>5.091/(100)</f>
        <v>5.0910000000000004E-2</v>
      </c>
    </row>
    <row r="525" spans="1:3" x14ac:dyDescent="0.3">
      <c r="A525" s="2">
        <v>37780</v>
      </c>
      <c r="B525">
        <f>5/(100)</f>
        <v>0.05</v>
      </c>
      <c r="C525">
        <f>5.091/(100)</f>
        <v>5.0910000000000004E-2</v>
      </c>
    </row>
    <row r="526" spans="1:3" x14ac:dyDescent="0.3">
      <c r="A526" s="2">
        <v>37781</v>
      </c>
      <c r="B526">
        <f>5/(100)</f>
        <v>0.05</v>
      </c>
      <c r="C526">
        <f>5.091/(100)</f>
        <v>5.0910000000000004E-2</v>
      </c>
    </row>
    <row r="527" spans="1:3" x14ac:dyDescent="0.3">
      <c r="A527" s="2">
        <v>37782</v>
      </c>
      <c r="B527">
        <f>5/(100)</f>
        <v>0.05</v>
      </c>
      <c r="C527">
        <f>5.091/(100)</f>
        <v>5.0910000000000004E-2</v>
      </c>
    </row>
    <row r="528" spans="1:3" x14ac:dyDescent="0.3">
      <c r="A528" s="2">
        <v>37783</v>
      </c>
      <c r="B528">
        <f>5/(100)</f>
        <v>0.05</v>
      </c>
      <c r="C528">
        <f>5.1/(100)</f>
        <v>5.0999999999999997E-2</v>
      </c>
    </row>
    <row r="529" spans="1:3" x14ac:dyDescent="0.3">
      <c r="A529" s="2">
        <v>37784</v>
      </c>
      <c r="B529">
        <f>5/(100)</f>
        <v>0.05</v>
      </c>
      <c r="C529">
        <f>5.139/(100)</f>
        <v>5.1390000000000005E-2</v>
      </c>
    </row>
    <row r="530" spans="1:3" x14ac:dyDescent="0.3">
      <c r="A530" s="2">
        <v>37785</v>
      </c>
      <c r="B530">
        <f>5/(100)</f>
        <v>0.05</v>
      </c>
      <c r="C530">
        <f>5.131/(100)</f>
        <v>5.1310000000000001E-2</v>
      </c>
    </row>
    <row r="531" spans="1:3" x14ac:dyDescent="0.3">
      <c r="A531" s="2">
        <v>37786</v>
      </c>
      <c r="B531">
        <f>5/(100)</f>
        <v>0.05</v>
      </c>
      <c r="C531">
        <f>4.957/(100)</f>
        <v>4.9569999999999996E-2</v>
      </c>
    </row>
    <row r="532" spans="1:3" x14ac:dyDescent="0.3">
      <c r="A532" s="2">
        <v>37787</v>
      </c>
      <c r="B532">
        <f>5/(100)</f>
        <v>0.05</v>
      </c>
      <c r="C532">
        <f>4.957/(100)</f>
        <v>4.9569999999999996E-2</v>
      </c>
    </row>
    <row r="533" spans="1:3" x14ac:dyDescent="0.3">
      <c r="A533" s="2">
        <v>37788</v>
      </c>
      <c r="B533">
        <f>5/(100)</f>
        <v>0.05</v>
      </c>
      <c r="C533">
        <f>5.095/(100)</f>
        <v>5.0949999999999995E-2</v>
      </c>
    </row>
    <row r="534" spans="1:3" x14ac:dyDescent="0.3">
      <c r="A534" s="2">
        <v>37789</v>
      </c>
      <c r="B534">
        <f>5/(100)</f>
        <v>0.05</v>
      </c>
      <c r="C534">
        <f>4.889/(100)</f>
        <v>4.8890000000000003E-2</v>
      </c>
    </row>
    <row r="535" spans="1:3" x14ac:dyDescent="0.3">
      <c r="A535" s="2">
        <v>37790</v>
      </c>
      <c r="B535">
        <f>5/(100)</f>
        <v>0.05</v>
      </c>
      <c r="C535">
        <f>4.889/(100)</f>
        <v>4.8890000000000003E-2</v>
      </c>
    </row>
    <row r="536" spans="1:3" x14ac:dyDescent="0.3">
      <c r="A536" s="2">
        <v>37791</v>
      </c>
      <c r="B536">
        <f>5/(100)</f>
        <v>0.05</v>
      </c>
      <c r="C536">
        <f>4.889/(100)</f>
        <v>4.8890000000000003E-2</v>
      </c>
    </row>
    <row r="537" spans="1:3" x14ac:dyDescent="0.3">
      <c r="A537" s="2">
        <v>37792</v>
      </c>
      <c r="B537">
        <f>5/(100)</f>
        <v>0.05</v>
      </c>
      <c r="C537">
        <f>5.143/(100)</f>
        <v>5.1429999999999997E-2</v>
      </c>
    </row>
    <row r="538" spans="1:3" x14ac:dyDescent="0.3">
      <c r="A538" s="2">
        <v>37793</v>
      </c>
      <c r="B538">
        <f>5/(100)</f>
        <v>0.05</v>
      </c>
      <c r="C538">
        <f>5.118/(100)</f>
        <v>5.1180000000000003E-2</v>
      </c>
    </row>
    <row r="539" spans="1:3" x14ac:dyDescent="0.3">
      <c r="A539" s="2">
        <v>37794</v>
      </c>
      <c r="B539">
        <f>5/(100)</f>
        <v>0.05</v>
      </c>
      <c r="C539">
        <f>5.118/(100)</f>
        <v>5.1180000000000003E-2</v>
      </c>
    </row>
    <row r="540" spans="1:3" x14ac:dyDescent="0.3">
      <c r="A540" s="2">
        <v>37795</v>
      </c>
      <c r="B540">
        <f>5/(100)</f>
        <v>0.05</v>
      </c>
      <c r="C540">
        <f>5.124/(100)</f>
        <v>5.1239999999999994E-2</v>
      </c>
    </row>
    <row r="541" spans="1:3" x14ac:dyDescent="0.3">
      <c r="A541" s="2">
        <v>37796</v>
      </c>
      <c r="B541">
        <f>5/(100)</f>
        <v>0.05</v>
      </c>
      <c r="C541">
        <f>5.084/(100)</f>
        <v>5.0839999999999996E-2</v>
      </c>
    </row>
    <row r="542" spans="1:3" x14ac:dyDescent="0.3">
      <c r="A542" s="2">
        <v>37797</v>
      </c>
      <c r="B542">
        <f>5/(100)</f>
        <v>0.05</v>
      </c>
      <c r="C542">
        <f>5.084/(100)</f>
        <v>5.0839999999999996E-2</v>
      </c>
    </row>
    <row r="543" spans="1:3" x14ac:dyDescent="0.3">
      <c r="A543" s="2">
        <v>37798</v>
      </c>
      <c r="B543">
        <f>5/(100)</f>
        <v>0.05</v>
      </c>
      <c r="C543">
        <f>5.084/(100)</f>
        <v>5.0839999999999996E-2</v>
      </c>
    </row>
    <row r="544" spans="1:3" x14ac:dyDescent="0.3">
      <c r="A544" s="2">
        <v>37799</v>
      </c>
      <c r="B544">
        <f>5/(100)</f>
        <v>0.05</v>
      </c>
      <c r="C544">
        <f>5.182/(100)</f>
        <v>5.1820000000000005E-2</v>
      </c>
    </row>
    <row r="545" spans="1:3" x14ac:dyDescent="0.3">
      <c r="A545" s="2">
        <v>37800</v>
      </c>
      <c r="B545">
        <f>5/(100)</f>
        <v>0.05</v>
      </c>
      <c r="C545">
        <f>5.168/(100)</f>
        <v>5.1680000000000004E-2</v>
      </c>
    </row>
    <row r="546" spans="1:3" x14ac:dyDescent="0.3">
      <c r="A546" s="2">
        <v>37801</v>
      </c>
      <c r="B546">
        <f>5/(100)</f>
        <v>0.05</v>
      </c>
      <c r="C546">
        <f>5.168/(100)</f>
        <v>5.1680000000000004E-2</v>
      </c>
    </row>
    <row r="547" spans="1:3" x14ac:dyDescent="0.3">
      <c r="A547" s="2">
        <v>37802</v>
      </c>
      <c r="B547">
        <f>5/(100)</f>
        <v>0.05</v>
      </c>
      <c r="C547">
        <f>5.168/(100)</f>
        <v>5.1680000000000004E-2</v>
      </c>
    </row>
    <row r="548" spans="1:3" x14ac:dyDescent="0.3">
      <c r="A548" s="2">
        <v>37803</v>
      </c>
      <c r="B548">
        <f>5/(100)</f>
        <v>0.05</v>
      </c>
      <c r="C548">
        <f>5.149/(100)</f>
        <v>5.1490000000000001E-2</v>
      </c>
    </row>
    <row r="549" spans="1:3" x14ac:dyDescent="0.3">
      <c r="A549" s="2">
        <v>37804</v>
      </c>
      <c r="B549">
        <f>5/(100)</f>
        <v>0.05</v>
      </c>
      <c r="C549">
        <f>5.12/(100)</f>
        <v>5.1200000000000002E-2</v>
      </c>
    </row>
    <row r="550" spans="1:3" x14ac:dyDescent="0.3">
      <c r="A550" s="2">
        <v>37805</v>
      </c>
      <c r="B550">
        <f>5/(100)</f>
        <v>0.05</v>
      </c>
      <c r="C550">
        <f>5.136/(100)</f>
        <v>5.1360000000000003E-2</v>
      </c>
    </row>
    <row r="551" spans="1:3" x14ac:dyDescent="0.3">
      <c r="A551" s="2">
        <v>37806</v>
      </c>
      <c r="B551">
        <f>5/(100)</f>
        <v>0.05</v>
      </c>
      <c r="C551">
        <f>5.136/(100)</f>
        <v>5.1360000000000003E-2</v>
      </c>
    </row>
    <row r="552" spans="1:3" x14ac:dyDescent="0.3">
      <c r="A552" s="2">
        <v>37807</v>
      </c>
      <c r="B552">
        <f>5/(100)</f>
        <v>0.05</v>
      </c>
      <c r="C552">
        <f>5.167/(100)</f>
        <v>5.1670000000000001E-2</v>
      </c>
    </row>
    <row r="553" spans="1:3" x14ac:dyDescent="0.3">
      <c r="A553" s="2">
        <v>37808</v>
      </c>
      <c r="B553">
        <f>5/(100)</f>
        <v>0.05</v>
      </c>
      <c r="C553">
        <f>5.167/(100)</f>
        <v>5.1670000000000001E-2</v>
      </c>
    </row>
    <row r="554" spans="1:3" x14ac:dyDescent="0.3">
      <c r="A554" s="2">
        <v>37809</v>
      </c>
      <c r="B554">
        <f>5/(100)</f>
        <v>0.05</v>
      </c>
      <c r="C554">
        <f>5.167/(100)</f>
        <v>5.1670000000000001E-2</v>
      </c>
    </row>
    <row r="555" spans="1:3" x14ac:dyDescent="0.3">
      <c r="A555" s="2">
        <v>37810</v>
      </c>
      <c r="B555">
        <f>5/(100)</f>
        <v>0.05</v>
      </c>
      <c r="C555">
        <f>5.122/(100)</f>
        <v>5.1220000000000002E-2</v>
      </c>
    </row>
    <row r="556" spans="1:3" x14ac:dyDescent="0.3">
      <c r="A556" s="2">
        <v>37811</v>
      </c>
      <c r="B556">
        <f>5/(100)</f>
        <v>0.05</v>
      </c>
      <c r="C556">
        <f>5.09/(100)</f>
        <v>5.0900000000000001E-2</v>
      </c>
    </row>
    <row r="557" spans="1:3" x14ac:dyDescent="0.3">
      <c r="A557" s="2">
        <v>37812</v>
      </c>
      <c r="B557">
        <f>5/(100)</f>
        <v>0.05</v>
      </c>
      <c r="C557">
        <f>5.09/(100)</f>
        <v>5.0900000000000001E-2</v>
      </c>
    </row>
    <row r="558" spans="1:3" x14ac:dyDescent="0.3">
      <c r="A558" s="2">
        <v>37813</v>
      </c>
      <c r="B558">
        <f>5/(100)</f>
        <v>0.05</v>
      </c>
      <c r="C558">
        <f>5.09/(100)</f>
        <v>5.0900000000000001E-2</v>
      </c>
    </row>
    <row r="559" spans="1:3" x14ac:dyDescent="0.3">
      <c r="A559" s="2">
        <v>37814</v>
      </c>
      <c r="B559">
        <f>5/(100)</f>
        <v>0.05</v>
      </c>
      <c r="C559">
        <f>5.064/(100)</f>
        <v>5.0639999999999998E-2</v>
      </c>
    </row>
    <row r="560" spans="1:3" x14ac:dyDescent="0.3">
      <c r="A560" s="2">
        <v>37815</v>
      </c>
      <c r="B560">
        <f>5/(100)</f>
        <v>0.05</v>
      </c>
      <c r="C560">
        <f>5.064/(100)</f>
        <v>5.0639999999999998E-2</v>
      </c>
    </row>
    <row r="561" spans="1:3" x14ac:dyDescent="0.3">
      <c r="A561" s="2">
        <v>37816</v>
      </c>
      <c r="B561">
        <f>5/(100)</f>
        <v>0.05</v>
      </c>
      <c r="C561">
        <f>5.068/(100)</f>
        <v>5.0679999999999996E-2</v>
      </c>
    </row>
    <row r="562" spans="1:3" x14ac:dyDescent="0.3">
      <c r="A562" s="2">
        <v>37817</v>
      </c>
      <c r="B562">
        <f>5/(100)</f>
        <v>0.05</v>
      </c>
      <c r="C562">
        <f>5.022/(100)</f>
        <v>5.0220000000000001E-2</v>
      </c>
    </row>
    <row r="563" spans="1:3" x14ac:dyDescent="0.3">
      <c r="A563" s="2">
        <v>37818</v>
      </c>
      <c r="B563">
        <f>5/(100)</f>
        <v>0.05</v>
      </c>
      <c r="C563">
        <f>5.053/(100)</f>
        <v>5.0529999999999999E-2</v>
      </c>
    </row>
    <row r="564" spans="1:3" x14ac:dyDescent="0.3">
      <c r="A564" s="2">
        <v>37819</v>
      </c>
      <c r="B564">
        <f>5/(100)</f>
        <v>0.05</v>
      </c>
      <c r="C564">
        <f>5.045/(100)</f>
        <v>5.0450000000000002E-2</v>
      </c>
    </row>
    <row r="565" spans="1:3" x14ac:dyDescent="0.3">
      <c r="A565" s="2">
        <v>37820</v>
      </c>
      <c r="B565">
        <f>5/(100)</f>
        <v>0.05</v>
      </c>
      <c r="C565">
        <f>4.987/(100)</f>
        <v>4.9869999999999998E-2</v>
      </c>
    </row>
    <row r="566" spans="1:3" x14ac:dyDescent="0.3">
      <c r="A566" s="2">
        <v>37821</v>
      </c>
      <c r="B566">
        <f>5/(100)</f>
        <v>0.05</v>
      </c>
      <c r="C566">
        <f>4.954/(100)</f>
        <v>4.9540000000000001E-2</v>
      </c>
    </row>
    <row r="567" spans="1:3" x14ac:dyDescent="0.3">
      <c r="A567" s="2">
        <v>37822</v>
      </c>
      <c r="B567">
        <f>5/(100)</f>
        <v>0.05</v>
      </c>
      <c r="C567">
        <f>4.954/(100)</f>
        <v>4.9540000000000001E-2</v>
      </c>
    </row>
    <row r="568" spans="1:3" x14ac:dyDescent="0.3">
      <c r="A568" s="2">
        <v>37823</v>
      </c>
      <c r="B568">
        <f>5/(100)</f>
        <v>0.05</v>
      </c>
      <c r="C568">
        <f>4.887/(100)</f>
        <v>4.8869999999999997E-2</v>
      </c>
    </row>
    <row r="569" spans="1:3" x14ac:dyDescent="0.3">
      <c r="A569" s="2">
        <v>37824</v>
      </c>
      <c r="B569">
        <f>5/(100)</f>
        <v>0.05</v>
      </c>
      <c r="C569">
        <f>4.903/(100)</f>
        <v>4.9029999999999997E-2</v>
      </c>
    </row>
    <row r="570" spans="1:3" x14ac:dyDescent="0.3">
      <c r="A570" s="2">
        <v>37825</v>
      </c>
      <c r="B570">
        <f>5/(100)</f>
        <v>0.05</v>
      </c>
      <c r="C570">
        <f>4.909/(100)</f>
        <v>4.9089999999999995E-2</v>
      </c>
    </row>
    <row r="571" spans="1:3" x14ac:dyDescent="0.3">
      <c r="A571" s="2">
        <v>37826</v>
      </c>
      <c r="B571">
        <f>5/(100)</f>
        <v>0.05</v>
      </c>
      <c r="C571">
        <f>4.831/(100)</f>
        <v>4.8310000000000006E-2</v>
      </c>
    </row>
    <row r="572" spans="1:3" x14ac:dyDescent="0.3">
      <c r="A572" s="2">
        <v>37827</v>
      </c>
      <c r="B572">
        <f>5/(100)</f>
        <v>0.05</v>
      </c>
      <c r="C572">
        <f>4.867/(100)</f>
        <v>4.8669999999999998E-2</v>
      </c>
    </row>
    <row r="573" spans="1:3" x14ac:dyDescent="0.3">
      <c r="A573" s="2">
        <v>37828</v>
      </c>
      <c r="B573">
        <f>5/(100)</f>
        <v>0.05</v>
      </c>
      <c r="C573">
        <f>4.867/(100)</f>
        <v>4.8669999999999998E-2</v>
      </c>
    </row>
    <row r="574" spans="1:3" x14ac:dyDescent="0.3">
      <c r="A574" s="2">
        <v>37829</v>
      </c>
      <c r="B574">
        <f>5/(100)</f>
        <v>0.05</v>
      </c>
      <c r="C574">
        <f>4.867/(100)</f>
        <v>4.8669999999999998E-2</v>
      </c>
    </row>
    <row r="575" spans="1:3" x14ac:dyDescent="0.3">
      <c r="A575" s="2">
        <v>37830</v>
      </c>
      <c r="B575">
        <f>5/(100)</f>
        <v>0.05</v>
      </c>
      <c r="C575">
        <f>4.873/(100)</f>
        <v>4.8730000000000002E-2</v>
      </c>
    </row>
    <row r="576" spans="1:3" x14ac:dyDescent="0.3">
      <c r="A576" s="2">
        <v>37831</v>
      </c>
      <c r="B576">
        <f>5/(100)</f>
        <v>0.05</v>
      </c>
      <c r="C576">
        <f>4.868/(100)</f>
        <v>4.8680000000000001E-2</v>
      </c>
    </row>
    <row r="577" spans="1:3" x14ac:dyDescent="0.3">
      <c r="A577" s="2">
        <v>37832</v>
      </c>
      <c r="B577">
        <f>5/(100)</f>
        <v>0.05</v>
      </c>
      <c r="C577">
        <f>4.837/(100)</f>
        <v>4.8369999999999996E-2</v>
      </c>
    </row>
    <row r="578" spans="1:3" x14ac:dyDescent="0.3">
      <c r="A578" s="2">
        <v>37833</v>
      </c>
      <c r="B578">
        <f>5/(100)</f>
        <v>0.05</v>
      </c>
      <c r="C578">
        <f>4.87/(100)</f>
        <v>4.87E-2</v>
      </c>
    </row>
    <row r="579" spans="1:3" x14ac:dyDescent="0.3">
      <c r="A579" s="2">
        <v>37834</v>
      </c>
      <c r="B579">
        <f>5/(100)</f>
        <v>0.05</v>
      </c>
      <c r="C579">
        <f>4.845/(100)</f>
        <v>4.845E-2</v>
      </c>
    </row>
    <row r="580" spans="1:3" x14ac:dyDescent="0.3">
      <c r="A580" s="2">
        <v>37835</v>
      </c>
      <c r="B580">
        <f>5/(100)</f>
        <v>0.05</v>
      </c>
      <c r="C580">
        <f>4.8/(100)</f>
        <v>4.8000000000000001E-2</v>
      </c>
    </row>
    <row r="581" spans="1:3" x14ac:dyDescent="0.3">
      <c r="A581" s="2">
        <v>37836</v>
      </c>
      <c r="B581">
        <f>5/(100)</f>
        <v>0.05</v>
      </c>
      <c r="C581">
        <f>4.8/(100)</f>
        <v>4.8000000000000001E-2</v>
      </c>
    </row>
    <row r="582" spans="1:3" x14ac:dyDescent="0.3">
      <c r="A582" s="2">
        <v>37837</v>
      </c>
      <c r="B582">
        <f>5/(100)</f>
        <v>0.05</v>
      </c>
      <c r="C582">
        <f>4.749/(100)</f>
        <v>4.7489999999999997E-2</v>
      </c>
    </row>
    <row r="583" spans="1:3" x14ac:dyDescent="0.3">
      <c r="A583" s="2">
        <v>37838</v>
      </c>
      <c r="B583">
        <f>5/(100)</f>
        <v>0.05</v>
      </c>
      <c r="C583">
        <f>4.815/(100)</f>
        <v>4.8150000000000005E-2</v>
      </c>
    </row>
    <row r="584" spans="1:3" x14ac:dyDescent="0.3">
      <c r="A584" s="2">
        <v>37839</v>
      </c>
      <c r="B584">
        <f>5/(100)</f>
        <v>0.05</v>
      </c>
      <c r="C584">
        <f>4.857/(100)</f>
        <v>4.8570000000000002E-2</v>
      </c>
    </row>
    <row r="585" spans="1:3" x14ac:dyDescent="0.3">
      <c r="A585" s="2">
        <v>37840</v>
      </c>
      <c r="B585">
        <f>5/(100)</f>
        <v>0.05</v>
      </c>
      <c r="C585">
        <f>4.805/(100)</f>
        <v>4.8049999999999995E-2</v>
      </c>
    </row>
    <row r="586" spans="1:3" x14ac:dyDescent="0.3">
      <c r="A586" s="2">
        <v>37841</v>
      </c>
      <c r="B586">
        <f>5/(100)</f>
        <v>0.05</v>
      </c>
      <c r="C586">
        <f>4.778/(100)</f>
        <v>4.7779999999999996E-2</v>
      </c>
    </row>
    <row r="587" spans="1:3" x14ac:dyDescent="0.3">
      <c r="A587" s="2">
        <v>37842</v>
      </c>
      <c r="B587">
        <f>5/(100)</f>
        <v>0.05</v>
      </c>
      <c r="C587">
        <f>4.703/(100)</f>
        <v>4.7030000000000002E-2</v>
      </c>
    </row>
    <row r="588" spans="1:3" x14ac:dyDescent="0.3">
      <c r="A588" s="2">
        <v>37843</v>
      </c>
      <c r="B588">
        <f>5/(100)</f>
        <v>0.05</v>
      </c>
      <c r="C588">
        <f>4.703/(100)</f>
        <v>4.7030000000000002E-2</v>
      </c>
    </row>
    <row r="589" spans="1:3" x14ac:dyDescent="0.3">
      <c r="A589" s="2">
        <v>37844</v>
      </c>
      <c r="B589">
        <f>5/(100)</f>
        <v>0.05</v>
      </c>
      <c r="C589">
        <f>4.734/(100)</f>
        <v>4.734E-2</v>
      </c>
    </row>
    <row r="590" spans="1:3" x14ac:dyDescent="0.3">
      <c r="A590" s="2">
        <v>37845</v>
      </c>
      <c r="B590">
        <f>5/(100)</f>
        <v>0.05</v>
      </c>
      <c r="C590">
        <f>4.767/(100)</f>
        <v>4.7670000000000004E-2</v>
      </c>
    </row>
    <row r="591" spans="1:3" x14ac:dyDescent="0.3">
      <c r="A591" s="2">
        <v>37846</v>
      </c>
      <c r="B591">
        <f>5/(100)</f>
        <v>0.05</v>
      </c>
      <c r="C591">
        <f>4.794/(100)</f>
        <v>4.7939999999999997E-2</v>
      </c>
    </row>
    <row r="592" spans="1:3" x14ac:dyDescent="0.3">
      <c r="A592" s="2">
        <v>37847</v>
      </c>
      <c r="B592">
        <f>5/(100)</f>
        <v>0.05</v>
      </c>
      <c r="C592">
        <f>4.86/(100)</f>
        <v>4.8600000000000004E-2</v>
      </c>
    </row>
    <row r="593" spans="1:3" x14ac:dyDescent="0.3">
      <c r="A593" s="2">
        <v>37848</v>
      </c>
      <c r="B593">
        <f>5/(100)</f>
        <v>0.05</v>
      </c>
      <c r="C593">
        <f>4.86/(100)</f>
        <v>4.8600000000000004E-2</v>
      </c>
    </row>
    <row r="594" spans="1:3" x14ac:dyDescent="0.3">
      <c r="A594" s="2">
        <v>37849</v>
      </c>
      <c r="B594">
        <f>5/(100)</f>
        <v>0.05</v>
      </c>
      <c r="C594">
        <f>4.931/(100)</f>
        <v>4.931E-2</v>
      </c>
    </row>
    <row r="595" spans="1:3" x14ac:dyDescent="0.3">
      <c r="A595" s="2">
        <v>37850</v>
      </c>
      <c r="B595">
        <f>5/(100)</f>
        <v>0.05</v>
      </c>
      <c r="C595">
        <f>4.931/(100)</f>
        <v>4.931E-2</v>
      </c>
    </row>
    <row r="596" spans="1:3" x14ac:dyDescent="0.3">
      <c r="A596" s="2">
        <v>37851</v>
      </c>
      <c r="B596">
        <f>5/(100)</f>
        <v>0.05</v>
      </c>
      <c r="C596">
        <f>4.963/(100)</f>
        <v>4.9630000000000001E-2</v>
      </c>
    </row>
    <row r="597" spans="1:3" x14ac:dyDescent="0.3">
      <c r="A597" s="2">
        <v>37852</v>
      </c>
      <c r="B597">
        <f>5/(100)</f>
        <v>0.05</v>
      </c>
      <c r="C597">
        <f>4.969/(100)</f>
        <v>4.9690000000000005E-2</v>
      </c>
    </row>
    <row r="598" spans="1:3" x14ac:dyDescent="0.3">
      <c r="A598" s="2">
        <v>37853</v>
      </c>
      <c r="B598">
        <f>5/(100)</f>
        <v>0.05</v>
      </c>
      <c r="C598">
        <f>5.008/(100)</f>
        <v>5.008E-2</v>
      </c>
    </row>
    <row r="599" spans="1:3" x14ac:dyDescent="0.3">
      <c r="A599" s="2">
        <v>37854</v>
      </c>
      <c r="B599">
        <f>5/(100)</f>
        <v>0.05</v>
      </c>
      <c r="C599">
        <f>5.009/(100)</f>
        <v>5.0090000000000003E-2</v>
      </c>
    </row>
    <row r="600" spans="1:3" x14ac:dyDescent="0.3">
      <c r="A600" s="2">
        <v>37855</v>
      </c>
      <c r="B600">
        <f>5/(100)</f>
        <v>0.05</v>
      </c>
      <c r="C600">
        <f>5.001/(100)</f>
        <v>5.0010000000000006E-2</v>
      </c>
    </row>
    <row r="601" spans="1:3" x14ac:dyDescent="0.3">
      <c r="A601" s="2">
        <v>37856</v>
      </c>
      <c r="B601">
        <f>5/(100)</f>
        <v>0.05</v>
      </c>
      <c r="C601">
        <f>5.014/(100)</f>
        <v>5.0140000000000004E-2</v>
      </c>
    </row>
    <row r="602" spans="1:3" x14ac:dyDescent="0.3">
      <c r="A602" s="2">
        <v>37857</v>
      </c>
      <c r="B602">
        <f>5/(100)</f>
        <v>0.05</v>
      </c>
      <c r="C602">
        <f>5.014/(100)</f>
        <v>5.0140000000000004E-2</v>
      </c>
    </row>
    <row r="603" spans="1:3" x14ac:dyDescent="0.3">
      <c r="A603" s="2">
        <v>37858</v>
      </c>
      <c r="B603">
        <f>4.5/(100)</f>
        <v>4.4999999999999998E-2</v>
      </c>
      <c r="C603">
        <f>4.727/(100)</f>
        <v>4.7270000000000006E-2</v>
      </c>
    </row>
    <row r="604" spans="1:3" x14ac:dyDescent="0.3">
      <c r="A604" s="2">
        <v>37859</v>
      </c>
      <c r="B604">
        <f>4.5/(100)</f>
        <v>4.4999999999999998E-2</v>
      </c>
      <c r="C604">
        <f>4.666/(100)</f>
        <v>4.6660000000000007E-2</v>
      </c>
    </row>
    <row r="605" spans="1:3" x14ac:dyDescent="0.3">
      <c r="A605" s="2">
        <v>37860</v>
      </c>
      <c r="B605">
        <f>4.5/(100)</f>
        <v>4.4999999999999998E-2</v>
      </c>
      <c r="C605">
        <f>4.706/(100)</f>
        <v>4.7060000000000005E-2</v>
      </c>
    </row>
    <row r="606" spans="1:3" x14ac:dyDescent="0.3">
      <c r="A606" s="2">
        <v>37861</v>
      </c>
      <c r="B606">
        <f>4.5/(100)</f>
        <v>4.4999999999999998E-2</v>
      </c>
      <c r="C606">
        <f>4.722/(100)</f>
        <v>4.7220000000000005E-2</v>
      </c>
    </row>
    <row r="607" spans="1:3" x14ac:dyDescent="0.3">
      <c r="A607" s="2">
        <v>37862</v>
      </c>
      <c r="B607">
        <f>4.5/(100)</f>
        <v>4.4999999999999998E-2</v>
      </c>
      <c r="C607">
        <f>4.752/(100)</f>
        <v>4.752E-2</v>
      </c>
    </row>
    <row r="608" spans="1:3" x14ac:dyDescent="0.3">
      <c r="A608" s="2">
        <v>37863</v>
      </c>
      <c r="B608">
        <f>4.5/(100)</f>
        <v>4.4999999999999998E-2</v>
      </c>
      <c r="C608">
        <f>4.753/(100)</f>
        <v>4.7530000000000003E-2</v>
      </c>
    </row>
    <row r="609" spans="1:3" x14ac:dyDescent="0.3">
      <c r="A609" s="2">
        <v>37864</v>
      </c>
      <c r="B609">
        <f>4.5/(100)</f>
        <v>4.4999999999999998E-2</v>
      </c>
      <c r="C609">
        <f>4.753/(100)</f>
        <v>4.7530000000000003E-2</v>
      </c>
    </row>
    <row r="610" spans="1:3" x14ac:dyDescent="0.3">
      <c r="A610" s="2">
        <v>37865</v>
      </c>
      <c r="B610">
        <f>4.5/(100)</f>
        <v>4.4999999999999998E-2</v>
      </c>
      <c r="C610">
        <f>4.722/(100)</f>
        <v>4.7220000000000005E-2</v>
      </c>
    </row>
    <row r="611" spans="1:3" x14ac:dyDescent="0.3">
      <c r="A611" s="2">
        <v>37866</v>
      </c>
      <c r="B611">
        <f>4.5/(100)</f>
        <v>4.4999999999999998E-2</v>
      </c>
      <c r="C611">
        <f>4.747/(100)</f>
        <v>4.7469999999999998E-2</v>
      </c>
    </row>
    <row r="612" spans="1:3" x14ac:dyDescent="0.3">
      <c r="A612" s="2">
        <v>37867</v>
      </c>
      <c r="B612">
        <f>4.5/(100)</f>
        <v>4.4999999999999998E-2</v>
      </c>
      <c r="C612">
        <f>4.727/(100)</f>
        <v>4.7270000000000006E-2</v>
      </c>
    </row>
    <row r="613" spans="1:3" x14ac:dyDescent="0.3">
      <c r="A613" s="2">
        <v>37868</v>
      </c>
      <c r="B613">
        <f>4.5/(100)</f>
        <v>4.4999999999999998E-2</v>
      </c>
      <c r="C613">
        <f>4.748/(100)</f>
        <v>4.7480000000000001E-2</v>
      </c>
    </row>
    <row r="614" spans="1:3" x14ac:dyDescent="0.3">
      <c r="A614" s="2">
        <v>37869</v>
      </c>
      <c r="B614">
        <f>4.5/(100)</f>
        <v>4.4999999999999998E-2</v>
      </c>
      <c r="C614">
        <f>4.729/(100)</f>
        <v>4.7289999999999999E-2</v>
      </c>
    </row>
    <row r="615" spans="1:3" x14ac:dyDescent="0.3">
      <c r="A615" s="2">
        <v>37870</v>
      </c>
      <c r="B615">
        <f>4.5/(100)</f>
        <v>4.4999999999999998E-2</v>
      </c>
      <c r="C615">
        <f>4.746/(100)</f>
        <v>4.7460000000000002E-2</v>
      </c>
    </row>
    <row r="616" spans="1:3" x14ac:dyDescent="0.3">
      <c r="A616" s="2">
        <v>37871</v>
      </c>
      <c r="B616">
        <f>4.5/(100)</f>
        <v>4.4999999999999998E-2</v>
      </c>
      <c r="C616">
        <f>4.746/(100)</f>
        <v>4.7460000000000002E-2</v>
      </c>
    </row>
    <row r="617" spans="1:3" x14ac:dyDescent="0.3">
      <c r="A617" s="2">
        <v>37872</v>
      </c>
      <c r="B617">
        <f>4.5/(100)</f>
        <v>4.4999999999999998E-2</v>
      </c>
      <c r="C617">
        <f>4.736/(100)</f>
        <v>4.7359999999999999E-2</v>
      </c>
    </row>
    <row r="618" spans="1:3" x14ac:dyDescent="0.3">
      <c r="A618" s="2">
        <v>37873</v>
      </c>
      <c r="B618">
        <f>4.5/(100)</f>
        <v>4.4999999999999998E-2</v>
      </c>
      <c r="C618">
        <f>4.734/(100)</f>
        <v>4.734E-2</v>
      </c>
    </row>
    <row r="619" spans="1:3" x14ac:dyDescent="0.3">
      <c r="A619" s="2">
        <v>37874</v>
      </c>
      <c r="B619">
        <f>4.5/(100)</f>
        <v>4.4999999999999998E-2</v>
      </c>
      <c r="C619">
        <f>4.769/(100)</f>
        <v>4.7690000000000003E-2</v>
      </c>
    </row>
    <row r="620" spans="1:3" x14ac:dyDescent="0.3">
      <c r="A620" s="2">
        <v>37875</v>
      </c>
      <c r="B620">
        <f>4.5/(100)</f>
        <v>4.4999999999999998E-2</v>
      </c>
      <c r="C620">
        <f>4.736/(100)</f>
        <v>4.7359999999999999E-2</v>
      </c>
    </row>
    <row r="621" spans="1:3" x14ac:dyDescent="0.3">
      <c r="A621" s="2">
        <v>37876</v>
      </c>
      <c r="B621">
        <f>4.5/(100)</f>
        <v>4.4999999999999998E-2</v>
      </c>
      <c r="C621">
        <f>4.742/(100)</f>
        <v>4.7419999999999997E-2</v>
      </c>
    </row>
    <row r="622" spans="1:3" x14ac:dyDescent="0.3">
      <c r="A622" s="2">
        <v>37877</v>
      </c>
      <c r="B622">
        <f>4.5/(100)</f>
        <v>4.4999999999999998E-2</v>
      </c>
      <c r="C622">
        <f>4.742/(100)</f>
        <v>4.7419999999999997E-2</v>
      </c>
    </row>
    <row r="623" spans="1:3" x14ac:dyDescent="0.3">
      <c r="A623" s="2">
        <v>37878</v>
      </c>
      <c r="B623">
        <f>4.5/(100)</f>
        <v>4.4999999999999998E-2</v>
      </c>
      <c r="C623">
        <f>4.742/(100)</f>
        <v>4.7419999999999997E-2</v>
      </c>
    </row>
    <row r="624" spans="1:3" x14ac:dyDescent="0.3">
      <c r="A624" s="2">
        <v>37879</v>
      </c>
      <c r="B624">
        <f>4.5/(100)</f>
        <v>4.4999999999999998E-2</v>
      </c>
      <c r="C624">
        <f>4.645/(100)</f>
        <v>4.6449999999999998E-2</v>
      </c>
    </row>
    <row r="625" spans="1:3" x14ac:dyDescent="0.3">
      <c r="A625" s="2">
        <v>37880</v>
      </c>
      <c r="B625">
        <f>4.5/(100)</f>
        <v>4.4999999999999998E-2</v>
      </c>
      <c r="C625">
        <f>4.728/(100)</f>
        <v>4.7279999999999996E-2</v>
      </c>
    </row>
    <row r="626" spans="1:3" x14ac:dyDescent="0.3">
      <c r="A626" s="2">
        <v>37881</v>
      </c>
      <c r="B626">
        <f>4.5/(100)</f>
        <v>4.4999999999999998E-2</v>
      </c>
      <c r="C626">
        <f>4.705/(100)</f>
        <v>4.7050000000000002E-2</v>
      </c>
    </row>
    <row r="627" spans="1:3" x14ac:dyDescent="0.3">
      <c r="A627" s="2">
        <v>37882</v>
      </c>
      <c r="B627">
        <f>4.5/(100)</f>
        <v>4.4999999999999998E-2</v>
      </c>
      <c r="C627">
        <f>4.699/(100)</f>
        <v>4.6989999999999997E-2</v>
      </c>
    </row>
    <row r="628" spans="1:3" x14ac:dyDescent="0.3">
      <c r="A628" s="2">
        <v>37883</v>
      </c>
      <c r="B628">
        <f>4.5/(100)</f>
        <v>4.4999999999999998E-2</v>
      </c>
      <c r="C628">
        <f>4.746/(100)</f>
        <v>4.7460000000000002E-2</v>
      </c>
    </row>
    <row r="629" spans="1:3" x14ac:dyDescent="0.3">
      <c r="A629" s="2">
        <v>37884</v>
      </c>
      <c r="B629">
        <f>4.5/(100)</f>
        <v>4.4999999999999998E-2</v>
      </c>
      <c r="C629">
        <f>4.619/(100)</f>
        <v>4.6189999999999995E-2</v>
      </c>
    </row>
    <row r="630" spans="1:3" x14ac:dyDescent="0.3">
      <c r="A630" s="2">
        <v>37885</v>
      </c>
      <c r="B630">
        <f>4.5/(100)</f>
        <v>4.4999999999999998E-2</v>
      </c>
      <c r="C630">
        <f>4.619/(100)</f>
        <v>4.6189999999999995E-2</v>
      </c>
    </row>
    <row r="631" spans="1:3" x14ac:dyDescent="0.3">
      <c r="A631" s="2">
        <v>37886</v>
      </c>
      <c r="B631">
        <f>4.5/(100)</f>
        <v>4.4999999999999998E-2</v>
      </c>
      <c r="C631">
        <f>4.667/(100)</f>
        <v>4.6669999999999996E-2</v>
      </c>
    </row>
    <row r="632" spans="1:3" x14ac:dyDescent="0.3">
      <c r="A632" s="2">
        <v>37887</v>
      </c>
      <c r="B632">
        <f>4.5/(100)</f>
        <v>4.4999999999999998E-2</v>
      </c>
      <c r="C632">
        <f>4.729/(100)</f>
        <v>4.7289999999999999E-2</v>
      </c>
    </row>
    <row r="633" spans="1:3" x14ac:dyDescent="0.3">
      <c r="A633" s="2">
        <v>37888</v>
      </c>
      <c r="B633">
        <f>4.5/(100)</f>
        <v>4.4999999999999998E-2</v>
      </c>
      <c r="C633">
        <f>4.711/(100)</f>
        <v>4.7110000000000006E-2</v>
      </c>
    </row>
    <row r="634" spans="1:3" x14ac:dyDescent="0.3">
      <c r="A634" s="2">
        <v>37889</v>
      </c>
      <c r="B634">
        <f>4.5/(100)</f>
        <v>4.4999999999999998E-2</v>
      </c>
      <c r="C634">
        <f>4.715/(100)</f>
        <v>4.7149999999999997E-2</v>
      </c>
    </row>
    <row r="635" spans="1:3" x14ac:dyDescent="0.3">
      <c r="A635" s="2">
        <v>37890</v>
      </c>
      <c r="B635">
        <f>4.5/(100)</f>
        <v>4.4999999999999998E-2</v>
      </c>
      <c r="C635">
        <f>4.71/(100)</f>
        <v>4.7100000000000003E-2</v>
      </c>
    </row>
    <row r="636" spans="1:3" x14ac:dyDescent="0.3">
      <c r="A636" s="2">
        <v>37891</v>
      </c>
      <c r="B636">
        <f>4.5/(100)</f>
        <v>4.4999999999999998E-2</v>
      </c>
      <c r="C636">
        <f>4.667/(100)</f>
        <v>4.6669999999999996E-2</v>
      </c>
    </row>
    <row r="637" spans="1:3" x14ac:dyDescent="0.3">
      <c r="A637" s="2">
        <v>37892</v>
      </c>
      <c r="B637">
        <f>4.5/(100)</f>
        <v>4.4999999999999998E-2</v>
      </c>
      <c r="C637">
        <f>4.667/(100)</f>
        <v>4.6669999999999996E-2</v>
      </c>
    </row>
    <row r="638" spans="1:3" x14ac:dyDescent="0.3">
      <c r="A638" s="2">
        <v>37893</v>
      </c>
      <c r="B638">
        <f>4.5/(100)</f>
        <v>4.4999999999999998E-2</v>
      </c>
      <c r="C638">
        <f>4.727/(100)</f>
        <v>4.7270000000000006E-2</v>
      </c>
    </row>
    <row r="639" spans="1:3" x14ac:dyDescent="0.3">
      <c r="A639" s="2">
        <v>37894</v>
      </c>
      <c r="B639">
        <f>4.5/(100)</f>
        <v>4.4999999999999998E-2</v>
      </c>
      <c r="C639">
        <f>4.727/(100)</f>
        <v>4.7270000000000006E-2</v>
      </c>
    </row>
    <row r="640" spans="1:3" x14ac:dyDescent="0.3">
      <c r="A640" s="2">
        <v>37895</v>
      </c>
      <c r="B640">
        <f>4.5/(100)</f>
        <v>4.4999999999999998E-2</v>
      </c>
      <c r="C640">
        <f>4.529/(100)</f>
        <v>4.5289999999999997E-2</v>
      </c>
    </row>
    <row r="641" spans="1:3" x14ac:dyDescent="0.3">
      <c r="A641" s="2">
        <v>37896</v>
      </c>
      <c r="B641">
        <f>4.5/(100)</f>
        <v>4.4999999999999998E-2</v>
      </c>
      <c r="C641">
        <f>4.529/(100)</f>
        <v>4.5289999999999997E-2</v>
      </c>
    </row>
    <row r="642" spans="1:3" x14ac:dyDescent="0.3">
      <c r="A642" s="2">
        <v>37897</v>
      </c>
      <c r="B642">
        <f>4.5/(100)</f>
        <v>4.4999999999999998E-2</v>
      </c>
      <c r="C642">
        <f>4.649/(100)</f>
        <v>4.6490000000000004E-2</v>
      </c>
    </row>
    <row r="643" spans="1:3" x14ac:dyDescent="0.3">
      <c r="A643" s="2">
        <v>37898</v>
      </c>
      <c r="B643">
        <f>4.5/(100)</f>
        <v>4.4999999999999998E-2</v>
      </c>
      <c r="C643">
        <f>4.649/(100)</f>
        <v>4.6490000000000004E-2</v>
      </c>
    </row>
    <row r="644" spans="1:3" x14ac:dyDescent="0.3">
      <c r="A644" s="2">
        <v>37899</v>
      </c>
      <c r="B644">
        <f>4.5/(100)</f>
        <v>4.4999999999999998E-2</v>
      </c>
      <c r="C644">
        <f>4.649/(100)</f>
        <v>4.6490000000000004E-2</v>
      </c>
    </row>
    <row r="645" spans="1:3" x14ac:dyDescent="0.3">
      <c r="A645" s="2">
        <v>37900</v>
      </c>
      <c r="B645">
        <f>4.5/(100)</f>
        <v>4.4999999999999998E-2</v>
      </c>
      <c r="C645">
        <f>4.398/(100)</f>
        <v>4.3979999999999998E-2</v>
      </c>
    </row>
    <row r="646" spans="1:3" x14ac:dyDescent="0.3">
      <c r="A646" s="2">
        <v>37901</v>
      </c>
      <c r="B646">
        <f>4.5/(100)</f>
        <v>4.4999999999999998E-2</v>
      </c>
      <c r="C646">
        <f>4.527/(100)</f>
        <v>4.5270000000000005E-2</v>
      </c>
    </row>
    <row r="647" spans="1:3" x14ac:dyDescent="0.3">
      <c r="A647" s="2">
        <v>37902</v>
      </c>
      <c r="B647">
        <f>4.5/(100)</f>
        <v>4.4999999999999998E-2</v>
      </c>
      <c r="C647">
        <f>4.466/(100)</f>
        <v>4.4660000000000005E-2</v>
      </c>
    </row>
    <row r="648" spans="1:3" x14ac:dyDescent="0.3">
      <c r="A648" s="2">
        <v>37903</v>
      </c>
      <c r="B648">
        <f>4.5/(100)</f>
        <v>4.4999999999999998E-2</v>
      </c>
      <c r="C648">
        <f>4.495/(100)</f>
        <v>4.4950000000000004E-2</v>
      </c>
    </row>
    <row r="649" spans="1:3" x14ac:dyDescent="0.3">
      <c r="A649" s="2">
        <v>37904</v>
      </c>
      <c r="B649">
        <f>4.5/(100)</f>
        <v>4.4999999999999998E-2</v>
      </c>
      <c r="C649">
        <f>4.528/(100)</f>
        <v>4.5279999999999994E-2</v>
      </c>
    </row>
    <row r="650" spans="1:3" x14ac:dyDescent="0.3">
      <c r="A650" s="2">
        <v>37905</v>
      </c>
      <c r="B650">
        <f>4.5/(100)</f>
        <v>4.4999999999999998E-2</v>
      </c>
      <c r="C650">
        <f>4.528/(100)</f>
        <v>4.5279999999999994E-2</v>
      </c>
    </row>
    <row r="651" spans="1:3" x14ac:dyDescent="0.3">
      <c r="A651" s="2">
        <v>37906</v>
      </c>
      <c r="B651">
        <f>4.5/(100)</f>
        <v>4.4999999999999998E-2</v>
      </c>
      <c r="C651">
        <f>4.528/(100)</f>
        <v>4.5279999999999994E-2</v>
      </c>
    </row>
    <row r="652" spans="1:3" x14ac:dyDescent="0.3">
      <c r="A652" s="2">
        <v>37907</v>
      </c>
      <c r="B652">
        <f>4.5/(100)</f>
        <v>4.4999999999999998E-2</v>
      </c>
      <c r="C652">
        <f>4.537/(100)</f>
        <v>4.5370000000000001E-2</v>
      </c>
    </row>
    <row r="653" spans="1:3" x14ac:dyDescent="0.3">
      <c r="A653" s="2">
        <v>37908</v>
      </c>
      <c r="B653">
        <f>4.5/(100)</f>
        <v>4.4999999999999998E-2</v>
      </c>
      <c r="C653">
        <f>4.451/(100)</f>
        <v>4.4509999999999994E-2</v>
      </c>
    </row>
    <row r="654" spans="1:3" x14ac:dyDescent="0.3">
      <c r="A654" s="2">
        <v>37909</v>
      </c>
      <c r="B654">
        <f>4.5/(100)</f>
        <v>4.4999999999999998E-2</v>
      </c>
      <c r="C654">
        <f>4.504/(100)</f>
        <v>4.5039999999999997E-2</v>
      </c>
    </row>
    <row r="655" spans="1:3" x14ac:dyDescent="0.3">
      <c r="A655" s="2">
        <v>37910</v>
      </c>
      <c r="B655">
        <f>4.5/(100)</f>
        <v>4.4999999999999998E-2</v>
      </c>
      <c r="C655">
        <f>4.498/(100)</f>
        <v>4.4979999999999999E-2</v>
      </c>
    </row>
    <row r="656" spans="1:3" x14ac:dyDescent="0.3">
      <c r="A656" s="2">
        <v>37911</v>
      </c>
      <c r="B656">
        <f>4.5/(100)</f>
        <v>4.4999999999999998E-2</v>
      </c>
      <c r="C656">
        <f>4.54/(100)</f>
        <v>4.5400000000000003E-2</v>
      </c>
    </row>
    <row r="657" spans="1:3" x14ac:dyDescent="0.3">
      <c r="A657" s="2">
        <v>37912</v>
      </c>
      <c r="B657">
        <f>4.5/(100)</f>
        <v>4.4999999999999998E-2</v>
      </c>
      <c r="C657">
        <f>4.382/(100)</f>
        <v>4.3819999999999998E-2</v>
      </c>
    </row>
    <row r="658" spans="1:3" x14ac:dyDescent="0.3">
      <c r="A658" s="2">
        <v>37913</v>
      </c>
      <c r="B658">
        <f>4.5/(100)</f>
        <v>4.4999999999999998E-2</v>
      </c>
      <c r="C658">
        <f>4.382/(100)</f>
        <v>4.3819999999999998E-2</v>
      </c>
    </row>
    <row r="659" spans="1:3" x14ac:dyDescent="0.3">
      <c r="A659" s="2">
        <v>37914</v>
      </c>
      <c r="B659">
        <f>4.5/(100)</f>
        <v>4.4999999999999998E-2</v>
      </c>
      <c r="C659">
        <f>4.57/(100)</f>
        <v>4.5700000000000005E-2</v>
      </c>
    </row>
    <row r="660" spans="1:3" x14ac:dyDescent="0.3">
      <c r="A660" s="2">
        <v>37915</v>
      </c>
      <c r="B660">
        <f>4.5/(100)</f>
        <v>4.4999999999999998E-2</v>
      </c>
      <c r="C660">
        <f>4.612/(100)</f>
        <v>4.6120000000000001E-2</v>
      </c>
    </row>
    <row r="661" spans="1:3" x14ac:dyDescent="0.3">
      <c r="A661" s="2">
        <v>37916</v>
      </c>
      <c r="B661">
        <f>4.5/(100)</f>
        <v>4.4999999999999998E-2</v>
      </c>
      <c r="C661">
        <f>4.746/(100)</f>
        <v>4.7460000000000002E-2</v>
      </c>
    </row>
    <row r="662" spans="1:3" x14ac:dyDescent="0.3">
      <c r="A662" s="2">
        <v>37917</v>
      </c>
      <c r="B662">
        <f>4.5/(100)</f>
        <v>4.4999999999999998E-2</v>
      </c>
      <c r="C662">
        <f>4.707/(100)</f>
        <v>4.7070000000000001E-2</v>
      </c>
    </row>
    <row r="663" spans="1:3" x14ac:dyDescent="0.3">
      <c r="A663" s="2">
        <v>37918</v>
      </c>
      <c r="B663">
        <f>4.5/(100)</f>
        <v>4.4999999999999998E-2</v>
      </c>
      <c r="C663">
        <f>4.693/(100)</f>
        <v>4.6929999999999999E-2</v>
      </c>
    </row>
    <row r="664" spans="1:3" x14ac:dyDescent="0.3">
      <c r="A664" s="2">
        <v>37919</v>
      </c>
      <c r="B664">
        <f>4.5/(100)</f>
        <v>4.4999999999999998E-2</v>
      </c>
      <c r="C664">
        <f>4.693/(100)</f>
        <v>4.6929999999999999E-2</v>
      </c>
    </row>
    <row r="665" spans="1:3" x14ac:dyDescent="0.3">
      <c r="A665" s="2">
        <v>37920</v>
      </c>
      <c r="B665">
        <f>4.5/(100)</f>
        <v>4.4999999999999998E-2</v>
      </c>
      <c r="C665">
        <f>4.693/(100)</f>
        <v>4.6929999999999999E-2</v>
      </c>
    </row>
    <row r="666" spans="1:3" x14ac:dyDescent="0.3">
      <c r="A666" s="2">
        <v>37921</v>
      </c>
      <c r="B666">
        <f>4.5/(100)</f>
        <v>4.4999999999999998E-2</v>
      </c>
      <c r="C666">
        <f>4.583/(100)</f>
        <v>4.5830000000000003E-2</v>
      </c>
    </row>
    <row r="667" spans="1:3" x14ac:dyDescent="0.3">
      <c r="A667" s="2">
        <v>37922</v>
      </c>
      <c r="B667">
        <f>4.5/(100)</f>
        <v>4.4999999999999998E-2</v>
      </c>
      <c r="C667">
        <f>4.677/(100)</f>
        <v>4.6769999999999999E-2</v>
      </c>
    </row>
    <row r="668" spans="1:3" x14ac:dyDescent="0.3">
      <c r="A668" s="2">
        <v>37923</v>
      </c>
      <c r="B668">
        <f>4.5/(100)</f>
        <v>4.4999999999999998E-2</v>
      </c>
      <c r="C668">
        <f>4.724/(100)</f>
        <v>4.7240000000000004E-2</v>
      </c>
    </row>
    <row r="669" spans="1:3" x14ac:dyDescent="0.3">
      <c r="A669" s="2">
        <v>37924</v>
      </c>
      <c r="B669">
        <f>4.5/(100)</f>
        <v>4.4999999999999998E-2</v>
      </c>
      <c r="C669">
        <f>4.586/(100)</f>
        <v>4.5860000000000005E-2</v>
      </c>
    </row>
    <row r="670" spans="1:3" x14ac:dyDescent="0.3">
      <c r="A670" s="2">
        <v>37925</v>
      </c>
      <c r="B670">
        <f>4.5/(100)</f>
        <v>4.4999999999999998E-2</v>
      </c>
      <c r="C670">
        <f>4.649/(100)</f>
        <v>4.6490000000000004E-2</v>
      </c>
    </row>
    <row r="671" spans="1:3" x14ac:dyDescent="0.3">
      <c r="A671" s="2">
        <v>37926</v>
      </c>
      <c r="B671">
        <f>4.5/(100)</f>
        <v>4.4999999999999998E-2</v>
      </c>
      <c r="C671">
        <f>4.514/(100)</f>
        <v>4.514E-2</v>
      </c>
    </row>
    <row r="672" spans="1:3" x14ac:dyDescent="0.3">
      <c r="A672" s="2">
        <v>37927</v>
      </c>
      <c r="B672">
        <f>4.5/(100)</f>
        <v>4.4999999999999998E-2</v>
      </c>
      <c r="C672">
        <f>4.514/(100)</f>
        <v>4.514E-2</v>
      </c>
    </row>
    <row r="673" spans="1:3" x14ac:dyDescent="0.3">
      <c r="A673" s="2">
        <v>37928</v>
      </c>
      <c r="B673">
        <f>4.5/(100)</f>
        <v>4.4999999999999998E-2</v>
      </c>
      <c r="C673">
        <f>4.587/(100)</f>
        <v>4.5869999999999994E-2</v>
      </c>
    </row>
    <row r="674" spans="1:3" x14ac:dyDescent="0.3">
      <c r="A674" s="2">
        <v>37929</v>
      </c>
      <c r="B674">
        <f>4.5/(100)</f>
        <v>4.4999999999999998E-2</v>
      </c>
      <c r="C674">
        <f>4.528/(100)</f>
        <v>4.5279999999999994E-2</v>
      </c>
    </row>
    <row r="675" spans="1:3" x14ac:dyDescent="0.3">
      <c r="A675" s="2">
        <v>37930</v>
      </c>
      <c r="B675">
        <f>4.5/(100)</f>
        <v>4.4999999999999998E-2</v>
      </c>
      <c r="C675">
        <f>4.591/(100)</f>
        <v>4.5909999999999999E-2</v>
      </c>
    </row>
    <row r="676" spans="1:3" x14ac:dyDescent="0.3">
      <c r="A676" s="2">
        <v>37931</v>
      </c>
      <c r="B676">
        <f>4.5/(100)</f>
        <v>4.4999999999999998E-2</v>
      </c>
      <c r="C676">
        <f>4.618/(100)</f>
        <v>4.6180000000000006E-2</v>
      </c>
    </row>
    <row r="677" spans="1:3" x14ac:dyDescent="0.3">
      <c r="A677" s="2">
        <v>37932</v>
      </c>
      <c r="B677">
        <f>4.5/(100)</f>
        <v>4.4999999999999998E-2</v>
      </c>
      <c r="C677">
        <f>4.469/(100)</f>
        <v>4.4690000000000001E-2</v>
      </c>
    </row>
    <row r="678" spans="1:3" x14ac:dyDescent="0.3">
      <c r="A678" s="2">
        <v>37933</v>
      </c>
      <c r="B678">
        <f>4.5/(100)</f>
        <v>4.4999999999999998E-2</v>
      </c>
      <c r="C678">
        <f>4.469/(100)</f>
        <v>4.4690000000000001E-2</v>
      </c>
    </row>
    <row r="679" spans="1:3" x14ac:dyDescent="0.3">
      <c r="A679" s="2">
        <v>37934</v>
      </c>
      <c r="B679">
        <f>4.5/(100)</f>
        <v>4.4999999999999998E-2</v>
      </c>
      <c r="C679">
        <f>4.469/(100)</f>
        <v>4.4690000000000001E-2</v>
      </c>
    </row>
    <row r="680" spans="1:3" x14ac:dyDescent="0.3">
      <c r="A680" s="2">
        <v>37935</v>
      </c>
      <c r="B680">
        <f>4.5/(100)</f>
        <v>4.4999999999999998E-2</v>
      </c>
      <c r="C680">
        <f>4.585/(100)</f>
        <v>4.5850000000000002E-2</v>
      </c>
    </row>
    <row r="681" spans="1:3" x14ac:dyDescent="0.3">
      <c r="A681" s="2">
        <v>37936</v>
      </c>
      <c r="B681">
        <f>4.5/(100)</f>
        <v>4.4999999999999998E-2</v>
      </c>
      <c r="C681">
        <f>4.594/(100)</f>
        <v>4.5940000000000002E-2</v>
      </c>
    </row>
    <row r="682" spans="1:3" x14ac:dyDescent="0.3">
      <c r="A682" s="2">
        <v>37937</v>
      </c>
      <c r="B682">
        <f>4.5/(100)</f>
        <v>4.4999999999999998E-2</v>
      </c>
      <c r="C682">
        <f>4.564/(100)</f>
        <v>4.564E-2</v>
      </c>
    </row>
    <row r="683" spans="1:3" x14ac:dyDescent="0.3">
      <c r="A683" s="2">
        <v>37938</v>
      </c>
      <c r="B683">
        <f>4.5/(100)</f>
        <v>4.4999999999999998E-2</v>
      </c>
      <c r="C683">
        <f>4.546/(100)</f>
        <v>4.546E-2</v>
      </c>
    </row>
    <row r="684" spans="1:3" x14ac:dyDescent="0.3">
      <c r="A684" s="2">
        <v>37939</v>
      </c>
      <c r="B684">
        <f>4.5/(100)</f>
        <v>4.4999999999999998E-2</v>
      </c>
      <c r="C684">
        <f>4.533/(100)</f>
        <v>4.5330000000000002E-2</v>
      </c>
    </row>
    <row r="685" spans="1:3" x14ac:dyDescent="0.3">
      <c r="A685" s="2">
        <v>37940</v>
      </c>
      <c r="B685">
        <f>4.5/(100)</f>
        <v>4.4999999999999998E-2</v>
      </c>
      <c r="C685">
        <f>4.533/(100)</f>
        <v>4.5330000000000002E-2</v>
      </c>
    </row>
    <row r="686" spans="1:3" x14ac:dyDescent="0.3">
      <c r="A686" s="2">
        <v>37941</v>
      </c>
      <c r="B686">
        <f>4.5/(100)</f>
        <v>4.4999999999999998E-2</v>
      </c>
      <c r="C686">
        <f>4.533/(100)</f>
        <v>4.5330000000000002E-2</v>
      </c>
    </row>
    <row r="687" spans="1:3" x14ac:dyDescent="0.3">
      <c r="A687" s="2">
        <v>37942</v>
      </c>
      <c r="B687">
        <f>4.5/(100)</f>
        <v>4.4999999999999998E-2</v>
      </c>
      <c r="C687">
        <f>4.552/(100)</f>
        <v>4.5519999999999998E-2</v>
      </c>
    </row>
    <row r="688" spans="1:3" x14ac:dyDescent="0.3">
      <c r="A688" s="2">
        <v>37943</v>
      </c>
      <c r="B688">
        <f>4.5/(100)</f>
        <v>4.4999999999999998E-2</v>
      </c>
      <c r="C688">
        <f>4.607/(100)</f>
        <v>4.607E-2</v>
      </c>
    </row>
    <row r="689" spans="1:3" x14ac:dyDescent="0.3">
      <c r="A689" s="2">
        <v>37944</v>
      </c>
      <c r="B689">
        <f>4.5/(100)</f>
        <v>4.4999999999999998E-2</v>
      </c>
      <c r="C689">
        <f>4.36/(100)</f>
        <v>4.36E-2</v>
      </c>
    </row>
    <row r="690" spans="1:3" x14ac:dyDescent="0.3">
      <c r="A690" s="2">
        <v>37945</v>
      </c>
      <c r="B690">
        <f>4.5/(100)</f>
        <v>4.4999999999999998E-2</v>
      </c>
      <c r="C690">
        <f>4.495/(100)</f>
        <v>4.4950000000000004E-2</v>
      </c>
    </row>
    <row r="691" spans="1:3" x14ac:dyDescent="0.3">
      <c r="A691" s="2">
        <v>37946</v>
      </c>
      <c r="B691">
        <f>4.5/(100)</f>
        <v>4.4999999999999998E-2</v>
      </c>
      <c r="C691">
        <f>4.391/(100)</f>
        <v>4.3909999999999998E-2</v>
      </c>
    </row>
    <row r="692" spans="1:3" x14ac:dyDescent="0.3">
      <c r="A692" s="2">
        <v>37947</v>
      </c>
      <c r="B692">
        <f>4.5/(100)</f>
        <v>4.4999999999999998E-2</v>
      </c>
      <c r="C692">
        <f>4.22/(100)</f>
        <v>4.2199999999999994E-2</v>
      </c>
    </row>
    <row r="693" spans="1:3" x14ac:dyDescent="0.3">
      <c r="A693" s="2">
        <v>37948</v>
      </c>
      <c r="B693">
        <f>4.5/(100)</f>
        <v>4.4999999999999998E-2</v>
      </c>
      <c r="C693">
        <f>4.22/(100)</f>
        <v>4.2199999999999994E-2</v>
      </c>
    </row>
    <row r="694" spans="1:3" x14ac:dyDescent="0.3">
      <c r="A694" s="2">
        <v>37949</v>
      </c>
      <c r="B694">
        <f>4.5/(100)</f>
        <v>4.4999999999999998E-2</v>
      </c>
      <c r="C694">
        <f>4.22/(100)</f>
        <v>4.2199999999999994E-2</v>
      </c>
    </row>
    <row r="695" spans="1:3" x14ac:dyDescent="0.3">
      <c r="A695" s="2">
        <v>37950</v>
      </c>
      <c r="B695">
        <f>4.5/(100)</f>
        <v>4.4999999999999998E-2</v>
      </c>
      <c r="C695">
        <f>4.347/(100)</f>
        <v>4.3470000000000002E-2</v>
      </c>
    </row>
    <row r="696" spans="1:3" x14ac:dyDescent="0.3">
      <c r="A696" s="2">
        <v>37951</v>
      </c>
      <c r="B696">
        <f>4.5/(100)</f>
        <v>4.4999999999999998E-2</v>
      </c>
      <c r="C696">
        <f>4.347/(100)</f>
        <v>4.3470000000000002E-2</v>
      </c>
    </row>
    <row r="697" spans="1:3" x14ac:dyDescent="0.3">
      <c r="A697" s="2">
        <v>37952</v>
      </c>
      <c r="B697">
        <f>4.5/(100)</f>
        <v>4.4999999999999998E-2</v>
      </c>
      <c r="C697">
        <f>4.424/(100)</f>
        <v>4.4240000000000002E-2</v>
      </c>
    </row>
    <row r="698" spans="1:3" x14ac:dyDescent="0.3">
      <c r="A698" s="2">
        <v>37953</v>
      </c>
      <c r="B698">
        <f>4.5/(100)</f>
        <v>4.4999999999999998E-2</v>
      </c>
      <c r="C698">
        <f>4.396/(100)</f>
        <v>4.3959999999999999E-2</v>
      </c>
    </row>
    <row r="699" spans="1:3" x14ac:dyDescent="0.3">
      <c r="A699" s="2">
        <v>37954</v>
      </c>
      <c r="B699">
        <f>4.5/(100)</f>
        <v>4.4999999999999998E-2</v>
      </c>
      <c r="C699">
        <f>4.396/(100)</f>
        <v>4.3959999999999999E-2</v>
      </c>
    </row>
    <row r="700" spans="1:3" x14ac:dyDescent="0.3">
      <c r="A700" s="2">
        <v>37955</v>
      </c>
      <c r="B700">
        <f>4.5/(100)</f>
        <v>4.4999999999999998E-2</v>
      </c>
      <c r="C700">
        <f>4.396/(100)</f>
        <v>4.3959999999999999E-2</v>
      </c>
    </row>
    <row r="701" spans="1:3" x14ac:dyDescent="0.3">
      <c r="A701" s="2">
        <v>37956</v>
      </c>
      <c r="B701">
        <f>4.5/(100)</f>
        <v>4.4999999999999998E-2</v>
      </c>
      <c r="C701">
        <f>4.357/(100)</f>
        <v>4.3570000000000005E-2</v>
      </c>
    </row>
    <row r="702" spans="1:3" x14ac:dyDescent="0.3">
      <c r="A702" s="2">
        <v>37957</v>
      </c>
      <c r="B702">
        <f>4.5/(100)</f>
        <v>4.4999999999999998E-2</v>
      </c>
      <c r="C702">
        <f>4.354/(100)</f>
        <v>4.3540000000000002E-2</v>
      </c>
    </row>
    <row r="703" spans="1:3" x14ac:dyDescent="0.3">
      <c r="A703" s="2">
        <v>37958</v>
      </c>
      <c r="B703">
        <f>4.5/(100)</f>
        <v>4.4999999999999998E-2</v>
      </c>
      <c r="C703">
        <f>4.359/(100)</f>
        <v>4.3589999999999997E-2</v>
      </c>
    </row>
    <row r="704" spans="1:3" x14ac:dyDescent="0.3">
      <c r="A704" s="2">
        <v>37959</v>
      </c>
      <c r="B704">
        <f>4.5/(100)</f>
        <v>4.4999999999999998E-2</v>
      </c>
      <c r="C704">
        <f>4.332/(100)</f>
        <v>4.3319999999999997E-2</v>
      </c>
    </row>
    <row r="705" spans="1:3" x14ac:dyDescent="0.3">
      <c r="A705" s="2">
        <v>37960</v>
      </c>
      <c r="B705">
        <f>4.5/(100)</f>
        <v>4.4999999999999998E-2</v>
      </c>
      <c r="C705">
        <f>4.386/(100)</f>
        <v>4.3860000000000003E-2</v>
      </c>
    </row>
    <row r="706" spans="1:3" x14ac:dyDescent="0.3">
      <c r="A706" s="2">
        <v>37961</v>
      </c>
      <c r="B706">
        <f>4.5/(100)</f>
        <v>4.4999999999999998E-2</v>
      </c>
      <c r="C706">
        <f>4.386/(100)</f>
        <v>4.3860000000000003E-2</v>
      </c>
    </row>
    <row r="707" spans="1:3" x14ac:dyDescent="0.3">
      <c r="A707" s="2">
        <v>37962</v>
      </c>
      <c r="B707">
        <f>4.5/(100)</f>
        <v>4.4999999999999998E-2</v>
      </c>
      <c r="C707">
        <f>4.386/(100)</f>
        <v>4.3860000000000003E-2</v>
      </c>
    </row>
    <row r="708" spans="1:3" x14ac:dyDescent="0.3">
      <c r="A708" s="2">
        <v>37963</v>
      </c>
      <c r="B708">
        <f>4.5/(100)</f>
        <v>4.4999999999999998E-2</v>
      </c>
      <c r="C708">
        <f>4.309/(100)</f>
        <v>4.3090000000000003E-2</v>
      </c>
    </row>
    <row r="709" spans="1:3" x14ac:dyDescent="0.3">
      <c r="A709" s="2">
        <v>37964</v>
      </c>
      <c r="B709">
        <f>4.5/(100)</f>
        <v>4.4999999999999998E-2</v>
      </c>
      <c r="C709">
        <f>4.372/(100)</f>
        <v>4.3720000000000002E-2</v>
      </c>
    </row>
    <row r="710" spans="1:3" x14ac:dyDescent="0.3">
      <c r="A710" s="2">
        <v>37965</v>
      </c>
      <c r="B710">
        <f>4.5/(100)</f>
        <v>4.4999999999999998E-2</v>
      </c>
      <c r="C710">
        <f>4.382/(100)</f>
        <v>4.3819999999999998E-2</v>
      </c>
    </row>
    <row r="711" spans="1:3" x14ac:dyDescent="0.3">
      <c r="A711" s="2">
        <v>37966</v>
      </c>
      <c r="B711">
        <f>4.5/(100)</f>
        <v>4.4999999999999998E-2</v>
      </c>
      <c r="C711">
        <f>4.279/(100)</f>
        <v>4.2790000000000002E-2</v>
      </c>
    </row>
    <row r="712" spans="1:3" x14ac:dyDescent="0.3">
      <c r="A712" s="2">
        <v>37967</v>
      </c>
      <c r="B712">
        <f>4.5/(100)</f>
        <v>4.4999999999999998E-2</v>
      </c>
      <c r="C712">
        <f>4.23/(100)</f>
        <v>4.2300000000000004E-2</v>
      </c>
    </row>
    <row r="713" spans="1:3" x14ac:dyDescent="0.3">
      <c r="A713" s="2">
        <v>37968</v>
      </c>
      <c r="B713">
        <f>4.5/(100)</f>
        <v>4.4999999999999998E-2</v>
      </c>
      <c r="C713">
        <f>4.135/(100)</f>
        <v>4.1349999999999998E-2</v>
      </c>
    </row>
    <row r="714" spans="1:3" x14ac:dyDescent="0.3">
      <c r="A714" s="2">
        <v>37969</v>
      </c>
      <c r="B714">
        <f>4.5/(100)</f>
        <v>4.4999999999999998E-2</v>
      </c>
      <c r="C714">
        <f>4.135/(100)</f>
        <v>4.1349999999999998E-2</v>
      </c>
    </row>
    <row r="715" spans="1:3" x14ac:dyDescent="0.3">
      <c r="A715" s="2">
        <v>37970</v>
      </c>
      <c r="B715">
        <f>4.5/(100)</f>
        <v>4.4999999999999998E-2</v>
      </c>
      <c r="C715">
        <f>4.276/(100)</f>
        <v>4.2759999999999999E-2</v>
      </c>
    </row>
    <row r="716" spans="1:3" x14ac:dyDescent="0.3">
      <c r="A716" s="2">
        <v>37971</v>
      </c>
      <c r="B716">
        <f>4.5/(100)</f>
        <v>4.4999999999999998E-2</v>
      </c>
      <c r="C716">
        <f>4.299/(100)</f>
        <v>4.299E-2</v>
      </c>
    </row>
    <row r="717" spans="1:3" x14ac:dyDescent="0.3">
      <c r="A717" s="2">
        <v>37972</v>
      </c>
      <c r="B717">
        <f>4.5/(100)</f>
        <v>4.4999999999999998E-2</v>
      </c>
      <c r="C717">
        <f>4.141/(100)</f>
        <v>4.1410000000000002E-2</v>
      </c>
    </row>
    <row r="718" spans="1:3" x14ac:dyDescent="0.3">
      <c r="A718" s="2">
        <v>37973</v>
      </c>
      <c r="B718">
        <f>4.5/(100)</f>
        <v>4.4999999999999998E-2</v>
      </c>
      <c r="C718">
        <f>4.291/(100)</f>
        <v>4.2910000000000004E-2</v>
      </c>
    </row>
    <row r="719" spans="1:3" x14ac:dyDescent="0.3">
      <c r="A719" s="2">
        <v>37974</v>
      </c>
      <c r="B719">
        <f>4.5/(100)</f>
        <v>4.4999999999999998E-2</v>
      </c>
      <c r="C719">
        <f>4.213/(100)</f>
        <v>4.2130000000000001E-2</v>
      </c>
    </row>
    <row r="720" spans="1:3" x14ac:dyDescent="0.3">
      <c r="A720" s="2">
        <v>37975</v>
      </c>
      <c r="B720">
        <f>4.5/(100)</f>
        <v>4.4999999999999998E-2</v>
      </c>
      <c r="C720">
        <f>4.213/(100)</f>
        <v>4.2130000000000001E-2</v>
      </c>
    </row>
    <row r="721" spans="1:3" x14ac:dyDescent="0.3">
      <c r="A721" s="2">
        <v>37976</v>
      </c>
      <c r="B721">
        <f>4.5/(100)</f>
        <v>4.4999999999999998E-2</v>
      </c>
      <c r="C721">
        <f>4.213/(100)</f>
        <v>4.2130000000000001E-2</v>
      </c>
    </row>
    <row r="722" spans="1:3" x14ac:dyDescent="0.3">
      <c r="A722" s="2">
        <v>37977</v>
      </c>
      <c r="B722">
        <f>4.5/(100)</f>
        <v>4.4999999999999998E-2</v>
      </c>
      <c r="C722">
        <f>4.204/(100)</f>
        <v>4.2039999999999994E-2</v>
      </c>
    </row>
    <row r="723" spans="1:3" x14ac:dyDescent="0.3">
      <c r="A723" s="2">
        <v>37978</v>
      </c>
      <c r="B723">
        <f>4.5/(100)</f>
        <v>4.4999999999999998E-2</v>
      </c>
      <c r="C723">
        <f>4.519/(100)</f>
        <v>4.5190000000000001E-2</v>
      </c>
    </row>
    <row r="724" spans="1:3" x14ac:dyDescent="0.3">
      <c r="A724" s="2">
        <v>37979</v>
      </c>
      <c r="B724">
        <f>4.5/(100)</f>
        <v>4.4999999999999998E-2</v>
      </c>
      <c r="C724">
        <f>4.505/(100)</f>
        <v>4.505E-2</v>
      </c>
    </row>
    <row r="725" spans="1:3" x14ac:dyDescent="0.3">
      <c r="A725" s="2">
        <v>37980</v>
      </c>
      <c r="B725">
        <f>4.5/(100)</f>
        <v>4.4999999999999998E-2</v>
      </c>
      <c r="C725">
        <f>4.505/(100)</f>
        <v>4.505E-2</v>
      </c>
    </row>
    <row r="726" spans="1:3" x14ac:dyDescent="0.3">
      <c r="A726" s="2">
        <v>37981</v>
      </c>
      <c r="B726">
        <f>4.5/(100)</f>
        <v>4.4999999999999998E-2</v>
      </c>
      <c r="C726">
        <f>4.516/(100)</f>
        <v>4.5159999999999999E-2</v>
      </c>
    </row>
    <row r="727" spans="1:3" x14ac:dyDescent="0.3">
      <c r="A727" s="2">
        <v>37982</v>
      </c>
      <c r="B727">
        <f>4.5/(100)</f>
        <v>4.4999999999999998E-2</v>
      </c>
      <c r="C727">
        <f>4.516/(100)</f>
        <v>4.5159999999999999E-2</v>
      </c>
    </row>
    <row r="728" spans="1:3" x14ac:dyDescent="0.3">
      <c r="A728" s="2">
        <v>37983</v>
      </c>
      <c r="B728">
        <f>4.5/(100)</f>
        <v>4.4999999999999998E-2</v>
      </c>
      <c r="C728">
        <f>4.516/(100)</f>
        <v>4.5159999999999999E-2</v>
      </c>
    </row>
    <row r="729" spans="1:3" x14ac:dyDescent="0.3">
      <c r="A729" s="2">
        <v>37984</v>
      </c>
      <c r="B729">
        <f>4.5/(100)</f>
        <v>4.4999999999999998E-2</v>
      </c>
      <c r="C729">
        <f>4.356/(100)</f>
        <v>4.3560000000000001E-2</v>
      </c>
    </row>
    <row r="730" spans="1:3" x14ac:dyDescent="0.3">
      <c r="A730" s="2">
        <v>37985</v>
      </c>
      <c r="B730">
        <f>4.5/(100)</f>
        <v>4.4999999999999998E-2</v>
      </c>
      <c r="C730">
        <f>4.473/(100)</f>
        <v>4.4729999999999999E-2</v>
      </c>
    </row>
    <row r="731" spans="1:3" x14ac:dyDescent="0.3">
      <c r="A731" s="2">
        <v>37986</v>
      </c>
      <c r="B731">
        <f>4.5/(100)</f>
        <v>4.4999999999999998E-2</v>
      </c>
      <c r="C731">
        <f>4.554/(100)</f>
        <v>4.5540000000000004E-2</v>
      </c>
    </row>
    <row r="732" spans="1:3" x14ac:dyDescent="0.3">
      <c r="A732" s="2">
        <v>37987</v>
      </c>
      <c r="B732">
        <f>4.5/(100)</f>
        <v>4.4999999999999998E-2</v>
      </c>
      <c r="C732">
        <f>4.443/(100)</f>
        <v>4.4429999999999997E-2</v>
      </c>
    </row>
    <row r="733" spans="1:3" x14ac:dyDescent="0.3">
      <c r="A733" s="2">
        <v>37988</v>
      </c>
      <c r="B733">
        <f>4.5/(100)</f>
        <v>4.4999999999999998E-2</v>
      </c>
      <c r="C733">
        <f>4.2/(100)</f>
        <v>4.2000000000000003E-2</v>
      </c>
    </row>
    <row r="734" spans="1:3" x14ac:dyDescent="0.3">
      <c r="A734" s="2">
        <v>37989</v>
      </c>
      <c r="B734">
        <f>4.5/(100)</f>
        <v>4.4999999999999998E-2</v>
      </c>
      <c r="C734">
        <f>4.2/(100)</f>
        <v>4.2000000000000003E-2</v>
      </c>
    </row>
    <row r="735" spans="1:3" x14ac:dyDescent="0.3">
      <c r="A735" s="2">
        <v>37990</v>
      </c>
      <c r="B735">
        <f>4.5/(100)</f>
        <v>4.4999999999999998E-2</v>
      </c>
      <c r="C735">
        <f>4.2/(100)</f>
        <v>4.2000000000000003E-2</v>
      </c>
    </row>
    <row r="736" spans="1:3" x14ac:dyDescent="0.3">
      <c r="A736" s="2">
        <v>37991</v>
      </c>
      <c r="B736">
        <f>4.5/(100)</f>
        <v>4.4999999999999998E-2</v>
      </c>
      <c r="C736">
        <f>4.482/(100)</f>
        <v>4.4819999999999999E-2</v>
      </c>
    </row>
    <row r="737" spans="1:3" x14ac:dyDescent="0.3">
      <c r="A737" s="2">
        <v>37992</v>
      </c>
      <c r="B737">
        <f>4.5/(100)</f>
        <v>4.4999999999999998E-2</v>
      </c>
      <c r="C737">
        <f>4.466/(100)</f>
        <v>4.4660000000000005E-2</v>
      </c>
    </row>
    <row r="738" spans="1:3" x14ac:dyDescent="0.3">
      <c r="A738" s="2">
        <v>37993</v>
      </c>
      <c r="B738">
        <f>4.5/(100)</f>
        <v>4.4999999999999998E-2</v>
      </c>
      <c r="C738">
        <f>4.482/(100)</f>
        <v>4.4819999999999999E-2</v>
      </c>
    </row>
    <row r="739" spans="1:3" x14ac:dyDescent="0.3">
      <c r="A739" s="2">
        <v>37994</v>
      </c>
      <c r="B739">
        <f>4.5/(100)</f>
        <v>4.4999999999999998E-2</v>
      </c>
      <c r="C739">
        <f>4.496/(100)</f>
        <v>4.4960000000000007E-2</v>
      </c>
    </row>
    <row r="740" spans="1:3" x14ac:dyDescent="0.3">
      <c r="A740" s="2">
        <v>37995</v>
      </c>
      <c r="B740">
        <f>4.5/(100)</f>
        <v>4.4999999999999998E-2</v>
      </c>
      <c r="C740">
        <f>4.487/(100)</f>
        <v>4.487E-2</v>
      </c>
    </row>
    <row r="741" spans="1:3" x14ac:dyDescent="0.3">
      <c r="A741" s="2">
        <v>37996</v>
      </c>
      <c r="B741">
        <f>4.5/(100)</f>
        <v>4.4999999999999998E-2</v>
      </c>
      <c r="C741">
        <f>4.487/(100)</f>
        <v>4.487E-2</v>
      </c>
    </row>
    <row r="742" spans="1:3" x14ac:dyDescent="0.3">
      <c r="A742" s="2">
        <v>37997</v>
      </c>
      <c r="B742">
        <f>4.5/(100)</f>
        <v>4.4999999999999998E-2</v>
      </c>
      <c r="C742">
        <f>4.487/(100)</f>
        <v>4.487E-2</v>
      </c>
    </row>
    <row r="743" spans="1:3" x14ac:dyDescent="0.3">
      <c r="A743" s="2">
        <v>37998</v>
      </c>
      <c r="B743">
        <f>4.5/(100)</f>
        <v>4.4999999999999998E-2</v>
      </c>
      <c r="C743">
        <f>4.482/(100)</f>
        <v>4.4819999999999999E-2</v>
      </c>
    </row>
    <row r="744" spans="1:3" x14ac:dyDescent="0.3">
      <c r="A744" s="2">
        <v>37999</v>
      </c>
      <c r="B744">
        <f>4.5/(100)</f>
        <v>4.4999999999999998E-2</v>
      </c>
      <c r="C744">
        <f>4.524/(100)</f>
        <v>4.5240000000000002E-2</v>
      </c>
    </row>
    <row r="745" spans="1:3" x14ac:dyDescent="0.3">
      <c r="A745" s="2">
        <v>38000</v>
      </c>
      <c r="B745">
        <f>4.5/(100)</f>
        <v>4.4999999999999998E-2</v>
      </c>
      <c r="C745">
        <f>4.518/(100)</f>
        <v>4.5179999999999998E-2</v>
      </c>
    </row>
    <row r="746" spans="1:3" x14ac:dyDescent="0.3">
      <c r="A746" s="2">
        <v>38001</v>
      </c>
      <c r="B746">
        <f>4.5/(100)</f>
        <v>4.4999999999999998E-2</v>
      </c>
      <c r="C746">
        <f>4.51/(100)</f>
        <v>4.5100000000000001E-2</v>
      </c>
    </row>
    <row r="747" spans="1:3" x14ac:dyDescent="0.3">
      <c r="A747" s="2">
        <v>38002</v>
      </c>
      <c r="B747">
        <f>4.5/(100)</f>
        <v>4.4999999999999998E-2</v>
      </c>
      <c r="C747">
        <f>4.523/(100)</f>
        <v>4.5229999999999999E-2</v>
      </c>
    </row>
    <row r="748" spans="1:3" x14ac:dyDescent="0.3">
      <c r="A748" s="2">
        <v>38003</v>
      </c>
      <c r="B748">
        <f>4.5/(100)</f>
        <v>4.4999999999999998E-2</v>
      </c>
      <c r="C748">
        <f>4.523/(100)</f>
        <v>4.5229999999999999E-2</v>
      </c>
    </row>
    <row r="749" spans="1:3" x14ac:dyDescent="0.3">
      <c r="A749" s="2">
        <v>38004</v>
      </c>
      <c r="B749">
        <f>4.5/(100)</f>
        <v>4.4999999999999998E-2</v>
      </c>
      <c r="C749">
        <f>4.523/(100)</f>
        <v>4.5229999999999999E-2</v>
      </c>
    </row>
    <row r="750" spans="1:3" x14ac:dyDescent="0.3">
      <c r="A750" s="2">
        <v>38005</v>
      </c>
      <c r="B750">
        <f>4.5/(100)</f>
        <v>4.4999999999999998E-2</v>
      </c>
      <c r="C750">
        <f>4.529/(100)</f>
        <v>4.5289999999999997E-2</v>
      </c>
    </row>
    <row r="751" spans="1:3" x14ac:dyDescent="0.3">
      <c r="A751" s="2">
        <v>38006</v>
      </c>
      <c r="B751">
        <f>4.5/(100)</f>
        <v>4.4999999999999998E-2</v>
      </c>
      <c r="C751">
        <f>4.531/(100)</f>
        <v>4.5309999999999996E-2</v>
      </c>
    </row>
    <row r="752" spans="1:3" x14ac:dyDescent="0.3">
      <c r="A752" s="2">
        <v>38007</v>
      </c>
      <c r="B752">
        <f>4.5/(100)</f>
        <v>4.4999999999999998E-2</v>
      </c>
      <c r="C752">
        <f>4.521/(100)</f>
        <v>4.521E-2</v>
      </c>
    </row>
    <row r="753" spans="1:3" x14ac:dyDescent="0.3">
      <c r="A753" s="2">
        <v>38008</v>
      </c>
      <c r="B753">
        <f>4.5/(100)</f>
        <v>4.4999999999999998E-2</v>
      </c>
      <c r="C753">
        <f>4.533/(100)</f>
        <v>4.5330000000000002E-2</v>
      </c>
    </row>
    <row r="754" spans="1:3" x14ac:dyDescent="0.3">
      <c r="A754" s="2">
        <v>38009</v>
      </c>
      <c r="B754">
        <f>4.5/(100)</f>
        <v>4.4999999999999998E-2</v>
      </c>
      <c r="C754">
        <f>4.532/(100)</f>
        <v>4.5319999999999999E-2</v>
      </c>
    </row>
    <row r="755" spans="1:3" x14ac:dyDescent="0.3">
      <c r="A755" s="2">
        <v>38010</v>
      </c>
      <c r="B755">
        <f>4.5/(100)</f>
        <v>4.4999999999999998E-2</v>
      </c>
      <c r="C755">
        <f>4.532/(100)</f>
        <v>4.5319999999999999E-2</v>
      </c>
    </row>
    <row r="756" spans="1:3" x14ac:dyDescent="0.3">
      <c r="A756" s="2">
        <v>38011</v>
      </c>
      <c r="B756">
        <f>4.5/(100)</f>
        <v>4.4999999999999998E-2</v>
      </c>
      <c r="C756">
        <f>4.532/(100)</f>
        <v>4.5319999999999999E-2</v>
      </c>
    </row>
    <row r="757" spans="1:3" x14ac:dyDescent="0.3">
      <c r="A757" s="2">
        <v>38012</v>
      </c>
      <c r="B757">
        <f>4.5/(100)</f>
        <v>4.4999999999999998E-2</v>
      </c>
      <c r="C757">
        <f>4.532/(100)</f>
        <v>4.5319999999999999E-2</v>
      </c>
    </row>
    <row r="758" spans="1:3" x14ac:dyDescent="0.3">
      <c r="A758" s="2">
        <v>38013</v>
      </c>
      <c r="B758">
        <f>4.5/(100)</f>
        <v>4.4999999999999998E-2</v>
      </c>
      <c r="C758">
        <f>4.527/(100)</f>
        <v>4.5270000000000005E-2</v>
      </c>
    </row>
    <row r="759" spans="1:3" x14ac:dyDescent="0.3">
      <c r="A759" s="2">
        <v>38014</v>
      </c>
      <c r="B759">
        <f>4.5/(100)</f>
        <v>4.4999999999999998E-2</v>
      </c>
      <c r="C759">
        <f>4.538/(100)</f>
        <v>4.5380000000000004E-2</v>
      </c>
    </row>
    <row r="760" spans="1:3" x14ac:dyDescent="0.3">
      <c r="A760" s="2">
        <v>38015</v>
      </c>
      <c r="B760">
        <f>4.5/(100)</f>
        <v>4.4999999999999998E-2</v>
      </c>
      <c r="C760">
        <f>4.555/(100)</f>
        <v>4.555E-2</v>
      </c>
    </row>
    <row r="761" spans="1:3" x14ac:dyDescent="0.3">
      <c r="A761" s="2">
        <v>38016</v>
      </c>
      <c r="B761">
        <f>4.5/(100)</f>
        <v>4.4999999999999998E-2</v>
      </c>
      <c r="C761">
        <f>4.573/(100)</f>
        <v>4.5730000000000007E-2</v>
      </c>
    </row>
    <row r="762" spans="1:3" x14ac:dyDescent="0.3">
      <c r="A762" s="2">
        <v>38017</v>
      </c>
      <c r="B762">
        <f>4.5/(100)</f>
        <v>4.4999999999999998E-2</v>
      </c>
      <c r="C762">
        <f>4.573/(100)</f>
        <v>4.5730000000000007E-2</v>
      </c>
    </row>
    <row r="763" spans="1:3" x14ac:dyDescent="0.3">
      <c r="A763" s="2">
        <v>38018</v>
      </c>
      <c r="B763">
        <f>4.5/(100)</f>
        <v>4.4999999999999998E-2</v>
      </c>
      <c r="C763">
        <f>4.573/(100)</f>
        <v>4.5730000000000007E-2</v>
      </c>
    </row>
    <row r="764" spans="1:3" x14ac:dyDescent="0.3">
      <c r="A764" s="2">
        <v>38019</v>
      </c>
      <c r="B764">
        <f>4.5/(100)</f>
        <v>4.4999999999999998E-2</v>
      </c>
      <c r="C764">
        <f>4.573/(100)</f>
        <v>4.5730000000000007E-2</v>
      </c>
    </row>
    <row r="765" spans="1:3" x14ac:dyDescent="0.3">
      <c r="A765" s="2">
        <v>38020</v>
      </c>
      <c r="B765">
        <f>4.5/(100)</f>
        <v>4.4999999999999998E-2</v>
      </c>
      <c r="C765">
        <f>4.552/(100)</f>
        <v>4.5519999999999998E-2</v>
      </c>
    </row>
    <row r="766" spans="1:3" x14ac:dyDescent="0.3">
      <c r="A766" s="2">
        <v>38021</v>
      </c>
      <c r="B766">
        <f>4.5/(100)</f>
        <v>4.4999999999999998E-2</v>
      </c>
      <c r="C766">
        <f>4.522/(100)</f>
        <v>4.5220000000000003E-2</v>
      </c>
    </row>
    <row r="767" spans="1:3" x14ac:dyDescent="0.3">
      <c r="A767" s="2">
        <v>38022</v>
      </c>
      <c r="B767">
        <f>4.5/(100)</f>
        <v>4.4999999999999998E-2</v>
      </c>
      <c r="C767">
        <f>4.565/(100)</f>
        <v>4.5650000000000003E-2</v>
      </c>
    </row>
    <row r="768" spans="1:3" x14ac:dyDescent="0.3">
      <c r="A768" s="2">
        <v>38023</v>
      </c>
      <c r="B768">
        <f>4.5/(100)</f>
        <v>4.4999999999999998E-2</v>
      </c>
      <c r="C768">
        <f>4.549/(100)</f>
        <v>4.5490000000000003E-2</v>
      </c>
    </row>
    <row r="769" spans="1:3" x14ac:dyDescent="0.3">
      <c r="A769" s="2">
        <v>38024</v>
      </c>
      <c r="B769">
        <f>4.5/(100)</f>
        <v>4.4999999999999998E-2</v>
      </c>
      <c r="C769">
        <f>4.549/(100)</f>
        <v>4.5490000000000003E-2</v>
      </c>
    </row>
    <row r="770" spans="1:3" x14ac:dyDescent="0.3">
      <c r="A770" s="2">
        <v>38025</v>
      </c>
      <c r="B770">
        <f>4.5/(100)</f>
        <v>4.4999999999999998E-2</v>
      </c>
      <c r="C770">
        <f>4.549/(100)</f>
        <v>4.5490000000000003E-2</v>
      </c>
    </row>
    <row r="771" spans="1:3" x14ac:dyDescent="0.3">
      <c r="A771" s="2">
        <v>38026</v>
      </c>
      <c r="B771">
        <f>4.5/(100)</f>
        <v>4.4999999999999998E-2</v>
      </c>
      <c r="C771">
        <f>4.556/(100)</f>
        <v>4.5560000000000003E-2</v>
      </c>
    </row>
    <row r="772" spans="1:3" x14ac:dyDescent="0.3">
      <c r="A772" s="2">
        <v>38027</v>
      </c>
      <c r="B772">
        <f>4.5/(100)</f>
        <v>4.4999999999999998E-2</v>
      </c>
      <c r="C772">
        <f>4.56/(100)</f>
        <v>4.5599999999999995E-2</v>
      </c>
    </row>
    <row r="773" spans="1:3" x14ac:dyDescent="0.3">
      <c r="A773" s="2">
        <v>38028</v>
      </c>
      <c r="B773">
        <f>4.5/(100)</f>
        <v>4.4999999999999998E-2</v>
      </c>
      <c r="C773">
        <f>4.596/(100)</f>
        <v>4.5960000000000001E-2</v>
      </c>
    </row>
    <row r="774" spans="1:3" x14ac:dyDescent="0.3">
      <c r="A774" s="2">
        <v>38029</v>
      </c>
      <c r="B774">
        <f>4.5/(100)</f>
        <v>4.4999999999999998E-2</v>
      </c>
      <c r="C774">
        <f>4.585/(100)</f>
        <v>4.5850000000000002E-2</v>
      </c>
    </row>
    <row r="775" spans="1:3" x14ac:dyDescent="0.3">
      <c r="A775" s="2">
        <v>38030</v>
      </c>
      <c r="B775">
        <f>4.5/(100)</f>
        <v>4.4999999999999998E-2</v>
      </c>
      <c r="C775">
        <f>4.585/(100)</f>
        <v>4.5850000000000002E-2</v>
      </c>
    </row>
    <row r="776" spans="1:3" x14ac:dyDescent="0.3">
      <c r="A776" s="2">
        <v>38031</v>
      </c>
      <c r="B776">
        <f>4.5/(100)</f>
        <v>4.4999999999999998E-2</v>
      </c>
      <c r="C776">
        <f>4.585/(100)</f>
        <v>4.5850000000000002E-2</v>
      </c>
    </row>
    <row r="777" spans="1:3" x14ac:dyDescent="0.3">
      <c r="A777" s="2">
        <v>38032</v>
      </c>
      <c r="B777">
        <f>4.5/(100)</f>
        <v>4.4999999999999998E-2</v>
      </c>
      <c r="C777">
        <f>4.585/(100)</f>
        <v>4.5850000000000002E-2</v>
      </c>
    </row>
    <row r="778" spans="1:3" x14ac:dyDescent="0.3">
      <c r="A778" s="2">
        <v>38033</v>
      </c>
      <c r="B778">
        <f>4.5/(100)</f>
        <v>4.4999999999999998E-2</v>
      </c>
      <c r="C778">
        <f>4.615/(100)</f>
        <v>4.6150000000000004E-2</v>
      </c>
    </row>
    <row r="779" spans="1:3" x14ac:dyDescent="0.3">
      <c r="A779" s="2">
        <v>38034</v>
      </c>
      <c r="B779">
        <f>4.5/(100)</f>
        <v>4.4999999999999998E-2</v>
      </c>
      <c r="C779">
        <f>4.615/(100)</f>
        <v>4.6150000000000004E-2</v>
      </c>
    </row>
    <row r="780" spans="1:3" x14ac:dyDescent="0.3">
      <c r="A780" s="2">
        <v>38035</v>
      </c>
      <c r="B780">
        <f>4.5/(100)</f>
        <v>4.4999999999999998E-2</v>
      </c>
      <c r="C780">
        <f>4.615/(100)</f>
        <v>4.6150000000000004E-2</v>
      </c>
    </row>
    <row r="781" spans="1:3" x14ac:dyDescent="0.3">
      <c r="A781" s="2">
        <v>38036</v>
      </c>
      <c r="B781">
        <f>4.5/(100)</f>
        <v>4.4999999999999998E-2</v>
      </c>
      <c r="C781">
        <f>4.61/(100)</f>
        <v>4.6100000000000002E-2</v>
      </c>
    </row>
    <row r="782" spans="1:3" x14ac:dyDescent="0.3">
      <c r="A782" s="2">
        <v>38037</v>
      </c>
      <c r="B782">
        <f>4.5/(100)</f>
        <v>4.4999999999999998E-2</v>
      </c>
      <c r="C782">
        <f>4.615/(100)</f>
        <v>4.6150000000000004E-2</v>
      </c>
    </row>
    <row r="783" spans="1:3" x14ac:dyDescent="0.3">
      <c r="A783" s="2">
        <v>38038</v>
      </c>
      <c r="B783">
        <f>4.5/(100)</f>
        <v>4.4999999999999998E-2</v>
      </c>
      <c r="C783">
        <f>4.615/(100)</f>
        <v>4.6150000000000004E-2</v>
      </c>
    </row>
    <row r="784" spans="1:3" x14ac:dyDescent="0.3">
      <c r="A784" s="2">
        <v>38039</v>
      </c>
      <c r="B784">
        <f>4.5/(100)</f>
        <v>4.4999999999999998E-2</v>
      </c>
      <c r="C784">
        <f>4.615/(100)</f>
        <v>4.6150000000000004E-2</v>
      </c>
    </row>
    <row r="785" spans="1:3" x14ac:dyDescent="0.3">
      <c r="A785" s="2">
        <v>38040</v>
      </c>
      <c r="B785">
        <f>4.5/(100)</f>
        <v>4.4999999999999998E-2</v>
      </c>
      <c r="C785">
        <f>4.551/(100)</f>
        <v>4.5510000000000002E-2</v>
      </c>
    </row>
    <row r="786" spans="1:3" x14ac:dyDescent="0.3">
      <c r="A786" s="2">
        <v>38041</v>
      </c>
      <c r="B786">
        <f>4.5/(100)</f>
        <v>4.4999999999999998E-2</v>
      </c>
      <c r="C786">
        <f>4.585/(100)</f>
        <v>4.5850000000000002E-2</v>
      </c>
    </row>
    <row r="787" spans="1:3" x14ac:dyDescent="0.3">
      <c r="A787" s="2">
        <v>38042</v>
      </c>
      <c r="B787">
        <f>4.5/(100)</f>
        <v>4.4999999999999998E-2</v>
      </c>
      <c r="C787">
        <f>4.554/(100)</f>
        <v>4.5540000000000004E-2</v>
      </c>
    </row>
    <row r="788" spans="1:3" x14ac:dyDescent="0.3">
      <c r="A788" s="2">
        <v>38043</v>
      </c>
      <c r="B788">
        <f>4.5/(100)</f>
        <v>4.4999999999999998E-2</v>
      </c>
      <c r="C788">
        <f>4.541/(100)</f>
        <v>4.5410000000000006E-2</v>
      </c>
    </row>
    <row r="789" spans="1:3" x14ac:dyDescent="0.3">
      <c r="A789" s="2">
        <v>38044</v>
      </c>
      <c r="B789">
        <f>4.5/(100)</f>
        <v>4.4999999999999998E-2</v>
      </c>
      <c r="C789">
        <f>4.525/(100)</f>
        <v>4.5250000000000005E-2</v>
      </c>
    </row>
    <row r="790" spans="1:3" x14ac:dyDescent="0.3">
      <c r="A790" s="2">
        <v>38045</v>
      </c>
      <c r="B790">
        <f>4.5/(100)</f>
        <v>4.4999999999999998E-2</v>
      </c>
      <c r="C790">
        <f>4.532/(100)</f>
        <v>4.5319999999999999E-2</v>
      </c>
    </row>
    <row r="791" spans="1:3" x14ac:dyDescent="0.3">
      <c r="A791" s="2">
        <v>38046</v>
      </c>
      <c r="B791">
        <f>4.5/(100)</f>
        <v>4.4999999999999998E-2</v>
      </c>
      <c r="C791">
        <f>4.532/(100)</f>
        <v>4.5319999999999999E-2</v>
      </c>
    </row>
    <row r="792" spans="1:3" x14ac:dyDescent="0.3">
      <c r="A792" s="2">
        <v>38047</v>
      </c>
      <c r="B792">
        <f>4.5/(100)</f>
        <v>4.4999999999999998E-2</v>
      </c>
      <c r="C792">
        <f>4.504/(100)</f>
        <v>4.5039999999999997E-2</v>
      </c>
    </row>
    <row r="793" spans="1:3" x14ac:dyDescent="0.3">
      <c r="A793" s="2">
        <v>38048</v>
      </c>
      <c r="B793">
        <f>4.5/(100)</f>
        <v>4.4999999999999998E-2</v>
      </c>
      <c r="C793">
        <f>4.504/(100)</f>
        <v>4.5039999999999997E-2</v>
      </c>
    </row>
    <row r="794" spans="1:3" x14ac:dyDescent="0.3">
      <c r="A794" s="2">
        <v>38049</v>
      </c>
      <c r="B794">
        <f>4.5/(100)</f>
        <v>4.4999999999999998E-2</v>
      </c>
      <c r="C794">
        <f>4.484/(100)</f>
        <v>4.4839999999999998E-2</v>
      </c>
    </row>
    <row r="795" spans="1:3" x14ac:dyDescent="0.3">
      <c r="A795" s="2">
        <v>38050</v>
      </c>
      <c r="B795">
        <f>4.5/(100)</f>
        <v>4.4999999999999998E-2</v>
      </c>
      <c r="C795">
        <f>4.462/(100)</f>
        <v>4.462E-2</v>
      </c>
    </row>
    <row r="796" spans="1:3" x14ac:dyDescent="0.3">
      <c r="A796" s="2">
        <v>38051</v>
      </c>
      <c r="B796">
        <f>4.5/(100)</f>
        <v>4.4999999999999998E-2</v>
      </c>
      <c r="C796">
        <f>4.466/(100)</f>
        <v>4.4660000000000005E-2</v>
      </c>
    </row>
    <row r="797" spans="1:3" x14ac:dyDescent="0.3">
      <c r="A797" s="2">
        <v>38052</v>
      </c>
      <c r="B797">
        <f>4.5/(100)</f>
        <v>4.4999999999999998E-2</v>
      </c>
      <c r="C797">
        <f>4.45/(100)</f>
        <v>4.4500000000000005E-2</v>
      </c>
    </row>
    <row r="798" spans="1:3" x14ac:dyDescent="0.3">
      <c r="A798" s="2">
        <v>38053</v>
      </c>
      <c r="B798">
        <f>4.5/(100)</f>
        <v>4.4999999999999998E-2</v>
      </c>
      <c r="C798">
        <f>4.45/(100)</f>
        <v>4.4500000000000005E-2</v>
      </c>
    </row>
    <row r="799" spans="1:3" x14ac:dyDescent="0.3">
      <c r="A799" s="2">
        <v>38054</v>
      </c>
      <c r="B799">
        <f>4.5/(100)</f>
        <v>4.4999999999999998E-2</v>
      </c>
      <c r="C799">
        <f>4.443/(100)</f>
        <v>4.4429999999999997E-2</v>
      </c>
    </row>
    <row r="800" spans="1:3" x14ac:dyDescent="0.3">
      <c r="A800" s="2">
        <v>38055</v>
      </c>
      <c r="B800">
        <f>4.5/(100)</f>
        <v>4.4999999999999998E-2</v>
      </c>
      <c r="C800">
        <f>4.437/(100)</f>
        <v>4.437E-2</v>
      </c>
    </row>
    <row r="801" spans="1:3" x14ac:dyDescent="0.3">
      <c r="A801" s="2">
        <v>38056</v>
      </c>
      <c r="B801">
        <f>4.5/(100)</f>
        <v>4.4999999999999998E-2</v>
      </c>
      <c r="C801">
        <f>4.429/(100)</f>
        <v>4.4290000000000003E-2</v>
      </c>
    </row>
    <row r="802" spans="1:3" x14ac:dyDescent="0.3">
      <c r="A802" s="2">
        <v>38057</v>
      </c>
      <c r="B802">
        <f>4.5/(100)</f>
        <v>4.4999999999999998E-2</v>
      </c>
      <c r="C802">
        <f>4.435/(100)</f>
        <v>4.4349999999999994E-2</v>
      </c>
    </row>
    <row r="803" spans="1:3" x14ac:dyDescent="0.3">
      <c r="A803" s="2">
        <v>38058</v>
      </c>
      <c r="B803">
        <f>4.5/(100)</f>
        <v>4.4999999999999998E-2</v>
      </c>
      <c r="C803">
        <f>4.385/(100)</f>
        <v>4.385E-2</v>
      </c>
    </row>
    <row r="804" spans="1:3" x14ac:dyDescent="0.3">
      <c r="A804" s="2">
        <v>38059</v>
      </c>
      <c r="B804">
        <f>4.5/(100)</f>
        <v>4.4999999999999998E-2</v>
      </c>
      <c r="C804">
        <f>4.468/(100)</f>
        <v>4.4679999999999997E-2</v>
      </c>
    </row>
    <row r="805" spans="1:3" x14ac:dyDescent="0.3">
      <c r="A805" s="2">
        <v>38060</v>
      </c>
      <c r="B805">
        <f>4.5/(100)</f>
        <v>4.4999999999999998E-2</v>
      </c>
      <c r="C805">
        <f>4.468/(100)</f>
        <v>4.4679999999999997E-2</v>
      </c>
    </row>
    <row r="806" spans="1:3" x14ac:dyDescent="0.3">
      <c r="A806" s="2">
        <v>38061</v>
      </c>
      <c r="B806">
        <f>4.5/(100)</f>
        <v>4.4999999999999998E-2</v>
      </c>
      <c r="C806">
        <f>4.465/(100)</f>
        <v>4.4649999999999995E-2</v>
      </c>
    </row>
    <row r="807" spans="1:3" x14ac:dyDescent="0.3">
      <c r="A807" s="2">
        <v>38062</v>
      </c>
      <c r="B807">
        <f>4.5/(100)</f>
        <v>4.4999999999999998E-2</v>
      </c>
      <c r="C807">
        <f>4.454/(100)</f>
        <v>4.4539999999999996E-2</v>
      </c>
    </row>
    <row r="808" spans="1:3" x14ac:dyDescent="0.3">
      <c r="A808" s="2">
        <v>38063</v>
      </c>
      <c r="B808">
        <f>4.5/(100)</f>
        <v>4.4999999999999998E-2</v>
      </c>
      <c r="C808">
        <f>4.428/(100)</f>
        <v>4.428E-2</v>
      </c>
    </row>
    <row r="809" spans="1:3" x14ac:dyDescent="0.3">
      <c r="A809" s="2">
        <v>38064</v>
      </c>
      <c r="B809">
        <f>4.5/(100)</f>
        <v>4.4999999999999998E-2</v>
      </c>
      <c r="C809">
        <f>4.435/(100)</f>
        <v>4.4349999999999994E-2</v>
      </c>
    </row>
    <row r="810" spans="1:3" x14ac:dyDescent="0.3">
      <c r="A810" s="2">
        <v>38065</v>
      </c>
      <c r="B810">
        <f>4.5/(100)</f>
        <v>4.4999999999999998E-2</v>
      </c>
      <c r="C810">
        <f>4.409/(100)</f>
        <v>4.4089999999999997E-2</v>
      </c>
    </row>
    <row r="811" spans="1:3" x14ac:dyDescent="0.3">
      <c r="A811" s="2">
        <v>38066</v>
      </c>
      <c r="B811">
        <f>4.5/(100)</f>
        <v>4.4999999999999998E-2</v>
      </c>
      <c r="C811">
        <f>4.388/(100)</f>
        <v>4.3880000000000002E-2</v>
      </c>
    </row>
    <row r="812" spans="1:3" x14ac:dyDescent="0.3">
      <c r="A812" s="2">
        <v>38067</v>
      </c>
      <c r="B812">
        <f>4.5/(100)</f>
        <v>4.4999999999999998E-2</v>
      </c>
      <c r="C812">
        <f>4.388/(100)</f>
        <v>4.3880000000000002E-2</v>
      </c>
    </row>
    <row r="813" spans="1:3" x14ac:dyDescent="0.3">
      <c r="A813" s="2">
        <v>38068</v>
      </c>
      <c r="B813">
        <f>4.5/(100)</f>
        <v>4.4999999999999998E-2</v>
      </c>
      <c r="C813">
        <f>4.411/(100)</f>
        <v>4.4109999999999996E-2</v>
      </c>
    </row>
    <row r="814" spans="1:3" x14ac:dyDescent="0.3">
      <c r="A814" s="2">
        <v>38069</v>
      </c>
      <c r="B814">
        <f>4.5/(100)</f>
        <v>4.4999999999999998E-2</v>
      </c>
      <c r="C814">
        <f>4.423/(100)</f>
        <v>4.4229999999999998E-2</v>
      </c>
    </row>
    <row r="815" spans="1:3" x14ac:dyDescent="0.3">
      <c r="A815" s="2">
        <v>38070</v>
      </c>
      <c r="B815">
        <f>4.5/(100)</f>
        <v>4.4999999999999998E-2</v>
      </c>
      <c r="C815">
        <f>4.397/(100)</f>
        <v>4.3970000000000002E-2</v>
      </c>
    </row>
    <row r="816" spans="1:3" x14ac:dyDescent="0.3">
      <c r="A816" s="2">
        <v>38071</v>
      </c>
      <c r="B816">
        <f>4.5/(100)</f>
        <v>4.4999999999999998E-2</v>
      </c>
      <c r="C816">
        <f>4.41/(100)</f>
        <v>4.41E-2</v>
      </c>
    </row>
    <row r="817" spans="1:3" x14ac:dyDescent="0.3">
      <c r="A817" s="2">
        <v>38072</v>
      </c>
      <c r="B817">
        <f>4.5/(100)</f>
        <v>4.4999999999999998E-2</v>
      </c>
      <c r="C817">
        <f>4.513/(100)</f>
        <v>4.5129999999999997E-2</v>
      </c>
    </row>
    <row r="818" spans="1:3" x14ac:dyDescent="0.3">
      <c r="A818" s="2">
        <v>38073</v>
      </c>
      <c r="B818">
        <f>4.5/(100)</f>
        <v>4.4999999999999998E-2</v>
      </c>
      <c r="C818">
        <f>4.432/(100)</f>
        <v>4.4320000000000005E-2</v>
      </c>
    </row>
    <row r="819" spans="1:3" x14ac:dyDescent="0.3">
      <c r="A819" s="2">
        <v>38074</v>
      </c>
      <c r="B819">
        <f>4.5/(100)</f>
        <v>4.4999999999999998E-2</v>
      </c>
      <c r="C819">
        <f>4.432/(100)</f>
        <v>4.4320000000000005E-2</v>
      </c>
    </row>
    <row r="820" spans="1:3" x14ac:dyDescent="0.3">
      <c r="A820" s="2">
        <v>38075</v>
      </c>
      <c r="B820">
        <f>4.5/(100)</f>
        <v>4.4999999999999998E-2</v>
      </c>
      <c r="C820">
        <f>4.434/(100)</f>
        <v>4.4340000000000004E-2</v>
      </c>
    </row>
    <row r="821" spans="1:3" x14ac:dyDescent="0.3">
      <c r="A821" s="2">
        <v>38076</v>
      </c>
      <c r="B821">
        <f>4.5/(100)</f>
        <v>4.4999999999999998E-2</v>
      </c>
      <c r="C821">
        <f>4.434/(100)</f>
        <v>4.4340000000000004E-2</v>
      </c>
    </row>
    <row r="822" spans="1:3" x14ac:dyDescent="0.3">
      <c r="A822" s="2">
        <v>38077</v>
      </c>
      <c r="B822">
        <f>4.5/(100)</f>
        <v>4.4999999999999998E-2</v>
      </c>
      <c r="C822">
        <f>4.418/(100)</f>
        <v>4.4180000000000004E-2</v>
      </c>
    </row>
    <row r="823" spans="1:3" x14ac:dyDescent="0.3">
      <c r="A823" s="2">
        <v>38078</v>
      </c>
      <c r="B823">
        <f>4.5/(100)</f>
        <v>4.4999999999999998E-2</v>
      </c>
      <c r="C823">
        <f>4.433/(100)</f>
        <v>4.4330000000000001E-2</v>
      </c>
    </row>
    <row r="824" spans="1:3" x14ac:dyDescent="0.3">
      <c r="A824" s="2">
        <v>38079</v>
      </c>
      <c r="B824">
        <f>4.5/(100)</f>
        <v>4.4999999999999998E-2</v>
      </c>
      <c r="C824">
        <f>4.445/(100)</f>
        <v>4.4450000000000003E-2</v>
      </c>
    </row>
    <row r="825" spans="1:3" x14ac:dyDescent="0.3">
      <c r="A825" s="2">
        <v>38080</v>
      </c>
      <c r="B825">
        <f>4.5/(100)</f>
        <v>4.4999999999999998E-2</v>
      </c>
      <c r="C825">
        <f>4.445/(100)</f>
        <v>4.4450000000000003E-2</v>
      </c>
    </row>
    <row r="826" spans="1:3" x14ac:dyDescent="0.3">
      <c r="A826" s="2">
        <v>38081</v>
      </c>
      <c r="B826">
        <f>4.5/(100)</f>
        <v>4.4999999999999998E-2</v>
      </c>
      <c r="C826">
        <f>4.445/(100)</f>
        <v>4.4450000000000003E-2</v>
      </c>
    </row>
    <row r="827" spans="1:3" x14ac:dyDescent="0.3">
      <c r="A827" s="2">
        <v>38082</v>
      </c>
      <c r="B827">
        <f>4.5/(100)</f>
        <v>4.4999999999999998E-2</v>
      </c>
      <c r="C827">
        <f>4.478/(100)</f>
        <v>4.478E-2</v>
      </c>
    </row>
    <row r="828" spans="1:3" x14ac:dyDescent="0.3">
      <c r="A828" s="2">
        <v>38083</v>
      </c>
      <c r="B828">
        <f>4.5/(100)</f>
        <v>4.4999999999999998E-2</v>
      </c>
      <c r="C828">
        <f>4.542/(100)</f>
        <v>4.5419999999999995E-2</v>
      </c>
    </row>
    <row r="829" spans="1:3" x14ac:dyDescent="0.3">
      <c r="A829" s="2">
        <v>38084</v>
      </c>
      <c r="B829">
        <f>4.5/(100)</f>
        <v>4.4999999999999998E-2</v>
      </c>
      <c r="C829">
        <f>4.506/(100)</f>
        <v>4.5060000000000003E-2</v>
      </c>
    </row>
    <row r="830" spans="1:3" x14ac:dyDescent="0.3">
      <c r="A830" s="2">
        <v>38085</v>
      </c>
      <c r="B830">
        <f>4.5/(100)</f>
        <v>4.4999999999999998E-2</v>
      </c>
      <c r="C830">
        <f>4.511/(100)</f>
        <v>4.5110000000000004E-2</v>
      </c>
    </row>
    <row r="831" spans="1:3" x14ac:dyDescent="0.3">
      <c r="A831" s="2">
        <v>38086</v>
      </c>
      <c r="B831">
        <f>4.5/(100)</f>
        <v>4.4999999999999998E-2</v>
      </c>
      <c r="C831">
        <f>4.511/(100)</f>
        <v>4.5110000000000004E-2</v>
      </c>
    </row>
    <row r="832" spans="1:3" x14ac:dyDescent="0.3">
      <c r="A832" s="2">
        <v>38087</v>
      </c>
      <c r="B832">
        <f>4.5/(100)</f>
        <v>4.4999999999999998E-2</v>
      </c>
      <c r="C832">
        <f>4.511/(100)</f>
        <v>4.5110000000000004E-2</v>
      </c>
    </row>
    <row r="833" spans="1:3" x14ac:dyDescent="0.3">
      <c r="A833" s="2">
        <v>38088</v>
      </c>
      <c r="B833">
        <f>4.5/(100)</f>
        <v>4.4999999999999998E-2</v>
      </c>
      <c r="C833">
        <f>4.511/(100)</f>
        <v>4.5110000000000004E-2</v>
      </c>
    </row>
    <row r="834" spans="1:3" x14ac:dyDescent="0.3">
      <c r="A834" s="2">
        <v>38089</v>
      </c>
      <c r="B834">
        <f>4.5/(100)</f>
        <v>4.4999999999999998E-2</v>
      </c>
      <c r="C834">
        <f>4.525/(100)</f>
        <v>4.5250000000000005E-2</v>
      </c>
    </row>
    <row r="835" spans="1:3" x14ac:dyDescent="0.3">
      <c r="A835" s="2">
        <v>38090</v>
      </c>
      <c r="B835">
        <f>4.5/(100)</f>
        <v>4.4999999999999998E-2</v>
      </c>
      <c r="C835">
        <f>4.515/(100)</f>
        <v>4.5149999999999996E-2</v>
      </c>
    </row>
    <row r="836" spans="1:3" x14ac:dyDescent="0.3">
      <c r="A836" s="2">
        <v>38091</v>
      </c>
      <c r="B836">
        <f>4.5/(100)</f>
        <v>4.4999999999999998E-2</v>
      </c>
      <c r="C836">
        <f>4.515/(100)</f>
        <v>4.5149999999999996E-2</v>
      </c>
    </row>
    <row r="837" spans="1:3" x14ac:dyDescent="0.3">
      <c r="A837" s="2">
        <v>38092</v>
      </c>
      <c r="B837">
        <f>4.5/(100)</f>
        <v>4.4999999999999998E-2</v>
      </c>
      <c r="C837">
        <f>4.503/(100)</f>
        <v>4.5030000000000001E-2</v>
      </c>
    </row>
    <row r="838" spans="1:3" x14ac:dyDescent="0.3">
      <c r="A838" s="2">
        <v>38093</v>
      </c>
      <c r="B838">
        <f>4.5/(100)</f>
        <v>4.4999999999999998E-2</v>
      </c>
      <c r="C838">
        <f>4.548/(100)</f>
        <v>4.548E-2</v>
      </c>
    </row>
    <row r="839" spans="1:3" x14ac:dyDescent="0.3">
      <c r="A839" s="2">
        <v>38094</v>
      </c>
      <c r="B839">
        <f>4.5/(100)</f>
        <v>4.4999999999999998E-2</v>
      </c>
      <c r="C839">
        <f>4.535/(100)</f>
        <v>4.5350000000000001E-2</v>
      </c>
    </row>
    <row r="840" spans="1:3" x14ac:dyDescent="0.3">
      <c r="A840" s="2">
        <v>38095</v>
      </c>
      <c r="B840">
        <f>4.5/(100)</f>
        <v>4.4999999999999998E-2</v>
      </c>
      <c r="C840">
        <f>4.535/(100)</f>
        <v>4.5350000000000001E-2</v>
      </c>
    </row>
    <row r="841" spans="1:3" x14ac:dyDescent="0.3">
      <c r="A841" s="2">
        <v>38096</v>
      </c>
      <c r="B841">
        <f>4.5/(100)</f>
        <v>4.4999999999999998E-2</v>
      </c>
      <c r="C841">
        <f>4.526/(100)</f>
        <v>4.5259999999999995E-2</v>
      </c>
    </row>
    <row r="842" spans="1:3" x14ac:dyDescent="0.3">
      <c r="A842" s="2">
        <v>38097</v>
      </c>
      <c r="B842">
        <f>4.5/(100)</f>
        <v>4.4999999999999998E-2</v>
      </c>
      <c r="C842">
        <f>4.525/(100)</f>
        <v>4.5250000000000005E-2</v>
      </c>
    </row>
    <row r="843" spans="1:3" x14ac:dyDescent="0.3">
      <c r="A843" s="2">
        <v>38098</v>
      </c>
      <c r="B843">
        <f>4.5/(100)</f>
        <v>4.4999999999999998E-2</v>
      </c>
      <c r="C843">
        <f>4.518/(100)</f>
        <v>4.5179999999999998E-2</v>
      </c>
    </row>
    <row r="844" spans="1:3" x14ac:dyDescent="0.3">
      <c r="A844" s="2">
        <v>38099</v>
      </c>
      <c r="B844">
        <f>4.5/(100)</f>
        <v>4.4999999999999998E-2</v>
      </c>
      <c r="C844">
        <f>4.534/(100)</f>
        <v>4.5339999999999998E-2</v>
      </c>
    </row>
    <row r="845" spans="1:3" x14ac:dyDescent="0.3">
      <c r="A845" s="2">
        <v>38100</v>
      </c>
      <c r="B845">
        <f>4.5/(100)</f>
        <v>4.4999999999999998E-2</v>
      </c>
      <c r="C845">
        <f>4.524/(100)</f>
        <v>4.5240000000000002E-2</v>
      </c>
    </row>
    <row r="846" spans="1:3" x14ac:dyDescent="0.3">
      <c r="A846" s="2">
        <v>38101</v>
      </c>
      <c r="B846">
        <f>4.5/(100)</f>
        <v>4.4999999999999998E-2</v>
      </c>
      <c r="C846">
        <f>4.511/(100)</f>
        <v>4.5110000000000004E-2</v>
      </c>
    </row>
    <row r="847" spans="1:3" x14ac:dyDescent="0.3">
      <c r="A847" s="2">
        <v>38102</v>
      </c>
      <c r="B847">
        <f>4.5/(100)</f>
        <v>4.4999999999999998E-2</v>
      </c>
      <c r="C847">
        <f>4.511/(100)</f>
        <v>4.5110000000000004E-2</v>
      </c>
    </row>
    <row r="848" spans="1:3" x14ac:dyDescent="0.3">
      <c r="A848" s="2">
        <v>38103</v>
      </c>
      <c r="B848">
        <f>4.5/(100)</f>
        <v>4.4999999999999998E-2</v>
      </c>
      <c r="C848">
        <f>4.511/(100)</f>
        <v>4.5110000000000004E-2</v>
      </c>
    </row>
    <row r="849" spans="1:3" x14ac:dyDescent="0.3">
      <c r="A849" s="2">
        <v>38104</v>
      </c>
      <c r="B849">
        <f>4.5/(100)</f>
        <v>4.4999999999999998E-2</v>
      </c>
      <c r="C849">
        <f>4.532/(100)</f>
        <v>4.5319999999999999E-2</v>
      </c>
    </row>
    <row r="850" spans="1:3" x14ac:dyDescent="0.3">
      <c r="A850" s="2">
        <v>38105</v>
      </c>
      <c r="B850">
        <f>4.5/(100)</f>
        <v>4.4999999999999998E-2</v>
      </c>
      <c r="C850">
        <f>4.522/(100)</f>
        <v>4.5220000000000003E-2</v>
      </c>
    </row>
    <row r="851" spans="1:3" x14ac:dyDescent="0.3">
      <c r="A851" s="2">
        <v>38106</v>
      </c>
      <c r="B851">
        <f>4.5/(100)</f>
        <v>4.4999999999999998E-2</v>
      </c>
      <c r="C851">
        <f>4.542/(100)</f>
        <v>4.5419999999999995E-2</v>
      </c>
    </row>
    <row r="852" spans="1:3" x14ac:dyDescent="0.3">
      <c r="A852" s="2">
        <v>38107</v>
      </c>
      <c r="B852">
        <f>4.5/(100)</f>
        <v>4.4999999999999998E-2</v>
      </c>
      <c r="C852">
        <f>4.518/(100)</f>
        <v>4.5179999999999998E-2</v>
      </c>
    </row>
    <row r="853" spans="1:3" x14ac:dyDescent="0.3">
      <c r="A853" s="2">
        <v>38108</v>
      </c>
      <c r="B853">
        <f>4.5/(100)</f>
        <v>4.4999999999999998E-2</v>
      </c>
      <c r="C853">
        <f>4.518/(100)</f>
        <v>4.5179999999999998E-2</v>
      </c>
    </row>
    <row r="854" spans="1:3" x14ac:dyDescent="0.3">
      <c r="A854" s="2">
        <v>38109</v>
      </c>
      <c r="B854">
        <f>4.5/(100)</f>
        <v>4.4999999999999998E-2</v>
      </c>
      <c r="C854">
        <f>4.518/(100)</f>
        <v>4.5179999999999998E-2</v>
      </c>
    </row>
    <row r="855" spans="1:3" x14ac:dyDescent="0.3">
      <c r="A855" s="2">
        <v>38110</v>
      </c>
      <c r="B855">
        <f>4.5/(100)</f>
        <v>4.4999999999999998E-2</v>
      </c>
      <c r="C855">
        <f>4.513/(100)</f>
        <v>4.5129999999999997E-2</v>
      </c>
    </row>
    <row r="856" spans="1:3" x14ac:dyDescent="0.3">
      <c r="A856" s="2">
        <v>38111</v>
      </c>
      <c r="B856">
        <f>4.5/(100)</f>
        <v>4.4999999999999998E-2</v>
      </c>
      <c r="C856">
        <f>4.513/(100)</f>
        <v>4.5129999999999997E-2</v>
      </c>
    </row>
    <row r="857" spans="1:3" x14ac:dyDescent="0.3">
      <c r="A857" s="2">
        <v>38112</v>
      </c>
      <c r="B857">
        <f>4.5/(100)</f>
        <v>4.4999999999999998E-2</v>
      </c>
      <c r="C857">
        <f>4.501/(100)</f>
        <v>4.5010000000000001E-2</v>
      </c>
    </row>
    <row r="858" spans="1:3" x14ac:dyDescent="0.3">
      <c r="A858" s="2">
        <v>38113</v>
      </c>
      <c r="B858">
        <f>4.5/(100)</f>
        <v>4.4999999999999998E-2</v>
      </c>
      <c r="C858">
        <f>4.504/(100)</f>
        <v>4.5039999999999997E-2</v>
      </c>
    </row>
    <row r="859" spans="1:3" x14ac:dyDescent="0.3">
      <c r="A859" s="2">
        <v>38114</v>
      </c>
      <c r="B859">
        <f>4.5/(100)</f>
        <v>4.4999999999999998E-2</v>
      </c>
      <c r="C859">
        <f>4.515/(100)</f>
        <v>4.5149999999999996E-2</v>
      </c>
    </row>
    <row r="860" spans="1:3" x14ac:dyDescent="0.3">
      <c r="A860" s="2">
        <v>38115</v>
      </c>
      <c r="B860">
        <f>4.5/(100)</f>
        <v>4.4999999999999998E-2</v>
      </c>
      <c r="C860">
        <f>4.515/(100)</f>
        <v>4.5149999999999996E-2</v>
      </c>
    </row>
    <row r="861" spans="1:3" x14ac:dyDescent="0.3">
      <c r="A861" s="2">
        <v>38116</v>
      </c>
      <c r="B861">
        <f>4.5/(100)</f>
        <v>4.4999999999999998E-2</v>
      </c>
      <c r="C861">
        <f>4.515/(100)</f>
        <v>4.5149999999999996E-2</v>
      </c>
    </row>
    <row r="862" spans="1:3" x14ac:dyDescent="0.3">
      <c r="A862" s="2">
        <v>38117</v>
      </c>
      <c r="B862">
        <f>4.5/(100)</f>
        <v>4.4999999999999998E-2</v>
      </c>
      <c r="C862">
        <f>4.54/(100)</f>
        <v>4.5400000000000003E-2</v>
      </c>
    </row>
    <row r="863" spans="1:3" x14ac:dyDescent="0.3">
      <c r="A863" s="2">
        <v>38118</v>
      </c>
      <c r="B863">
        <f>4.5/(100)</f>
        <v>4.4999999999999998E-2</v>
      </c>
      <c r="C863">
        <f>4.54/(100)</f>
        <v>4.5400000000000003E-2</v>
      </c>
    </row>
    <row r="864" spans="1:3" x14ac:dyDescent="0.3">
      <c r="A864" s="2">
        <v>38119</v>
      </c>
      <c r="B864">
        <f>4.5/(100)</f>
        <v>4.4999999999999998E-2</v>
      </c>
      <c r="C864">
        <f>4.509/(100)</f>
        <v>4.5090000000000005E-2</v>
      </c>
    </row>
    <row r="865" spans="1:3" x14ac:dyDescent="0.3">
      <c r="A865" s="2">
        <v>38120</v>
      </c>
      <c r="B865">
        <f>4.5/(100)</f>
        <v>4.4999999999999998E-2</v>
      </c>
      <c r="C865">
        <f>4.482/(100)</f>
        <v>4.4819999999999999E-2</v>
      </c>
    </row>
    <row r="866" spans="1:3" x14ac:dyDescent="0.3">
      <c r="A866" s="2">
        <v>38121</v>
      </c>
      <c r="B866">
        <f>4.5/(100)</f>
        <v>4.4999999999999998E-2</v>
      </c>
      <c r="C866">
        <f>4.502/(100)</f>
        <v>4.5019999999999998E-2</v>
      </c>
    </row>
    <row r="867" spans="1:3" x14ac:dyDescent="0.3">
      <c r="A867" s="2">
        <v>38122</v>
      </c>
      <c r="B867">
        <f>4.5/(100)</f>
        <v>4.4999999999999998E-2</v>
      </c>
      <c r="C867">
        <f>4.511/(100)</f>
        <v>4.5110000000000004E-2</v>
      </c>
    </row>
    <row r="868" spans="1:3" x14ac:dyDescent="0.3">
      <c r="A868" s="2">
        <v>38123</v>
      </c>
      <c r="B868">
        <f>4.5/(100)</f>
        <v>4.4999999999999998E-2</v>
      </c>
      <c r="C868">
        <f>4.511/(100)</f>
        <v>4.5110000000000004E-2</v>
      </c>
    </row>
    <row r="869" spans="1:3" x14ac:dyDescent="0.3">
      <c r="A869" s="2">
        <v>38124</v>
      </c>
      <c r="B869">
        <f>4.5/(100)</f>
        <v>4.4999999999999998E-2</v>
      </c>
      <c r="C869">
        <f>4.504/(100)</f>
        <v>4.5039999999999997E-2</v>
      </c>
    </row>
    <row r="870" spans="1:3" x14ac:dyDescent="0.3">
      <c r="A870" s="2">
        <v>38125</v>
      </c>
      <c r="B870">
        <f>4.5/(100)</f>
        <v>4.4999999999999998E-2</v>
      </c>
      <c r="C870">
        <f>4.503/(100)</f>
        <v>4.5030000000000001E-2</v>
      </c>
    </row>
    <row r="871" spans="1:3" x14ac:dyDescent="0.3">
      <c r="A871" s="2">
        <v>38126</v>
      </c>
      <c r="B871">
        <f>4.5/(100)</f>
        <v>4.4999999999999998E-2</v>
      </c>
      <c r="C871">
        <f>4.487/(100)</f>
        <v>4.487E-2</v>
      </c>
    </row>
    <row r="872" spans="1:3" x14ac:dyDescent="0.3">
      <c r="A872" s="2">
        <v>38127</v>
      </c>
      <c r="B872">
        <f>4.5/(100)</f>
        <v>4.4999999999999998E-2</v>
      </c>
      <c r="C872">
        <f>4.489/(100)</f>
        <v>4.4889999999999999E-2</v>
      </c>
    </row>
    <row r="873" spans="1:3" x14ac:dyDescent="0.3">
      <c r="A873" s="2">
        <v>38128</v>
      </c>
      <c r="B873">
        <f>4.5/(100)</f>
        <v>4.4999999999999998E-2</v>
      </c>
      <c r="C873">
        <f>4.489/(100)</f>
        <v>4.4889999999999999E-2</v>
      </c>
    </row>
    <row r="874" spans="1:3" x14ac:dyDescent="0.3">
      <c r="A874" s="2">
        <v>38129</v>
      </c>
      <c r="B874">
        <f>4.5/(100)</f>
        <v>4.4999999999999998E-2</v>
      </c>
      <c r="C874">
        <f>4.485/(100)</f>
        <v>4.4850000000000001E-2</v>
      </c>
    </row>
    <row r="875" spans="1:3" x14ac:dyDescent="0.3">
      <c r="A875" s="2">
        <v>38130</v>
      </c>
      <c r="B875">
        <f>4.5/(100)</f>
        <v>4.4999999999999998E-2</v>
      </c>
      <c r="C875">
        <f>4.485/(100)</f>
        <v>4.4850000000000001E-2</v>
      </c>
    </row>
    <row r="876" spans="1:3" x14ac:dyDescent="0.3">
      <c r="A876" s="2">
        <v>38131</v>
      </c>
      <c r="B876">
        <f>4.5/(100)</f>
        <v>4.4999999999999998E-2</v>
      </c>
      <c r="C876">
        <f>4.485/(100)</f>
        <v>4.4850000000000001E-2</v>
      </c>
    </row>
    <row r="877" spans="1:3" x14ac:dyDescent="0.3">
      <c r="A877" s="2">
        <v>38132</v>
      </c>
      <c r="B877">
        <f>4.5/(100)</f>
        <v>4.4999999999999998E-2</v>
      </c>
      <c r="C877">
        <f>4.506/(100)</f>
        <v>4.5060000000000003E-2</v>
      </c>
    </row>
    <row r="878" spans="1:3" x14ac:dyDescent="0.3">
      <c r="A878" s="2">
        <v>38133</v>
      </c>
      <c r="B878">
        <f>4.5/(100)</f>
        <v>4.4999999999999998E-2</v>
      </c>
      <c r="C878">
        <f>4.503/(100)</f>
        <v>4.5030000000000001E-2</v>
      </c>
    </row>
    <row r="879" spans="1:3" x14ac:dyDescent="0.3">
      <c r="A879" s="2">
        <v>38134</v>
      </c>
      <c r="B879">
        <f>4.5/(100)</f>
        <v>4.4999999999999998E-2</v>
      </c>
      <c r="C879">
        <f>4.509/(100)</f>
        <v>4.5090000000000005E-2</v>
      </c>
    </row>
    <row r="880" spans="1:3" x14ac:dyDescent="0.3">
      <c r="A880" s="2">
        <v>38135</v>
      </c>
      <c r="B880">
        <f>4.5/(100)</f>
        <v>4.4999999999999998E-2</v>
      </c>
      <c r="C880">
        <f>4.486/(100)</f>
        <v>4.4859999999999997E-2</v>
      </c>
    </row>
    <row r="881" spans="1:3" x14ac:dyDescent="0.3">
      <c r="A881" s="2">
        <v>38136</v>
      </c>
      <c r="B881">
        <f>4.5/(100)</f>
        <v>4.4999999999999998E-2</v>
      </c>
      <c r="C881">
        <f>4.502/(100)</f>
        <v>4.5019999999999998E-2</v>
      </c>
    </row>
    <row r="882" spans="1:3" x14ac:dyDescent="0.3">
      <c r="A882" s="2">
        <v>38137</v>
      </c>
      <c r="B882">
        <f>4.5/(100)</f>
        <v>4.4999999999999998E-2</v>
      </c>
      <c r="C882">
        <f>4.502/(100)</f>
        <v>4.5019999999999998E-2</v>
      </c>
    </row>
    <row r="883" spans="1:3" x14ac:dyDescent="0.3">
      <c r="A883" s="2">
        <v>38138</v>
      </c>
      <c r="B883">
        <f>4.5/(100)</f>
        <v>4.4999999999999998E-2</v>
      </c>
      <c r="C883">
        <f>4.507/(100)</f>
        <v>4.5069999999999999E-2</v>
      </c>
    </row>
    <row r="884" spans="1:3" x14ac:dyDescent="0.3">
      <c r="A884" s="2">
        <v>38139</v>
      </c>
      <c r="B884">
        <f>4.5/(100)</f>
        <v>4.4999999999999998E-2</v>
      </c>
      <c r="C884">
        <f>4.508/(100)</f>
        <v>4.5080000000000002E-2</v>
      </c>
    </row>
    <row r="885" spans="1:3" x14ac:dyDescent="0.3">
      <c r="A885" s="2">
        <v>38140</v>
      </c>
      <c r="B885">
        <f>4.5/(100)</f>
        <v>4.4999999999999998E-2</v>
      </c>
      <c r="C885">
        <f>4.549/(100)</f>
        <v>4.5490000000000003E-2</v>
      </c>
    </row>
    <row r="886" spans="1:3" x14ac:dyDescent="0.3">
      <c r="A886" s="2">
        <v>38141</v>
      </c>
      <c r="B886">
        <f>4.5/(100)</f>
        <v>4.4999999999999998E-2</v>
      </c>
      <c r="C886">
        <f>4.539/(100)</f>
        <v>4.539E-2</v>
      </c>
    </row>
    <row r="887" spans="1:3" x14ac:dyDescent="0.3">
      <c r="A887" s="2">
        <v>38142</v>
      </c>
      <c r="B887">
        <f>4.5/(100)</f>
        <v>4.4999999999999998E-2</v>
      </c>
      <c r="C887">
        <f>4.533/(100)</f>
        <v>4.5330000000000002E-2</v>
      </c>
    </row>
    <row r="888" spans="1:3" x14ac:dyDescent="0.3">
      <c r="A888" s="2">
        <v>38143</v>
      </c>
      <c r="B888">
        <f>4.5/(100)</f>
        <v>4.4999999999999998E-2</v>
      </c>
      <c r="C888">
        <f>4.511/(100)</f>
        <v>4.5110000000000004E-2</v>
      </c>
    </row>
    <row r="889" spans="1:3" x14ac:dyDescent="0.3">
      <c r="A889" s="2">
        <v>38144</v>
      </c>
      <c r="B889">
        <f>4.5/(100)</f>
        <v>4.4999999999999998E-2</v>
      </c>
      <c r="C889">
        <f>4.511/(100)</f>
        <v>4.5110000000000004E-2</v>
      </c>
    </row>
    <row r="890" spans="1:3" x14ac:dyDescent="0.3">
      <c r="A890" s="2">
        <v>38145</v>
      </c>
      <c r="B890">
        <f>4.5/(100)</f>
        <v>4.4999999999999998E-2</v>
      </c>
      <c r="C890">
        <f>4.554/(100)</f>
        <v>4.5540000000000004E-2</v>
      </c>
    </row>
    <row r="891" spans="1:3" x14ac:dyDescent="0.3">
      <c r="A891" s="2">
        <v>38146</v>
      </c>
      <c r="B891">
        <f>4.5/(100)</f>
        <v>4.4999999999999998E-2</v>
      </c>
      <c r="C891">
        <f>4.537/(100)</f>
        <v>4.5370000000000001E-2</v>
      </c>
    </row>
    <row r="892" spans="1:3" x14ac:dyDescent="0.3">
      <c r="A892" s="2">
        <v>38147</v>
      </c>
      <c r="B892">
        <f>4.5/(100)</f>
        <v>4.4999999999999998E-2</v>
      </c>
      <c r="C892">
        <f>4.559/(100)</f>
        <v>4.5589999999999999E-2</v>
      </c>
    </row>
    <row r="893" spans="1:3" x14ac:dyDescent="0.3">
      <c r="A893" s="2">
        <v>38148</v>
      </c>
      <c r="B893">
        <f>4.5/(100)</f>
        <v>4.4999999999999998E-2</v>
      </c>
      <c r="C893">
        <f>4.576/(100)</f>
        <v>4.5759999999999995E-2</v>
      </c>
    </row>
    <row r="894" spans="1:3" x14ac:dyDescent="0.3">
      <c r="A894" s="2">
        <v>38149</v>
      </c>
      <c r="B894">
        <f>4.5/(100)</f>
        <v>4.4999999999999998E-2</v>
      </c>
      <c r="C894">
        <f>4.572/(100)</f>
        <v>4.5720000000000004E-2</v>
      </c>
    </row>
    <row r="895" spans="1:3" x14ac:dyDescent="0.3">
      <c r="A895" s="2">
        <v>38150</v>
      </c>
      <c r="B895">
        <f>4.5/(100)</f>
        <v>4.4999999999999998E-2</v>
      </c>
      <c r="C895">
        <f>4.563/(100)</f>
        <v>4.5629999999999997E-2</v>
      </c>
    </row>
    <row r="896" spans="1:3" x14ac:dyDescent="0.3">
      <c r="A896" s="2">
        <v>38151</v>
      </c>
      <c r="B896">
        <f>4.5/(100)</f>
        <v>4.4999999999999998E-2</v>
      </c>
      <c r="C896">
        <f>4.563/(100)</f>
        <v>4.5629999999999997E-2</v>
      </c>
    </row>
    <row r="897" spans="1:3" x14ac:dyDescent="0.3">
      <c r="A897" s="2">
        <v>38152</v>
      </c>
      <c r="B897">
        <f>4.5/(100)</f>
        <v>4.4999999999999998E-2</v>
      </c>
      <c r="C897">
        <f>4.563/(100)</f>
        <v>4.5629999999999997E-2</v>
      </c>
    </row>
    <row r="898" spans="1:3" x14ac:dyDescent="0.3">
      <c r="A898" s="2">
        <v>38153</v>
      </c>
      <c r="B898">
        <f>4.5/(100)</f>
        <v>4.4999999999999998E-2</v>
      </c>
      <c r="C898">
        <f>4.648/(100)</f>
        <v>4.6479999999999994E-2</v>
      </c>
    </row>
    <row r="899" spans="1:3" x14ac:dyDescent="0.3">
      <c r="A899" s="2">
        <v>38154</v>
      </c>
      <c r="B899">
        <f>4.5/(100)</f>
        <v>4.4999999999999998E-2</v>
      </c>
      <c r="C899">
        <f>4.638/(100)</f>
        <v>4.6379999999999998E-2</v>
      </c>
    </row>
    <row r="900" spans="1:3" x14ac:dyDescent="0.3">
      <c r="A900" s="2">
        <v>38155</v>
      </c>
      <c r="B900">
        <f>4.5/(100)</f>
        <v>4.4999999999999998E-2</v>
      </c>
      <c r="C900">
        <f>4.596/(100)</f>
        <v>4.5960000000000001E-2</v>
      </c>
    </row>
    <row r="901" spans="1:3" x14ac:dyDescent="0.3">
      <c r="A901" s="2">
        <v>38156</v>
      </c>
      <c r="B901">
        <f>4.5/(100)</f>
        <v>4.4999999999999998E-2</v>
      </c>
      <c r="C901">
        <f>4.617/(100)</f>
        <v>4.6170000000000003E-2</v>
      </c>
    </row>
    <row r="902" spans="1:3" x14ac:dyDescent="0.3">
      <c r="A902" s="2">
        <v>38157</v>
      </c>
      <c r="B902">
        <f>4.5/(100)</f>
        <v>4.4999999999999998E-2</v>
      </c>
      <c r="C902">
        <f>4.598/(100)</f>
        <v>4.598E-2</v>
      </c>
    </row>
    <row r="903" spans="1:3" x14ac:dyDescent="0.3">
      <c r="A903" s="2">
        <v>38158</v>
      </c>
      <c r="B903">
        <f>4.5/(100)</f>
        <v>4.4999999999999998E-2</v>
      </c>
      <c r="C903">
        <f>4.598/(100)</f>
        <v>4.598E-2</v>
      </c>
    </row>
    <row r="904" spans="1:3" x14ac:dyDescent="0.3">
      <c r="A904" s="2">
        <v>38159</v>
      </c>
      <c r="B904">
        <f>4.5/(100)</f>
        <v>4.4999999999999998E-2</v>
      </c>
      <c r="C904">
        <f>4.653/(100)</f>
        <v>4.6529999999999995E-2</v>
      </c>
    </row>
    <row r="905" spans="1:3" x14ac:dyDescent="0.3">
      <c r="A905" s="2">
        <v>38160</v>
      </c>
      <c r="B905">
        <f>4.5/(100)</f>
        <v>4.4999999999999998E-2</v>
      </c>
      <c r="C905">
        <f>4.704/(100)</f>
        <v>4.7039999999999998E-2</v>
      </c>
    </row>
    <row r="906" spans="1:3" x14ac:dyDescent="0.3">
      <c r="A906" s="2">
        <v>38161</v>
      </c>
      <c r="B906">
        <f>4.5/(100)</f>
        <v>4.4999999999999998E-2</v>
      </c>
      <c r="C906">
        <f>4.73/(100)</f>
        <v>4.7300000000000002E-2</v>
      </c>
    </row>
    <row r="907" spans="1:3" x14ac:dyDescent="0.3">
      <c r="A907" s="2">
        <v>38162</v>
      </c>
      <c r="B907">
        <f>4.5/(100)</f>
        <v>4.4999999999999998E-2</v>
      </c>
      <c r="C907">
        <f>4.718/(100)</f>
        <v>4.718E-2</v>
      </c>
    </row>
    <row r="908" spans="1:3" x14ac:dyDescent="0.3">
      <c r="A908" s="2">
        <v>38163</v>
      </c>
      <c r="B908">
        <f>4.5/(100)</f>
        <v>4.4999999999999998E-2</v>
      </c>
      <c r="C908">
        <f>4.763/(100)</f>
        <v>4.7629999999999999E-2</v>
      </c>
    </row>
    <row r="909" spans="1:3" x14ac:dyDescent="0.3">
      <c r="A909" s="2">
        <v>38164</v>
      </c>
      <c r="B909">
        <f>4.5/(100)</f>
        <v>4.4999999999999998E-2</v>
      </c>
      <c r="C909">
        <f>4.76/(100)</f>
        <v>4.7599999999999996E-2</v>
      </c>
    </row>
    <row r="910" spans="1:3" x14ac:dyDescent="0.3">
      <c r="A910" s="2">
        <v>38165</v>
      </c>
      <c r="B910">
        <f>4.5/(100)</f>
        <v>4.4999999999999998E-2</v>
      </c>
      <c r="C910">
        <f>4.76/(100)</f>
        <v>4.7599999999999996E-2</v>
      </c>
    </row>
    <row r="911" spans="1:3" x14ac:dyDescent="0.3">
      <c r="A911" s="2">
        <v>38166</v>
      </c>
      <c r="B911">
        <f>4.5/(100)</f>
        <v>4.4999999999999998E-2</v>
      </c>
      <c r="C911">
        <f>4.709/(100)</f>
        <v>4.7089999999999993E-2</v>
      </c>
    </row>
    <row r="912" spans="1:3" x14ac:dyDescent="0.3">
      <c r="A912" s="2">
        <v>38167</v>
      </c>
      <c r="B912">
        <f>4.5/(100)</f>
        <v>4.4999999999999998E-2</v>
      </c>
      <c r="C912">
        <f>4.688/(100)</f>
        <v>4.6879999999999998E-2</v>
      </c>
    </row>
    <row r="913" spans="1:3" x14ac:dyDescent="0.3">
      <c r="A913" s="2">
        <v>38168</v>
      </c>
      <c r="B913">
        <f>4.5/(100)</f>
        <v>4.4999999999999998E-2</v>
      </c>
      <c r="C913">
        <f>4.681/(100)</f>
        <v>4.6809999999999997E-2</v>
      </c>
    </row>
    <row r="914" spans="1:3" x14ac:dyDescent="0.3">
      <c r="A914" s="2">
        <v>38169</v>
      </c>
      <c r="B914">
        <f>4.5/(100)</f>
        <v>4.4999999999999998E-2</v>
      </c>
      <c r="C914">
        <f>4.718/(100)</f>
        <v>4.718E-2</v>
      </c>
    </row>
    <row r="915" spans="1:3" x14ac:dyDescent="0.3">
      <c r="A915" s="2">
        <v>38170</v>
      </c>
      <c r="B915">
        <f>4.5/(100)</f>
        <v>4.4999999999999998E-2</v>
      </c>
      <c r="C915">
        <f>4.74/(100)</f>
        <v>4.7400000000000005E-2</v>
      </c>
    </row>
    <row r="916" spans="1:3" x14ac:dyDescent="0.3">
      <c r="A916" s="2">
        <v>38171</v>
      </c>
      <c r="B916">
        <f>4.5/(100)</f>
        <v>4.4999999999999998E-2</v>
      </c>
      <c r="C916">
        <f>4.705/(100)</f>
        <v>4.7050000000000002E-2</v>
      </c>
    </row>
    <row r="917" spans="1:3" x14ac:dyDescent="0.3">
      <c r="A917" s="2">
        <v>38172</v>
      </c>
      <c r="B917">
        <f>4.5/(100)</f>
        <v>4.4999999999999998E-2</v>
      </c>
      <c r="C917">
        <f>4.705/(100)</f>
        <v>4.7050000000000002E-2</v>
      </c>
    </row>
    <row r="918" spans="1:3" x14ac:dyDescent="0.3">
      <c r="A918" s="2">
        <v>38173</v>
      </c>
      <c r="B918">
        <f>4.5/(100)</f>
        <v>4.4999999999999998E-2</v>
      </c>
      <c r="C918">
        <f>4.689/(100)</f>
        <v>4.6890000000000001E-2</v>
      </c>
    </row>
    <row r="919" spans="1:3" x14ac:dyDescent="0.3">
      <c r="A919" s="2">
        <v>38174</v>
      </c>
      <c r="B919">
        <f>4.5/(100)</f>
        <v>4.4999999999999998E-2</v>
      </c>
      <c r="C919">
        <f>4.714/(100)</f>
        <v>4.7140000000000001E-2</v>
      </c>
    </row>
    <row r="920" spans="1:3" x14ac:dyDescent="0.3">
      <c r="A920" s="2">
        <v>38175</v>
      </c>
      <c r="B920">
        <f>4.5/(100)</f>
        <v>4.4999999999999998E-2</v>
      </c>
      <c r="C920">
        <f>4.755/(100)</f>
        <v>4.7550000000000002E-2</v>
      </c>
    </row>
    <row r="921" spans="1:3" x14ac:dyDescent="0.3">
      <c r="A921" s="2">
        <v>38176</v>
      </c>
      <c r="B921">
        <f>4.5/(100)</f>
        <v>4.4999999999999998E-2</v>
      </c>
      <c r="C921">
        <f>4.746/(100)</f>
        <v>4.7460000000000002E-2</v>
      </c>
    </row>
    <row r="922" spans="1:3" x14ac:dyDescent="0.3">
      <c r="A922" s="2">
        <v>38177</v>
      </c>
      <c r="B922">
        <f>4.5/(100)</f>
        <v>4.4999999999999998E-2</v>
      </c>
      <c r="C922">
        <f>4.699/(100)</f>
        <v>4.6989999999999997E-2</v>
      </c>
    </row>
    <row r="923" spans="1:3" x14ac:dyDescent="0.3">
      <c r="A923" s="2">
        <v>38178</v>
      </c>
      <c r="B923">
        <f>4.5/(100)</f>
        <v>4.4999999999999998E-2</v>
      </c>
      <c r="C923">
        <f>4.825/(100)</f>
        <v>4.8250000000000001E-2</v>
      </c>
    </row>
    <row r="924" spans="1:3" x14ac:dyDescent="0.3">
      <c r="A924" s="2">
        <v>38179</v>
      </c>
      <c r="B924">
        <f>4.5/(100)</f>
        <v>4.4999999999999998E-2</v>
      </c>
      <c r="C924">
        <f>4.825/(100)</f>
        <v>4.8250000000000001E-2</v>
      </c>
    </row>
    <row r="925" spans="1:3" x14ac:dyDescent="0.3">
      <c r="A925" s="2">
        <v>38180</v>
      </c>
      <c r="B925">
        <f>4.5/(100)</f>
        <v>4.4999999999999998E-2</v>
      </c>
      <c r="C925">
        <f>4.831/(100)</f>
        <v>4.8310000000000006E-2</v>
      </c>
    </row>
    <row r="926" spans="1:3" x14ac:dyDescent="0.3">
      <c r="A926" s="2">
        <v>38181</v>
      </c>
      <c r="B926">
        <f>4.5/(100)</f>
        <v>4.4999999999999998E-2</v>
      </c>
      <c r="C926">
        <f>4.891/(100)</f>
        <v>4.8910000000000002E-2</v>
      </c>
    </row>
    <row r="927" spans="1:3" x14ac:dyDescent="0.3">
      <c r="A927" s="2">
        <v>38182</v>
      </c>
      <c r="B927">
        <f>4.5/(100)</f>
        <v>4.4999999999999998E-2</v>
      </c>
      <c r="C927">
        <f>4.833/(100)</f>
        <v>4.8330000000000005E-2</v>
      </c>
    </row>
    <row r="928" spans="1:3" x14ac:dyDescent="0.3">
      <c r="A928" s="2">
        <v>38183</v>
      </c>
      <c r="B928">
        <f>4.5/(100)</f>
        <v>4.4999999999999998E-2</v>
      </c>
      <c r="C928">
        <f>4.827/(100)</f>
        <v>4.827E-2</v>
      </c>
    </row>
    <row r="929" spans="1:3" x14ac:dyDescent="0.3">
      <c r="A929" s="2">
        <v>38184</v>
      </c>
      <c r="B929">
        <f>4.5/(100)</f>
        <v>4.4999999999999998E-2</v>
      </c>
      <c r="C929">
        <f>4.834/(100)</f>
        <v>4.8339999999999994E-2</v>
      </c>
    </row>
    <row r="930" spans="1:3" x14ac:dyDescent="0.3">
      <c r="A930" s="2">
        <v>38185</v>
      </c>
      <c r="B930">
        <f>4.5/(100)</f>
        <v>4.4999999999999998E-2</v>
      </c>
      <c r="C930">
        <f>4.756/(100)</f>
        <v>4.7560000000000005E-2</v>
      </c>
    </row>
    <row r="931" spans="1:3" x14ac:dyDescent="0.3">
      <c r="A931" s="2">
        <v>38186</v>
      </c>
      <c r="B931">
        <f>4.5/(100)</f>
        <v>4.4999999999999998E-2</v>
      </c>
      <c r="C931">
        <f>4.756/(100)</f>
        <v>4.7560000000000005E-2</v>
      </c>
    </row>
    <row r="932" spans="1:3" x14ac:dyDescent="0.3">
      <c r="A932" s="2">
        <v>38187</v>
      </c>
      <c r="B932">
        <f>4.5/(100)</f>
        <v>4.4999999999999998E-2</v>
      </c>
      <c r="C932">
        <f>4.794/(100)</f>
        <v>4.7939999999999997E-2</v>
      </c>
    </row>
    <row r="933" spans="1:3" x14ac:dyDescent="0.3">
      <c r="A933" s="2">
        <v>38188</v>
      </c>
      <c r="B933">
        <f>4.5/(100)</f>
        <v>4.4999999999999998E-2</v>
      </c>
      <c r="C933">
        <f>4.779/(100)</f>
        <v>4.7789999999999999E-2</v>
      </c>
    </row>
    <row r="934" spans="1:3" x14ac:dyDescent="0.3">
      <c r="A934" s="2">
        <v>38189</v>
      </c>
      <c r="B934">
        <f>4.5/(100)</f>
        <v>4.4999999999999998E-2</v>
      </c>
      <c r="C934">
        <f>4.748/(100)</f>
        <v>4.7480000000000001E-2</v>
      </c>
    </row>
    <row r="935" spans="1:3" x14ac:dyDescent="0.3">
      <c r="A935" s="2">
        <v>38190</v>
      </c>
      <c r="B935">
        <f>4.5/(100)</f>
        <v>4.4999999999999998E-2</v>
      </c>
      <c r="C935">
        <f>4.787/(100)</f>
        <v>4.7869999999999996E-2</v>
      </c>
    </row>
    <row r="936" spans="1:3" x14ac:dyDescent="0.3">
      <c r="A936" s="2">
        <v>38191</v>
      </c>
      <c r="B936">
        <f>4.5/(100)</f>
        <v>4.4999999999999998E-2</v>
      </c>
      <c r="C936">
        <f>4.864/(100)</f>
        <v>4.8639999999999996E-2</v>
      </c>
    </row>
    <row r="937" spans="1:3" x14ac:dyDescent="0.3">
      <c r="A937" s="2">
        <v>38192</v>
      </c>
      <c r="B937">
        <f>4.5/(100)</f>
        <v>4.4999999999999998E-2</v>
      </c>
      <c r="C937">
        <f>4.809/(100)</f>
        <v>4.8090000000000001E-2</v>
      </c>
    </row>
    <row r="938" spans="1:3" x14ac:dyDescent="0.3">
      <c r="A938" s="2">
        <v>38193</v>
      </c>
      <c r="B938">
        <f>4.5/(100)</f>
        <v>4.4999999999999998E-2</v>
      </c>
      <c r="C938">
        <f>4.809/(100)</f>
        <v>4.8090000000000001E-2</v>
      </c>
    </row>
    <row r="939" spans="1:3" x14ac:dyDescent="0.3">
      <c r="A939" s="2">
        <v>38194</v>
      </c>
      <c r="B939">
        <f>4.5/(100)</f>
        <v>4.4999999999999998E-2</v>
      </c>
      <c r="C939">
        <f>4.78/(100)</f>
        <v>4.7800000000000002E-2</v>
      </c>
    </row>
    <row r="940" spans="1:3" x14ac:dyDescent="0.3">
      <c r="A940" s="2">
        <v>38195</v>
      </c>
      <c r="B940">
        <f>4.5/(100)</f>
        <v>4.4999999999999998E-2</v>
      </c>
      <c r="C940">
        <f>4.73/(100)</f>
        <v>4.7300000000000002E-2</v>
      </c>
    </row>
    <row r="941" spans="1:3" x14ac:dyDescent="0.3">
      <c r="A941" s="2">
        <v>38196</v>
      </c>
      <c r="B941">
        <f>4.5/(100)</f>
        <v>4.4999999999999998E-2</v>
      </c>
      <c r="C941">
        <f>4.816/(100)</f>
        <v>4.8160000000000001E-2</v>
      </c>
    </row>
    <row r="942" spans="1:3" x14ac:dyDescent="0.3">
      <c r="A942" s="2">
        <v>38197</v>
      </c>
      <c r="B942">
        <f>4.5/(100)</f>
        <v>4.4999999999999998E-2</v>
      </c>
      <c r="C942">
        <f>4.877/(100)</f>
        <v>4.8770000000000001E-2</v>
      </c>
    </row>
    <row r="943" spans="1:3" x14ac:dyDescent="0.3">
      <c r="A943" s="2">
        <v>38198</v>
      </c>
      <c r="B943">
        <f>4.5/(100)</f>
        <v>4.4999999999999998E-2</v>
      </c>
      <c r="C943">
        <f>4.813/(100)</f>
        <v>4.8129999999999999E-2</v>
      </c>
    </row>
    <row r="944" spans="1:3" x14ac:dyDescent="0.3">
      <c r="A944" s="2">
        <v>38199</v>
      </c>
      <c r="B944">
        <f>4.5/(100)</f>
        <v>4.4999999999999998E-2</v>
      </c>
      <c r="C944">
        <f>4.784/(100)</f>
        <v>4.7840000000000001E-2</v>
      </c>
    </row>
    <row r="945" spans="1:3" x14ac:dyDescent="0.3">
      <c r="A945" s="2">
        <v>38200</v>
      </c>
      <c r="B945">
        <f>4.5/(100)</f>
        <v>4.4999999999999998E-2</v>
      </c>
      <c r="C945">
        <f>4.784/(100)</f>
        <v>4.7840000000000001E-2</v>
      </c>
    </row>
    <row r="946" spans="1:3" x14ac:dyDescent="0.3">
      <c r="A946" s="2">
        <v>38201</v>
      </c>
      <c r="B946">
        <f>4.5/(100)</f>
        <v>4.4999999999999998E-2</v>
      </c>
      <c r="C946">
        <f>4.853/(100)</f>
        <v>4.8529999999999997E-2</v>
      </c>
    </row>
    <row r="947" spans="1:3" x14ac:dyDescent="0.3">
      <c r="A947" s="2">
        <v>38202</v>
      </c>
      <c r="B947">
        <f>4.5/(100)</f>
        <v>4.4999999999999998E-2</v>
      </c>
      <c r="C947">
        <f>4.857/(100)</f>
        <v>4.8570000000000002E-2</v>
      </c>
    </row>
    <row r="948" spans="1:3" x14ac:dyDescent="0.3">
      <c r="A948" s="2">
        <v>38203</v>
      </c>
      <c r="B948">
        <f>4.5/(100)</f>
        <v>4.4999999999999998E-2</v>
      </c>
      <c r="C948">
        <f>4.841/(100)</f>
        <v>4.8410000000000002E-2</v>
      </c>
    </row>
    <row r="949" spans="1:3" x14ac:dyDescent="0.3">
      <c r="A949" s="2">
        <v>38204</v>
      </c>
      <c r="B949">
        <f>4.5/(100)</f>
        <v>4.4999999999999998E-2</v>
      </c>
      <c r="C949">
        <f>4.854/(100)</f>
        <v>4.854E-2</v>
      </c>
    </row>
    <row r="950" spans="1:3" x14ac:dyDescent="0.3">
      <c r="A950" s="2">
        <v>38205</v>
      </c>
      <c r="B950">
        <f>4.5/(100)</f>
        <v>4.4999999999999998E-2</v>
      </c>
      <c r="C950">
        <f>4.874/(100)</f>
        <v>4.8739999999999999E-2</v>
      </c>
    </row>
    <row r="951" spans="1:3" x14ac:dyDescent="0.3">
      <c r="A951" s="2">
        <v>38206</v>
      </c>
      <c r="B951">
        <f>4.5/(100)</f>
        <v>4.4999999999999998E-2</v>
      </c>
      <c r="C951">
        <f>4.85/(100)</f>
        <v>4.8499999999999995E-2</v>
      </c>
    </row>
    <row r="952" spans="1:3" x14ac:dyDescent="0.3">
      <c r="A952" s="2">
        <v>38207</v>
      </c>
      <c r="B952">
        <f>4.5/(100)</f>
        <v>4.4999999999999998E-2</v>
      </c>
      <c r="C952">
        <f>4.85/(100)</f>
        <v>4.8499999999999995E-2</v>
      </c>
    </row>
    <row r="953" spans="1:3" x14ac:dyDescent="0.3">
      <c r="A953" s="2">
        <v>38208</v>
      </c>
      <c r="B953">
        <f>4.5/(100)</f>
        <v>4.4999999999999998E-2</v>
      </c>
      <c r="C953">
        <f>4.786/(100)</f>
        <v>4.7859999999999993E-2</v>
      </c>
    </row>
    <row r="954" spans="1:3" x14ac:dyDescent="0.3">
      <c r="A954" s="2">
        <v>38209</v>
      </c>
      <c r="B954">
        <f>4.5/(100)</f>
        <v>4.4999999999999998E-2</v>
      </c>
      <c r="C954">
        <f>4.928/(100)</f>
        <v>4.9279999999999997E-2</v>
      </c>
    </row>
    <row r="955" spans="1:3" x14ac:dyDescent="0.3">
      <c r="A955" s="2">
        <v>38210</v>
      </c>
      <c r="B955">
        <f>4.5/(100)</f>
        <v>4.4999999999999998E-2</v>
      </c>
      <c r="C955">
        <f>5.204/(100)</f>
        <v>5.2039999999999996E-2</v>
      </c>
    </row>
    <row r="956" spans="1:3" x14ac:dyDescent="0.3">
      <c r="A956" s="2">
        <v>38211</v>
      </c>
      <c r="B956">
        <f>4.5/(100)</f>
        <v>4.4999999999999998E-2</v>
      </c>
      <c r="C956">
        <f>5.198/(100)</f>
        <v>5.1980000000000005E-2</v>
      </c>
    </row>
    <row r="957" spans="1:3" x14ac:dyDescent="0.3">
      <c r="A957" s="2">
        <v>38212</v>
      </c>
      <c r="B957">
        <f>4.5/(100)</f>
        <v>4.4999999999999998E-2</v>
      </c>
      <c r="C957">
        <f>5.198/(100)</f>
        <v>5.1980000000000005E-2</v>
      </c>
    </row>
    <row r="958" spans="1:3" x14ac:dyDescent="0.3">
      <c r="A958" s="2">
        <v>38213</v>
      </c>
      <c r="B958">
        <f>4.5/(100)</f>
        <v>4.4999999999999998E-2</v>
      </c>
      <c r="C958">
        <f>5.324/(100)</f>
        <v>5.3239999999999996E-2</v>
      </c>
    </row>
    <row r="959" spans="1:3" x14ac:dyDescent="0.3">
      <c r="A959" s="2">
        <v>38214</v>
      </c>
      <c r="B959">
        <f>4.5/(100)</f>
        <v>4.4999999999999998E-2</v>
      </c>
      <c r="C959">
        <f>5.324/(100)</f>
        <v>5.3239999999999996E-2</v>
      </c>
    </row>
    <row r="960" spans="1:3" x14ac:dyDescent="0.3">
      <c r="A960" s="2">
        <v>38215</v>
      </c>
      <c r="B960">
        <f>4.5/(100)</f>
        <v>4.4999999999999998E-2</v>
      </c>
      <c r="C960">
        <f>5.301/(100)</f>
        <v>5.3010000000000002E-2</v>
      </c>
    </row>
    <row r="961" spans="1:3" x14ac:dyDescent="0.3">
      <c r="A961" s="2">
        <v>38216</v>
      </c>
      <c r="B961">
        <f>4.5/(100)</f>
        <v>4.4999999999999998E-2</v>
      </c>
      <c r="C961">
        <f>5.217/(100)</f>
        <v>5.2169999999999994E-2</v>
      </c>
    </row>
    <row r="962" spans="1:3" x14ac:dyDescent="0.3">
      <c r="A962" s="2">
        <v>38217</v>
      </c>
      <c r="B962">
        <f>4.5/(100)</f>
        <v>4.4999999999999998E-2</v>
      </c>
      <c r="C962">
        <f>5.178/(100)</f>
        <v>5.178E-2</v>
      </c>
    </row>
    <row r="963" spans="1:3" x14ac:dyDescent="0.3">
      <c r="A963" s="2">
        <v>38218</v>
      </c>
      <c r="B963">
        <f>4.5/(100)</f>
        <v>4.4999999999999998E-2</v>
      </c>
      <c r="C963">
        <f>5.162/(100)</f>
        <v>5.1619999999999999E-2</v>
      </c>
    </row>
    <row r="964" spans="1:3" x14ac:dyDescent="0.3">
      <c r="A964" s="2">
        <v>38219</v>
      </c>
      <c r="B964">
        <f>4.5/(100)</f>
        <v>4.4999999999999998E-2</v>
      </c>
      <c r="C964">
        <f>5.162/(100)</f>
        <v>5.1619999999999999E-2</v>
      </c>
    </row>
    <row r="965" spans="1:3" x14ac:dyDescent="0.3">
      <c r="A965" s="2">
        <v>38220</v>
      </c>
      <c r="B965">
        <f>4.5/(100)</f>
        <v>4.4999999999999998E-2</v>
      </c>
      <c r="C965">
        <f>5.152/(100)</f>
        <v>5.1520000000000003E-2</v>
      </c>
    </row>
    <row r="966" spans="1:3" x14ac:dyDescent="0.3">
      <c r="A966" s="2">
        <v>38221</v>
      </c>
      <c r="B966">
        <f>4.5/(100)</f>
        <v>4.4999999999999998E-2</v>
      </c>
      <c r="C966">
        <f>5.152/(100)</f>
        <v>5.1520000000000003E-2</v>
      </c>
    </row>
    <row r="967" spans="1:3" x14ac:dyDescent="0.3">
      <c r="A967" s="2">
        <v>38222</v>
      </c>
      <c r="B967">
        <f>4.5/(100)</f>
        <v>4.4999999999999998E-2</v>
      </c>
      <c r="C967">
        <f>5.239/(100)</f>
        <v>5.2389999999999999E-2</v>
      </c>
    </row>
    <row r="968" spans="1:3" x14ac:dyDescent="0.3">
      <c r="A968" s="2">
        <v>38223</v>
      </c>
      <c r="B968">
        <f>4.5/(100)</f>
        <v>4.4999999999999998E-2</v>
      </c>
      <c r="C968">
        <f>5.223/(100)</f>
        <v>5.2229999999999999E-2</v>
      </c>
    </row>
    <row r="969" spans="1:3" x14ac:dyDescent="0.3">
      <c r="A969" s="2">
        <v>38224</v>
      </c>
      <c r="B969">
        <f>4.5/(100)</f>
        <v>4.4999999999999998E-2</v>
      </c>
      <c r="C969">
        <f>5.207/(100)</f>
        <v>5.2069999999999998E-2</v>
      </c>
    </row>
    <row r="970" spans="1:3" x14ac:dyDescent="0.3">
      <c r="A970" s="2">
        <v>38225</v>
      </c>
      <c r="B970">
        <f>4.5/(100)</f>
        <v>4.4999999999999998E-2</v>
      </c>
      <c r="C970">
        <f>5.406/(100)</f>
        <v>5.4059999999999997E-2</v>
      </c>
    </row>
    <row r="971" spans="1:3" x14ac:dyDescent="0.3">
      <c r="A971" s="2">
        <v>38226</v>
      </c>
      <c r="B971">
        <f>4.5/(100)</f>
        <v>4.4999999999999998E-2</v>
      </c>
      <c r="C971">
        <f>5.406/(100)</f>
        <v>5.4059999999999997E-2</v>
      </c>
    </row>
    <row r="972" spans="1:3" x14ac:dyDescent="0.3">
      <c r="A972" s="2">
        <v>38227</v>
      </c>
      <c r="B972">
        <f>4.5/(100)</f>
        <v>4.4999999999999998E-2</v>
      </c>
      <c r="C972">
        <f>5.219/(100)</f>
        <v>5.219E-2</v>
      </c>
    </row>
    <row r="973" spans="1:3" x14ac:dyDescent="0.3">
      <c r="A973" s="2">
        <v>38228</v>
      </c>
      <c r="B973">
        <f>4.5/(100)</f>
        <v>4.4999999999999998E-2</v>
      </c>
      <c r="C973">
        <f>5.219/(100)</f>
        <v>5.219E-2</v>
      </c>
    </row>
    <row r="974" spans="1:3" x14ac:dyDescent="0.3">
      <c r="A974" s="2">
        <v>38229</v>
      </c>
      <c r="B974">
        <f>4.5/(100)</f>
        <v>4.4999999999999998E-2</v>
      </c>
      <c r="C974">
        <f>5.251/(100)</f>
        <v>5.2510000000000001E-2</v>
      </c>
    </row>
    <row r="975" spans="1:3" x14ac:dyDescent="0.3">
      <c r="A975" s="2">
        <v>38230</v>
      </c>
      <c r="B975">
        <f>4.5/(100)</f>
        <v>4.4999999999999998E-2</v>
      </c>
      <c r="C975">
        <f>5.202/(100)</f>
        <v>5.2019999999999997E-2</v>
      </c>
    </row>
    <row r="976" spans="1:3" x14ac:dyDescent="0.3">
      <c r="A976" s="2">
        <v>38231</v>
      </c>
      <c r="B976">
        <f>4.5/(100)</f>
        <v>4.4999999999999998E-2</v>
      </c>
      <c r="C976">
        <f>5.161/(100)</f>
        <v>5.1609999999999996E-2</v>
      </c>
    </row>
    <row r="977" spans="1:3" x14ac:dyDescent="0.3">
      <c r="A977" s="2">
        <v>38232</v>
      </c>
      <c r="B977">
        <f>4.5/(100)</f>
        <v>4.4999999999999998E-2</v>
      </c>
      <c r="C977">
        <f>5.151/(100)</f>
        <v>5.151E-2</v>
      </c>
    </row>
    <row r="978" spans="1:3" x14ac:dyDescent="0.3">
      <c r="A978" s="2">
        <v>38233</v>
      </c>
      <c r="B978">
        <f>4.5/(100)</f>
        <v>4.4999999999999998E-2</v>
      </c>
      <c r="C978">
        <f>5.104/(100)</f>
        <v>5.1040000000000002E-2</v>
      </c>
    </row>
    <row r="979" spans="1:3" x14ac:dyDescent="0.3">
      <c r="A979" s="2">
        <v>38234</v>
      </c>
      <c r="B979">
        <f>4.5/(100)</f>
        <v>4.4999999999999998E-2</v>
      </c>
      <c r="C979">
        <f>5.041/(100)</f>
        <v>5.0410000000000003E-2</v>
      </c>
    </row>
    <row r="980" spans="1:3" x14ac:dyDescent="0.3">
      <c r="A980" s="2">
        <v>38235</v>
      </c>
      <c r="B980">
        <f>4.5/(100)</f>
        <v>4.4999999999999998E-2</v>
      </c>
      <c r="C980">
        <f>5.041/(100)</f>
        <v>5.0410000000000003E-2</v>
      </c>
    </row>
    <row r="981" spans="1:3" x14ac:dyDescent="0.3">
      <c r="A981" s="2">
        <v>38236</v>
      </c>
      <c r="B981">
        <f>4.5/(100)</f>
        <v>4.4999999999999998E-2</v>
      </c>
      <c r="C981">
        <f>5.066/(100)</f>
        <v>5.0659999999999997E-2</v>
      </c>
    </row>
    <row r="982" spans="1:3" x14ac:dyDescent="0.3">
      <c r="A982" s="2">
        <v>38237</v>
      </c>
      <c r="B982">
        <f>4.5/(100)</f>
        <v>4.4999999999999998E-2</v>
      </c>
      <c r="C982">
        <f>5.113/(100)</f>
        <v>5.1130000000000002E-2</v>
      </c>
    </row>
    <row r="983" spans="1:3" x14ac:dyDescent="0.3">
      <c r="A983" s="2">
        <v>38238</v>
      </c>
      <c r="B983">
        <f>4.5/(100)</f>
        <v>4.4999999999999998E-2</v>
      </c>
      <c r="C983">
        <f>5.107/(100)</f>
        <v>5.1070000000000004E-2</v>
      </c>
    </row>
    <row r="984" spans="1:3" x14ac:dyDescent="0.3">
      <c r="A984" s="2">
        <v>38239</v>
      </c>
      <c r="B984">
        <f>4.5/(100)</f>
        <v>4.4999999999999998E-2</v>
      </c>
      <c r="C984">
        <f>5.098/(100)</f>
        <v>5.0979999999999998E-2</v>
      </c>
    </row>
    <row r="985" spans="1:3" x14ac:dyDescent="0.3">
      <c r="A985" s="2">
        <v>38240</v>
      </c>
      <c r="B985">
        <f>4.5/(100)</f>
        <v>4.4999999999999998E-2</v>
      </c>
      <c r="C985">
        <f>5.089/(100)</f>
        <v>5.0890000000000005E-2</v>
      </c>
    </row>
    <row r="986" spans="1:3" x14ac:dyDescent="0.3">
      <c r="A986" s="2">
        <v>38241</v>
      </c>
      <c r="B986">
        <f>4.5/(100)</f>
        <v>4.4999999999999998E-2</v>
      </c>
      <c r="C986">
        <f>5.048/(100)</f>
        <v>5.0479999999999997E-2</v>
      </c>
    </row>
    <row r="987" spans="1:3" x14ac:dyDescent="0.3">
      <c r="A987" s="2">
        <v>38242</v>
      </c>
      <c r="B987">
        <f>4.5/(100)</f>
        <v>4.4999999999999998E-2</v>
      </c>
      <c r="C987">
        <f>5.048/(100)</f>
        <v>5.0479999999999997E-2</v>
      </c>
    </row>
    <row r="988" spans="1:3" x14ac:dyDescent="0.3">
      <c r="A988" s="2">
        <v>38243</v>
      </c>
      <c r="B988">
        <f>4.5/(100)</f>
        <v>4.4999999999999998E-2</v>
      </c>
      <c r="C988">
        <f>5.241/(100)</f>
        <v>5.2409999999999998E-2</v>
      </c>
    </row>
    <row r="989" spans="1:3" x14ac:dyDescent="0.3">
      <c r="A989" s="2">
        <v>38244</v>
      </c>
      <c r="B989">
        <f>4.5/(100)</f>
        <v>4.4999999999999998E-2</v>
      </c>
      <c r="C989">
        <f>5.165/(100)</f>
        <v>5.1650000000000001E-2</v>
      </c>
    </row>
    <row r="990" spans="1:3" x14ac:dyDescent="0.3">
      <c r="A990" s="2">
        <v>38245</v>
      </c>
      <c r="B990">
        <f>4.5/(100)</f>
        <v>4.4999999999999998E-2</v>
      </c>
      <c r="C990">
        <f>5.218/(100)</f>
        <v>5.2179999999999997E-2</v>
      </c>
    </row>
    <row r="991" spans="1:3" x14ac:dyDescent="0.3">
      <c r="A991" s="2">
        <v>38246</v>
      </c>
      <c r="B991">
        <f>4.5/(100)</f>
        <v>4.4999999999999998E-2</v>
      </c>
      <c r="C991">
        <f>5.209/(100)</f>
        <v>5.2089999999999997E-2</v>
      </c>
    </row>
    <row r="992" spans="1:3" x14ac:dyDescent="0.3">
      <c r="A992" s="2">
        <v>38247</v>
      </c>
      <c r="B992">
        <f>4.5/(100)</f>
        <v>4.4999999999999998E-2</v>
      </c>
      <c r="C992">
        <f>5.218/(100)</f>
        <v>5.2179999999999997E-2</v>
      </c>
    </row>
    <row r="993" spans="1:3" x14ac:dyDescent="0.3">
      <c r="A993" s="2">
        <v>38248</v>
      </c>
      <c r="B993">
        <f>4.5/(100)</f>
        <v>4.4999999999999998E-2</v>
      </c>
      <c r="C993">
        <f>5.218/(100)</f>
        <v>5.2179999999999997E-2</v>
      </c>
    </row>
    <row r="994" spans="1:3" x14ac:dyDescent="0.3">
      <c r="A994" s="2">
        <v>38249</v>
      </c>
      <c r="B994">
        <f>4.5/(100)</f>
        <v>4.4999999999999998E-2</v>
      </c>
      <c r="C994">
        <f>5.218/(100)</f>
        <v>5.2179999999999997E-2</v>
      </c>
    </row>
    <row r="995" spans="1:3" x14ac:dyDescent="0.3">
      <c r="A995" s="2">
        <v>38250</v>
      </c>
      <c r="B995">
        <f>4.5/(100)</f>
        <v>4.4999999999999998E-2</v>
      </c>
      <c r="C995">
        <f>5.24/(100)</f>
        <v>5.2400000000000002E-2</v>
      </c>
    </row>
    <row r="996" spans="1:3" x14ac:dyDescent="0.3">
      <c r="A996" s="2">
        <v>38251</v>
      </c>
      <c r="B996">
        <f>4.5/(100)</f>
        <v>4.4999999999999998E-2</v>
      </c>
      <c r="C996">
        <f>5.237/(100)</f>
        <v>5.237E-2</v>
      </c>
    </row>
    <row r="997" spans="1:3" x14ac:dyDescent="0.3">
      <c r="A997" s="2">
        <v>38252</v>
      </c>
      <c r="B997">
        <f>4.5/(100)</f>
        <v>4.4999999999999998E-2</v>
      </c>
      <c r="C997">
        <f>5.25/(100)</f>
        <v>5.2499999999999998E-2</v>
      </c>
    </row>
    <row r="998" spans="1:3" x14ac:dyDescent="0.3">
      <c r="A998" s="2">
        <v>38253</v>
      </c>
      <c r="B998">
        <f>4.5/(100)</f>
        <v>4.4999999999999998E-2</v>
      </c>
      <c r="C998">
        <f>5.206/(100)</f>
        <v>5.2060000000000002E-2</v>
      </c>
    </row>
    <row r="999" spans="1:3" x14ac:dyDescent="0.3">
      <c r="A999" s="2">
        <v>38254</v>
      </c>
      <c r="B999">
        <f>4.5/(100)</f>
        <v>4.4999999999999998E-2</v>
      </c>
      <c r="C999">
        <f>5.151/(100)</f>
        <v>5.151E-2</v>
      </c>
    </row>
    <row r="1000" spans="1:3" x14ac:dyDescent="0.3">
      <c r="A1000" s="2">
        <v>38255</v>
      </c>
      <c r="B1000">
        <f>4.5/(100)</f>
        <v>4.4999999999999998E-2</v>
      </c>
      <c r="C1000">
        <f>5.183/(100)</f>
        <v>5.1830000000000001E-2</v>
      </c>
    </row>
    <row r="1001" spans="1:3" x14ac:dyDescent="0.3">
      <c r="A1001" s="2">
        <v>38256</v>
      </c>
      <c r="B1001">
        <f>4.5/(100)</f>
        <v>4.4999999999999998E-2</v>
      </c>
      <c r="C1001">
        <f>5.183/(100)</f>
        <v>5.1830000000000001E-2</v>
      </c>
    </row>
    <row r="1002" spans="1:3" x14ac:dyDescent="0.3">
      <c r="A1002" s="2">
        <v>38257</v>
      </c>
      <c r="B1002">
        <f>4.5/(100)</f>
        <v>4.4999999999999998E-2</v>
      </c>
      <c r="C1002">
        <f>5.221/(100)</f>
        <v>5.2209999999999999E-2</v>
      </c>
    </row>
    <row r="1003" spans="1:3" x14ac:dyDescent="0.3">
      <c r="A1003" s="2">
        <v>38258</v>
      </c>
      <c r="B1003">
        <f>4.5/(100)</f>
        <v>4.4999999999999998E-2</v>
      </c>
      <c r="C1003">
        <f>5.258/(100)</f>
        <v>5.2580000000000002E-2</v>
      </c>
    </row>
    <row r="1004" spans="1:3" x14ac:dyDescent="0.3">
      <c r="A1004" s="2">
        <v>38259</v>
      </c>
      <c r="B1004">
        <f>4.5/(100)</f>
        <v>4.4999999999999998E-2</v>
      </c>
      <c r="C1004">
        <f>5.302/(100)</f>
        <v>5.3019999999999998E-2</v>
      </c>
    </row>
    <row r="1005" spans="1:3" x14ac:dyDescent="0.3">
      <c r="A1005" s="2">
        <v>38260</v>
      </c>
      <c r="B1005">
        <f>4.5/(100)</f>
        <v>4.4999999999999998E-2</v>
      </c>
      <c r="C1005">
        <f>5.278/(100)</f>
        <v>5.2779999999999994E-2</v>
      </c>
    </row>
    <row r="1006" spans="1:3" x14ac:dyDescent="0.3">
      <c r="A1006" s="2">
        <v>38261</v>
      </c>
      <c r="B1006">
        <f>4.5/(100)</f>
        <v>4.4999999999999998E-2</v>
      </c>
      <c r="C1006">
        <f>5.354/(100)</f>
        <v>5.3540000000000004E-2</v>
      </c>
    </row>
    <row r="1007" spans="1:3" x14ac:dyDescent="0.3">
      <c r="A1007" s="2">
        <v>38262</v>
      </c>
      <c r="B1007">
        <f>4.5/(100)</f>
        <v>4.4999999999999998E-2</v>
      </c>
      <c r="C1007">
        <f>5.354/(100)</f>
        <v>5.3540000000000004E-2</v>
      </c>
    </row>
    <row r="1008" spans="1:3" x14ac:dyDescent="0.3">
      <c r="A1008" s="2">
        <v>38263</v>
      </c>
      <c r="B1008">
        <f>4.5/(100)</f>
        <v>4.4999999999999998E-2</v>
      </c>
      <c r="C1008">
        <f>5.354/(100)</f>
        <v>5.3540000000000004E-2</v>
      </c>
    </row>
    <row r="1009" spans="1:3" x14ac:dyDescent="0.3">
      <c r="A1009" s="2">
        <v>38264</v>
      </c>
      <c r="B1009">
        <f>4.5/(100)</f>
        <v>4.4999999999999998E-2</v>
      </c>
      <c r="C1009">
        <f>5.331/(100)</f>
        <v>5.3310000000000003E-2</v>
      </c>
    </row>
    <row r="1010" spans="1:3" x14ac:dyDescent="0.3">
      <c r="A1010" s="2">
        <v>38265</v>
      </c>
      <c r="B1010">
        <f>4.5/(100)</f>
        <v>4.4999999999999998E-2</v>
      </c>
      <c r="C1010">
        <f>5.372/(100)</f>
        <v>5.3719999999999997E-2</v>
      </c>
    </row>
    <row r="1011" spans="1:3" x14ac:dyDescent="0.3">
      <c r="A1011" s="2">
        <v>38266</v>
      </c>
      <c r="B1011">
        <f>4.5/(100)</f>
        <v>4.4999999999999998E-2</v>
      </c>
      <c r="C1011">
        <f>5.376/(100)</f>
        <v>5.3760000000000002E-2</v>
      </c>
    </row>
    <row r="1012" spans="1:3" x14ac:dyDescent="0.3">
      <c r="A1012" s="2">
        <v>38267</v>
      </c>
      <c r="B1012">
        <f>4.5/(100)</f>
        <v>4.4999999999999998E-2</v>
      </c>
      <c r="C1012">
        <f>5.426/(100)</f>
        <v>5.4260000000000003E-2</v>
      </c>
    </row>
    <row r="1013" spans="1:3" x14ac:dyDescent="0.3">
      <c r="A1013" s="2">
        <v>38268</v>
      </c>
      <c r="B1013">
        <f>4.5/(100)</f>
        <v>4.4999999999999998E-2</v>
      </c>
      <c r="C1013">
        <f>5.42/(100)</f>
        <v>5.4199999999999998E-2</v>
      </c>
    </row>
    <row r="1014" spans="1:3" x14ac:dyDescent="0.3">
      <c r="A1014" s="2">
        <v>38269</v>
      </c>
      <c r="B1014">
        <f>4.5/(100)</f>
        <v>4.4999999999999998E-2</v>
      </c>
      <c r="C1014">
        <f>5.461/(100)</f>
        <v>5.4610000000000006E-2</v>
      </c>
    </row>
    <row r="1015" spans="1:3" x14ac:dyDescent="0.3">
      <c r="A1015" s="2">
        <v>38270</v>
      </c>
      <c r="B1015">
        <f>4.5/(100)</f>
        <v>4.4999999999999998E-2</v>
      </c>
      <c r="C1015">
        <f>5.461/(100)</f>
        <v>5.4610000000000006E-2</v>
      </c>
    </row>
    <row r="1016" spans="1:3" x14ac:dyDescent="0.3">
      <c r="A1016" s="2">
        <v>38271</v>
      </c>
      <c r="B1016">
        <f>4.5/(100)</f>
        <v>4.4999999999999998E-2</v>
      </c>
      <c r="C1016">
        <f>5.499/(100)</f>
        <v>5.4989999999999997E-2</v>
      </c>
    </row>
    <row r="1017" spans="1:3" x14ac:dyDescent="0.3">
      <c r="A1017" s="2">
        <v>38272</v>
      </c>
      <c r="B1017">
        <f>4.5/(100)</f>
        <v>4.4999999999999998E-2</v>
      </c>
      <c r="C1017">
        <f>5.524/(100)</f>
        <v>5.5239999999999997E-2</v>
      </c>
    </row>
    <row r="1018" spans="1:3" x14ac:dyDescent="0.3">
      <c r="A1018" s="2">
        <v>38273</v>
      </c>
      <c r="B1018">
        <f>4.5/(100)</f>
        <v>4.4999999999999998E-2</v>
      </c>
      <c r="C1018">
        <f>5.524/(100)</f>
        <v>5.5239999999999997E-2</v>
      </c>
    </row>
    <row r="1019" spans="1:3" x14ac:dyDescent="0.3">
      <c r="A1019" s="2">
        <v>38274</v>
      </c>
      <c r="B1019">
        <f>4.5/(100)</f>
        <v>4.4999999999999998E-2</v>
      </c>
      <c r="C1019">
        <f>5.494/(100)</f>
        <v>5.4939999999999996E-2</v>
      </c>
    </row>
    <row r="1020" spans="1:3" x14ac:dyDescent="0.3">
      <c r="A1020" s="2">
        <v>38275</v>
      </c>
      <c r="B1020">
        <f>4.5/(100)</f>
        <v>4.4999999999999998E-2</v>
      </c>
      <c r="C1020">
        <f>5.474/(100)</f>
        <v>5.4740000000000004E-2</v>
      </c>
    </row>
    <row r="1021" spans="1:3" x14ac:dyDescent="0.3">
      <c r="A1021" s="2">
        <v>38276</v>
      </c>
      <c r="B1021">
        <f>4.5/(100)</f>
        <v>4.4999999999999998E-2</v>
      </c>
      <c r="C1021">
        <f>5.476/(100)</f>
        <v>5.4760000000000003E-2</v>
      </c>
    </row>
    <row r="1022" spans="1:3" x14ac:dyDescent="0.3">
      <c r="A1022" s="2">
        <v>38277</v>
      </c>
      <c r="B1022">
        <f>4.5/(100)</f>
        <v>4.4999999999999998E-2</v>
      </c>
      <c r="C1022">
        <f>5.476/(100)</f>
        <v>5.4760000000000003E-2</v>
      </c>
    </row>
    <row r="1023" spans="1:3" x14ac:dyDescent="0.3">
      <c r="A1023" s="2">
        <v>38278</v>
      </c>
      <c r="B1023">
        <f>4.5/(100)</f>
        <v>4.4999999999999998E-2</v>
      </c>
      <c r="C1023">
        <f>5.495/(100)</f>
        <v>5.4949999999999999E-2</v>
      </c>
    </row>
    <row r="1024" spans="1:3" x14ac:dyDescent="0.3">
      <c r="A1024" s="2">
        <v>38279</v>
      </c>
      <c r="B1024">
        <f>4.5/(100)</f>
        <v>4.4999999999999998E-2</v>
      </c>
      <c r="C1024">
        <f>5.468/(100)</f>
        <v>5.4679999999999999E-2</v>
      </c>
    </row>
    <row r="1025" spans="1:3" x14ac:dyDescent="0.3">
      <c r="A1025" s="2">
        <v>38280</v>
      </c>
      <c r="B1025">
        <f>4.5/(100)</f>
        <v>4.4999999999999998E-2</v>
      </c>
      <c r="C1025">
        <f>5.5/(100)</f>
        <v>5.5E-2</v>
      </c>
    </row>
    <row r="1026" spans="1:3" x14ac:dyDescent="0.3">
      <c r="A1026" s="2">
        <v>38281</v>
      </c>
      <c r="B1026">
        <f>4.5/(100)</f>
        <v>4.4999999999999998E-2</v>
      </c>
      <c r="C1026">
        <f>5.497/(100)</f>
        <v>5.4969999999999998E-2</v>
      </c>
    </row>
    <row r="1027" spans="1:3" x14ac:dyDescent="0.3">
      <c r="A1027" s="2">
        <v>38282</v>
      </c>
      <c r="B1027">
        <f>4.5/(100)</f>
        <v>4.4999999999999998E-2</v>
      </c>
      <c r="C1027">
        <f>5.497/(100)</f>
        <v>5.4969999999999998E-2</v>
      </c>
    </row>
    <row r="1028" spans="1:3" x14ac:dyDescent="0.3">
      <c r="A1028" s="2">
        <v>38283</v>
      </c>
      <c r="B1028">
        <f>4.5/(100)</f>
        <v>4.4999999999999998E-2</v>
      </c>
      <c r="C1028">
        <f>5.459/(100)</f>
        <v>5.459E-2</v>
      </c>
    </row>
    <row r="1029" spans="1:3" x14ac:dyDescent="0.3">
      <c r="A1029" s="2">
        <v>38284</v>
      </c>
      <c r="B1029">
        <f>4.5/(100)</f>
        <v>4.4999999999999998E-2</v>
      </c>
      <c r="C1029">
        <f>5.459/(100)</f>
        <v>5.459E-2</v>
      </c>
    </row>
    <row r="1030" spans="1:3" x14ac:dyDescent="0.3">
      <c r="A1030" s="2">
        <v>38285</v>
      </c>
      <c r="B1030">
        <f>4.5/(100)</f>
        <v>4.4999999999999998E-2</v>
      </c>
      <c r="C1030">
        <f>5.51/(100)</f>
        <v>5.5099999999999996E-2</v>
      </c>
    </row>
    <row r="1031" spans="1:3" x14ac:dyDescent="0.3">
      <c r="A1031" s="2">
        <v>38286</v>
      </c>
      <c r="B1031">
        <f>4.5/(100)</f>
        <v>4.4999999999999998E-2</v>
      </c>
      <c r="C1031">
        <f>5.561/(100)</f>
        <v>5.561E-2</v>
      </c>
    </row>
    <row r="1032" spans="1:3" x14ac:dyDescent="0.3">
      <c r="A1032" s="2">
        <v>38287</v>
      </c>
      <c r="B1032">
        <f>6/(100)</f>
        <v>0.06</v>
      </c>
      <c r="C1032">
        <f>5.675/(100)</f>
        <v>5.6749999999999995E-2</v>
      </c>
    </row>
    <row r="1033" spans="1:3" x14ac:dyDescent="0.3">
      <c r="A1033" s="2">
        <v>38288</v>
      </c>
      <c r="B1033">
        <f>6/(100)</f>
        <v>0.06</v>
      </c>
      <c r="C1033">
        <f>5.703/(100)</f>
        <v>5.7030000000000004E-2</v>
      </c>
    </row>
    <row r="1034" spans="1:3" x14ac:dyDescent="0.3">
      <c r="A1034" s="2">
        <v>38289</v>
      </c>
      <c r="B1034">
        <f>6/(100)</f>
        <v>0.06</v>
      </c>
      <c r="C1034">
        <f>5.696/(100)</f>
        <v>5.6959999999999997E-2</v>
      </c>
    </row>
    <row r="1035" spans="1:3" x14ac:dyDescent="0.3">
      <c r="A1035" s="2">
        <v>38290</v>
      </c>
      <c r="B1035">
        <f>6/(100)</f>
        <v>0.06</v>
      </c>
      <c r="C1035">
        <f>5.712/(100)</f>
        <v>5.7119999999999997E-2</v>
      </c>
    </row>
    <row r="1036" spans="1:3" x14ac:dyDescent="0.3">
      <c r="A1036" s="2">
        <v>38291</v>
      </c>
      <c r="B1036">
        <f>6/(100)</f>
        <v>0.06</v>
      </c>
      <c r="C1036">
        <f>5.712/(100)</f>
        <v>5.7119999999999997E-2</v>
      </c>
    </row>
    <row r="1037" spans="1:3" x14ac:dyDescent="0.3">
      <c r="A1037" s="2">
        <v>38292</v>
      </c>
      <c r="B1037">
        <f>6/(100)</f>
        <v>0.06</v>
      </c>
      <c r="C1037">
        <f>5.72/(100)</f>
        <v>5.7200000000000001E-2</v>
      </c>
    </row>
    <row r="1038" spans="1:3" x14ac:dyDescent="0.3">
      <c r="A1038" s="2">
        <v>38293</v>
      </c>
      <c r="B1038">
        <f>6/(100)</f>
        <v>0.06</v>
      </c>
      <c r="C1038">
        <f>5.745/(100)</f>
        <v>5.7450000000000001E-2</v>
      </c>
    </row>
    <row r="1039" spans="1:3" x14ac:dyDescent="0.3">
      <c r="A1039" s="2">
        <v>38294</v>
      </c>
      <c r="B1039">
        <f>6/(100)</f>
        <v>0.06</v>
      </c>
      <c r="C1039">
        <f>5.758/(100)</f>
        <v>5.7579999999999999E-2</v>
      </c>
    </row>
    <row r="1040" spans="1:3" x14ac:dyDescent="0.3">
      <c r="A1040" s="2">
        <v>38295</v>
      </c>
      <c r="B1040">
        <f>6/(100)</f>
        <v>0.06</v>
      </c>
      <c r="C1040">
        <f>5.742/(100)</f>
        <v>5.7419999999999999E-2</v>
      </c>
    </row>
    <row r="1041" spans="1:3" x14ac:dyDescent="0.3">
      <c r="A1041" s="2">
        <v>38296</v>
      </c>
      <c r="B1041">
        <f>6/(100)</f>
        <v>0.06</v>
      </c>
      <c r="C1041">
        <f>5.906/(100)</f>
        <v>5.9059999999999994E-2</v>
      </c>
    </row>
    <row r="1042" spans="1:3" x14ac:dyDescent="0.3">
      <c r="A1042" s="2">
        <v>38297</v>
      </c>
      <c r="B1042">
        <f>6/(100)</f>
        <v>0.06</v>
      </c>
      <c r="C1042">
        <f>5.965/(100)</f>
        <v>5.9650000000000002E-2</v>
      </c>
    </row>
    <row r="1043" spans="1:3" x14ac:dyDescent="0.3">
      <c r="A1043" s="2">
        <v>38298</v>
      </c>
      <c r="B1043">
        <f>6/(100)</f>
        <v>0.06</v>
      </c>
      <c r="C1043">
        <f>5.965/(100)</f>
        <v>5.9650000000000002E-2</v>
      </c>
    </row>
    <row r="1044" spans="1:3" x14ac:dyDescent="0.3">
      <c r="A1044" s="2">
        <v>38299</v>
      </c>
      <c r="B1044">
        <f>6/(100)</f>
        <v>0.06</v>
      </c>
      <c r="C1044">
        <f>5.926/(100)</f>
        <v>5.926E-2</v>
      </c>
    </row>
    <row r="1045" spans="1:3" x14ac:dyDescent="0.3">
      <c r="A1045" s="2">
        <v>38300</v>
      </c>
      <c r="B1045">
        <f>6/(100)</f>
        <v>0.06</v>
      </c>
      <c r="C1045">
        <f>5.902/(100)</f>
        <v>5.9020000000000003E-2</v>
      </c>
    </row>
    <row r="1046" spans="1:3" x14ac:dyDescent="0.3">
      <c r="A1046" s="2">
        <v>38301</v>
      </c>
      <c r="B1046">
        <f>6/(100)</f>
        <v>0.06</v>
      </c>
      <c r="C1046">
        <f>5.876/(100)</f>
        <v>5.8760000000000007E-2</v>
      </c>
    </row>
    <row r="1047" spans="1:3" x14ac:dyDescent="0.3">
      <c r="A1047" s="2">
        <v>38302</v>
      </c>
      <c r="B1047">
        <f>6/(100)</f>
        <v>0.06</v>
      </c>
      <c r="C1047">
        <f>5.964/(100)</f>
        <v>5.9640000000000006E-2</v>
      </c>
    </row>
    <row r="1048" spans="1:3" x14ac:dyDescent="0.3">
      <c r="A1048" s="2">
        <v>38303</v>
      </c>
      <c r="B1048">
        <f>6/(100)</f>
        <v>0.06</v>
      </c>
      <c r="C1048">
        <f>5.964/(100)</f>
        <v>5.9640000000000006E-2</v>
      </c>
    </row>
    <row r="1049" spans="1:3" x14ac:dyDescent="0.3">
      <c r="A1049" s="2">
        <v>38304</v>
      </c>
      <c r="B1049">
        <f>6/(100)</f>
        <v>0.06</v>
      </c>
      <c r="C1049">
        <f>5.921/(100)</f>
        <v>5.9210000000000006E-2</v>
      </c>
    </row>
    <row r="1050" spans="1:3" x14ac:dyDescent="0.3">
      <c r="A1050" s="2">
        <v>38305</v>
      </c>
      <c r="B1050">
        <f>6/(100)</f>
        <v>0.06</v>
      </c>
      <c r="C1050">
        <f>5.921/(100)</f>
        <v>5.9210000000000006E-2</v>
      </c>
    </row>
    <row r="1051" spans="1:3" x14ac:dyDescent="0.3">
      <c r="A1051" s="2">
        <v>38306</v>
      </c>
      <c r="B1051">
        <f>6/(100)</f>
        <v>0.06</v>
      </c>
      <c r="C1051">
        <f>5.921/(100)</f>
        <v>5.9210000000000006E-2</v>
      </c>
    </row>
    <row r="1052" spans="1:3" x14ac:dyDescent="0.3">
      <c r="A1052" s="2">
        <v>38307</v>
      </c>
      <c r="B1052">
        <f>6/(100)</f>
        <v>0.06</v>
      </c>
      <c r="C1052">
        <f>5.915/(100)</f>
        <v>5.9150000000000001E-2</v>
      </c>
    </row>
    <row r="1053" spans="1:3" x14ac:dyDescent="0.3">
      <c r="A1053" s="2">
        <v>38308</v>
      </c>
      <c r="B1053">
        <f>6/(100)</f>
        <v>0.06</v>
      </c>
      <c r="C1053">
        <f>5.903/(100)</f>
        <v>5.9029999999999999E-2</v>
      </c>
    </row>
    <row r="1054" spans="1:3" x14ac:dyDescent="0.3">
      <c r="A1054" s="2">
        <v>38309</v>
      </c>
      <c r="B1054">
        <f>6/(100)</f>
        <v>0.06</v>
      </c>
      <c r="C1054">
        <f>5.846/(100)</f>
        <v>5.8459999999999998E-2</v>
      </c>
    </row>
    <row r="1055" spans="1:3" x14ac:dyDescent="0.3">
      <c r="A1055" s="2">
        <v>38310</v>
      </c>
      <c r="B1055">
        <f>6/(100)</f>
        <v>0.06</v>
      </c>
      <c r="C1055">
        <f>5.846/(100)</f>
        <v>5.8459999999999998E-2</v>
      </c>
    </row>
    <row r="1056" spans="1:3" x14ac:dyDescent="0.3">
      <c r="A1056" s="2">
        <v>38311</v>
      </c>
      <c r="B1056">
        <f>6/(100)</f>
        <v>0.06</v>
      </c>
      <c r="C1056">
        <f>5.796/(100)</f>
        <v>5.7960000000000005E-2</v>
      </c>
    </row>
    <row r="1057" spans="1:3" x14ac:dyDescent="0.3">
      <c r="A1057" s="2">
        <v>38312</v>
      </c>
      <c r="B1057">
        <f>6/(100)</f>
        <v>0.06</v>
      </c>
      <c r="C1057">
        <f>5.796/(100)</f>
        <v>5.7960000000000005E-2</v>
      </c>
    </row>
    <row r="1058" spans="1:3" x14ac:dyDescent="0.3">
      <c r="A1058" s="2">
        <v>38313</v>
      </c>
      <c r="B1058">
        <f>6/(100)</f>
        <v>0.06</v>
      </c>
      <c r="C1058">
        <f>5.791/(100)</f>
        <v>5.7910000000000003E-2</v>
      </c>
    </row>
    <row r="1059" spans="1:3" x14ac:dyDescent="0.3">
      <c r="A1059" s="2">
        <v>38314</v>
      </c>
      <c r="B1059">
        <f>6/(100)</f>
        <v>0.06</v>
      </c>
      <c r="C1059">
        <f>5.811/(100)</f>
        <v>5.8110000000000002E-2</v>
      </c>
    </row>
    <row r="1060" spans="1:3" x14ac:dyDescent="0.3">
      <c r="A1060" s="2">
        <v>38315</v>
      </c>
      <c r="B1060">
        <f>6/(100)</f>
        <v>0.06</v>
      </c>
      <c r="C1060">
        <f>5.773/(100)</f>
        <v>5.7729999999999997E-2</v>
      </c>
    </row>
    <row r="1061" spans="1:3" x14ac:dyDescent="0.3">
      <c r="A1061" s="2">
        <v>38316</v>
      </c>
      <c r="B1061">
        <f>6/(100)</f>
        <v>0.06</v>
      </c>
      <c r="C1061">
        <f>5.824/(100)</f>
        <v>5.824E-2</v>
      </c>
    </row>
    <row r="1062" spans="1:3" x14ac:dyDescent="0.3">
      <c r="A1062" s="2">
        <v>38317</v>
      </c>
      <c r="B1062">
        <f>6/(100)</f>
        <v>0.06</v>
      </c>
      <c r="C1062">
        <f>5.824/(100)</f>
        <v>5.824E-2</v>
      </c>
    </row>
    <row r="1063" spans="1:3" x14ac:dyDescent="0.3">
      <c r="A1063" s="2">
        <v>38318</v>
      </c>
      <c r="B1063">
        <f>6/(100)</f>
        <v>0.06</v>
      </c>
      <c r="C1063">
        <f>5.773/(100)</f>
        <v>5.7729999999999997E-2</v>
      </c>
    </row>
    <row r="1064" spans="1:3" x14ac:dyDescent="0.3">
      <c r="A1064" s="2">
        <v>38319</v>
      </c>
      <c r="B1064">
        <f>6/(100)</f>
        <v>0.06</v>
      </c>
      <c r="C1064">
        <f>5.773/(100)</f>
        <v>5.7729999999999997E-2</v>
      </c>
    </row>
    <row r="1065" spans="1:3" x14ac:dyDescent="0.3">
      <c r="A1065" s="2">
        <v>38320</v>
      </c>
      <c r="B1065">
        <f>6/(100)</f>
        <v>0.06</v>
      </c>
      <c r="C1065">
        <f>5.745/(100)</f>
        <v>5.7450000000000001E-2</v>
      </c>
    </row>
    <row r="1066" spans="1:3" x14ac:dyDescent="0.3">
      <c r="A1066" s="2">
        <v>38321</v>
      </c>
      <c r="B1066">
        <f>6/(100)</f>
        <v>0.06</v>
      </c>
      <c r="C1066">
        <f>5.726/(100)</f>
        <v>5.7259999999999998E-2</v>
      </c>
    </row>
    <row r="1067" spans="1:3" x14ac:dyDescent="0.3">
      <c r="A1067" s="2">
        <v>38322</v>
      </c>
      <c r="B1067">
        <f>6/(100)</f>
        <v>0.06</v>
      </c>
      <c r="C1067">
        <f>5.659/(100)</f>
        <v>5.6590000000000001E-2</v>
      </c>
    </row>
    <row r="1068" spans="1:3" x14ac:dyDescent="0.3">
      <c r="A1068" s="2">
        <v>38323</v>
      </c>
      <c r="B1068">
        <f>6/(100)</f>
        <v>0.06</v>
      </c>
      <c r="C1068">
        <f>5.469/(100)</f>
        <v>5.4690000000000003E-2</v>
      </c>
    </row>
    <row r="1069" spans="1:3" x14ac:dyDescent="0.3">
      <c r="A1069" s="2">
        <v>38324</v>
      </c>
      <c r="B1069">
        <f>6/(100)</f>
        <v>0.06</v>
      </c>
      <c r="C1069">
        <f>5.546/(100)</f>
        <v>5.5460000000000002E-2</v>
      </c>
    </row>
    <row r="1070" spans="1:3" x14ac:dyDescent="0.3">
      <c r="A1070" s="2">
        <v>38325</v>
      </c>
      <c r="B1070">
        <f>6/(100)</f>
        <v>0.06</v>
      </c>
      <c r="C1070">
        <f>5.501/(100)</f>
        <v>5.5010000000000003E-2</v>
      </c>
    </row>
    <row r="1071" spans="1:3" x14ac:dyDescent="0.3">
      <c r="A1071" s="2">
        <v>38326</v>
      </c>
      <c r="B1071">
        <f>6/(100)</f>
        <v>0.06</v>
      </c>
      <c r="C1071">
        <f>5.501/(100)</f>
        <v>5.5010000000000003E-2</v>
      </c>
    </row>
    <row r="1072" spans="1:3" x14ac:dyDescent="0.3">
      <c r="A1072" s="2">
        <v>38327</v>
      </c>
      <c r="B1072">
        <f>6/(100)</f>
        <v>0.06</v>
      </c>
      <c r="C1072">
        <f>5.588/(100)</f>
        <v>5.5879999999999999E-2</v>
      </c>
    </row>
    <row r="1073" spans="1:3" x14ac:dyDescent="0.3">
      <c r="A1073" s="2">
        <v>38328</v>
      </c>
      <c r="B1073">
        <f>6/(100)</f>
        <v>0.06</v>
      </c>
      <c r="C1073">
        <f>5.641/(100)</f>
        <v>5.6410000000000002E-2</v>
      </c>
    </row>
    <row r="1074" spans="1:3" x14ac:dyDescent="0.3">
      <c r="A1074" s="2">
        <v>38329</v>
      </c>
      <c r="B1074">
        <f>6/(100)</f>
        <v>0.06</v>
      </c>
      <c r="C1074">
        <f>5.611/(100)</f>
        <v>5.611E-2</v>
      </c>
    </row>
    <row r="1075" spans="1:3" x14ac:dyDescent="0.3">
      <c r="A1075" s="2">
        <v>38330</v>
      </c>
      <c r="B1075">
        <f>6/(100)</f>
        <v>0.06</v>
      </c>
      <c r="C1075">
        <f>5.65/(100)</f>
        <v>5.6500000000000002E-2</v>
      </c>
    </row>
    <row r="1076" spans="1:3" x14ac:dyDescent="0.3">
      <c r="A1076" s="2">
        <v>38331</v>
      </c>
      <c r="B1076">
        <f>6/(100)</f>
        <v>0.06</v>
      </c>
      <c r="C1076">
        <f>5.658/(100)</f>
        <v>5.6580000000000005E-2</v>
      </c>
    </row>
    <row r="1077" spans="1:3" x14ac:dyDescent="0.3">
      <c r="A1077" s="2">
        <v>38332</v>
      </c>
      <c r="B1077">
        <f>6/(100)</f>
        <v>0.06</v>
      </c>
      <c r="C1077">
        <f>5.667/(100)</f>
        <v>5.6669999999999998E-2</v>
      </c>
    </row>
    <row r="1078" spans="1:3" x14ac:dyDescent="0.3">
      <c r="A1078" s="2">
        <v>38333</v>
      </c>
      <c r="B1078">
        <f>6/(100)</f>
        <v>0.06</v>
      </c>
      <c r="C1078">
        <f>5.667/(100)</f>
        <v>5.6669999999999998E-2</v>
      </c>
    </row>
    <row r="1079" spans="1:3" x14ac:dyDescent="0.3">
      <c r="A1079" s="2">
        <v>38334</v>
      </c>
      <c r="B1079">
        <f>6/(100)</f>
        <v>0.06</v>
      </c>
      <c r="C1079">
        <f>5.715/(100)</f>
        <v>5.7149999999999999E-2</v>
      </c>
    </row>
    <row r="1080" spans="1:3" x14ac:dyDescent="0.3">
      <c r="A1080" s="2">
        <v>38335</v>
      </c>
      <c r="B1080">
        <f>6/(100)</f>
        <v>0.06</v>
      </c>
      <c r="C1080">
        <f>5.763/(100)</f>
        <v>5.7630000000000001E-2</v>
      </c>
    </row>
    <row r="1081" spans="1:3" x14ac:dyDescent="0.3">
      <c r="A1081" s="2">
        <v>38336</v>
      </c>
      <c r="B1081">
        <f>6/(100)</f>
        <v>0.06</v>
      </c>
      <c r="C1081">
        <f>5.79/(100)</f>
        <v>5.79E-2</v>
      </c>
    </row>
    <row r="1082" spans="1:3" x14ac:dyDescent="0.3">
      <c r="A1082" s="2">
        <v>38337</v>
      </c>
      <c r="B1082">
        <f>6/(100)</f>
        <v>0.06</v>
      </c>
      <c r="C1082">
        <f>5.773/(100)</f>
        <v>5.7729999999999997E-2</v>
      </c>
    </row>
    <row r="1083" spans="1:3" x14ac:dyDescent="0.3">
      <c r="A1083" s="2">
        <v>38338</v>
      </c>
      <c r="B1083">
        <f>6/(100)</f>
        <v>0.06</v>
      </c>
      <c r="C1083">
        <f>5.764/(100)</f>
        <v>5.7640000000000004E-2</v>
      </c>
    </row>
    <row r="1084" spans="1:3" x14ac:dyDescent="0.3">
      <c r="A1084" s="2">
        <v>38339</v>
      </c>
      <c r="B1084">
        <f>6/(100)</f>
        <v>0.06</v>
      </c>
      <c r="C1084">
        <f>5.799/(100)</f>
        <v>5.7990000000000007E-2</v>
      </c>
    </row>
    <row r="1085" spans="1:3" x14ac:dyDescent="0.3">
      <c r="A1085" s="2">
        <v>38340</v>
      </c>
      <c r="B1085">
        <f>6/(100)</f>
        <v>0.06</v>
      </c>
      <c r="C1085">
        <f>5.799/(100)</f>
        <v>5.7990000000000007E-2</v>
      </c>
    </row>
    <row r="1086" spans="1:3" x14ac:dyDescent="0.3">
      <c r="A1086" s="2">
        <v>38341</v>
      </c>
      <c r="B1086">
        <f>6/(100)</f>
        <v>0.06</v>
      </c>
      <c r="C1086">
        <f>5.781/(100)</f>
        <v>5.781E-2</v>
      </c>
    </row>
    <row r="1087" spans="1:3" x14ac:dyDescent="0.3">
      <c r="A1087" s="2">
        <v>38342</v>
      </c>
      <c r="B1087">
        <f>6/(100)</f>
        <v>0.06</v>
      </c>
      <c r="C1087">
        <f>5.792/(100)</f>
        <v>5.7919999999999999E-2</v>
      </c>
    </row>
    <row r="1088" spans="1:3" x14ac:dyDescent="0.3">
      <c r="A1088" s="2">
        <v>38343</v>
      </c>
      <c r="B1088">
        <f>6/(100)</f>
        <v>0.06</v>
      </c>
      <c r="C1088">
        <f>5.762/(100)</f>
        <v>5.7619999999999998E-2</v>
      </c>
    </row>
    <row r="1089" spans="1:3" x14ac:dyDescent="0.3">
      <c r="A1089" s="2">
        <v>38344</v>
      </c>
      <c r="B1089">
        <f>6/(100)</f>
        <v>0.06</v>
      </c>
      <c r="C1089">
        <f>5.783/(100)</f>
        <v>5.7830000000000006E-2</v>
      </c>
    </row>
    <row r="1090" spans="1:3" x14ac:dyDescent="0.3">
      <c r="A1090" s="2">
        <v>38345</v>
      </c>
      <c r="B1090">
        <f>6/(100)</f>
        <v>0.06</v>
      </c>
      <c r="C1090">
        <f>5.729/(100)</f>
        <v>5.7290000000000001E-2</v>
      </c>
    </row>
    <row r="1091" spans="1:3" x14ac:dyDescent="0.3">
      <c r="A1091" s="2">
        <v>38346</v>
      </c>
      <c r="B1091">
        <f>6/(100)</f>
        <v>0.06</v>
      </c>
      <c r="C1091">
        <f>5.729/(100)</f>
        <v>5.7290000000000001E-2</v>
      </c>
    </row>
    <row r="1092" spans="1:3" x14ac:dyDescent="0.3">
      <c r="A1092" s="2">
        <v>38347</v>
      </c>
      <c r="B1092">
        <f>6/(100)</f>
        <v>0.06</v>
      </c>
      <c r="C1092">
        <f>5.729/(100)</f>
        <v>5.7290000000000001E-2</v>
      </c>
    </row>
    <row r="1093" spans="1:3" x14ac:dyDescent="0.3">
      <c r="A1093" s="2">
        <v>38348</v>
      </c>
      <c r="B1093">
        <f>6/(100)</f>
        <v>0.06</v>
      </c>
      <c r="C1093">
        <f>5.781/(100)</f>
        <v>5.781E-2</v>
      </c>
    </row>
    <row r="1094" spans="1:3" x14ac:dyDescent="0.3">
      <c r="A1094" s="2">
        <v>38349</v>
      </c>
      <c r="B1094">
        <f>6/(100)</f>
        <v>0.06</v>
      </c>
      <c r="C1094">
        <f>5.73/(100)</f>
        <v>5.7300000000000004E-2</v>
      </c>
    </row>
    <row r="1095" spans="1:3" x14ac:dyDescent="0.3">
      <c r="A1095" s="2">
        <v>38350</v>
      </c>
      <c r="B1095">
        <f>6/(100)</f>
        <v>0.06</v>
      </c>
      <c r="C1095">
        <f>5.74/(100)</f>
        <v>5.74E-2</v>
      </c>
    </row>
    <row r="1096" spans="1:3" x14ac:dyDescent="0.3">
      <c r="A1096" s="2">
        <v>38351</v>
      </c>
      <c r="B1096">
        <f>6/(100)</f>
        <v>0.06</v>
      </c>
      <c r="C1096">
        <f>5.749/(100)</f>
        <v>5.7489999999999999E-2</v>
      </c>
    </row>
    <row r="1097" spans="1:3" x14ac:dyDescent="0.3">
      <c r="A1097" s="2">
        <v>38352</v>
      </c>
      <c r="B1097">
        <f>6/(100)</f>
        <v>0.06</v>
      </c>
      <c r="C1097">
        <f>5.677/(100)</f>
        <v>5.6769999999999994E-2</v>
      </c>
    </row>
    <row r="1098" spans="1:3" x14ac:dyDescent="0.3">
      <c r="A1098" s="2">
        <v>38353</v>
      </c>
      <c r="B1098">
        <f>6/(100)</f>
        <v>0.06</v>
      </c>
      <c r="C1098">
        <f>5.796/(100)</f>
        <v>5.7960000000000005E-2</v>
      </c>
    </row>
    <row r="1099" spans="1:3" x14ac:dyDescent="0.3">
      <c r="A1099" s="2">
        <v>38354</v>
      </c>
      <c r="B1099">
        <f>6/(100)</f>
        <v>0.06</v>
      </c>
      <c r="C1099">
        <f>5.796/(100)</f>
        <v>5.7960000000000005E-2</v>
      </c>
    </row>
    <row r="1100" spans="1:3" x14ac:dyDescent="0.3">
      <c r="A1100" s="2">
        <v>38355</v>
      </c>
      <c r="B1100">
        <f>6/(100)</f>
        <v>0.06</v>
      </c>
      <c r="C1100">
        <f>5.664/(100)</f>
        <v>5.6639999999999996E-2</v>
      </c>
    </row>
    <row r="1101" spans="1:3" x14ac:dyDescent="0.3">
      <c r="A1101" s="2">
        <v>38356</v>
      </c>
      <c r="B1101">
        <f>6/(100)</f>
        <v>0.06</v>
      </c>
      <c r="C1101">
        <f>5.591/(100)</f>
        <v>5.5910000000000001E-2</v>
      </c>
    </row>
    <row r="1102" spans="1:3" x14ac:dyDescent="0.3">
      <c r="A1102" s="2">
        <v>38357</v>
      </c>
      <c r="B1102">
        <f>6/(100)</f>
        <v>0.06</v>
      </c>
      <c r="C1102">
        <f>5.658/(100)</f>
        <v>5.6580000000000005E-2</v>
      </c>
    </row>
    <row r="1103" spans="1:3" x14ac:dyDescent="0.3">
      <c r="A1103" s="2">
        <v>38358</v>
      </c>
      <c r="B1103">
        <f>6/(100)</f>
        <v>0.06</v>
      </c>
      <c r="C1103">
        <f>5.604/(100)</f>
        <v>5.604E-2</v>
      </c>
    </row>
    <row r="1104" spans="1:3" x14ac:dyDescent="0.3">
      <c r="A1104" s="2">
        <v>38359</v>
      </c>
      <c r="B1104">
        <f>6/(100)</f>
        <v>0.06</v>
      </c>
      <c r="C1104">
        <f>5.612/(100)</f>
        <v>5.6120000000000003E-2</v>
      </c>
    </row>
    <row r="1105" spans="1:3" x14ac:dyDescent="0.3">
      <c r="A1105" s="2">
        <v>38360</v>
      </c>
      <c r="B1105">
        <f>6/(100)</f>
        <v>0.06</v>
      </c>
      <c r="C1105">
        <f>5.635/(100)</f>
        <v>5.6349999999999997E-2</v>
      </c>
    </row>
    <row r="1106" spans="1:3" x14ac:dyDescent="0.3">
      <c r="A1106" s="2">
        <v>38361</v>
      </c>
      <c r="B1106">
        <f>6/(100)</f>
        <v>0.06</v>
      </c>
      <c r="C1106">
        <f>5.635/(100)</f>
        <v>5.6349999999999997E-2</v>
      </c>
    </row>
    <row r="1107" spans="1:3" x14ac:dyDescent="0.3">
      <c r="A1107" s="2">
        <v>38362</v>
      </c>
      <c r="B1107">
        <f>6/(100)</f>
        <v>0.06</v>
      </c>
      <c r="C1107">
        <f>5.62/(100)</f>
        <v>5.62E-2</v>
      </c>
    </row>
    <row r="1108" spans="1:3" x14ac:dyDescent="0.3">
      <c r="A1108" s="2">
        <v>38363</v>
      </c>
      <c r="B1108">
        <f>6/(100)</f>
        <v>0.06</v>
      </c>
      <c r="C1108">
        <f>5.772/(100)</f>
        <v>5.772E-2</v>
      </c>
    </row>
    <row r="1109" spans="1:3" x14ac:dyDescent="0.3">
      <c r="A1109" s="2">
        <v>38364</v>
      </c>
      <c r="B1109">
        <f>6/(100)</f>
        <v>0.06</v>
      </c>
      <c r="C1109">
        <f>5.772/(100)</f>
        <v>5.772E-2</v>
      </c>
    </row>
    <row r="1110" spans="1:3" x14ac:dyDescent="0.3">
      <c r="A1110" s="2">
        <v>38365</v>
      </c>
      <c r="B1110">
        <f>6/(100)</f>
        <v>0.06</v>
      </c>
      <c r="C1110">
        <f>5.773/(100)</f>
        <v>5.7729999999999997E-2</v>
      </c>
    </row>
    <row r="1111" spans="1:3" x14ac:dyDescent="0.3">
      <c r="A1111" s="2">
        <v>38366</v>
      </c>
      <c r="B1111">
        <f>6/(100)</f>
        <v>0.06</v>
      </c>
      <c r="C1111">
        <f>5.781/(100)</f>
        <v>5.781E-2</v>
      </c>
    </row>
    <row r="1112" spans="1:3" x14ac:dyDescent="0.3">
      <c r="A1112" s="2">
        <v>38367</v>
      </c>
      <c r="B1112">
        <f>6/(100)</f>
        <v>0.06</v>
      </c>
      <c r="C1112">
        <f>5.846/(100)</f>
        <v>5.8459999999999998E-2</v>
      </c>
    </row>
    <row r="1113" spans="1:3" x14ac:dyDescent="0.3">
      <c r="A1113" s="2">
        <v>38368</v>
      </c>
      <c r="B1113">
        <f>6/(100)</f>
        <v>0.06</v>
      </c>
      <c r="C1113">
        <f>5.846/(100)</f>
        <v>5.8459999999999998E-2</v>
      </c>
    </row>
    <row r="1114" spans="1:3" x14ac:dyDescent="0.3">
      <c r="A1114" s="2">
        <v>38369</v>
      </c>
      <c r="B1114">
        <f>6/(100)</f>
        <v>0.06</v>
      </c>
      <c r="C1114">
        <f>5.804/(100)</f>
        <v>5.8040000000000001E-2</v>
      </c>
    </row>
    <row r="1115" spans="1:3" x14ac:dyDescent="0.3">
      <c r="A1115" s="2">
        <v>38370</v>
      </c>
      <c r="B1115">
        <f>6/(100)</f>
        <v>0.06</v>
      </c>
      <c r="C1115">
        <f>5.84/(100)</f>
        <v>5.8400000000000001E-2</v>
      </c>
    </row>
    <row r="1116" spans="1:3" x14ac:dyDescent="0.3">
      <c r="A1116" s="2">
        <v>38371</v>
      </c>
      <c r="B1116">
        <f>6/(100)</f>
        <v>0.06</v>
      </c>
      <c r="C1116">
        <f>5.871/(100)</f>
        <v>5.8710000000000005E-2</v>
      </c>
    </row>
    <row r="1117" spans="1:3" x14ac:dyDescent="0.3">
      <c r="A1117" s="2">
        <v>38372</v>
      </c>
      <c r="B1117">
        <f>6/(100)</f>
        <v>0.06</v>
      </c>
      <c r="C1117">
        <f>5.85/(100)</f>
        <v>5.8499999999999996E-2</v>
      </c>
    </row>
    <row r="1118" spans="1:3" x14ac:dyDescent="0.3">
      <c r="A1118" s="2">
        <v>38373</v>
      </c>
      <c r="B1118">
        <f>6/(100)</f>
        <v>0.06</v>
      </c>
      <c r="C1118">
        <f>5.838/(100)</f>
        <v>5.8380000000000001E-2</v>
      </c>
    </row>
    <row r="1119" spans="1:3" x14ac:dyDescent="0.3">
      <c r="A1119" s="2">
        <v>38374</v>
      </c>
      <c r="B1119">
        <f>6/(100)</f>
        <v>0.06</v>
      </c>
      <c r="C1119">
        <f>5.826/(100)</f>
        <v>5.8259999999999999E-2</v>
      </c>
    </row>
    <row r="1120" spans="1:3" x14ac:dyDescent="0.3">
      <c r="A1120" s="2">
        <v>38375</v>
      </c>
      <c r="B1120">
        <f>6/(100)</f>
        <v>0.06</v>
      </c>
      <c r="C1120">
        <f>5.826/(100)</f>
        <v>5.8259999999999999E-2</v>
      </c>
    </row>
    <row r="1121" spans="1:3" x14ac:dyDescent="0.3">
      <c r="A1121" s="2">
        <v>38376</v>
      </c>
      <c r="B1121">
        <f>6/(100)</f>
        <v>0.06</v>
      </c>
      <c r="C1121">
        <f>5.861/(100)</f>
        <v>5.8609999999999995E-2</v>
      </c>
    </row>
    <row r="1122" spans="1:3" x14ac:dyDescent="0.3">
      <c r="A1122" s="2">
        <v>38377</v>
      </c>
      <c r="B1122">
        <f>6/(100)</f>
        <v>0.06</v>
      </c>
      <c r="C1122">
        <f>5.794/(100)</f>
        <v>5.7939999999999998E-2</v>
      </c>
    </row>
    <row r="1123" spans="1:3" x14ac:dyDescent="0.3">
      <c r="A1123" s="2">
        <v>38378</v>
      </c>
      <c r="B1123">
        <f>6/(100)</f>
        <v>0.06</v>
      </c>
      <c r="C1123">
        <f>5.794/(100)</f>
        <v>5.7939999999999998E-2</v>
      </c>
    </row>
    <row r="1124" spans="1:3" x14ac:dyDescent="0.3">
      <c r="A1124" s="2">
        <v>38379</v>
      </c>
      <c r="B1124">
        <f>6/(100)</f>
        <v>0.06</v>
      </c>
      <c r="C1124">
        <f>5.781/(100)</f>
        <v>5.781E-2</v>
      </c>
    </row>
    <row r="1125" spans="1:3" x14ac:dyDescent="0.3">
      <c r="A1125" s="2">
        <v>38380</v>
      </c>
      <c r="B1125">
        <f>6/(100)</f>
        <v>0.06</v>
      </c>
      <c r="C1125">
        <f>5.794/(100)</f>
        <v>5.7939999999999998E-2</v>
      </c>
    </row>
    <row r="1126" spans="1:3" x14ac:dyDescent="0.3">
      <c r="A1126" s="2">
        <v>38381</v>
      </c>
      <c r="B1126">
        <f>6/(100)</f>
        <v>0.06</v>
      </c>
      <c r="C1126">
        <f>5.73/(100)</f>
        <v>5.7300000000000004E-2</v>
      </c>
    </row>
    <row r="1127" spans="1:3" x14ac:dyDescent="0.3">
      <c r="A1127" s="2">
        <v>38382</v>
      </c>
      <c r="B1127">
        <f>6/(100)</f>
        <v>0.06</v>
      </c>
      <c r="C1127">
        <f>5.73/(100)</f>
        <v>5.7300000000000004E-2</v>
      </c>
    </row>
    <row r="1128" spans="1:3" x14ac:dyDescent="0.3">
      <c r="A1128" s="2">
        <v>38383</v>
      </c>
      <c r="B1128">
        <f>6/(100)</f>
        <v>0.06</v>
      </c>
      <c r="C1128">
        <f>5.737/(100)</f>
        <v>5.7370000000000004E-2</v>
      </c>
    </row>
    <row r="1129" spans="1:3" x14ac:dyDescent="0.3">
      <c r="A1129" s="2">
        <v>38384</v>
      </c>
      <c r="B1129">
        <f>6/(100)</f>
        <v>0.06</v>
      </c>
      <c r="C1129">
        <f>5.738/(100)</f>
        <v>5.7380000000000007E-2</v>
      </c>
    </row>
    <row r="1130" spans="1:3" x14ac:dyDescent="0.3">
      <c r="A1130" s="2">
        <v>38385</v>
      </c>
      <c r="B1130">
        <f>6/(100)</f>
        <v>0.06</v>
      </c>
      <c r="C1130">
        <f>5.741/(100)</f>
        <v>5.7409999999999996E-2</v>
      </c>
    </row>
    <row r="1131" spans="1:3" x14ac:dyDescent="0.3">
      <c r="A1131" s="2">
        <v>38386</v>
      </c>
      <c r="B1131">
        <f>6/(100)</f>
        <v>0.06</v>
      </c>
      <c r="C1131">
        <f>5.755/(100)</f>
        <v>5.7549999999999997E-2</v>
      </c>
    </row>
    <row r="1132" spans="1:3" x14ac:dyDescent="0.3">
      <c r="A1132" s="2">
        <v>38387</v>
      </c>
      <c r="B1132">
        <f>6/(100)</f>
        <v>0.06</v>
      </c>
      <c r="C1132">
        <f>5.796/(100)</f>
        <v>5.7960000000000005E-2</v>
      </c>
    </row>
    <row r="1133" spans="1:3" x14ac:dyDescent="0.3">
      <c r="A1133" s="2">
        <v>38388</v>
      </c>
      <c r="B1133">
        <f>6/(100)</f>
        <v>0.06</v>
      </c>
      <c r="C1133">
        <f>5.756/(100)</f>
        <v>5.756E-2</v>
      </c>
    </row>
    <row r="1134" spans="1:3" x14ac:dyDescent="0.3">
      <c r="A1134" s="2">
        <v>38389</v>
      </c>
      <c r="B1134">
        <f>6/(100)</f>
        <v>0.06</v>
      </c>
      <c r="C1134">
        <f>5.756/(100)</f>
        <v>5.756E-2</v>
      </c>
    </row>
    <row r="1135" spans="1:3" x14ac:dyDescent="0.3">
      <c r="A1135" s="2">
        <v>38390</v>
      </c>
      <c r="B1135">
        <f>6/(100)</f>
        <v>0.06</v>
      </c>
      <c r="C1135">
        <f>5.758/(100)</f>
        <v>5.7579999999999999E-2</v>
      </c>
    </row>
    <row r="1136" spans="1:3" x14ac:dyDescent="0.3">
      <c r="A1136" s="2">
        <v>38391</v>
      </c>
      <c r="B1136">
        <f>6/(100)</f>
        <v>0.06</v>
      </c>
      <c r="C1136">
        <f>5.733/(100)</f>
        <v>5.7329999999999999E-2</v>
      </c>
    </row>
    <row r="1137" spans="1:3" x14ac:dyDescent="0.3">
      <c r="A1137" s="2">
        <v>38392</v>
      </c>
      <c r="B1137">
        <f>6/(100)</f>
        <v>0.06</v>
      </c>
      <c r="C1137">
        <f>5.678/(100)</f>
        <v>5.6779999999999997E-2</v>
      </c>
    </row>
    <row r="1138" spans="1:3" x14ac:dyDescent="0.3">
      <c r="A1138" s="2">
        <v>38393</v>
      </c>
      <c r="B1138">
        <f>6/(100)</f>
        <v>0.06</v>
      </c>
      <c r="C1138">
        <f>5.682/(100)</f>
        <v>5.6820000000000002E-2</v>
      </c>
    </row>
    <row r="1139" spans="1:3" x14ac:dyDescent="0.3">
      <c r="A1139" s="2">
        <v>38394</v>
      </c>
      <c r="B1139">
        <f>6/(100)</f>
        <v>0.06</v>
      </c>
      <c r="C1139">
        <f>5.676/(100)</f>
        <v>5.6760000000000005E-2</v>
      </c>
    </row>
    <row r="1140" spans="1:3" x14ac:dyDescent="0.3">
      <c r="A1140" s="2">
        <v>38395</v>
      </c>
      <c r="B1140">
        <f>6/(100)</f>
        <v>0.06</v>
      </c>
      <c r="C1140">
        <f>5.676/(100)</f>
        <v>5.6760000000000005E-2</v>
      </c>
    </row>
    <row r="1141" spans="1:3" x14ac:dyDescent="0.3">
      <c r="A1141" s="2">
        <v>38396</v>
      </c>
      <c r="B1141">
        <f>6/(100)</f>
        <v>0.06</v>
      </c>
      <c r="C1141">
        <f>5.676/(100)</f>
        <v>5.6760000000000005E-2</v>
      </c>
    </row>
    <row r="1142" spans="1:3" x14ac:dyDescent="0.3">
      <c r="A1142" s="2">
        <v>38397</v>
      </c>
      <c r="B1142">
        <f>6/(100)</f>
        <v>0.06</v>
      </c>
      <c r="C1142">
        <f>5.65/(100)</f>
        <v>5.6500000000000002E-2</v>
      </c>
    </row>
    <row r="1143" spans="1:3" x14ac:dyDescent="0.3">
      <c r="A1143" s="2">
        <v>38398</v>
      </c>
      <c r="B1143">
        <f>6/(100)</f>
        <v>0.06</v>
      </c>
      <c r="C1143">
        <f>5.656/(100)</f>
        <v>5.6559999999999999E-2</v>
      </c>
    </row>
    <row r="1144" spans="1:3" x14ac:dyDescent="0.3">
      <c r="A1144" s="2">
        <v>38399</v>
      </c>
      <c r="B1144">
        <f>6/(100)</f>
        <v>0.06</v>
      </c>
      <c r="C1144">
        <f>5.716/(100)</f>
        <v>5.7160000000000002E-2</v>
      </c>
    </row>
    <row r="1145" spans="1:3" x14ac:dyDescent="0.3">
      <c r="A1145" s="2">
        <v>38400</v>
      </c>
      <c r="B1145">
        <f>6/(100)</f>
        <v>0.06</v>
      </c>
      <c r="C1145">
        <f>5.746/(100)</f>
        <v>5.7460000000000004E-2</v>
      </c>
    </row>
    <row r="1146" spans="1:3" x14ac:dyDescent="0.3">
      <c r="A1146" s="2">
        <v>38401</v>
      </c>
      <c r="B1146">
        <f>6/(100)</f>
        <v>0.06</v>
      </c>
      <c r="C1146">
        <f>5.747/(100)</f>
        <v>5.747E-2</v>
      </c>
    </row>
    <row r="1147" spans="1:3" x14ac:dyDescent="0.3">
      <c r="A1147" s="2">
        <v>38402</v>
      </c>
      <c r="B1147">
        <f>6/(100)</f>
        <v>0.06</v>
      </c>
      <c r="C1147">
        <f>5.729/(100)</f>
        <v>5.7290000000000001E-2</v>
      </c>
    </row>
    <row r="1148" spans="1:3" x14ac:dyDescent="0.3">
      <c r="A1148" s="2">
        <v>38403</v>
      </c>
      <c r="B1148">
        <f>6/(100)</f>
        <v>0.06</v>
      </c>
      <c r="C1148">
        <f>5.729/(100)</f>
        <v>5.7290000000000001E-2</v>
      </c>
    </row>
    <row r="1149" spans="1:3" x14ac:dyDescent="0.3">
      <c r="A1149" s="2">
        <v>38404</v>
      </c>
      <c r="B1149">
        <f>6/(100)</f>
        <v>0.06</v>
      </c>
      <c r="C1149">
        <f>5.739/(100)</f>
        <v>5.7389999999999997E-2</v>
      </c>
    </row>
    <row r="1150" spans="1:3" x14ac:dyDescent="0.3">
      <c r="A1150" s="2">
        <v>38405</v>
      </c>
      <c r="B1150">
        <f>6/(100)</f>
        <v>0.06</v>
      </c>
      <c r="C1150">
        <f>5.742/(100)</f>
        <v>5.7419999999999999E-2</v>
      </c>
    </row>
    <row r="1151" spans="1:3" x14ac:dyDescent="0.3">
      <c r="A1151" s="2">
        <v>38406</v>
      </c>
      <c r="B1151">
        <f>6/(100)</f>
        <v>0.06</v>
      </c>
      <c r="C1151">
        <f>5.731/(100)</f>
        <v>5.731E-2</v>
      </c>
    </row>
    <row r="1152" spans="1:3" x14ac:dyDescent="0.3">
      <c r="A1152" s="2">
        <v>38407</v>
      </c>
      <c r="B1152">
        <f>6/(100)</f>
        <v>0.06</v>
      </c>
      <c r="C1152">
        <f>5.724/(100)</f>
        <v>5.7239999999999999E-2</v>
      </c>
    </row>
    <row r="1153" spans="1:3" x14ac:dyDescent="0.3">
      <c r="A1153" s="2">
        <v>38408</v>
      </c>
      <c r="B1153">
        <f>6/(100)</f>
        <v>0.06</v>
      </c>
      <c r="C1153">
        <f>5.761/(100)</f>
        <v>5.7610000000000001E-2</v>
      </c>
    </row>
    <row r="1154" spans="1:3" x14ac:dyDescent="0.3">
      <c r="A1154" s="2">
        <v>38409</v>
      </c>
      <c r="B1154">
        <f>6/(100)</f>
        <v>0.06</v>
      </c>
      <c r="C1154">
        <f>5.746/(100)</f>
        <v>5.7460000000000004E-2</v>
      </c>
    </row>
    <row r="1155" spans="1:3" x14ac:dyDescent="0.3">
      <c r="A1155" s="2">
        <v>38410</v>
      </c>
      <c r="B1155">
        <f>6/(100)</f>
        <v>0.06</v>
      </c>
      <c r="C1155">
        <f>5.746/(100)</f>
        <v>5.7460000000000004E-2</v>
      </c>
    </row>
    <row r="1156" spans="1:3" x14ac:dyDescent="0.3">
      <c r="A1156" s="2">
        <v>38411</v>
      </c>
      <c r="B1156">
        <f>6/(100)</f>
        <v>0.06</v>
      </c>
      <c r="C1156">
        <f>5.748/(100)</f>
        <v>5.7480000000000003E-2</v>
      </c>
    </row>
    <row r="1157" spans="1:3" x14ac:dyDescent="0.3">
      <c r="A1157" s="2">
        <v>38412</v>
      </c>
      <c r="B1157">
        <f>6/(100)</f>
        <v>0.06</v>
      </c>
      <c r="C1157">
        <f>5.786/(100)</f>
        <v>5.7859999999999995E-2</v>
      </c>
    </row>
    <row r="1158" spans="1:3" x14ac:dyDescent="0.3">
      <c r="A1158" s="2">
        <v>38413</v>
      </c>
      <c r="B1158">
        <f>6/(100)</f>
        <v>0.06</v>
      </c>
      <c r="C1158">
        <f>5.781/(100)</f>
        <v>5.781E-2</v>
      </c>
    </row>
    <row r="1159" spans="1:3" x14ac:dyDescent="0.3">
      <c r="A1159" s="2">
        <v>38414</v>
      </c>
      <c r="B1159">
        <f>6/(100)</f>
        <v>0.06</v>
      </c>
      <c r="C1159">
        <f>5.774/(100)</f>
        <v>5.774E-2</v>
      </c>
    </row>
    <row r="1160" spans="1:3" x14ac:dyDescent="0.3">
      <c r="A1160" s="2">
        <v>38415</v>
      </c>
      <c r="B1160">
        <f>6/(100)</f>
        <v>0.06</v>
      </c>
      <c r="C1160">
        <f>5.728/(100)</f>
        <v>5.7279999999999998E-2</v>
      </c>
    </row>
    <row r="1161" spans="1:3" x14ac:dyDescent="0.3">
      <c r="A1161" s="2">
        <v>38416</v>
      </c>
      <c r="B1161">
        <f>6/(100)</f>
        <v>0.06</v>
      </c>
      <c r="C1161">
        <f>5.719/(100)</f>
        <v>5.7190000000000005E-2</v>
      </c>
    </row>
    <row r="1162" spans="1:3" x14ac:dyDescent="0.3">
      <c r="A1162" s="2">
        <v>38417</v>
      </c>
      <c r="B1162">
        <f>6/(100)</f>
        <v>0.06</v>
      </c>
      <c r="C1162">
        <f>5.719/(100)</f>
        <v>5.7190000000000005E-2</v>
      </c>
    </row>
    <row r="1163" spans="1:3" x14ac:dyDescent="0.3">
      <c r="A1163" s="2">
        <v>38418</v>
      </c>
      <c r="B1163">
        <f>6/(100)</f>
        <v>0.06</v>
      </c>
      <c r="C1163">
        <f>5.699/(100)</f>
        <v>5.6989999999999999E-2</v>
      </c>
    </row>
    <row r="1164" spans="1:3" x14ac:dyDescent="0.3">
      <c r="A1164" s="2">
        <v>38419</v>
      </c>
      <c r="B1164">
        <f>6/(100)</f>
        <v>0.06</v>
      </c>
      <c r="C1164">
        <f>5.699/(100)</f>
        <v>5.6989999999999999E-2</v>
      </c>
    </row>
    <row r="1165" spans="1:3" x14ac:dyDescent="0.3">
      <c r="A1165" s="2">
        <v>38420</v>
      </c>
      <c r="B1165">
        <f>6/(100)</f>
        <v>0.06</v>
      </c>
      <c r="C1165">
        <f>5.671/(100)</f>
        <v>5.6710000000000003E-2</v>
      </c>
    </row>
    <row r="1166" spans="1:3" x14ac:dyDescent="0.3">
      <c r="A1166" s="2">
        <v>38421</v>
      </c>
      <c r="B1166">
        <f>6/(100)</f>
        <v>0.06</v>
      </c>
      <c r="C1166">
        <f>5.656/(100)</f>
        <v>5.6559999999999999E-2</v>
      </c>
    </row>
    <row r="1167" spans="1:3" x14ac:dyDescent="0.3">
      <c r="A1167" s="2">
        <v>38422</v>
      </c>
      <c r="B1167">
        <f>6/(100)</f>
        <v>0.06</v>
      </c>
      <c r="C1167">
        <f>5.638/(100)</f>
        <v>5.638E-2</v>
      </c>
    </row>
    <row r="1168" spans="1:3" x14ac:dyDescent="0.3">
      <c r="A1168" s="2">
        <v>38423</v>
      </c>
      <c r="B1168">
        <f>6/(100)</f>
        <v>0.06</v>
      </c>
      <c r="C1168">
        <f>5.64/(100)</f>
        <v>5.6399999999999999E-2</v>
      </c>
    </row>
    <row r="1169" spans="1:3" x14ac:dyDescent="0.3">
      <c r="A1169" s="2">
        <v>38424</v>
      </c>
      <c r="B1169">
        <f>6/(100)</f>
        <v>0.06</v>
      </c>
      <c r="C1169">
        <f>5.64/(100)</f>
        <v>5.6399999999999999E-2</v>
      </c>
    </row>
    <row r="1170" spans="1:3" x14ac:dyDescent="0.3">
      <c r="A1170" s="2">
        <v>38425</v>
      </c>
      <c r="B1170">
        <f>6/(100)</f>
        <v>0.06</v>
      </c>
      <c r="C1170">
        <f>5.656/(100)</f>
        <v>5.6559999999999999E-2</v>
      </c>
    </row>
    <row r="1171" spans="1:3" x14ac:dyDescent="0.3">
      <c r="A1171" s="2">
        <v>38426</v>
      </c>
      <c r="B1171">
        <f>6/(100)</f>
        <v>0.06</v>
      </c>
      <c r="C1171">
        <f>5.667/(100)</f>
        <v>5.6669999999999998E-2</v>
      </c>
    </row>
    <row r="1172" spans="1:3" x14ac:dyDescent="0.3">
      <c r="A1172" s="2">
        <v>38427</v>
      </c>
      <c r="B1172">
        <f>6/(100)</f>
        <v>0.06</v>
      </c>
      <c r="C1172">
        <f>5.685/(100)</f>
        <v>5.6849999999999998E-2</v>
      </c>
    </row>
    <row r="1173" spans="1:3" x14ac:dyDescent="0.3">
      <c r="A1173" s="2">
        <v>38428</v>
      </c>
      <c r="B1173">
        <f>6/(100)</f>
        <v>0.06</v>
      </c>
      <c r="C1173">
        <f>5.681/(100)</f>
        <v>5.6809999999999999E-2</v>
      </c>
    </row>
    <row r="1174" spans="1:3" x14ac:dyDescent="0.3">
      <c r="A1174" s="2">
        <v>38429</v>
      </c>
      <c r="B1174">
        <f>6/(100)</f>
        <v>0.06</v>
      </c>
      <c r="C1174">
        <f>5.69/(100)</f>
        <v>5.6900000000000006E-2</v>
      </c>
    </row>
    <row r="1175" spans="1:3" x14ac:dyDescent="0.3">
      <c r="A1175" s="2">
        <v>38430</v>
      </c>
      <c r="B1175">
        <f>6/(100)</f>
        <v>0.06</v>
      </c>
      <c r="C1175">
        <f>5.634/(100)</f>
        <v>5.6340000000000001E-2</v>
      </c>
    </row>
    <row r="1176" spans="1:3" x14ac:dyDescent="0.3">
      <c r="A1176" s="2">
        <v>38431</v>
      </c>
      <c r="B1176">
        <f>6/(100)</f>
        <v>0.06</v>
      </c>
      <c r="C1176">
        <f>5.634/(100)</f>
        <v>5.6340000000000001E-2</v>
      </c>
    </row>
    <row r="1177" spans="1:3" x14ac:dyDescent="0.3">
      <c r="A1177" s="2">
        <v>38432</v>
      </c>
      <c r="B1177">
        <f>6/(100)</f>
        <v>0.06</v>
      </c>
      <c r="C1177">
        <f>5.696/(100)</f>
        <v>5.6959999999999997E-2</v>
      </c>
    </row>
    <row r="1178" spans="1:3" x14ac:dyDescent="0.3">
      <c r="A1178" s="2">
        <v>38433</v>
      </c>
      <c r="B1178">
        <f>6/(100)</f>
        <v>0.06</v>
      </c>
      <c r="C1178">
        <f>5.711/(100)</f>
        <v>5.7110000000000001E-2</v>
      </c>
    </row>
    <row r="1179" spans="1:3" x14ac:dyDescent="0.3">
      <c r="A1179" s="2">
        <v>38434</v>
      </c>
      <c r="B1179">
        <f>6/(100)</f>
        <v>0.06</v>
      </c>
      <c r="C1179">
        <f>5.729/(100)</f>
        <v>5.7290000000000001E-2</v>
      </c>
    </row>
    <row r="1180" spans="1:3" x14ac:dyDescent="0.3">
      <c r="A1180" s="2">
        <v>38435</v>
      </c>
      <c r="B1180">
        <f>6/(100)</f>
        <v>0.06</v>
      </c>
      <c r="C1180">
        <f>5.681/(100)</f>
        <v>5.6809999999999999E-2</v>
      </c>
    </row>
    <row r="1181" spans="1:3" x14ac:dyDescent="0.3">
      <c r="A1181" s="2">
        <v>38436</v>
      </c>
      <c r="B1181">
        <f>6/(100)</f>
        <v>0.06</v>
      </c>
      <c r="C1181">
        <f>5.681/(100)</f>
        <v>5.6809999999999999E-2</v>
      </c>
    </row>
    <row r="1182" spans="1:3" x14ac:dyDescent="0.3">
      <c r="A1182" s="2">
        <v>38437</v>
      </c>
      <c r="B1182">
        <f>6/(100)</f>
        <v>0.06</v>
      </c>
      <c r="C1182">
        <f>5.681/(100)</f>
        <v>5.6809999999999999E-2</v>
      </c>
    </row>
    <row r="1183" spans="1:3" x14ac:dyDescent="0.3">
      <c r="A1183" s="2">
        <v>38438</v>
      </c>
      <c r="B1183">
        <f>6/(100)</f>
        <v>0.06</v>
      </c>
      <c r="C1183">
        <f>5.681/(100)</f>
        <v>5.6809999999999999E-2</v>
      </c>
    </row>
    <row r="1184" spans="1:3" x14ac:dyDescent="0.3">
      <c r="A1184" s="2">
        <v>38439</v>
      </c>
      <c r="B1184">
        <f>6/(100)</f>
        <v>0.06</v>
      </c>
      <c r="C1184">
        <f>5.702/(100)</f>
        <v>5.7020000000000001E-2</v>
      </c>
    </row>
    <row r="1185" spans="1:3" x14ac:dyDescent="0.3">
      <c r="A1185" s="2">
        <v>38440</v>
      </c>
      <c r="B1185">
        <f>6/(100)</f>
        <v>0.06</v>
      </c>
      <c r="C1185">
        <f>5.691/(100)</f>
        <v>5.6909999999999995E-2</v>
      </c>
    </row>
    <row r="1186" spans="1:3" x14ac:dyDescent="0.3">
      <c r="A1186" s="2">
        <v>38441</v>
      </c>
      <c r="B1186">
        <f>6/(100)</f>
        <v>0.06</v>
      </c>
      <c r="C1186">
        <f>5.664/(100)</f>
        <v>5.6639999999999996E-2</v>
      </c>
    </row>
    <row r="1187" spans="1:3" x14ac:dyDescent="0.3">
      <c r="A1187" s="2">
        <v>38442</v>
      </c>
      <c r="B1187">
        <f>6/(100)</f>
        <v>0.06</v>
      </c>
      <c r="C1187">
        <f>5.636/(100)</f>
        <v>5.636E-2</v>
      </c>
    </row>
    <row r="1188" spans="1:3" x14ac:dyDescent="0.3">
      <c r="A1188" s="2">
        <v>38443</v>
      </c>
      <c r="B1188">
        <f>6/(100)</f>
        <v>0.06</v>
      </c>
      <c r="C1188">
        <f>5.692/(100)</f>
        <v>5.6919999999999998E-2</v>
      </c>
    </row>
    <row r="1189" spans="1:3" x14ac:dyDescent="0.3">
      <c r="A1189" s="2">
        <v>38444</v>
      </c>
      <c r="B1189">
        <f>6/(100)</f>
        <v>0.06</v>
      </c>
      <c r="C1189">
        <f>5.724/(100)</f>
        <v>5.7239999999999999E-2</v>
      </c>
    </row>
    <row r="1190" spans="1:3" x14ac:dyDescent="0.3">
      <c r="A1190" s="2">
        <v>38445</v>
      </c>
      <c r="B1190">
        <f>6/(100)</f>
        <v>0.06</v>
      </c>
      <c r="C1190">
        <f>5.724/(100)</f>
        <v>5.7239999999999999E-2</v>
      </c>
    </row>
    <row r="1191" spans="1:3" x14ac:dyDescent="0.3">
      <c r="A1191" s="2">
        <v>38446</v>
      </c>
      <c r="B1191">
        <f>6/(100)</f>
        <v>0.06</v>
      </c>
      <c r="C1191">
        <f>5.728/(100)</f>
        <v>5.7279999999999998E-2</v>
      </c>
    </row>
    <row r="1192" spans="1:3" x14ac:dyDescent="0.3">
      <c r="A1192" s="2">
        <v>38447</v>
      </c>
      <c r="B1192">
        <f>6/(100)</f>
        <v>0.06</v>
      </c>
      <c r="C1192">
        <f>5.724/(100)</f>
        <v>5.7239999999999999E-2</v>
      </c>
    </row>
    <row r="1193" spans="1:3" x14ac:dyDescent="0.3">
      <c r="A1193" s="2">
        <v>38448</v>
      </c>
      <c r="B1193">
        <f>6/(100)</f>
        <v>0.06</v>
      </c>
      <c r="C1193">
        <f>5.761/(100)</f>
        <v>5.7610000000000001E-2</v>
      </c>
    </row>
    <row r="1194" spans="1:3" x14ac:dyDescent="0.3">
      <c r="A1194" s="2">
        <v>38449</v>
      </c>
      <c r="B1194">
        <f>6/(100)</f>
        <v>0.06</v>
      </c>
      <c r="C1194">
        <f>5.764/(100)</f>
        <v>5.7640000000000004E-2</v>
      </c>
    </row>
    <row r="1195" spans="1:3" x14ac:dyDescent="0.3">
      <c r="A1195" s="2">
        <v>38450</v>
      </c>
      <c r="B1195">
        <f>6/(100)</f>
        <v>0.06</v>
      </c>
      <c r="C1195">
        <f>5.817/(100)</f>
        <v>5.8169999999999999E-2</v>
      </c>
    </row>
    <row r="1196" spans="1:3" x14ac:dyDescent="0.3">
      <c r="A1196" s="2">
        <v>38451</v>
      </c>
      <c r="B1196">
        <f>6/(100)</f>
        <v>0.06</v>
      </c>
      <c r="C1196">
        <f>5.817/(100)</f>
        <v>5.8169999999999999E-2</v>
      </c>
    </row>
    <row r="1197" spans="1:3" x14ac:dyDescent="0.3">
      <c r="A1197" s="2">
        <v>38452</v>
      </c>
      <c r="B1197">
        <f>6/(100)</f>
        <v>0.06</v>
      </c>
      <c r="C1197">
        <f>5.817/(100)</f>
        <v>5.8169999999999999E-2</v>
      </c>
    </row>
    <row r="1198" spans="1:3" x14ac:dyDescent="0.3">
      <c r="A1198" s="2">
        <v>38453</v>
      </c>
      <c r="B1198">
        <f>6/(100)</f>
        <v>0.06</v>
      </c>
      <c r="C1198">
        <f>5.777/(100)</f>
        <v>5.7770000000000002E-2</v>
      </c>
    </row>
    <row r="1199" spans="1:3" x14ac:dyDescent="0.3">
      <c r="A1199" s="2">
        <v>38454</v>
      </c>
      <c r="B1199">
        <f>6/(100)</f>
        <v>0.06</v>
      </c>
      <c r="C1199">
        <f>5.758/(100)</f>
        <v>5.7579999999999999E-2</v>
      </c>
    </row>
    <row r="1200" spans="1:3" x14ac:dyDescent="0.3">
      <c r="A1200" s="2">
        <v>38455</v>
      </c>
      <c r="B1200">
        <f>6/(100)</f>
        <v>0.06</v>
      </c>
      <c r="C1200">
        <f>5.741/(100)</f>
        <v>5.7409999999999996E-2</v>
      </c>
    </row>
    <row r="1201" spans="1:3" x14ac:dyDescent="0.3">
      <c r="A1201" s="2">
        <v>38456</v>
      </c>
      <c r="B1201">
        <f>6/(100)</f>
        <v>0.06</v>
      </c>
      <c r="C1201">
        <f>5.741/(100)</f>
        <v>5.7409999999999996E-2</v>
      </c>
    </row>
    <row r="1202" spans="1:3" x14ac:dyDescent="0.3">
      <c r="A1202" s="2">
        <v>38457</v>
      </c>
      <c r="B1202">
        <f>6/(100)</f>
        <v>0.06</v>
      </c>
      <c r="C1202">
        <f>5.747/(100)</f>
        <v>5.747E-2</v>
      </c>
    </row>
    <row r="1203" spans="1:3" x14ac:dyDescent="0.3">
      <c r="A1203" s="2">
        <v>38458</v>
      </c>
      <c r="B1203">
        <f>6/(100)</f>
        <v>0.06</v>
      </c>
      <c r="C1203">
        <f>5.744/(100)</f>
        <v>5.7439999999999998E-2</v>
      </c>
    </row>
    <row r="1204" spans="1:3" x14ac:dyDescent="0.3">
      <c r="A1204" s="2">
        <v>38459</v>
      </c>
      <c r="B1204">
        <f>6/(100)</f>
        <v>0.06</v>
      </c>
      <c r="C1204">
        <f>5.744/(100)</f>
        <v>5.7439999999999998E-2</v>
      </c>
    </row>
    <row r="1205" spans="1:3" x14ac:dyDescent="0.3">
      <c r="A1205" s="2">
        <v>38460</v>
      </c>
      <c r="B1205">
        <f>6/(100)</f>
        <v>0.06</v>
      </c>
      <c r="C1205">
        <f>5.744/(100)</f>
        <v>5.7439999999999998E-2</v>
      </c>
    </row>
    <row r="1206" spans="1:3" x14ac:dyDescent="0.3">
      <c r="A1206" s="2">
        <v>38461</v>
      </c>
      <c r="B1206">
        <f>6/(100)</f>
        <v>0.06</v>
      </c>
      <c r="C1206">
        <f>5.708/(100)</f>
        <v>5.7079999999999999E-2</v>
      </c>
    </row>
    <row r="1207" spans="1:3" x14ac:dyDescent="0.3">
      <c r="A1207" s="2">
        <v>38462</v>
      </c>
      <c r="B1207">
        <f>6/(100)</f>
        <v>0.06</v>
      </c>
      <c r="C1207">
        <f>5.686/(100)</f>
        <v>5.6860000000000001E-2</v>
      </c>
    </row>
    <row r="1208" spans="1:3" x14ac:dyDescent="0.3">
      <c r="A1208" s="2">
        <v>38463</v>
      </c>
      <c r="B1208">
        <f>6/(100)</f>
        <v>0.06</v>
      </c>
      <c r="C1208">
        <f>5.685/(100)</f>
        <v>5.6849999999999998E-2</v>
      </c>
    </row>
    <row r="1209" spans="1:3" x14ac:dyDescent="0.3">
      <c r="A1209" s="2">
        <v>38464</v>
      </c>
      <c r="B1209">
        <f>6/(100)</f>
        <v>0.06</v>
      </c>
      <c r="C1209">
        <f>5.685/(100)</f>
        <v>5.6849999999999998E-2</v>
      </c>
    </row>
    <row r="1210" spans="1:3" x14ac:dyDescent="0.3">
      <c r="A1210" s="2">
        <v>38465</v>
      </c>
      <c r="B1210">
        <f>6/(100)</f>
        <v>0.06</v>
      </c>
      <c r="C1210">
        <f>5.651/(100)</f>
        <v>5.6509999999999998E-2</v>
      </c>
    </row>
    <row r="1211" spans="1:3" x14ac:dyDescent="0.3">
      <c r="A1211" s="2">
        <v>38466</v>
      </c>
      <c r="B1211">
        <f>6/(100)</f>
        <v>0.06</v>
      </c>
      <c r="C1211">
        <f>5.651/(100)</f>
        <v>5.6509999999999998E-2</v>
      </c>
    </row>
    <row r="1212" spans="1:3" x14ac:dyDescent="0.3">
      <c r="A1212" s="2">
        <v>38467</v>
      </c>
      <c r="B1212">
        <f>6/(100)</f>
        <v>0.06</v>
      </c>
      <c r="C1212">
        <f>5.664/(100)</f>
        <v>5.6639999999999996E-2</v>
      </c>
    </row>
    <row r="1213" spans="1:3" x14ac:dyDescent="0.3">
      <c r="A1213" s="2">
        <v>38468</v>
      </c>
      <c r="B1213">
        <f>6/(100)</f>
        <v>0.06</v>
      </c>
      <c r="C1213">
        <f>5.667/(100)</f>
        <v>5.6669999999999998E-2</v>
      </c>
    </row>
    <row r="1214" spans="1:3" x14ac:dyDescent="0.3">
      <c r="A1214" s="2">
        <v>38469</v>
      </c>
      <c r="B1214">
        <f>6/(100)</f>
        <v>0.06</v>
      </c>
      <c r="C1214">
        <f>5.664/(100)</f>
        <v>5.6639999999999996E-2</v>
      </c>
    </row>
    <row r="1215" spans="1:3" x14ac:dyDescent="0.3">
      <c r="A1215" s="2">
        <v>38470</v>
      </c>
      <c r="B1215">
        <f>6/(100)</f>
        <v>0.06</v>
      </c>
      <c r="C1215">
        <f>5.814/(100)</f>
        <v>5.8139999999999997E-2</v>
      </c>
    </row>
    <row r="1216" spans="1:3" x14ac:dyDescent="0.3">
      <c r="A1216" s="2">
        <v>38471</v>
      </c>
      <c r="B1216">
        <f>6/(100)</f>
        <v>0.06</v>
      </c>
      <c r="C1216">
        <f>5.79/(100)</f>
        <v>5.79E-2</v>
      </c>
    </row>
    <row r="1217" spans="1:3" x14ac:dyDescent="0.3">
      <c r="A1217" s="2">
        <v>38472</v>
      </c>
      <c r="B1217">
        <f>6/(100)</f>
        <v>0.06</v>
      </c>
      <c r="C1217">
        <f>5.797/(100)</f>
        <v>5.7969999999999994E-2</v>
      </c>
    </row>
    <row r="1218" spans="1:3" x14ac:dyDescent="0.3">
      <c r="A1218" s="2">
        <v>38473</v>
      </c>
      <c r="B1218">
        <f>6/(100)</f>
        <v>0.06</v>
      </c>
      <c r="C1218">
        <f>5.797/(100)</f>
        <v>5.7969999999999994E-2</v>
      </c>
    </row>
    <row r="1219" spans="1:3" x14ac:dyDescent="0.3">
      <c r="A1219" s="2">
        <v>38474</v>
      </c>
      <c r="B1219">
        <f>6/(100)</f>
        <v>0.06</v>
      </c>
      <c r="C1219">
        <f>5.758/(100)</f>
        <v>5.7579999999999999E-2</v>
      </c>
    </row>
    <row r="1220" spans="1:3" x14ac:dyDescent="0.3">
      <c r="A1220" s="2">
        <v>38475</v>
      </c>
      <c r="B1220">
        <f>6/(100)</f>
        <v>0.06</v>
      </c>
      <c r="C1220">
        <f>5.743/(100)</f>
        <v>5.7430000000000002E-2</v>
      </c>
    </row>
    <row r="1221" spans="1:3" x14ac:dyDescent="0.3">
      <c r="A1221" s="2">
        <v>38476</v>
      </c>
      <c r="B1221">
        <f>6/(100)</f>
        <v>0.06</v>
      </c>
      <c r="C1221">
        <f>5.752/(100)</f>
        <v>5.7519999999999995E-2</v>
      </c>
    </row>
    <row r="1222" spans="1:3" x14ac:dyDescent="0.3">
      <c r="A1222" s="2">
        <v>38477</v>
      </c>
      <c r="B1222">
        <f>6/(100)</f>
        <v>0.06</v>
      </c>
      <c r="C1222">
        <f>5.738/(100)</f>
        <v>5.7380000000000007E-2</v>
      </c>
    </row>
    <row r="1223" spans="1:3" x14ac:dyDescent="0.3">
      <c r="A1223" s="2">
        <v>38478</v>
      </c>
      <c r="B1223">
        <f>6/(100)</f>
        <v>0.06</v>
      </c>
      <c r="C1223">
        <f>5.722/(100)</f>
        <v>5.7220000000000007E-2</v>
      </c>
    </row>
    <row r="1224" spans="1:3" x14ac:dyDescent="0.3">
      <c r="A1224" s="2">
        <v>38479</v>
      </c>
      <c r="B1224">
        <f>6/(100)</f>
        <v>0.06</v>
      </c>
      <c r="C1224">
        <f>5.722/(100)</f>
        <v>5.7220000000000007E-2</v>
      </c>
    </row>
    <row r="1225" spans="1:3" x14ac:dyDescent="0.3">
      <c r="A1225" s="2">
        <v>38480</v>
      </c>
      <c r="B1225">
        <f>6/(100)</f>
        <v>0.06</v>
      </c>
      <c r="C1225">
        <f>5.722/(100)</f>
        <v>5.7220000000000007E-2</v>
      </c>
    </row>
    <row r="1226" spans="1:3" x14ac:dyDescent="0.3">
      <c r="A1226" s="2">
        <v>38481</v>
      </c>
      <c r="B1226">
        <f>6/(100)</f>
        <v>0.06</v>
      </c>
      <c r="C1226">
        <f>5.705/(100)</f>
        <v>5.7050000000000003E-2</v>
      </c>
    </row>
    <row r="1227" spans="1:3" x14ac:dyDescent="0.3">
      <c r="A1227" s="2">
        <v>38482</v>
      </c>
      <c r="B1227">
        <f>6/(100)</f>
        <v>0.06</v>
      </c>
      <c r="C1227">
        <f>5.692/(100)</f>
        <v>5.6919999999999998E-2</v>
      </c>
    </row>
    <row r="1228" spans="1:3" x14ac:dyDescent="0.3">
      <c r="A1228" s="2">
        <v>38483</v>
      </c>
      <c r="B1228">
        <f>6/(100)</f>
        <v>0.06</v>
      </c>
      <c r="C1228">
        <f>5.679/(100)</f>
        <v>5.679E-2</v>
      </c>
    </row>
    <row r="1229" spans="1:3" x14ac:dyDescent="0.3">
      <c r="A1229" s="2">
        <v>38484</v>
      </c>
      <c r="B1229">
        <f>6/(100)</f>
        <v>0.06</v>
      </c>
      <c r="C1229">
        <f>5.673/(100)</f>
        <v>5.6730000000000003E-2</v>
      </c>
    </row>
    <row r="1230" spans="1:3" x14ac:dyDescent="0.3">
      <c r="A1230" s="2">
        <v>38485</v>
      </c>
      <c r="B1230">
        <f>6/(100)</f>
        <v>0.06</v>
      </c>
      <c r="C1230">
        <f>5.665/(100)</f>
        <v>5.6649999999999999E-2</v>
      </c>
    </row>
    <row r="1231" spans="1:3" x14ac:dyDescent="0.3">
      <c r="A1231" s="2">
        <v>38486</v>
      </c>
      <c r="B1231">
        <f>6/(100)</f>
        <v>0.06</v>
      </c>
      <c r="C1231">
        <f>5.624/(100)</f>
        <v>5.6239999999999998E-2</v>
      </c>
    </row>
    <row r="1232" spans="1:3" x14ac:dyDescent="0.3">
      <c r="A1232" s="2">
        <v>38487</v>
      </c>
      <c r="B1232">
        <f>6/(100)</f>
        <v>0.06</v>
      </c>
      <c r="C1232">
        <f>5.624/(100)</f>
        <v>5.6239999999999998E-2</v>
      </c>
    </row>
    <row r="1233" spans="1:3" x14ac:dyDescent="0.3">
      <c r="A1233" s="2">
        <v>38488</v>
      </c>
      <c r="B1233">
        <f>6/(100)</f>
        <v>0.06</v>
      </c>
      <c r="C1233">
        <f>5.695/(100)</f>
        <v>5.6950000000000001E-2</v>
      </c>
    </row>
    <row r="1234" spans="1:3" x14ac:dyDescent="0.3">
      <c r="A1234" s="2">
        <v>38489</v>
      </c>
      <c r="B1234">
        <f>6/(100)</f>
        <v>0.06</v>
      </c>
      <c r="C1234">
        <f>5.681/(100)</f>
        <v>5.6809999999999999E-2</v>
      </c>
    </row>
    <row r="1235" spans="1:3" x14ac:dyDescent="0.3">
      <c r="A1235" s="2">
        <v>38490</v>
      </c>
      <c r="B1235">
        <f>6/(100)</f>
        <v>0.06</v>
      </c>
      <c r="C1235">
        <f>5.695/(100)</f>
        <v>5.6950000000000001E-2</v>
      </c>
    </row>
    <row r="1236" spans="1:3" x14ac:dyDescent="0.3">
      <c r="A1236" s="2">
        <v>38491</v>
      </c>
      <c r="B1236">
        <f>6/(100)</f>
        <v>0.06</v>
      </c>
      <c r="C1236">
        <f>5.667/(100)</f>
        <v>5.6669999999999998E-2</v>
      </c>
    </row>
    <row r="1237" spans="1:3" x14ac:dyDescent="0.3">
      <c r="A1237" s="2">
        <v>38492</v>
      </c>
      <c r="B1237">
        <f>6/(100)</f>
        <v>0.06</v>
      </c>
      <c r="C1237">
        <f>5.664/(100)</f>
        <v>5.6639999999999996E-2</v>
      </c>
    </row>
    <row r="1238" spans="1:3" x14ac:dyDescent="0.3">
      <c r="A1238" s="2">
        <v>38493</v>
      </c>
      <c r="B1238">
        <f>6/(100)</f>
        <v>0.06</v>
      </c>
      <c r="C1238">
        <f>5.644/(100)</f>
        <v>5.6440000000000004E-2</v>
      </c>
    </row>
    <row r="1239" spans="1:3" x14ac:dyDescent="0.3">
      <c r="A1239" s="2">
        <v>38494</v>
      </c>
      <c r="B1239">
        <f>6/(100)</f>
        <v>0.06</v>
      </c>
      <c r="C1239">
        <f>5.644/(100)</f>
        <v>5.6440000000000004E-2</v>
      </c>
    </row>
    <row r="1240" spans="1:3" x14ac:dyDescent="0.3">
      <c r="A1240" s="2">
        <v>38495</v>
      </c>
      <c r="B1240">
        <f>6/(100)</f>
        <v>0.06</v>
      </c>
      <c r="C1240">
        <f>5.644/(100)</f>
        <v>5.6440000000000004E-2</v>
      </c>
    </row>
    <row r="1241" spans="1:3" x14ac:dyDescent="0.3">
      <c r="A1241" s="2">
        <v>38496</v>
      </c>
      <c r="B1241">
        <f>6/(100)</f>
        <v>0.06</v>
      </c>
      <c r="C1241">
        <f>5.636/(100)</f>
        <v>5.636E-2</v>
      </c>
    </row>
    <row r="1242" spans="1:3" x14ac:dyDescent="0.3">
      <c r="A1242" s="2">
        <v>38497</v>
      </c>
      <c r="B1242">
        <f>6/(100)</f>
        <v>0.06</v>
      </c>
      <c r="C1242">
        <f>5.646/(100)</f>
        <v>5.6459999999999996E-2</v>
      </c>
    </row>
    <row r="1243" spans="1:3" x14ac:dyDescent="0.3">
      <c r="A1243" s="2">
        <v>38498</v>
      </c>
      <c r="B1243">
        <f>6/(100)</f>
        <v>0.06</v>
      </c>
      <c r="C1243">
        <f>5.661/(100)</f>
        <v>5.6609999999999994E-2</v>
      </c>
    </row>
    <row r="1244" spans="1:3" x14ac:dyDescent="0.3">
      <c r="A1244" s="2">
        <v>38499</v>
      </c>
      <c r="B1244">
        <f>6/(100)</f>
        <v>0.06</v>
      </c>
      <c r="C1244">
        <f>5.672/(100)</f>
        <v>5.672E-2</v>
      </c>
    </row>
    <row r="1245" spans="1:3" x14ac:dyDescent="0.3">
      <c r="A1245" s="2">
        <v>38500</v>
      </c>
      <c r="B1245">
        <f>6/(100)</f>
        <v>0.06</v>
      </c>
      <c r="C1245">
        <f>5.678/(100)</f>
        <v>5.6779999999999997E-2</v>
      </c>
    </row>
    <row r="1246" spans="1:3" x14ac:dyDescent="0.3">
      <c r="A1246" s="2">
        <v>38501</v>
      </c>
      <c r="B1246">
        <f>6/(100)</f>
        <v>0.06</v>
      </c>
      <c r="C1246">
        <f>5.678/(100)</f>
        <v>5.6779999999999997E-2</v>
      </c>
    </row>
    <row r="1247" spans="1:3" x14ac:dyDescent="0.3">
      <c r="A1247" s="2">
        <v>38502</v>
      </c>
      <c r="B1247">
        <f>6/(100)</f>
        <v>0.06</v>
      </c>
      <c r="C1247">
        <f>5.739/(100)</f>
        <v>5.7389999999999997E-2</v>
      </c>
    </row>
    <row r="1248" spans="1:3" x14ac:dyDescent="0.3">
      <c r="A1248" s="2">
        <v>38503</v>
      </c>
      <c r="B1248">
        <f>6/(100)</f>
        <v>0.06</v>
      </c>
      <c r="C1248">
        <f>5.722/(100)</f>
        <v>5.7220000000000007E-2</v>
      </c>
    </row>
    <row r="1249" spans="1:3" x14ac:dyDescent="0.3">
      <c r="A1249" s="2">
        <v>38504</v>
      </c>
      <c r="B1249">
        <f>6/(100)</f>
        <v>0.06</v>
      </c>
      <c r="C1249">
        <f>5.694/(100)</f>
        <v>5.6939999999999998E-2</v>
      </c>
    </row>
    <row r="1250" spans="1:3" x14ac:dyDescent="0.3">
      <c r="A1250" s="2">
        <v>38505</v>
      </c>
      <c r="B1250">
        <f>6/(100)</f>
        <v>0.06</v>
      </c>
      <c r="C1250">
        <f>5.687/(100)</f>
        <v>5.6870000000000004E-2</v>
      </c>
    </row>
    <row r="1251" spans="1:3" x14ac:dyDescent="0.3">
      <c r="A1251" s="2">
        <v>38506</v>
      </c>
      <c r="B1251">
        <f>6/(100)</f>
        <v>0.06</v>
      </c>
      <c r="C1251">
        <f>5.664/(100)</f>
        <v>5.6639999999999996E-2</v>
      </c>
    </row>
    <row r="1252" spans="1:3" x14ac:dyDescent="0.3">
      <c r="A1252" s="2">
        <v>38507</v>
      </c>
      <c r="B1252">
        <f>6/(100)</f>
        <v>0.06</v>
      </c>
      <c r="C1252">
        <f>5.664/(100)</f>
        <v>5.6639999999999996E-2</v>
      </c>
    </row>
    <row r="1253" spans="1:3" x14ac:dyDescent="0.3">
      <c r="A1253" s="2">
        <v>38508</v>
      </c>
      <c r="B1253">
        <f>6/(100)</f>
        <v>0.06</v>
      </c>
      <c r="C1253">
        <f>5.664/(100)</f>
        <v>5.6639999999999996E-2</v>
      </c>
    </row>
    <row r="1254" spans="1:3" x14ac:dyDescent="0.3">
      <c r="A1254" s="2">
        <v>38509</v>
      </c>
      <c r="B1254">
        <f>6/(100)</f>
        <v>0.06</v>
      </c>
      <c r="C1254">
        <f>5.664/(100)</f>
        <v>5.6639999999999996E-2</v>
      </c>
    </row>
    <row r="1255" spans="1:3" x14ac:dyDescent="0.3">
      <c r="A1255" s="2">
        <v>38510</v>
      </c>
      <c r="B1255">
        <f>6/(100)</f>
        <v>0.06</v>
      </c>
      <c r="C1255">
        <f>5.664/(100)</f>
        <v>5.6639999999999996E-2</v>
      </c>
    </row>
    <row r="1256" spans="1:3" x14ac:dyDescent="0.3">
      <c r="A1256" s="2">
        <v>38511</v>
      </c>
      <c r="B1256">
        <f>6/(100)</f>
        <v>0.06</v>
      </c>
      <c r="C1256">
        <f>5.692/(100)</f>
        <v>5.6919999999999998E-2</v>
      </c>
    </row>
    <row r="1257" spans="1:3" x14ac:dyDescent="0.3">
      <c r="A1257" s="2">
        <v>38512</v>
      </c>
      <c r="B1257">
        <f>6/(100)</f>
        <v>0.06</v>
      </c>
      <c r="C1257">
        <f>5.683/(100)</f>
        <v>5.6829999999999999E-2</v>
      </c>
    </row>
    <row r="1258" spans="1:3" x14ac:dyDescent="0.3">
      <c r="A1258" s="2">
        <v>38513</v>
      </c>
      <c r="B1258">
        <f>6/(100)</f>
        <v>0.06</v>
      </c>
      <c r="C1258">
        <f>5.717/(100)</f>
        <v>5.7169999999999999E-2</v>
      </c>
    </row>
    <row r="1259" spans="1:3" x14ac:dyDescent="0.3">
      <c r="A1259" s="2">
        <v>38514</v>
      </c>
      <c r="B1259">
        <f>6/(100)</f>
        <v>0.06</v>
      </c>
      <c r="C1259">
        <f>5.717/(100)</f>
        <v>5.7169999999999999E-2</v>
      </c>
    </row>
    <row r="1260" spans="1:3" x14ac:dyDescent="0.3">
      <c r="A1260" s="2">
        <v>38515</v>
      </c>
      <c r="B1260">
        <f>6/(100)</f>
        <v>0.06</v>
      </c>
      <c r="C1260">
        <f>5.717/(100)</f>
        <v>5.7169999999999999E-2</v>
      </c>
    </row>
    <row r="1261" spans="1:3" x14ac:dyDescent="0.3">
      <c r="A1261" s="2">
        <v>38516</v>
      </c>
      <c r="B1261">
        <f>6/(100)</f>
        <v>0.06</v>
      </c>
      <c r="C1261">
        <f>5.661/(100)</f>
        <v>5.6609999999999994E-2</v>
      </c>
    </row>
    <row r="1262" spans="1:3" x14ac:dyDescent="0.3">
      <c r="A1262" s="2">
        <v>38517</v>
      </c>
      <c r="B1262">
        <f>6/(100)</f>
        <v>0.06</v>
      </c>
      <c r="C1262">
        <f>5.685/(100)</f>
        <v>5.6849999999999998E-2</v>
      </c>
    </row>
    <row r="1263" spans="1:3" x14ac:dyDescent="0.3">
      <c r="A1263" s="2">
        <v>38518</v>
      </c>
      <c r="B1263">
        <f>6/(100)</f>
        <v>0.06</v>
      </c>
      <c r="C1263">
        <f>5.656/(100)</f>
        <v>5.6559999999999999E-2</v>
      </c>
    </row>
    <row r="1264" spans="1:3" x14ac:dyDescent="0.3">
      <c r="A1264" s="2">
        <v>38519</v>
      </c>
      <c r="B1264">
        <f>6/(100)</f>
        <v>0.06</v>
      </c>
      <c r="C1264">
        <f>5.747/(100)</f>
        <v>5.747E-2</v>
      </c>
    </row>
    <row r="1265" spans="1:3" x14ac:dyDescent="0.3">
      <c r="A1265" s="2">
        <v>38520</v>
      </c>
      <c r="B1265">
        <f>6/(100)</f>
        <v>0.06</v>
      </c>
      <c r="C1265">
        <f>5.698/(100)</f>
        <v>5.6980000000000003E-2</v>
      </c>
    </row>
    <row r="1266" spans="1:3" x14ac:dyDescent="0.3">
      <c r="A1266" s="2">
        <v>38521</v>
      </c>
      <c r="B1266">
        <f>6/(100)</f>
        <v>0.06</v>
      </c>
      <c r="C1266">
        <f>5.69/(100)</f>
        <v>5.6900000000000006E-2</v>
      </c>
    </row>
    <row r="1267" spans="1:3" x14ac:dyDescent="0.3">
      <c r="A1267" s="2">
        <v>38522</v>
      </c>
      <c r="B1267">
        <f>6/(100)</f>
        <v>0.06</v>
      </c>
      <c r="C1267">
        <f>5.69/(100)</f>
        <v>5.6900000000000006E-2</v>
      </c>
    </row>
    <row r="1268" spans="1:3" x14ac:dyDescent="0.3">
      <c r="A1268" s="2">
        <v>38523</v>
      </c>
      <c r="B1268">
        <f>6/(100)</f>
        <v>0.06</v>
      </c>
      <c r="C1268">
        <f>5.686/(100)</f>
        <v>5.6860000000000001E-2</v>
      </c>
    </row>
    <row r="1269" spans="1:3" x14ac:dyDescent="0.3">
      <c r="A1269" s="2">
        <v>38524</v>
      </c>
      <c r="B1269">
        <f>6/(100)</f>
        <v>0.06</v>
      </c>
      <c r="C1269">
        <f>5.741/(100)</f>
        <v>5.7409999999999996E-2</v>
      </c>
    </row>
    <row r="1270" spans="1:3" x14ac:dyDescent="0.3">
      <c r="A1270" s="2">
        <v>38525</v>
      </c>
      <c r="B1270">
        <f>6/(100)</f>
        <v>0.06</v>
      </c>
      <c r="C1270">
        <f>5.716/(100)</f>
        <v>5.7160000000000002E-2</v>
      </c>
    </row>
    <row r="1271" spans="1:3" x14ac:dyDescent="0.3">
      <c r="A1271" s="2">
        <v>38526</v>
      </c>
      <c r="B1271">
        <f>6/(100)</f>
        <v>0.06</v>
      </c>
      <c r="C1271">
        <f>5.716/(100)</f>
        <v>5.7160000000000002E-2</v>
      </c>
    </row>
    <row r="1272" spans="1:3" x14ac:dyDescent="0.3">
      <c r="A1272" s="2">
        <v>38527</v>
      </c>
      <c r="B1272">
        <f>6/(100)</f>
        <v>0.06</v>
      </c>
      <c r="C1272">
        <f>5.728/(100)</f>
        <v>5.7279999999999998E-2</v>
      </c>
    </row>
    <row r="1273" spans="1:3" x14ac:dyDescent="0.3">
      <c r="A1273" s="2">
        <v>38528</v>
      </c>
      <c r="B1273">
        <f>6/(100)</f>
        <v>0.06</v>
      </c>
      <c r="C1273">
        <f>5.728/(100)</f>
        <v>5.7279999999999998E-2</v>
      </c>
    </row>
    <row r="1274" spans="1:3" x14ac:dyDescent="0.3">
      <c r="A1274" s="2">
        <v>38529</v>
      </c>
      <c r="B1274">
        <f>6/(100)</f>
        <v>0.06</v>
      </c>
      <c r="C1274">
        <f>5.728/(100)</f>
        <v>5.7279999999999998E-2</v>
      </c>
    </row>
    <row r="1275" spans="1:3" x14ac:dyDescent="0.3">
      <c r="A1275" s="2">
        <v>38530</v>
      </c>
      <c r="B1275">
        <f>6/(100)</f>
        <v>0.06</v>
      </c>
      <c r="C1275">
        <f>5.744/(100)</f>
        <v>5.7439999999999998E-2</v>
      </c>
    </row>
    <row r="1276" spans="1:3" x14ac:dyDescent="0.3">
      <c r="A1276" s="2">
        <v>38531</v>
      </c>
      <c r="B1276">
        <f>6/(100)</f>
        <v>0.06</v>
      </c>
      <c r="C1276">
        <f>5.753/(100)</f>
        <v>5.7529999999999998E-2</v>
      </c>
    </row>
    <row r="1277" spans="1:3" x14ac:dyDescent="0.3">
      <c r="A1277" s="2">
        <v>38532</v>
      </c>
      <c r="B1277">
        <f>6/(100)</f>
        <v>0.06</v>
      </c>
      <c r="C1277">
        <f>5.738/(100)</f>
        <v>5.7380000000000007E-2</v>
      </c>
    </row>
    <row r="1278" spans="1:3" x14ac:dyDescent="0.3">
      <c r="A1278" s="2">
        <v>38533</v>
      </c>
      <c r="B1278">
        <f>6/(100)</f>
        <v>0.06</v>
      </c>
      <c r="C1278">
        <f>5.755/(100)</f>
        <v>5.7549999999999997E-2</v>
      </c>
    </row>
    <row r="1279" spans="1:3" x14ac:dyDescent="0.3">
      <c r="A1279" s="2">
        <v>38534</v>
      </c>
      <c r="B1279">
        <f>6/(100)</f>
        <v>0.06</v>
      </c>
      <c r="C1279">
        <f>5.748/(100)</f>
        <v>5.7480000000000003E-2</v>
      </c>
    </row>
    <row r="1280" spans="1:3" x14ac:dyDescent="0.3">
      <c r="A1280" s="2">
        <v>38535</v>
      </c>
      <c r="B1280">
        <f>6/(100)</f>
        <v>0.06</v>
      </c>
      <c r="C1280">
        <f>5.77/(100)</f>
        <v>5.7699999999999994E-2</v>
      </c>
    </row>
    <row r="1281" spans="1:3" x14ac:dyDescent="0.3">
      <c r="A1281" s="2">
        <v>38536</v>
      </c>
      <c r="B1281">
        <f>6/(100)</f>
        <v>0.06</v>
      </c>
      <c r="C1281">
        <f>5.77/(100)</f>
        <v>5.7699999999999994E-2</v>
      </c>
    </row>
    <row r="1282" spans="1:3" x14ac:dyDescent="0.3">
      <c r="A1282" s="2">
        <v>38537</v>
      </c>
      <c r="B1282">
        <f>6/(100)</f>
        <v>0.06</v>
      </c>
      <c r="C1282">
        <f>5.77/(100)</f>
        <v>5.7699999999999994E-2</v>
      </c>
    </row>
    <row r="1283" spans="1:3" x14ac:dyDescent="0.3">
      <c r="A1283" s="2">
        <v>38538</v>
      </c>
      <c r="B1283">
        <f>6/(100)</f>
        <v>0.06</v>
      </c>
      <c r="C1283">
        <f>5.708/(100)</f>
        <v>5.7079999999999999E-2</v>
      </c>
    </row>
    <row r="1284" spans="1:3" x14ac:dyDescent="0.3">
      <c r="A1284" s="2">
        <v>38539</v>
      </c>
      <c r="B1284">
        <f>6/(100)</f>
        <v>0.06</v>
      </c>
      <c r="C1284">
        <f>5.806/(100)</f>
        <v>5.806E-2</v>
      </c>
    </row>
    <row r="1285" spans="1:3" x14ac:dyDescent="0.3">
      <c r="A1285" s="2">
        <v>38540</v>
      </c>
      <c r="B1285">
        <f>6/(100)</f>
        <v>0.06</v>
      </c>
      <c r="C1285">
        <f>5.805/(100)</f>
        <v>5.8049999999999997E-2</v>
      </c>
    </row>
    <row r="1286" spans="1:3" x14ac:dyDescent="0.3">
      <c r="A1286" s="2">
        <v>38541</v>
      </c>
      <c r="B1286">
        <f>6/(100)</f>
        <v>0.06</v>
      </c>
      <c r="C1286">
        <f>5.78/(100)</f>
        <v>5.7800000000000004E-2</v>
      </c>
    </row>
    <row r="1287" spans="1:3" x14ac:dyDescent="0.3">
      <c r="A1287" s="2">
        <v>38542</v>
      </c>
      <c r="B1287">
        <f>6/(100)</f>
        <v>0.06</v>
      </c>
      <c r="C1287">
        <f>5.78/(100)</f>
        <v>5.7800000000000004E-2</v>
      </c>
    </row>
    <row r="1288" spans="1:3" x14ac:dyDescent="0.3">
      <c r="A1288" s="2">
        <v>38543</v>
      </c>
      <c r="B1288">
        <f>6/(100)</f>
        <v>0.06</v>
      </c>
      <c r="C1288">
        <f>5.78/(100)</f>
        <v>5.7800000000000004E-2</v>
      </c>
    </row>
    <row r="1289" spans="1:3" x14ac:dyDescent="0.3">
      <c r="A1289" s="2">
        <v>38544</v>
      </c>
      <c r="B1289">
        <f>6/(100)</f>
        <v>0.06</v>
      </c>
      <c r="C1289">
        <f>5.801/(100)</f>
        <v>5.8009999999999999E-2</v>
      </c>
    </row>
    <row r="1290" spans="1:3" x14ac:dyDescent="0.3">
      <c r="A1290" s="2">
        <v>38545</v>
      </c>
      <c r="B1290">
        <f>6/(100)</f>
        <v>0.06</v>
      </c>
      <c r="C1290">
        <f>5.717/(100)</f>
        <v>5.7169999999999999E-2</v>
      </c>
    </row>
    <row r="1291" spans="1:3" x14ac:dyDescent="0.3">
      <c r="A1291" s="2">
        <v>38546</v>
      </c>
      <c r="B1291">
        <f>6/(100)</f>
        <v>0.06</v>
      </c>
      <c r="C1291">
        <f>5.84/(100)</f>
        <v>5.8400000000000001E-2</v>
      </c>
    </row>
    <row r="1292" spans="1:3" x14ac:dyDescent="0.3">
      <c r="A1292" s="2">
        <v>38547</v>
      </c>
      <c r="B1292">
        <f>6/(100)</f>
        <v>0.06</v>
      </c>
      <c r="C1292">
        <f>5.836/(100)</f>
        <v>5.8360000000000002E-2</v>
      </c>
    </row>
    <row r="1293" spans="1:3" x14ac:dyDescent="0.3">
      <c r="A1293" s="2">
        <v>38548</v>
      </c>
      <c r="B1293">
        <f>6/(100)</f>
        <v>0.06</v>
      </c>
      <c r="C1293">
        <f>5.868/(100)</f>
        <v>5.8680000000000003E-2</v>
      </c>
    </row>
    <row r="1294" spans="1:3" x14ac:dyDescent="0.3">
      <c r="A1294" s="2">
        <v>38549</v>
      </c>
      <c r="B1294">
        <f>6/(100)</f>
        <v>0.06</v>
      </c>
      <c r="C1294">
        <f>5.832/(100)</f>
        <v>5.8319999999999997E-2</v>
      </c>
    </row>
    <row r="1295" spans="1:3" x14ac:dyDescent="0.3">
      <c r="A1295" s="2">
        <v>38550</v>
      </c>
      <c r="B1295">
        <f>6/(100)</f>
        <v>0.06</v>
      </c>
      <c r="C1295">
        <f>5.832/(100)</f>
        <v>5.8319999999999997E-2</v>
      </c>
    </row>
    <row r="1296" spans="1:3" x14ac:dyDescent="0.3">
      <c r="A1296" s="2">
        <v>38551</v>
      </c>
      <c r="B1296">
        <f>6/(100)</f>
        <v>0.06</v>
      </c>
      <c r="C1296">
        <f>5.855/(100)</f>
        <v>5.8550000000000005E-2</v>
      </c>
    </row>
    <row r="1297" spans="1:3" x14ac:dyDescent="0.3">
      <c r="A1297" s="2">
        <v>38552</v>
      </c>
      <c r="B1297">
        <f>6/(100)</f>
        <v>0.06</v>
      </c>
      <c r="C1297">
        <f>5.862/(100)</f>
        <v>5.8619999999999998E-2</v>
      </c>
    </row>
    <row r="1298" spans="1:3" x14ac:dyDescent="0.3">
      <c r="A1298" s="2">
        <v>38553</v>
      </c>
      <c r="B1298">
        <f>6/(100)</f>
        <v>0.06</v>
      </c>
      <c r="C1298">
        <f>5.849/(100)</f>
        <v>5.849E-2</v>
      </c>
    </row>
    <row r="1299" spans="1:3" x14ac:dyDescent="0.3">
      <c r="A1299" s="2">
        <v>38554</v>
      </c>
      <c r="B1299">
        <f>6/(100)</f>
        <v>0.06</v>
      </c>
      <c r="C1299">
        <f>5.839/(100)</f>
        <v>5.8390000000000004E-2</v>
      </c>
    </row>
    <row r="1300" spans="1:3" x14ac:dyDescent="0.3">
      <c r="A1300" s="2">
        <v>38555</v>
      </c>
      <c r="B1300">
        <f>6/(100)</f>
        <v>0.06</v>
      </c>
      <c r="C1300">
        <f>5.815/(100)</f>
        <v>5.8150000000000007E-2</v>
      </c>
    </row>
    <row r="1301" spans="1:3" x14ac:dyDescent="0.3">
      <c r="A1301" s="2">
        <v>38556</v>
      </c>
      <c r="B1301">
        <f>6/(100)</f>
        <v>0.06</v>
      </c>
      <c r="C1301">
        <f>5.82/(100)</f>
        <v>5.8200000000000002E-2</v>
      </c>
    </row>
    <row r="1302" spans="1:3" x14ac:dyDescent="0.3">
      <c r="A1302" s="2">
        <v>38557</v>
      </c>
      <c r="B1302">
        <f>6/(100)</f>
        <v>0.06</v>
      </c>
      <c r="C1302">
        <f>5.82/(100)</f>
        <v>5.8200000000000002E-2</v>
      </c>
    </row>
    <row r="1303" spans="1:3" x14ac:dyDescent="0.3">
      <c r="A1303" s="2">
        <v>38558</v>
      </c>
      <c r="B1303">
        <f>6/(100)</f>
        <v>0.06</v>
      </c>
      <c r="C1303">
        <f>5.811/(100)</f>
        <v>5.8110000000000002E-2</v>
      </c>
    </row>
    <row r="1304" spans="1:3" x14ac:dyDescent="0.3">
      <c r="A1304" s="2">
        <v>38559</v>
      </c>
      <c r="B1304">
        <f>6/(100)</f>
        <v>0.06</v>
      </c>
      <c r="C1304">
        <f>5.751/(100)</f>
        <v>5.7510000000000006E-2</v>
      </c>
    </row>
    <row r="1305" spans="1:3" x14ac:dyDescent="0.3">
      <c r="A1305" s="2">
        <v>38560</v>
      </c>
      <c r="B1305">
        <f>6/(100)</f>
        <v>0.06</v>
      </c>
      <c r="C1305">
        <f>5.751/(100)</f>
        <v>5.7510000000000006E-2</v>
      </c>
    </row>
    <row r="1306" spans="1:3" x14ac:dyDescent="0.3">
      <c r="A1306" s="2">
        <v>38561</v>
      </c>
      <c r="B1306">
        <f>6/(100)</f>
        <v>0.06</v>
      </c>
      <c r="C1306">
        <f>5.751/(100)</f>
        <v>5.7510000000000006E-2</v>
      </c>
    </row>
    <row r="1307" spans="1:3" x14ac:dyDescent="0.3">
      <c r="A1307" s="2">
        <v>38562</v>
      </c>
      <c r="B1307">
        <f>6/(100)</f>
        <v>0.06</v>
      </c>
      <c r="C1307">
        <f>5.712/(100)</f>
        <v>5.7119999999999997E-2</v>
      </c>
    </row>
    <row r="1308" spans="1:3" x14ac:dyDescent="0.3">
      <c r="A1308" s="2">
        <v>38563</v>
      </c>
      <c r="B1308">
        <f>6/(100)</f>
        <v>0.06</v>
      </c>
      <c r="C1308">
        <f>5.769/(100)</f>
        <v>5.7689999999999998E-2</v>
      </c>
    </row>
    <row r="1309" spans="1:3" x14ac:dyDescent="0.3">
      <c r="A1309" s="2">
        <v>38564</v>
      </c>
      <c r="B1309">
        <f>6/(100)</f>
        <v>0.06</v>
      </c>
      <c r="C1309">
        <f>5.769/(100)</f>
        <v>5.7689999999999998E-2</v>
      </c>
    </row>
    <row r="1310" spans="1:3" x14ac:dyDescent="0.3">
      <c r="A1310" s="2">
        <v>38565</v>
      </c>
      <c r="B1310">
        <f>6/(100)</f>
        <v>0.06</v>
      </c>
      <c r="C1310">
        <f>5.769/(100)</f>
        <v>5.7689999999999998E-2</v>
      </c>
    </row>
    <row r="1311" spans="1:3" x14ac:dyDescent="0.3">
      <c r="A1311" s="2">
        <v>38566</v>
      </c>
      <c r="B1311">
        <f>6/(100)</f>
        <v>0.06</v>
      </c>
      <c r="C1311">
        <f>5.7/(100)</f>
        <v>5.7000000000000002E-2</v>
      </c>
    </row>
    <row r="1312" spans="1:3" x14ac:dyDescent="0.3">
      <c r="A1312" s="2">
        <v>38567</v>
      </c>
      <c r="B1312">
        <f>6/(100)</f>
        <v>0.06</v>
      </c>
      <c r="C1312">
        <f>5.666/(100)</f>
        <v>5.6660000000000002E-2</v>
      </c>
    </row>
    <row r="1313" spans="1:3" x14ac:dyDescent="0.3">
      <c r="A1313" s="2">
        <v>38568</v>
      </c>
      <c r="B1313">
        <f>6/(100)</f>
        <v>0.06</v>
      </c>
      <c r="C1313">
        <f>5.696/(100)</f>
        <v>5.6959999999999997E-2</v>
      </c>
    </row>
    <row r="1314" spans="1:3" x14ac:dyDescent="0.3">
      <c r="A1314" s="2">
        <v>38569</v>
      </c>
      <c r="B1314">
        <f>6/(100)</f>
        <v>0.06</v>
      </c>
      <c r="C1314">
        <f>5.683/(100)</f>
        <v>5.6829999999999999E-2</v>
      </c>
    </row>
    <row r="1315" spans="1:3" x14ac:dyDescent="0.3">
      <c r="A1315" s="2">
        <v>38570</v>
      </c>
      <c r="B1315">
        <f>6/(100)</f>
        <v>0.06</v>
      </c>
      <c r="C1315">
        <f>5.681/(100)</f>
        <v>5.6809999999999999E-2</v>
      </c>
    </row>
    <row r="1316" spans="1:3" x14ac:dyDescent="0.3">
      <c r="A1316" s="2">
        <v>38571</v>
      </c>
      <c r="B1316">
        <f>6/(100)</f>
        <v>0.06</v>
      </c>
      <c r="C1316">
        <f>5.681/(100)</f>
        <v>5.6809999999999999E-2</v>
      </c>
    </row>
    <row r="1317" spans="1:3" x14ac:dyDescent="0.3">
      <c r="A1317" s="2">
        <v>38572</v>
      </c>
      <c r="B1317">
        <f>6/(100)</f>
        <v>0.06</v>
      </c>
      <c r="C1317">
        <f>5.661/(100)</f>
        <v>5.6609999999999994E-2</v>
      </c>
    </row>
    <row r="1318" spans="1:3" x14ac:dyDescent="0.3">
      <c r="A1318" s="2">
        <v>38573</v>
      </c>
      <c r="B1318">
        <f>6/(100)</f>
        <v>0.06</v>
      </c>
      <c r="C1318">
        <f>5.69/(100)</f>
        <v>5.6900000000000006E-2</v>
      </c>
    </row>
    <row r="1319" spans="1:3" x14ac:dyDescent="0.3">
      <c r="A1319" s="2">
        <v>38574</v>
      </c>
      <c r="B1319">
        <f>6/(100)</f>
        <v>0.06</v>
      </c>
      <c r="C1319">
        <f>5.686/(100)</f>
        <v>5.6860000000000001E-2</v>
      </c>
    </row>
    <row r="1320" spans="1:3" x14ac:dyDescent="0.3">
      <c r="A1320" s="2">
        <v>38575</v>
      </c>
      <c r="B1320">
        <f>6/(100)</f>
        <v>0.06</v>
      </c>
      <c r="C1320">
        <f>5.684/(100)</f>
        <v>5.6840000000000002E-2</v>
      </c>
    </row>
    <row r="1321" spans="1:3" x14ac:dyDescent="0.3">
      <c r="A1321" s="2">
        <v>38576</v>
      </c>
      <c r="B1321">
        <f>6/(100)</f>
        <v>0.06</v>
      </c>
      <c r="C1321">
        <f>5.672/(100)</f>
        <v>5.672E-2</v>
      </c>
    </row>
    <row r="1322" spans="1:3" x14ac:dyDescent="0.3">
      <c r="A1322" s="2">
        <v>38577</v>
      </c>
      <c r="B1322">
        <f>6/(100)</f>
        <v>0.06</v>
      </c>
      <c r="C1322">
        <f>5.748/(100)</f>
        <v>5.7480000000000003E-2</v>
      </c>
    </row>
    <row r="1323" spans="1:3" x14ac:dyDescent="0.3">
      <c r="A1323" s="2">
        <v>38578</v>
      </c>
      <c r="B1323">
        <f>6/(100)</f>
        <v>0.06</v>
      </c>
      <c r="C1323">
        <f>5.748/(100)</f>
        <v>5.7480000000000003E-2</v>
      </c>
    </row>
    <row r="1324" spans="1:3" x14ac:dyDescent="0.3">
      <c r="A1324" s="2">
        <v>38579</v>
      </c>
      <c r="B1324">
        <f>6/(100)</f>
        <v>0.06</v>
      </c>
      <c r="C1324">
        <f>5.748/(100)</f>
        <v>5.7480000000000003E-2</v>
      </c>
    </row>
    <row r="1325" spans="1:3" x14ac:dyDescent="0.3">
      <c r="A1325" s="2">
        <v>38580</v>
      </c>
      <c r="B1325">
        <f>6/(100)</f>
        <v>0.06</v>
      </c>
      <c r="C1325">
        <f>5.641/(100)</f>
        <v>5.6410000000000002E-2</v>
      </c>
    </row>
    <row r="1326" spans="1:3" x14ac:dyDescent="0.3">
      <c r="A1326" s="2">
        <v>38581</v>
      </c>
      <c r="B1326">
        <f>6/(100)</f>
        <v>0.06</v>
      </c>
      <c r="C1326">
        <f>5.636/(100)</f>
        <v>5.636E-2</v>
      </c>
    </row>
    <row r="1327" spans="1:3" x14ac:dyDescent="0.3">
      <c r="A1327" s="2">
        <v>38582</v>
      </c>
      <c r="B1327">
        <f>6/(100)</f>
        <v>0.06</v>
      </c>
      <c r="C1327">
        <f>5.647/(100)</f>
        <v>5.6469999999999999E-2</v>
      </c>
    </row>
    <row r="1328" spans="1:3" x14ac:dyDescent="0.3">
      <c r="A1328" s="2">
        <v>38583</v>
      </c>
      <c r="B1328">
        <f>6/(100)</f>
        <v>0.06</v>
      </c>
      <c r="C1328">
        <f>5.651/(100)</f>
        <v>5.6509999999999998E-2</v>
      </c>
    </row>
    <row r="1329" spans="1:3" x14ac:dyDescent="0.3">
      <c r="A1329" s="2">
        <v>38584</v>
      </c>
      <c r="B1329">
        <f>6/(100)</f>
        <v>0.06</v>
      </c>
      <c r="C1329">
        <f>5.651/(100)</f>
        <v>5.6509999999999998E-2</v>
      </c>
    </row>
    <row r="1330" spans="1:3" x14ac:dyDescent="0.3">
      <c r="A1330" s="2">
        <v>38585</v>
      </c>
      <c r="B1330">
        <f>6/(100)</f>
        <v>0.06</v>
      </c>
      <c r="C1330">
        <f>5.651/(100)</f>
        <v>5.6509999999999998E-2</v>
      </c>
    </row>
    <row r="1331" spans="1:3" x14ac:dyDescent="0.3">
      <c r="A1331" s="2">
        <v>38586</v>
      </c>
      <c r="B1331">
        <f>6/(100)</f>
        <v>0.06</v>
      </c>
      <c r="C1331">
        <f>5.624/(100)</f>
        <v>5.6239999999999998E-2</v>
      </c>
    </row>
    <row r="1332" spans="1:3" x14ac:dyDescent="0.3">
      <c r="A1332" s="2">
        <v>38587</v>
      </c>
      <c r="B1332">
        <f>6/(100)</f>
        <v>0.06</v>
      </c>
      <c r="C1332">
        <f>5.594/(100)</f>
        <v>5.5940000000000004E-2</v>
      </c>
    </row>
    <row r="1333" spans="1:3" x14ac:dyDescent="0.3">
      <c r="A1333" s="2">
        <v>38588</v>
      </c>
      <c r="B1333">
        <f>6/(100)</f>
        <v>0.06</v>
      </c>
      <c r="C1333">
        <f>5.609/(100)</f>
        <v>5.6090000000000001E-2</v>
      </c>
    </row>
    <row r="1334" spans="1:3" x14ac:dyDescent="0.3">
      <c r="A1334" s="2">
        <v>38589</v>
      </c>
      <c r="B1334">
        <f>6/(100)</f>
        <v>0.06</v>
      </c>
      <c r="C1334">
        <f>5.631/(100)</f>
        <v>5.6309999999999999E-2</v>
      </c>
    </row>
    <row r="1335" spans="1:3" x14ac:dyDescent="0.3">
      <c r="A1335" s="2">
        <v>38590</v>
      </c>
      <c r="B1335">
        <f>6/(100)</f>
        <v>0.06</v>
      </c>
      <c r="C1335">
        <f>5.603/(100)</f>
        <v>5.6029999999999996E-2</v>
      </c>
    </row>
    <row r="1336" spans="1:3" x14ac:dyDescent="0.3">
      <c r="A1336" s="2">
        <v>38591</v>
      </c>
      <c r="B1336">
        <f>6/(100)</f>
        <v>0.06</v>
      </c>
      <c r="C1336">
        <f>5.572/(100)</f>
        <v>5.5719999999999999E-2</v>
      </c>
    </row>
    <row r="1337" spans="1:3" x14ac:dyDescent="0.3">
      <c r="A1337" s="2">
        <v>38592</v>
      </c>
      <c r="B1337">
        <f>6/(100)</f>
        <v>0.06</v>
      </c>
      <c r="C1337">
        <f>5.572/(100)</f>
        <v>5.5719999999999999E-2</v>
      </c>
    </row>
    <row r="1338" spans="1:3" x14ac:dyDescent="0.3">
      <c r="A1338" s="2">
        <v>38593</v>
      </c>
      <c r="B1338">
        <f>6/(100)</f>
        <v>0.06</v>
      </c>
      <c r="C1338">
        <f>5.646/(100)</f>
        <v>5.6459999999999996E-2</v>
      </c>
    </row>
    <row r="1339" spans="1:3" x14ac:dyDescent="0.3">
      <c r="A1339" s="2">
        <v>38594</v>
      </c>
      <c r="B1339">
        <f>6/(100)</f>
        <v>0.06</v>
      </c>
      <c r="C1339">
        <f>5.654/(100)</f>
        <v>5.654E-2</v>
      </c>
    </row>
    <row r="1340" spans="1:3" x14ac:dyDescent="0.3">
      <c r="A1340" s="2">
        <v>38595</v>
      </c>
      <c r="B1340">
        <f>6/(100)</f>
        <v>0.06</v>
      </c>
      <c r="C1340">
        <f>5.684/(100)</f>
        <v>5.6840000000000002E-2</v>
      </c>
    </row>
    <row r="1341" spans="1:3" x14ac:dyDescent="0.3">
      <c r="A1341" s="2">
        <v>38596</v>
      </c>
      <c r="B1341">
        <f>6/(100)</f>
        <v>0.06</v>
      </c>
      <c r="C1341">
        <f>5.686/(100)</f>
        <v>5.6860000000000001E-2</v>
      </c>
    </row>
    <row r="1342" spans="1:3" x14ac:dyDescent="0.3">
      <c r="A1342" s="2">
        <v>38597</v>
      </c>
      <c r="B1342">
        <f>6/(100)</f>
        <v>0.06</v>
      </c>
      <c r="C1342">
        <f>5.635/(100)</f>
        <v>5.6349999999999997E-2</v>
      </c>
    </row>
    <row r="1343" spans="1:3" x14ac:dyDescent="0.3">
      <c r="A1343" s="2">
        <v>38598</v>
      </c>
      <c r="B1343">
        <f>6/(100)</f>
        <v>0.06</v>
      </c>
      <c r="C1343">
        <f>5.61/(100)</f>
        <v>5.6100000000000004E-2</v>
      </c>
    </row>
    <row r="1344" spans="1:3" x14ac:dyDescent="0.3">
      <c r="A1344" s="2">
        <v>38599</v>
      </c>
      <c r="B1344">
        <f>6/(100)</f>
        <v>0.06</v>
      </c>
      <c r="C1344">
        <f>5.61/(100)</f>
        <v>5.6100000000000004E-2</v>
      </c>
    </row>
    <row r="1345" spans="1:3" x14ac:dyDescent="0.3">
      <c r="A1345" s="2">
        <v>38600</v>
      </c>
      <c r="B1345">
        <f>6/(100)</f>
        <v>0.06</v>
      </c>
      <c r="C1345">
        <f>5.569/(100)</f>
        <v>5.5689999999999996E-2</v>
      </c>
    </row>
    <row r="1346" spans="1:3" x14ac:dyDescent="0.3">
      <c r="A1346" s="2">
        <v>38601</v>
      </c>
      <c r="B1346">
        <f>6/(100)</f>
        <v>0.06</v>
      </c>
      <c r="C1346">
        <f>5.567/(100)</f>
        <v>5.5670000000000004E-2</v>
      </c>
    </row>
    <row r="1347" spans="1:3" x14ac:dyDescent="0.3">
      <c r="A1347" s="2">
        <v>38602</v>
      </c>
      <c r="B1347">
        <f>6/(100)</f>
        <v>0.06</v>
      </c>
      <c r="C1347">
        <f>5.567/(100)</f>
        <v>5.5670000000000004E-2</v>
      </c>
    </row>
    <row r="1348" spans="1:3" x14ac:dyDescent="0.3">
      <c r="A1348" s="2">
        <v>38603</v>
      </c>
      <c r="B1348">
        <f>6/(100)</f>
        <v>0.06</v>
      </c>
      <c r="C1348">
        <f>5.546/(100)</f>
        <v>5.5460000000000002E-2</v>
      </c>
    </row>
    <row r="1349" spans="1:3" x14ac:dyDescent="0.3">
      <c r="A1349" s="2">
        <v>38604</v>
      </c>
      <c r="B1349">
        <f>6/(100)</f>
        <v>0.06</v>
      </c>
      <c r="C1349">
        <f>5.58/(100)</f>
        <v>5.5800000000000002E-2</v>
      </c>
    </row>
    <row r="1350" spans="1:3" x14ac:dyDescent="0.3">
      <c r="A1350" s="2">
        <v>38605</v>
      </c>
      <c r="B1350">
        <f>6/(100)</f>
        <v>0.06</v>
      </c>
      <c r="C1350">
        <f>5.595/(100)</f>
        <v>5.595E-2</v>
      </c>
    </row>
    <row r="1351" spans="1:3" x14ac:dyDescent="0.3">
      <c r="A1351" s="2">
        <v>38606</v>
      </c>
      <c r="B1351">
        <f>6/(100)</f>
        <v>0.06</v>
      </c>
      <c r="C1351">
        <f>5.595/(100)</f>
        <v>5.595E-2</v>
      </c>
    </row>
    <row r="1352" spans="1:3" x14ac:dyDescent="0.3">
      <c r="A1352" s="2">
        <v>38607</v>
      </c>
      <c r="B1352">
        <f>6/(100)</f>
        <v>0.06</v>
      </c>
      <c r="C1352">
        <f>5.606/(100)</f>
        <v>5.6059999999999999E-2</v>
      </c>
    </row>
    <row r="1353" spans="1:3" x14ac:dyDescent="0.3">
      <c r="A1353" s="2">
        <v>38608</v>
      </c>
      <c r="B1353">
        <f>6/(100)</f>
        <v>0.06</v>
      </c>
      <c r="C1353">
        <f>5.61/(100)</f>
        <v>5.6100000000000004E-2</v>
      </c>
    </row>
    <row r="1354" spans="1:3" x14ac:dyDescent="0.3">
      <c r="A1354" s="2">
        <v>38609</v>
      </c>
      <c r="B1354">
        <f>6/(100)</f>
        <v>0.06</v>
      </c>
      <c r="C1354">
        <f>5.62/(100)</f>
        <v>5.62E-2</v>
      </c>
    </row>
    <row r="1355" spans="1:3" x14ac:dyDescent="0.3">
      <c r="A1355" s="2">
        <v>38610</v>
      </c>
      <c r="B1355">
        <f>6/(100)</f>
        <v>0.06</v>
      </c>
      <c r="C1355">
        <f>5.598/(100)</f>
        <v>5.5980000000000002E-2</v>
      </c>
    </row>
    <row r="1356" spans="1:3" x14ac:dyDescent="0.3">
      <c r="A1356" s="2">
        <v>38611</v>
      </c>
      <c r="B1356">
        <f>6/(100)</f>
        <v>0.06</v>
      </c>
      <c r="C1356">
        <f>5.575/(100)</f>
        <v>5.5750000000000001E-2</v>
      </c>
    </row>
    <row r="1357" spans="1:3" x14ac:dyDescent="0.3">
      <c r="A1357" s="2">
        <v>38612</v>
      </c>
      <c r="B1357">
        <f>6/(100)</f>
        <v>0.06</v>
      </c>
      <c r="C1357">
        <f>5.615/(100)</f>
        <v>5.6150000000000005E-2</v>
      </c>
    </row>
    <row r="1358" spans="1:3" x14ac:dyDescent="0.3">
      <c r="A1358" s="2">
        <v>38613</v>
      </c>
      <c r="B1358">
        <f>6/(100)</f>
        <v>0.06</v>
      </c>
      <c r="C1358">
        <f>5.615/(100)</f>
        <v>5.6150000000000005E-2</v>
      </c>
    </row>
    <row r="1359" spans="1:3" x14ac:dyDescent="0.3">
      <c r="A1359" s="2">
        <v>38614</v>
      </c>
      <c r="B1359">
        <f>6/(100)</f>
        <v>0.06</v>
      </c>
      <c r="C1359">
        <f>5.553/(100)</f>
        <v>5.5529999999999996E-2</v>
      </c>
    </row>
    <row r="1360" spans="1:3" x14ac:dyDescent="0.3">
      <c r="A1360" s="2">
        <v>38615</v>
      </c>
      <c r="B1360">
        <f>6/(100)</f>
        <v>0.06</v>
      </c>
      <c r="C1360">
        <f>5.613/(100)</f>
        <v>5.6130000000000006E-2</v>
      </c>
    </row>
    <row r="1361" spans="1:3" x14ac:dyDescent="0.3">
      <c r="A1361" s="2">
        <v>38616</v>
      </c>
      <c r="B1361">
        <f>6/(100)</f>
        <v>0.06</v>
      </c>
      <c r="C1361">
        <f>5.633/(100)</f>
        <v>5.6329999999999998E-2</v>
      </c>
    </row>
    <row r="1362" spans="1:3" x14ac:dyDescent="0.3">
      <c r="A1362" s="2">
        <v>38617</v>
      </c>
      <c r="B1362">
        <f>6/(100)</f>
        <v>0.06</v>
      </c>
      <c r="C1362">
        <f>5.685/(100)</f>
        <v>5.6849999999999998E-2</v>
      </c>
    </row>
    <row r="1363" spans="1:3" x14ac:dyDescent="0.3">
      <c r="A1363" s="2">
        <v>38618</v>
      </c>
      <c r="B1363">
        <f>6/(100)</f>
        <v>0.06</v>
      </c>
      <c r="C1363">
        <f>5.683/(100)</f>
        <v>5.6829999999999999E-2</v>
      </c>
    </row>
    <row r="1364" spans="1:3" x14ac:dyDescent="0.3">
      <c r="A1364" s="2">
        <v>38619</v>
      </c>
      <c r="B1364">
        <f>6/(100)</f>
        <v>0.06</v>
      </c>
      <c r="C1364">
        <f>5.695/(100)</f>
        <v>5.6950000000000001E-2</v>
      </c>
    </row>
    <row r="1365" spans="1:3" x14ac:dyDescent="0.3">
      <c r="A1365" s="2">
        <v>38620</v>
      </c>
      <c r="B1365">
        <f>6/(100)</f>
        <v>0.06</v>
      </c>
      <c r="C1365">
        <f>5.695/(100)</f>
        <v>5.6950000000000001E-2</v>
      </c>
    </row>
    <row r="1366" spans="1:3" x14ac:dyDescent="0.3">
      <c r="A1366" s="2">
        <v>38621</v>
      </c>
      <c r="B1366">
        <f>6/(100)</f>
        <v>0.06</v>
      </c>
      <c r="C1366">
        <f>5.739/(100)</f>
        <v>5.7389999999999997E-2</v>
      </c>
    </row>
    <row r="1367" spans="1:3" x14ac:dyDescent="0.3">
      <c r="A1367" s="2">
        <v>38622</v>
      </c>
      <c r="B1367">
        <f>6/(100)</f>
        <v>0.06</v>
      </c>
      <c r="C1367">
        <f>5.836/(100)</f>
        <v>5.8360000000000002E-2</v>
      </c>
    </row>
    <row r="1368" spans="1:3" x14ac:dyDescent="0.3">
      <c r="A1368" s="2">
        <v>38623</v>
      </c>
      <c r="B1368">
        <f>6/(100)</f>
        <v>0.06</v>
      </c>
      <c r="C1368">
        <f>5.846/(100)</f>
        <v>5.8459999999999998E-2</v>
      </c>
    </row>
    <row r="1369" spans="1:3" x14ac:dyDescent="0.3">
      <c r="A1369" s="2">
        <v>38624</v>
      </c>
      <c r="B1369">
        <f>6/(100)</f>
        <v>0.06</v>
      </c>
      <c r="C1369">
        <f>5.835/(100)</f>
        <v>5.8349999999999999E-2</v>
      </c>
    </row>
    <row r="1370" spans="1:3" x14ac:dyDescent="0.3">
      <c r="A1370" s="2">
        <v>38625</v>
      </c>
      <c r="B1370">
        <f>6/(100)</f>
        <v>0.06</v>
      </c>
      <c r="C1370">
        <f>5.793/(100)</f>
        <v>5.7930000000000002E-2</v>
      </c>
    </row>
    <row r="1371" spans="1:3" x14ac:dyDescent="0.3">
      <c r="A1371" s="2">
        <v>38626</v>
      </c>
      <c r="B1371">
        <f>6/(100)</f>
        <v>0.06</v>
      </c>
      <c r="C1371">
        <f>5.82/(100)</f>
        <v>5.8200000000000002E-2</v>
      </c>
    </row>
    <row r="1372" spans="1:3" x14ac:dyDescent="0.3">
      <c r="A1372" s="2">
        <v>38627</v>
      </c>
      <c r="B1372">
        <f>6/(100)</f>
        <v>0.06</v>
      </c>
      <c r="C1372">
        <f>5.82/(100)</f>
        <v>5.8200000000000002E-2</v>
      </c>
    </row>
    <row r="1373" spans="1:3" x14ac:dyDescent="0.3">
      <c r="A1373" s="2">
        <v>38628</v>
      </c>
      <c r="B1373">
        <f>6/(100)</f>
        <v>0.06</v>
      </c>
      <c r="C1373">
        <f>5.791/(100)</f>
        <v>5.7910000000000003E-2</v>
      </c>
    </row>
    <row r="1374" spans="1:3" x14ac:dyDescent="0.3">
      <c r="A1374" s="2">
        <v>38629</v>
      </c>
      <c r="B1374">
        <f>6/(100)</f>
        <v>0.06</v>
      </c>
      <c r="C1374">
        <f>5.787/(100)</f>
        <v>5.7869999999999998E-2</v>
      </c>
    </row>
    <row r="1375" spans="1:3" x14ac:dyDescent="0.3">
      <c r="A1375" s="2">
        <v>38630</v>
      </c>
      <c r="B1375">
        <f>6/(100)</f>
        <v>0.06</v>
      </c>
      <c r="C1375">
        <f>5.762/(100)</f>
        <v>5.7619999999999998E-2</v>
      </c>
    </row>
    <row r="1376" spans="1:3" x14ac:dyDescent="0.3">
      <c r="A1376" s="2">
        <v>38631</v>
      </c>
      <c r="B1376">
        <f>6/(100)</f>
        <v>0.06</v>
      </c>
      <c r="C1376">
        <f>5.779/(100)</f>
        <v>5.7790000000000001E-2</v>
      </c>
    </row>
    <row r="1377" spans="1:3" x14ac:dyDescent="0.3">
      <c r="A1377" s="2">
        <v>38632</v>
      </c>
      <c r="B1377">
        <f>6/(100)</f>
        <v>0.06</v>
      </c>
      <c r="C1377">
        <f>5.758/(100)</f>
        <v>5.7579999999999999E-2</v>
      </c>
    </row>
    <row r="1378" spans="1:3" x14ac:dyDescent="0.3">
      <c r="A1378" s="2">
        <v>38633</v>
      </c>
      <c r="B1378">
        <f>6/(100)</f>
        <v>0.06</v>
      </c>
      <c r="C1378">
        <f>5.758/(100)</f>
        <v>5.7579999999999999E-2</v>
      </c>
    </row>
    <row r="1379" spans="1:3" x14ac:dyDescent="0.3">
      <c r="A1379" s="2">
        <v>38634</v>
      </c>
      <c r="B1379">
        <f>6/(100)</f>
        <v>0.06</v>
      </c>
      <c r="C1379">
        <f>5.758/(100)</f>
        <v>5.7579999999999999E-2</v>
      </c>
    </row>
    <row r="1380" spans="1:3" x14ac:dyDescent="0.3">
      <c r="A1380" s="2">
        <v>38635</v>
      </c>
      <c r="B1380">
        <f>6/(100)</f>
        <v>0.06</v>
      </c>
      <c r="C1380">
        <f>5.773/(100)</f>
        <v>5.7729999999999997E-2</v>
      </c>
    </row>
    <row r="1381" spans="1:3" x14ac:dyDescent="0.3">
      <c r="A1381" s="2">
        <v>38636</v>
      </c>
      <c r="B1381">
        <f>6/(100)</f>
        <v>0.06</v>
      </c>
      <c r="C1381">
        <f>5.776/(100)</f>
        <v>5.7759999999999999E-2</v>
      </c>
    </row>
    <row r="1382" spans="1:3" x14ac:dyDescent="0.3">
      <c r="A1382" s="2">
        <v>38637</v>
      </c>
      <c r="B1382">
        <f>6/(100)</f>
        <v>0.06</v>
      </c>
      <c r="C1382">
        <f>5.776/(100)</f>
        <v>5.7759999999999999E-2</v>
      </c>
    </row>
    <row r="1383" spans="1:3" x14ac:dyDescent="0.3">
      <c r="A1383" s="2">
        <v>38638</v>
      </c>
      <c r="B1383">
        <f>6/(100)</f>
        <v>0.06</v>
      </c>
      <c r="C1383">
        <f>5.777/(100)</f>
        <v>5.7770000000000002E-2</v>
      </c>
    </row>
    <row r="1384" spans="1:3" x14ac:dyDescent="0.3">
      <c r="A1384" s="2">
        <v>38639</v>
      </c>
      <c r="B1384">
        <f>6/(100)</f>
        <v>0.06</v>
      </c>
      <c r="C1384">
        <f>5.801/(100)</f>
        <v>5.8009999999999999E-2</v>
      </c>
    </row>
    <row r="1385" spans="1:3" x14ac:dyDescent="0.3">
      <c r="A1385" s="2">
        <v>38640</v>
      </c>
      <c r="B1385">
        <f>6/(100)</f>
        <v>0.06</v>
      </c>
      <c r="C1385">
        <f>5.801/(100)</f>
        <v>5.8009999999999999E-2</v>
      </c>
    </row>
    <row r="1386" spans="1:3" x14ac:dyDescent="0.3">
      <c r="A1386" s="2">
        <v>38641</v>
      </c>
      <c r="B1386">
        <f>6/(100)</f>
        <v>0.06</v>
      </c>
      <c r="C1386">
        <f>5.801/(100)</f>
        <v>5.8009999999999999E-2</v>
      </c>
    </row>
    <row r="1387" spans="1:3" x14ac:dyDescent="0.3">
      <c r="A1387" s="2">
        <v>38642</v>
      </c>
      <c r="B1387">
        <f>6/(100)</f>
        <v>0.06</v>
      </c>
      <c r="C1387">
        <f>5.802/(100)</f>
        <v>5.8019999999999995E-2</v>
      </c>
    </row>
    <row r="1388" spans="1:3" x14ac:dyDescent="0.3">
      <c r="A1388" s="2">
        <v>38643</v>
      </c>
      <c r="B1388">
        <f>6/(100)</f>
        <v>0.06</v>
      </c>
      <c r="C1388">
        <f>5.829/(100)</f>
        <v>5.8289999999999995E-2</v>
      </c>
    </row>
    <row r="1389" spans="1:3" x14ac:dyDescent="0.3">
      <c r="A1389" s="2">
        <v>38644</v>
      </c>
      <c r="B1389">
        <f>6/(100)</f>
        <v>0.06</v>
      </c>
      <c r="C1389">
        <f>5.823/(100)</f>
        <v>5.8230000000000004E-2</v>
      </c>
    </row>
    <row r="1390" spans="1:3" x14ac:dyDescent="0.3">
      <c r="A1390" s="2">
        <v>38645</v>
      </c>
      <c r="B1390">
        <f>6/(100)</f>
        <v>0.06</v>
      </c>
      <c r="C1390">
        <f>5.836/(100)</f>
        <v>5.8360000000000002E-2</v>
      </c>
    </row>
    <row r="1391" spans="1:3" x14ac:dyDescent="0.3">
      <c r="A1391" s="2">
        <v>38646</v>
      </c>
      <c r="B1391">
        <f>6/(100)</f>
        <v>0.06</v>
      </c>
      <c r="C1391">
        <f>5.844/(100)</f>
        <v>5.8440000000000006E-2</v>
      </c>
    </row>
    <row r="1392" spans="1:3" x14ac:dyDescent="0.3">
      <c r="A1392" s="2">
        <v>38647</v>
      </c>
      <c r="B1392">
        <f>6/(100)</f>
        <v>0.06</v>
      </c>
      <c r="C1392">
        <f>5.844/(100)</f>
        <v>5.8440000000000006E-2</v>
      </c>
    </row>
    <row r="1393" spans="1:3" x14ac:dyDescent="0.3">
      <c r="A1393" s="2">
        <v>38648</v>
      </c>
      <c r="B1393">
        <f>6/(100)</f>
        <v>0.06</v>
      </c>
      <c r="C1393">
        <f>5.844/(100)</f>
        <v>5.8440000000000006E-2</v>
      </c>
    </row>
    <row r="1394" spans="1:3" x14ac:dyDescent="0.3">
      <c r="A1394" s="2">
        <v>38649</v>
      </c>
      <c r="B1394">
        <f>6/(100)</f>
        <v>0.06</v>
      </c>
      <c r="C1394">
        <f>5.839/(100)</f>
        <v>5.8390000000000004E-2</v>
      </c>
    </row>
    <row r="1395" spans="1:3" x14ac:dyDescent="0.3">
      <c r="A1395" s="2">
        <v>38650</v>
      </c>
      <c r="B1395">
        <f>6/(100)</f>
        <v>0.06</v>
      </c>
      <c r="C1395">
        <f>5.834/(100)</f>
        <v>5.8339999999999996E-2</v>
      </c>
    </row>
    <row r="1396" spans="1:3" x14ac:dyDescent="0.3">
      <c r="A1396" s="2">
        <v>38651</v>
      </c>
      <c r="B1396">
        <f>6.25/(100)</f>
        <v>6.25E-2</v>
      </c>
      <c r="C1396">
        <f>5.818/(100)</f>
        <v>5.8179999999999996E-2</v>
      </c>
    </row>
    <row r="1397" spans="1:3" x14ac:dyDescent="0.3">
      <c r="A1397" s="2">
        <v>38652</v>
      </c>
      <c r="B1397">
        <f>6.25/(100)</f>
        <v>6.25E-2</v>
      </c>
      <c r="C1397">
        <f>5.812/(100)</f>
        <v>5.8120000000000005E-2</v>
      </c>
    </row>
    <row r="1398" spans="1:3" x14ac:dyDescent="0.3">
      <c r="A1398" s="2">
        <v>38653</v>
      </c>
      <c r="B1398">
        <f>6.25/(100)</f>
        <v>6.25E-2</v>
      </c>
      <c r="C1398">
        <f>5.819/(100)</f>
        <v>5.8189999999999999E-2</v>
      </c>
    </row>
    <row r="1399" spans="1:3" x14ac:dyDescent="0.3">
      <c r="A1399" s="2">
        <v>38654</v>
      </c>
      <c r="B1399">
        <f>6.25/(100)</f>
        <v>6.25E-2</v>
      </c>
      <c r="C1399">
        <f>5.819/(100)</f>
        <v>5.8189999999999999E-2</v>
      </c>
    </row>
    <row r="1400" spans="1:3" x14ac:dyDescent="0.3">
      <c r="A1400" s="2">
        <v>38655</v>
      </c>
      <c r="B1400">
        <f>6.25/(100)</f>
        <v>6.25E-2</v>
      </c>
      <c r="C1400">
        <f>5.819/(100)</f>
        <v>5.8189999999999999E-2</v>
      </c>
    </row>
    <row r="1401" spans="1:3" x14ac:dyDescent="0.3">
      <c r="A1401" s="2">
        <v>38656</v>
      </c>
      <c r="B1401">
        <f>6.25/(100)</f>
        <v>6.25E-2</v>
      </c>
      <c r="C1401">
        <f>5.831/(100)</f>
        <v>5.8310000000000001E-2</v>
      </c>
    </row>
    <row r="1402" spans="1:3" x14ac:dyDescent="0.3">
      <c r="A1402" s="2">
        <v>38657</v>
      </c>
      <c r="B1402">
        <f>6.25/(100)</f>
        <v>6.25E-2</v>
      </c>
      <c r="C1402">
        <f>5.831/(100)</f>
        <v>5.8310000000000001E-2</v>
      </c>
    </row>
    <row r="1403" spans="1:3" x14ac:dyDescent="0.3">
      <c r="A1403" s="2">
        <v>38658</v>
      </c>
      <c r="B1403">
        <f>6.25/(100)</f>
        <v>6.25E-2</v>
      </c>
      <c r="C1403">
        <f>5.857/(100)</f>
        <v>5.8570000000000004E-2</v>
      </c>
    </row>
    <row r="1404" spans="1:3" x14ac:dyDescent="0.3">
      <c r="A1404" s="2">
        <v>38659</v>
      </c>
      <c r="B1404">
        <f>6.25/(100)</f>
        <v>6.25E-2</v>
      </c>
      <c r="C1404">
        <f>5.824/(100)</f>
        <v>5.824E-2</v>
      </c>
    </row>
    <row r="1405" spans="1:3" x14ac:dyDescent="0.3">
      <c r="A1405" s="2">
        <v>38660</v>
      </c>
      <c r="B1405">
        <f>6.25/(100)</f>
        <v>6.25E-2</v>
      </c>
      <c r="C1405">
        <f>5.847/(100)</f>
        <v>5.8470000000000001E-2</v>
      </c>
    </row>
    <row r="1406" spans="1:3" x14ac:dyDescent="0.3">
      <c r="A1406" s="2">
        <v>38661</v>
      </c>
      <c r="B1406">
        <f>6.25/(100)</f>
        <v>6.25E-2</v>
      </c>
      <c r="C1406">
        <f>5.847/(100)</f>
        <v>5.8470000000000001E-2</v>
      </c>
    </row>
    <row r="1407" spans="1:3" x14ac:dyDescent="0.3">
      <c r="A1407" s="2">
        <v>38662</v>
      </c>
      <c r="B1407">
        <f>6.25/(100)</f>
        <v>6.25E-2</v>
      </c>
      <c r="C1407">
        <f>5.847/(100)</f>
        <v>5.8470000000000001E-2</v>
      </c>
    </row>
    <row r="1408" spans="1:3" x14ac:dyDescent="0.3">
      <c r="A1408" s="2">
        <v>38663</v>
      </c>
      <c r="B1408">
        <f>6.25/(100)</f>
        <v>6.25E-2</v>
      </c>
      <c r="C1408">
        <f>5.836/(100)</f>
        <v>5.8360000000000002E-2</v>
      </c>
    </row>
    <row r="1409" spans="1:3" x14ac:dyDescent="0.3">
      <c r="A1409" s="2">
        <v>38664</v>
      </c>
      <c r="B1409">
        <f>6.25/(100)</f>
        <v>6.25E-2</v>
      </c>
      <c r="C1409">
        <f>5.836/(100)</f>
        <v>5.8360000000000002E-2</v>
      </c>
    </row>
    <row r="1410" spans="1:3" x14ac:dyDescent="0.3">
      <c r="A1410" s="2">
        <v>38665</v>
      </c>
      <c r="B1410">
        <f>6.25/(100)</f>
        <v>6.25E-2</v>
      </c>
      <c r="C1410">
        <f>5.856/(100)</f>
        <v>5.8560000000000001E-2</v>
      </c>
    </row>
    <row r="1411" spans="1:3" x14ac:dyDescent="0.3">
      <c r="A1411" s="2">
        <v>38666</v>
      </c>
      <c r="B1411">
        <f>6.25/(100)</f>
        <v>6.25E-2</v>
      </c>
      <c r="C1411">
        <f>5.874/(100)</f>
        <v>5.8739999999999994E-2</v>
      </c>
    </row>
    <row r="1412" spans="1:3" x14ac:dyDescent="0.3">
      <c r="A1412" s="2">
        <v>38667</v>
      </c>
      <c r="B1412">
        <f>6.25/(100)</f>
        <v>6.25E-2</v>
      </c>
      <c r="C1412">
        <f>5.881/(100)</f>
        <v>5.8810000000000001E-2</v>
      </c>
    </row>
    <row r="1413" spans="1:3" x14ac:dyDescent="0.3">
      <c r="A1413" s="2">
        <v>38668</v>
      </c>
      <c r="B1413">
        <f>6.25/(100)</f>
        <v>6.25E-2</v>
      </c>
      <c r="C1413">
        <f>5.881/(100)</f>
        <v>5.8810000000000001E-2</v>
      </c>
    </row>
    <row r="1414" spans="1:3" x14ac:dyDescent="0.3">
      <c r="A1414" s="2">
        <v>38669</v>
      </c>
      <c r="B1414">
        <f>6.25/(100)</f>
        <v>6.25E-2</v>
      </c>
      <c r="C1414">
        <f>5.881/(100)</f>
        <v>5.8810000000000001E-2</v>
      </c>
    </row>
    <row r="1415" spans="1:3" x14ac:dyDescent="0.3">
      <c r="A1415" s="2">
        <v>38670</v>
      </c>
      <c r="B1415">
        <f>6.25/(100)</f>
        <v>6.25E-2</v>
      </c>
      <c r="C1415">
        <f>5.9/(100)</f>
        <v>5.9000000000000004E-2</v>
      </c>
    </row>
    <row r="1416" spans="1:3" x14ac:dyDescent="0.3">
      <c r="A1416" s="2">
        <v>38671</v>
      </c>
      <c r="B1416">
        <f>6.25/(100)</f>
        <v>6.25E-2</v>
      </c>
      <c r="C1416">
        <f>5.9/(100)</f>
        <v>5.9000000000000004E-2</v>
      </c>
    </row>
    <row r="1417" spans="1:3" x14ac:dyDescent="0.3">
      <c r="A1417" s="2">
        <v>38672</v>
      </c>
      <c r="B1417">
        <f>6.25/(100)</f>
        <v>6.25E-2</v>
      </c>
      <c r="C1417">
        <f>5.919/(100)</f>
        <v>5.9189999999999993E-2</v>
      </c>
    </row>
    <row r="1418" spans="1:3" x14ac:dyDescent="0.3">
      <c r="A1418" s="2">
        <v>38673</v>
      </c>
      <c r="B1418">
        <f>6.25/(100)</f>
        <v>6.25E-2</v>
      </c>
      <c r="C1418">
        <f>5.917/(100)</f>
        <v>5.917E-2</v>
      </c>
    </row>
    <row r="1419" spans="1:3" x14ac:dyDescent="0.3">
      <c r="A1419" s="2">
        <v>38674</v>
      </c>
      <c r="B1419">
        <f>6.25/(100)</f>
        <v>6.25E-2</v>
      </c>
      <c r="C1419">
        <f>5.902/(100)</f>
        <v>5.9020000000000003E-2</v>
      </c>
    </row>
    <row r="1420" spans="1:3" x14ac:dyDescent="0.3">
      <c r="A1420" s="2">
        <v>38675</v>
      </c>
      <c r="B1420">
        <f>6.25/(100)</f>
        <v>6.25E-2</v>
      </c>
      <c r="C1420">
        <f>5.902/(100)</f>
        <v>5.9020000000000003E-2</v>
      </c>
    </row>
    <row r="1421" spans="1:3" x14ac:dyDescent="0.3">
      <c r="A1421" s="2">
        <v>38676</v>
      </c>
      <c r="B1421">
        <f>6.25/(100)</f>
        <v>6.25E-2</v>
      </c>
      <c r="C1421">
        <f>5.902/(100)</f>
        <v>5.9020000000000003E-2</v>
      </c>
    </row>
    <row r="1422" spans="1:3" x14ac:dyDescent="0.3">
      <c r="A1422" s="2">
        <v>38677</v>
      </c>
      <c r="B1422">
        <f>6.25/(100)</f>
        <v>6.25E-2</v>
      </c>
      <c r="C1422">
        <f>5.919/(100)</f>
        <v>5.9189999999999993E-2</v>
      </c>
    </row>
    <row r="1423" spans="1:3" x14ac:dyDescent="0.3">
      <c r="A1423" s="2">
        <v>38678</v>
      </c>
      <c r="B1423">
        <f>6.25/(100)</f>
        <v>6.25E-2</v>
      </c>
      <c r="C1423">
        <f>5.91/(100)</f>
        <v>5.91E-2</v>
      </c>
    </row>
    <row r="1424" spans="1:3" x14ac:dyDescent="0.3">
      <c r="A1424" s="2">
        <v>38679</v>
      </c>
      <c r="B1424">
        <f>6.25/(100)</f>
        <v>6.25E-2</v>
      </c>
      <c r="C1424">
        <f>5.905/(100)</f>
        <v>5.9050000000000005E-2</v>
      </c>
    </row>
    <row r="1425" spans="1:3" x14ac:dyDescent="0.3">
      <c r="A1425" s="2">
        <v>38680</v>
      </c>
      <c r="B1425">
        <f>6.25/(100)</f>
        <v>6.25E-2</v>
      </c>
      <c r="C1425">
        <f>5.882/(100)</f>
        <v>5.8819999999999997E-2</v>
      </c>
    </row>
    <row r="1426" spans="1:3" x14ac:dyDescent="0.3">
      <c r="A1426" s="2">
        <v>38681</v>
      </c>
      <c r="B1426">
        <f>6.25/(100)</f>
        <v>6.25E-2</v>
      </c>
      <c r="C1426">
        <f>5.896/(100)</f>
        <v>5.8959999999999999E-2</v>
      </c>
    </row>
    <row r="1427" spans="1:3" x14ac:dyDescent="0.3">
      <c r="A1427" s="2">
        <v>38682</v>
      </c>
      <c r="B1427">
        <f>6.25/(100)</f>
        <v>6.25E-2</v>
      </c>
      <c r="C1427">
        <f>5.896/(100)</f>
        <v>5.8959999999999999E-2</v>
      </c>
    </row>
    <row r="1428" spans="1:3" x14ac:dyDescent="0.3">
      <c r="A1428" s="2">
        <v>38683</v>
      </c>
      <c r="B1428">
        <f>6.25/(100)</f>
        <v>6.25E-2</v>
      </c>
      <c r="C1428">
        <f>5.896/(100)</f>
        <v>5.8959999999999999E-2</v>
      </c>
    </row>
    <row r="1429" spans="1:3" x14ac:dyDescent="0.3">
      <c r="A1429" s="2">
        <v>38684</v>
      </c>
      <c r="B1429">
        <f>6.25/(100)</f>
        <v>6.25E-2</v>
      </c>
      <c r="C1429">
        <f>5.898/(100)</f>
        <v>5.8979999999999998E-2</v>
      </c>
    </row>
    <row r="1430" spans="1:3" x14ac:dyDescent="0.3">
      <c r="A1430" s="2">
        <v>38685</v>
      </c>
      <c r="B1430">
        <f>6.25/(100)</f>
        <v>6.25E-2</v>
      </c>
      <c r="C1430">
        <f>5.902/(100)</f>
        <v>5.9020000000000003E-2</v>
      </c>
    </row>
    <row r="1431" spans="1:3" x14ac:dyDescent="0.3">
      <c r="A1431" s="2">
        <v>38686</v>
      </c>
      <c r="B1431">
        <f>6.25/(100)</f>
        <v>6.25E-2</v>
      </c>
      <c r="C1431">
        <f>5.931/(100)</f>
        <v>5.9310000000000002E-2</v>
      </c>
    </row>
    <row r="1432" spans="1:3" x14ac:dyDescent="0.3">
      <c r="A1432" s="2">
        <v>38687</v>
      </c>
      <c r="B1432">
        <f>6.25/(100)</f>
        <v>6.25E-2</v>
      </c>
      <c r="C1432">
        <f>5.935/(100)</f>
        <v>5.9349999999999993E-2</v>
      </c>
    </row>
    <row r="1433" spans="1:3" x14ac:dyDescent="0.3">
      <c r="A1433" s="2">
        <v>38688</v>
      </c>
      <c r="B1433">
        <f>6.25/(100)</f>
        <v>6.25E-2</v>
      </c>
      <c r="C1433">
        <f>5.944/(100)</f>
        <v>5.944E-2</v>
      </c>
    </row>
    <row r="1434" spans="1:3" x14ac:dyDescent="0.3">
      <c r="A1434" s="2">
        <v>38689</v>
      </c>
      <c r="B1434">
        <f>6.25/(100)</f>
        <v>6.25E-2</v>
      </c>
      <c r="C1434">
        <f>5.944/(100)</f>
        <v>5.944E-2</v>
      </c>
    </row>
    <row r="1435" spans="1:3" x14ac:dyDescent="0.3">
      <c r="A1435" s="2">
        <v>38690</v>
      </c>
      <c r="B1435">
        <f>6.25/(100)</f>
        <v>6.25E-2</v>
      </c>
      <c r="C1435">
        <f>5.944/(100)</f>
        <v>5.944E-2</v>
      </c>
    </row>
    <row r="1436" spans="1:3" x14ac:dyDescent="0.3">
      <c r="A1436" s="2">
        <v>38691</v>
      </c>
      <c r="B1436">
        <f>6.25/(100)</f>
        <v>6.25E-2</v>
      </c>
      <c r="C1436">
        <f>5.93/(100)</f>
        <v>5.9299999999999999E-2</v>
      </c>
    </row>
    <row r="1437" spans="1:3" x14ac:dyDescent="0.3">
      <c r="A1437" s="2">
        <v>38692</v>
      </c>
      <c r="B1437">
        <f>6.25/(100)</f>
        <v>6.25E-2</v>
      </c>
      <c r="C1437">
        <f>5.949/(100)</f>
        <v>5.9490000000000001E-2</v>
      </c>
    </row>
    <row r="1438" spans="1:3" x14ac:dyDescent="0.3">
      <c r="A1438" s="2">
        <v>38693</v>
      </c>
      <c r="B1438">
        <f>6.25/(100)</f>
        <v>6.25E-2</v>
      </c>
      <c r="C1438">
        <f>5.966/(100)</f>
        <v>5.9660000000000005E-2</v>
      </c>
    </row>
    <row r="1439" spans="1:3" x14ac:dyDescent="0.3">
      <c r="A1439" s="2">
        <v>38694</v>
      </c>
      <c r="B1439">
        <f>6.25/(100)</f>
        <v>6.25E-2</v>
      </c>
      <c r="C1439">
        <f>5.964/(100)</f>
        <v>5.9640000000000006E-2</v>
      </c>
    </row>
    <row r="1440" spans="1:3" x14ac:dyDescent="0.3">
      <c r="A1440" s="2">
        <v>38695</v>
      </c>
      <c r="B1440">
        <f>6.25/(100)</f>
        <v>6.25E-2</v>
      </c>
      <c r="C1440">
        <f>5.98/(100)</f>
        <v>5.9800000000000006E-2</v>
      </c>
    </row>
    <row r="1441" spans="1:3" x14ac:dyDescent="0.3">
      <c r="A1441" s="2">
        <v>38696</v>
      </c>
      <c r="B1441">
        <f>6.25/(100)</f>
        <v>6.25E-2</v>
      </c>
      <c r="C1441">
        <f>5.98/(100)</f>
        <v>5.9800000000000006E-2</v>
      </c>
    </row>
    <row r="1442" spans="1:3" x14ac:dyDescent="0.3">
      <c r="A1442" s="2">
        <v>38697</v>
      </c>
      <c r="B1442">
        <f>6.25/(100)</f>
        <v>6.25E-2</v>
      </c>
      <c r="C1442">
        <f>5.98/(100)</f>
        <v>5.9800000000000006E-2</v>
      </c>
    </row>
    <row r="1443" spans="1:3" x14ac:dyDescent="0.3">
      <c r="A1443" s="2">
        <v>38698</v>
      </c>
      <c r="B1443">
        <f>6.25/(100)</f>
        <v>6.25E-2</v>
      </c>
      <c r="C1443">
        <f>5.99/(100)</f>
        <v>5.9900000000000002E-2</v>
      </c>
    </row>
    <row r="1444" spans="1:3" x14ac:dyDescent="0.3">
      <c r="A1444" s="2">
        <v>38699</v>
      </c>
      <c r="B1444">
        <f>6.25/(100)</f>
        <v>6.25E-2</v>
      </c>
      <c r="C1444">
        <f>6.027/(100)</f>
        <v>6.0270000000000004E-2</v>
      </c>
    </row>
    <row r="1445" spans="1:3" x14ac:dyDescent="0.3">
      <c r="A1445" s="2">
        <v>38700</v>
      </c>
      <c r="B1445">
        <f>6.25/(100)</f>
        <v>6.25E-2</v>
      </c>
      <c r="C1445">
        <f>6.027/(100)</f>
        <v>6.0270000000000004E-2</v>
      </c>
    </row>
    <row r="1446" spans="1:3" x14ac:dyDescent="0.3">
      <c r="A1446" s="2">
        <v>38701</v>
      </c>
      <c r="B1446">
        <f>6.25/(100)</f>
        <v>6.25E-2</v>
      </c>
      <c r="C1446">
        <f>5.996/(100)</f>
        <v>5.9960000000000006E-2</v>
      </c>
    </row>
    <row r="1447" spans="1:3" x14ac:dyDescent="0.3">
      <c r="A1447" s="2">
        <v>38702</v>
      </c>
      <c r="B1447">
        <f>6.25/(100)</f>
        <v>6.25E-2</v>
      </c>
      <c r="C1447">
        <f>5.996/(100)</f>
        <v>5.9960000000000006E-2</v>
      </c>
    </row>
    <row r="1448" spans="1:3" x14ac:dyDescent="0.3">
      <c r="A1448" s="2">
        <v>38703</v>
      </c>
      <c r="B1448">
        <f>6.25/(100)</f>
        <v>6.25E-2</v>
      </c>
      <c r="C1448">
        <f>5.996/(100)</f>
        <v>5.9960000000000006E-2</v>
      </c>
    </row>
    <row r="1449" spans="1:3" x14ac:dyDescent="0.3">
      <c r="A1449" s="2">
        <v>38704</v>
      </c>
      <c r="B1449">
        <f>6.25/(100)</f>
        <v>6.25E-2</v>
      </c>
      <c r="C1449">
        <f>5.996/(100)</f>
        <v>5.9960000000000006E-2</v>
      </c>
    </row>
    <row r="1450" spans="1:3" x14ac:dyDescent="0.3">
      <c r="A1450" s="2">
        <v>38705</v>
      </c>
      <c r="B1450">
        <f>6.25/(100)</f>
        <v>6.25E-2</v>
      </c>
      <c r="C1450">
        <f>5.996/(100)</f>
        <v>5.9960000000000006E-2</v>
      </c>
    </row>
    <row r="1451" spans="1:3" x14ac:dyDescent="0.3">
      <c r="A1451" s="2">
        <v>38706</v>
      </c>
      <c r="B1451">
        <f>6.25/(100)</f>
        <v>6.25E-2</v>
      </c>
      <c r="C1451">
        <f>5.996/(100)</f>
        <v>5.9960000000000006E-2</v>
      </c>
    </row>
    <row r="1452" spans="1:3" x14ac:dyDescent="0.3">
      <c r="A1452" s="2">
        <v>38707</v>
      </c>
      <c r="B1452">
        <f>6.25/(100)</f>
        <v>6.25E-2</v>
      </c>
      <c r="C1452">
        <f>6.165/(100)</f>
        <v>6.1650000000000003E-2</v>
      </c>
    </row>
    <row r="1453" spans="1:3" x14ac:dyDescent="0.3">
      <c r="A1453" s="2">
        <v>38708</v>
      </c>
      <c r="B1453">
        <f>6.25/(100)</f>
        <v>6.25E-2</v>
      </c>
      <c r="C1453">
        <f>6.18/(100)</f>
        <v>6.1799999999999994E-2</v>
      </c>
    </row>
    <row r="1454" spans="1:3" x14ac:dyDescent="0.3">
      <c r="A1454" s="2">
        <v>38709</v>
      </c>
      <c r="B1454">
        <f>6.25/(100)</f>
        <v>6.25E-2</v>
      </c>
      <c r="C1454">
        <f>6.21/(100)</f>
        <v>6.2100000000000002E-2</v>
      </c>
    </row>
    <row r="1455" spans="1:3" x14ac:dyDescent="0.3">
      <c r="A1455" s="2">
        <v>38710</v>
      </c>
      <c r="B1455">
        <f>6.25/(100)</f>
        <v>6.25E-2</v>
      </c>
      <c r="C1455">
        <f>6.21/(100)</f>
        <v>6.2100000000000002E-2</v>
      </c>
    </row>
    <row r="1456" spans="1:3" x14ac:dyDescent="0.3">
      <c r="A1456" s="2">
        <v>38711</v>
      </c>
      <c r="B1456">
        <f>6.25/(100)</f>
        <v>6.25E-2</v>
      </c>
      <c r="C1456">
        <f>6.21/(100)</f>
        <v>6.2100000000000002E-2</v>
      </c>
    </row>
    <row r="1457" spans="1:3" x14ac:dyDescent="0.3">
      <c r="A1457" s="2">
        <v>38712</v>
      </c>
      <c r="B1457">
        <f>6.25/(100)</f>
        <v>6.25E-2</v>
      </c>
      <c r="C1457">
        <f>6.242/(100)</f>
        <v>6.2420000000000003E-2</v>
      </c>
    </row>
    <row r="1458" spans="1:3" x14ac:dyDescent="0.3">
      <c r="A1458" s="2">
        <v>38713</v>
      </c>
      <c r="B1458">
        <f>6.25/(100)</f>
        <v>6.25E-2</v>
      </c>
      <c r="C1458">
        <f>6.274/(100)</f>
        <v>6.2740000000000004E-2</v>
      </c>
    </row>
    <row r="1459" spans="1:3" x14ac:dyDescent="0.3">
      <c r="A1459" s="2">
        <v>38714</v>
      </c>
      <c r="B1459">
        <f>6.25/(100)</f>
        <v>6.25E-2</v>
      </c>
      <c r="C1459">
        <f>6.26/(100)</f>
        <v>6.2600000000000003E-2</v>
      </c>
    </row>
    <row r="1460" spans="1:3" x14ac:dyDescent="0.3">
      <c r="A1460" s="2">
        <v>38715</v>
      </c>
      <c r="B1460">
        <f>6.25/(100)</f>
        <v>6.25E-2</v>
      </c>
      <c r="C1460">
        <f>6.224/(100)</f>
        <v>6.2240000000000004E-2</v>
      </c>
    </row>
    <row r="1461" spans="1:3" x14ac:dyDescent="0.3">
      <c r="A1461" s="2">
        <v>38716</v>
      </c>
      <c r="B1461">
        <f>6.25/(100)</f>
        <v>6.25E-2</v>
      </c>
      <c r="C1461">
        <f>6.248/(100)</f>
        <v>6.2480000000000001E-2</v>
      </c>
    </row>
    <row r="1462" spans="1:3" x14ac:dyDescent="0.3">
      <c r="A1462" s="2">
        <v>38717</v>
      </c>
      <c r="B1462">
        <f>6.25/(100)</f>
        <v>6.25E-2</v>
      </c>
      <c r="C1462">
        <f>6.248/(100)</f>
        <v>6.2480000000000001E-2</v>
      </c>
    </row>
    <row r="1463" spans="1:3" x14ac:dyDescent="0.3">
      <c r="A1463" s="2">
        <v>38718</v>
      </c>
      <c r="B1463">
        <f>6.25/(100)</f>
        <v>6.25E-2</v>
      </c>
      <c r="C1463">
        <f>6.248/(100)</f>
        <v>6.2480000000000001E-2</v>
      </c>
    </row>
    <row r="1464" spans="1:3" x14ac:dyDescent="0.3">
      <c r="A1464" s="2">
        <v>38719</v>
      </c>
      <c r="B1464">
        <f>6.25/(100)</f>
        <v>6.25E-2</v>
      </c>
      <c r="C1464">
        <f>6.248/(100)</f>
        <v>6.2480000000000001E-2</v>
      </c>
    </row>
    <row r="1465" spans="1:3" x14ac:dyDescent="0.3">
      <c r="A1465" s="2">
        <v>38720</v>
      </c>
      <c r="B1465">
        <f>6.25/(100)</f>
        <v>6.25E-2</v>
      </c>
      <c r="C1465">
        <f>6.193/(100)</f>
        <v>6.1929999999999999E-2</v>
      </c>
    </row>
    <row r="1466" spans="1:3" x14ac:dyDescent="0.3">
      <c r="A1466" s="2">
        <v>38721</v>
      </c>
      <c r="B1466">
        <f>6.25/(100)</f>
        <v>6.25E-2</v>
      </c>
      <c r="C1466">
        <f>6.173/(100)</f>
        <v>6.173E-2</v>
      </c>
    </row>
    <row r="1467" spans="1:3" x14ac:dyDescent="0.3">
      <c r="A1467" s="2">
        <v>38722</v>
      </c>
      <c r="B1467">
        <f>6.25/(100)</f>
        <v>6.25E-2</v>
      </c>
      <c r="C1467">
        <f>6.173/(100)</f>
        <v>6.173E-2</v>
      </c>
    </row>
    <row r="1468" spans="1:3" x14ac:dyDescent="0.3">
      <c r="A1468" s="2">
        <v>38723</v>
      </c>
      <c r="B1468">
        <f>6.25/(100)</f>
        <v>6.25E-2</v>
      </c>
      <c r="C1468">
        <f>6.173/(100)</f>
        <v>6.173E-2</v>
      </c>
    </row>
    <row r="1469" spans="1:3" x14ac:dyDescent="0.3">
      <c r="A1469" s="2">
        <v>38724</v>
      </c>
      <c r="B1469">
        <f>6.25/(100)</f>
        <v>6.25E-2</v>
      </c>
      <c r="C1469">
        <f>6.173/(100)</f>
        <v>6.173E-2</v>
      </c>
    </row>
    <row r="1470" spans="1:3" x14ac:dyDescent="0.3">
      <c r="A1470" s="2">
        <v>38725</v>
      </c>
      <c r="B1470">
        <f>6.25/(100)</f>
        <v>6.25E-2</v>
      </c>
      <c r="C1470">
        <f>6.173/(100)</f>
        <v>6.173E-2</v>
      </c>
    </row>
    <row r="1471" spans="1:3" x14ac:dyDescent="0.3">
      <c r="A1471" s="2">
        <v>38726</v>
      </c>
      <c r="B1471">
        <f>6.25/(100)</f>
        <v>6.25E-2</v>
      </c>
      <c r="C1471">
        <f>6.173/(100)</f>
        <v>6.173E-2</v>
      </c>
    </row>
    <row r="1472" spans="1:3" x14ac:dyDescent="0.3">
      <c r="A1472" s="2">
        <v>38727</v>
      </c>
      <c r="B1472">
        <f>6.25/(100)</f>
        <v>6.25E-2</v>
      </c>
      <c r="C1472">
        <f>6.27/(100)</f>
        <v>6.2699999999999992E-2</v>
      </c>
    </row>
    <row r="1473" spans="1:3" x14ac:dyDescent="0.3">
      <c r="A1473" s="2">
        <v>38728</v>
      </c>
      <c r="B1473">
        <f>6.25/(100)</f>
        <v>6.25E-2</v>
      </c>
      <c r="C1473">
        <f>6.27/(100)</f>
        <v>6.2699999999999992E-2</v>
      </c>
    </row>
    <row r="1474" spans="1:3" x14ac:dyDescent="0.3">
      <c r="A1474" s="2">
        <v>38729</v>
      </c>
      <c r="B1474">
        <f>6.25/(100)</f>
        <v>6.25E-2</v>
      </c>
      <c r="C1474">
        <f>6.304/(100)</f>
        <v>6.3039999999999999E-2</v>
      </c>
    </row>
    <row r="1475" spans="1:3" x14ac:dyDescent="0.3">
      <c r="A1475" s="2">
        <v>38730</v>
      </c>
      <c r="B1475">
        <f>6.25/(100)</f>
        <v>6.25E-2</v>
      </c>
      <c r="C1475">
        <f>6.309/(100)</f>
        <v>6.3090000000000007E-2</v>
      </c>
    </row>
    <row r="1476" spans="1:3" x14ac:dyDescent="0.3">
      <c r="A1476" s="2">
        <v>38731</v>
      </c>
      <c r="B1476">
        <f>6.25/(100)</f>
        <v>6.25E-2</v>
      </c>
      <c r="C1476">
        <f>6.309/(100)</f>
        <v>6.3090000000000007E-2</v>
      </c>
    </row>
    <row r="1477" spans="1:3" x14ac:dyDescent="0.3">
      <c r="A1477" s="2">
        <v>38732</v>
      </c>
      <c r="B1477">
        <f>6.25/(100)</f>
        <v>6.25E-2</v>
      </c>
      <c r="C1477">
        <f>6.309/(100)</f>
        <v>6.3090000000000007E-2</v>
      </c>
    </row>
    <row r="1478" spans="1:3" x14ac:dyDescent="0.3">
      <c r="A1478" s="2">
        <v>38733</v>
      </c>
      <c r="B1478">
        <f>6.25/(100)</f>
        <v>6.25E-2</v>
      </c>
      <c r="C1478">
        <f>6.286/(100)</f>
        <v>6.2859999999999999E-2</v>
      </c>
    </row>
    <row r="1479" spans="1:3" x14ac:dyDescent="0.3">
      <c r="A1479" s="2">
        <v>38734</v>
      </c>
      <c r="B1479">
        <f>6.25/(100)</f>
        <v>6.25E-2</v>
      </c>
      <c r="C1479">
        <f>6.282/(100)</f>
        <v>6.2820000000000001E-2</v>
      </c>
    </row>
    <row r="1480" spans="1:3" x14ac:dyDescent="0.3">
      <c r="A1480" s="2">
        <v>38735</v>
      </c>
      <c r="B1480">
        <f>6.25/(100)</f>
        <v>6.25E-2</v>
      </c>
      <c r="C1480">
        <f>6.298/(100)</f>
        <v>6.2979999999999994E-2</v>
      </c>
    </row>
    <row r="1481" spans="1:3" x14ac:dyDescent="0.3">
      <c r="A1481" s="2">
        <v>38736</v>
      </c>
      <c r="B1481">
        <f>6.25/(100)</f>
        <v>6.25E-2</v>
      </c>
      <c r="C1481">
        <f>6.328/(100)</f>
        <v>6.3280000000000003E-2</v>
      </c>
    </row>
    <row r="1482" spans="1:3" x14ac:dyDescent="0.3">
      <c r="A1482" s="2">
        <v>38737</v>
      </c>
      <c r="B1482">
        <f>6.25/(100)</f>
        <v>6.25E-2</v>
      </c>
      <c r="C1482">
        <f>6.375/(100)</f>
        <v>6.3750000000000001E-2</v>
      </c>
    </row>
    <row r="1483" spans="1:3" x14ac:dyDescent="0.3">
      <c r="A1483" s="2">
        <v>38738</v>
      </c>
      <c r="B1483">
        <f>6.25/(100)</f>
        <v>6.25E-2</v>
      </c>
      <c r="C1483">
        <f>6.375/(100)</f>
        <v>6.3750000000000001E-2</v>
      </c>
    </row>
    <row r="1484" spans="1:3" x14ac:dyDescent="0.3">
      <c r="A1484" s="2">
        <v>38739</v>
      </c>
      <c r="B1484">
        <f>6.25/(100)</f>
        <v>6.25E-2</v>
      </c>
      <c r="C1484">
        <f>6.375/(100)</f>
        <v>6.3750000000000001E-2</v>
      </c>
    </row>
    <row r="1485" spans="1:3" x14ac:dyDescent="0.3">
      <c r="A1485" s="2">
        <v>38740</v>
      </c>
      <c r="B1485">
        <f>6.25/(100)</f>
        <v>6.25E-2</v>
      </c>
      <c r="C1485">
        <f>6.393/(100)</f>
        <v>6.3930000000000001E-2</v>
      </c>
    </row>
    <row r="1486" spans="1:3" x14ac:dyDescent="0.3">
      <c r="A1486" s="2">
        <v>38741</v>
      </c>
      <c r="B1486">
        <f>6.5/(100)</f>
        <v>6.5000000000000002E-2</v>
      </c>
      <c r="C1486">
        <f>6.534/(100)</f>
        <v>6.5339999999999995E-2</v>
      </c>
    </row>
    <row r="1487" spans="1:3" x14ac:dyDescent="0.3">
      <c r="A1487" s="2">
        <v>38742</v>
      </c>
      <c r="B1487">
        <f>6.5/(100)</f>
        <v>6.5000000000000002E-2</v>
      </c>
      <c r="C1487">
        <f>6.601/(100)</f>
        <v>6.6009999999999999E-2</v>
      </c>
    </row>
    <row r="1488" spans="1:3" x14ac:dyDescent="0.3">
      <c r="A1488" s="2">
        <v>38743</v>
      </c>
      <c r="B1488">
        <f>6.5/(100)</f>
        <v>6.5000000000000002E-2</v>
      </c>
      <c r="C1488">
        <f>6.601/(100)</f>
        <v>6.6009999999999999E-2</v>
      </c>
    </row>
    <row r="1489" spans="1:3" x14ac:dyDescent="0.3">
      <c r="A1489" s="2">
        <v>38744</v>
      </c>
      <c r="B1489">
        <f>6.5/(100)</f>
        <v>6.5000000000000002E-2</v>
      </c>
      <c r="C1489">
        <f>6.585/(100)</f>
        <v>6.5850000000000006E-2</v>
      </c>
    </row>
    <row r="1490" spans="1:3" x14ac:dyDescent="0.3">
      <c r="A1490" s="2">
        <v>38745</v>
      </c>
      <c r="B1490">
        <f>6.5/(100)</f>
        <v>6.5000000000000002E-2</v>
      </c>
      <c r="C1490">
        <f>6.585/(100)</f>
        <v>6.5850000000000006E-2</v>
      </c>
    </row>
    <row r="1491" spans="1:3" x14ac:dyDescent="0.3">
      <c r="A1491" s="2">
        <v>38746</v>
      </c>
      <c r="B1491">
        <f>6.5/(100)</f>
        <v>6.5000000000000002E-2</v>
      </c>
      <c r="C1491">
        <f>6.585/(100)</f>
        <v>6.5850000000000006E-2</v>
      </c>
    </row>
    <row r="1492" spans="1:3" x14ac:dyDescent="0.3">
      <c r="A1492" s="2">
        <v>38747</v>
      </c>
      <c r="B1492">
        <f>6.5/(100)</f>
        <v>6.5000000000000002E-2</v>
      </c>
      <c r="C1492">
        <f>6.796/(100)</f>
        <v>6.7960000000000007E-2</v>
      </c>
    </row>
    <row r="1493" spans="1:3" x14ac:dyDescent="0.3">
      <c r="A1493" s="2">
        <v>38748</v>
      </c>
      <c r="B1493">
        <f>6.5/(100)</f>
        <v>6.5000000000000002E-2</v>
      </c>
      <c r="C1493">
        <f>6.813/(100)</f>
        <v>6.8129999999999996E-2</v>
      </c>
    </row>
    <row r="1494" spans="1:3" x14ac:dyDescent="0.3">
      <c r="A1494" s="2">
        <v>38749</v>
      </c>
      <c r="B1494">
        <f>6.5/(100)</f>
        <v>6.5000000000000002E-2</v>
      </c>
      <c r="C1494">
        <f>6.812/(100)</f>
        <v>6.812E-2</v>
      </c>
    </row>
    <row r="1495" spans="1:3" x14ac:dyDescent="0.3">
      <c r="A1495" s="2">
        <v>38750</v>
      </c>
      <c r="B1495">
        <f>6.5/(100)</f>
        <v>6.5000000000000002E-2</v>
      </c>
      <c r="C1495">
        <f>6.812/(100)</f>
        <v>6.812E-2</v>
      </c>
    </row>
    <row r="1496" spans="1:3" x14ac:dyDescent="0.3">
      <c r="A1496" s="2">
        <v>38751</v>
      </c>
      <c r="B1496">
        <f>6.5/(100)</f>
        <v>6.5000000000000002E-2</v>
      </c>
      <c r="C1496">
        <f>6.865/(100)</f>
        <v>6.8650000000000003E-2</v>
      </c>
    </row>
    <row r="1497" spans="1:3" x14ac:dyDescent="0.3">
      <c r="A1497" s="2">
        <v>38752</v>
      </c>
      <c r="B1497">
        <f>6.5/(100)</f>
        <v>6.5000000000000002E-2</v>
      </c>
      <c r="C1497">
        <f>6.865/(100)</f>
        <v>6.8650000000000003E-2</v>
      </c>
    </row>
    <row r="1498" spans="1:3" x14ac:dyDescent="0.3">
      <c r="A1498" s="2">
        <v>38753</v>
      </c>
      <c r="B1498">
        <f>6.5/(100)</f>
        <v>6.5000000000000002E-2</v>
      </c>
      <c r="C1498">
        <f>6.865/(100)</f>
        <v>6.8650000000000003E-2</v>
      </c>
    </row>
    <row r="1499" spans="1:3" x14ac:dyDescent="0.3">
      <c r="A1499" s="2">
        <v>38754</v>
      </c>
      <c r="B1499">
        <f>6.5/(100)</f>
        <v>6.5000000000000002E-2</v>
      </c>
      <c r="C1499">
        <f>6.865/(100)</f>
        <v>6.8650000000000003E-2</v>
      </c>
    </row>
    <row r="1500" spans="1:3" x14ac:dyDescent="0.3">
      <c r="A1500" s="2">
        <v>38755</v>
      </c>
      <c r="B1500">
        <f>6.5/(100)</f>
        <v>6.5000000000000002E-2</v>
      </c>
      <c r="C1500">
        <f>6.861/(100)</f>
        <v>6.8610000000000004E-2</v>
      </c>
    </row>
    <row r="1501" spans="1:3" x14ac:dyDescent="0.3">
      <c r="A1501" s="2">
        <v>38756</v>
      </c>
      <c r="B1501">
        <f>6.5/(100)</f>
        <v>6.5000000000000002E-2</v>
      </c>
      <c r="C1501">
        <f>6.908/(100)</f>
        <v>6.9080000000000003E-2</v>
      </c>
    </row>
    <row r="1502" spans="1:3" x14ac:dyDescent="0.3">
      <c r="A1502" s="2">
        <v>38757</v>
      </c>
      <c r="B1502">
        <f>6.5/(100)</f>
        <v>6.5000000000000002E-2</v>
      </c>
      <c r="C1502">
        <f>6.908/(100)</f>
        <v>6.9080000000000003E-2</v>
      </c>
    </row>
    <row r="1503" spans="1:3" x14ac:dyDescent="0.3">
      <c r="A1503" s="2">
        <v>38758</v>
      </c>
      <c r="B1503">
        <f>6.5/(100)</f>
        <v>6.5000000000000002E-2</v>
      </c>
      <c r="C1503">
        <f>6.938/(100)</f>
        <v>6.9379999999999997E-2</v>
      </c>
    </row>
    <row r="1504" spans="1:3" x14ac:dyDescent="0.3">
      <c r="A1504" s="2">
        <v>38759</v>
      </c>
      <c r="B1504">
        <f>6.5/(100)</f>
        <v>6.5000000000000002E-2</v>
      </c>
      <c r="C1504">
        <f>6.938/(100)</f>
        <v>6.9379999999999997E-2</v>
      </c>
    </row>
    <row r="1505" spans="1:3" x14ac:dyDescent="0.3">
      <c r="A1505" s="2">
        <v>38760</v>
      </c>
      <c r="B1505">
        <f>6.5/(100)</f>
        <v>6.5000000000000002E-2</v>
      </c>
      <c r="C1505">
        <f>6.938/(100)</f>
        <v>6.9379999999999997E-2</v>
      </c>
    </row>
    <row r="1506" spans="1:3" x14ac:dyDescent="0.3">
      <c r="A1506" s="2">
        <v>38761</v>
      </c>
      <c r="B1506">
        <f>6.5/(100)</f>
        <v>6.5000000000000002E-2</v>
      </c>
      <c r="C1506">
        <f>6.944/(100)</f>
        <v>6.9440000000000002E-2</v>
      </c>
    </row>
    <row r="1507" spans="1:3" x14ac:dyDescent="0.3">
      <c r="A1507" s="2">
        <v>38762</v>
      </c>
      <c r="B1507">
        <f>6.5/(100)</f>
        <v>6.5000000000000002E-2</v>
      </c>
      <c r="C1507">
        <f>6.9/(100)</f>
        <v>6.9000000000000006E-2</v>
      </c>
    </row>
    <row r="1508" spans="1:3" x14ac:dyDescent="0.3">
      <c r="A1508" s="2">
        <v>38763</v>
      </c>
      <c r="B1508">
        <f>6.5/(100)</f>
        <v>6.5000000000000002E-2</v>
      </c>
      <c r="C1508">
        <f>6.968/(100)</f>
        <v>6.9680000000000006E-2</v>
      </c>
    </row>
    <row r="1509" spans="1:3" x14ac:dyDescent="0.3">
      <c r="A1509" s="2">
        <v>38764</v>
      </c>
      <c r="B1509">
        <f>6.5/(100)</f>
        <v>6.5000000000000002E-2</v>
      </c>
      <c r="C1509">
        <f>6.963/(100)</f>
        <v>6.9629999999999997E-2</v>
      </c>
    </row>
    <row r="1510" spans="1:3" x14ac:dyDescent="0.3">
      <c r="A1510" s="2">
        <v>38765</v>
      </c>
      <c r="B1510">
        <f>6.5/(100)</f>
        <v>6.5000000000000002E-2</v>
      </c>
      <c r="C1510">
        <f>6.912/(100)</f>
        <v>6.9120000000000001E-2</v>
      </c>
    </row>
    <row r="1511" spans="1:3" x14ac:dyDescent="0.3">
      <c r="A1511" s="2">
        <v>38766</v>
      </c>
      <c r="B1511">
        <f>6.5/(100)</f>
        <v>6.5000000000000002E-2</v>
      </c>
      <c r="C1511">
        <f>6.912/(100)</f>
        <v>6.9120000000000001E-2</v>
      </c>
    </row>
    <row r="1512" spans="1:3" x14ac:dyDescent="0.3">
      <c r="A1512" s="2">
        <v>38767</v>
      </c>
      <c r="B1512">
        <f>6.5/(100)</f>
        <v>6.5000000000000002E-2</v>
      </c>
      <c r="C1512">
        <f>6.912/(100)</f>
        <v>6.9120000000000001E-2</v>
      </c>
    </row>
    <row r="1513" spans="1:3" x14ac:dyDescent="0.3">
      <c r="A1513" s="2">
        <v>38768</v>
      </c>
      <c r="B1513">
        <f>6.5/(100)</f>
        <v>6.5000000000000002E-2</v>
      </c>
      <c r="C1513">
        <f>6.94/(100)</f>
        <v>6.9400000000000003E-2</v>
      </c>
    </row>
    <row r="1514" spans="1:3" x14ac:dyDescent="0.3">
      <c r="A1514" s="2">
        <v>38769</v>
      </c>
      <c r="B1514">
        <f>6.5/(100)</f>
        <v>6.5000000000000002E-2</v>
      </c>
      <c r="C1514">
        <f>7.014/(100)</f>
        <v>7.0140000000000008E-2</v>
      </c>
    </row>
    <row r="1515" spans="1:3" x14ac:dyDescent="0.3">
      <c r="A1515" s="2">
        <v>38770</v>
      </c>
      <c r="B1515">
        <f>6.5/(100)</f>
        <v>6.5000000000000002E-2</v>
      </c>
      <c r="C1515">
        <f>6.989/(100)</f>
        <v>6.9889999999999994E-2</v>
      </c>
    </row>
    <row r="1516" spans="1:3" x14ac:dyDescent="0.3">
      <c r="A1516" s="2">
        <v>38771</v>
      </c>
      <c r="B1516">
        <f>6.5/(100)</f>
        <v>6.5000000000000002E-2</v>
      </c>
      <c r="C1516">
        <f>6.989/(100)</f>
        <v>6.9889999999999994E-2</v>
      </c>
    </row>
    <row r="1517" spans="1:3" x14ac:dyDescent="0.3">
      <c r="A1517" s="2">
        <v>38772</v>
      </c>
      <c r="B1517">
        <f>6.5/(100)</f>
        <v>6.5000000000000002E-2</v>
      </c>
      <c r="C1517">
        <f>6.982/(100)</f>
        <v>6.9820000000000007E-2</v>
      </c>
    </row>
    <row r="1518" spans="1:3" x14ac:dyDescent="0.3">
      <c r="A1518" s="2">
        <v>38773</v>
      </c>
      <c r="B1518">
        <f>6.5/(100)</f>
        <v>6.5000000000000002E-2</v>
      </c>
      <c r="C1518">
        <f>6.982/(100)</f>
        <v>6.9820000000000007E-2</v>
      </c>
    </row>
    <row r="1519" spans="1:3" x14ac:dyDescent="0.3">
      <c r="A1519" s="2">
        <v>38774</v>
      </c>
      <c r="B1519">
        <f>6.5/(100)</f>
        <v>6.5000000000000002E-2</v>
      </c>
      <c r="C1519">
        <f>6.982/(100)</f>
        <v>6.9820000000000007E-2</v>
      </c>
    </row>
    <row r="1520" spans="1:3" x14ac:dyDescent="0.3">
      <c r="A1520" s="2">
        <v>38775</v>
      </c>
      <c r="B1520">
        <f>6.5/(100)</f>
        <v>6.5000000000000002E-2</v>
      </c>
      <c r="C1520">
        <f>6.826/(100)</f>
        <v>6.8260000000000001E-2</v>
      </c>
    </row>
    <row r="1521" spans="1:3" x14ac:dyDescent="0.3">
      <c r="A1521" s="2">
        <v>38776</v>
      </c>
      <c r="B1521">
        <f>6.5/(100)</f>
        <v>6.5000000000000002E-2</v>
      </c>
      <c r="C1521">
        <f>6.777/(100)</f>
        <v>6.7769999999999997E-2</v>
      </c>
    </row>
    <row r="1522" spans="1:3" x14ac:dyDescent="0.3">
      <c r="A1522" s="2">
        <v>38777</v>
      </c>
      <c r="B1522">
        <f>6.5/(100)</f>
        <v>6.5000000000000002E-2</v>
      </c>
      <c r="C1522">
        <f>6.844/(100)</f>
        <v>6.8440000000000001E-2</v>
      </c>
    </row>
    <row r="1523" spans="1:3" x14ac:dyDescent="0.3">
      <c r="A1523" s="2">
        <v>38778</v>
      </c>
      <c r="B1523">
        <f>6.5/(100)</f>
        <v>6.5000000000000002E-2</v>
      </c>
      <c r="C1523">
        <f>6.849/(100)</f>
        <v>6.8489999999999995E-2</v>
      </c>
    </row>
    <row r="1524" spans="1:3" x14ac:dyDescent="0.3">
      <c r="A1524" s="2">
        <v>38779</v>
      </c>
      <c r="B1524">
        <f>6.5/(100)</f>
        <v>6.5000000000000002E-2</v>
      </c>
      <c r="C1524">
        <f>6.868/(100)</f>
        <v>6.8680000000000005E-2</v>
      </c>
    </row>
    <row r="1525" spans="1:3" x14ac:dyDescent="0.3">
      <c r="A1525" s="2">
        <v>38780</v>
      </c>
      <c r="B1525">
        <f>6.5/(100)</f>
        <v>6.5000000000000002E-2</v>
      </c>
      <c r="C1525">
        <f>6.868/(100)</f>
        <v>6.8680000000000005E-2</v>
      </c>
    </row>
    <row r="1526" spans="1:3" x14ac:dyDescent="0.3">
      <c r="A1526" s="2">
        <v>38781</v>
      </c>
      <c r="B1526">
        <f>6.5/(100)</f>
        <v>6.5000000000000002E-2</v>
      </c>
      <c r="C1526">
        <f>6.868/(100)</f>
        <v>6.8680000000000005E-2</v>
      </c>
    </row>
    <row r="1527" spans="1:3" x14ac:dyDescent="0.3">
      <c r="A1527" s="2">
        <v>38782</v>
      </c>
      <c r="B1527">
        <f>6.5/(100)</f>
        <v>6.5000000000000002E-2</v>
      </c>
      <c r="C1527">
        <f>6.904/(100)</f>
        <v>6.9040000000000004E-2</v>
      </c>
    </row>
    <row r="1528" spans="1:3" x14ac:dyDescent="0.3">
      <c r="A1528" s="2">
        <v>38783</v>
      </c>
      <c r="B1528">
        <f>6.5/(100)</f>
        <v>6.5000000000000002E-2</v>
      </c>
      <c r="C1528">
        <f>6.878/(100)</f>
        <v>6.8780000000000008E-2</v>
      </c>
    </row>
    <row r="1529" spans="1:3" x14ac:dyDescent="0.3">
      <c r="A1529" s="2">
        <v>38784</v>
      </c>
      <c r="B1529">
        <f>6.5/(100)</f>
        <v>6.5000000000000002E-2</v>
      </c>
      <c r="C1529">
        <f>6.85/(100)</f>
        <v>6.8499999999999991E-2</v>
      </c>
    </row>
    <row r="1530" spans="1:3" x14ac:dyDescent="0.3">
      <c r="A1530" s="2">
        <v>38785</v>
      </c>
      <c r="B1530">
        <f>6.5/(100)</f>
        <v>6.5000000000000002E-2</v>
      </c>
      <c r="C1530">
        <f>6.83/(100)</f>
        <v>6.83E-2</v>
      </c>
    </row>
    <row r="1531" spans="1:3" x14ac:dyDescent="0.3">
      <c r="A1531" s="2">
        <v>38786</v>
      </c>
      <c r="B1531">
        <f>6.5/(100)</f>
        <v>6.5000000000000002E-2</v>
      </c>
      <c r="C1531">
        <f>6.842/(100)</f>
        <v>6.8419999999999995E-2</v>
      </c>
    </row>
    <row r="1532" spans="1:3" x14ac:dyDescent="0.3">
      <c r="A1532" s="2">
        <v>38787</v>
      </c>
      <c r="B1532">
        <f>6.5/(100)</f>
        <v>6.5000000000000002E-2</v>
      </c>
      <c r="C1532">
        <f>6.842/(100)</f>
        <v>6.8419999999999995E-2</v>
      </c>
    </row>
    <row r="1533" spans="1:3" x14ac:dyDescent="0.3">
      <c r="A1533" s="2">
        <v>38788</v>
      </c>
      <c r="B1533">
        <f>6.5/(100)</f>
        <v>6.5000000000000002E-2</v>
      </c>
      <c r="C1533">
        <f>6.842/(100)</f>
        <v>6.8419999999999995E-2</v>
      </c>
    </row>
    <row r="1534" spans="1:3" x14ac:dyDescent="0.3">
      <c r="A1534" s="2">
        <v>38789</v>
      </c>
      <c r="B1534">
        <f>6.5/(100)</f>
        <v>6.5000000000000002E-2</v>
      </c>
      <c r="C1534">
        <f>6.821/(100)</f>
        <v>6.8209999999999993E-2</v>
      </c>
    </row>
    <row r="1535" spans="1:3" x14ac:dyDescent="0.3">
      <c r="A1535" s="2">
        <v>38790</v>
      </c>
      <c r="B1535">
        <f>6.5/(100)</f>
        <v>6.5000000000000002E-2</v>
      </c>
      <c r="C1535">
        <f>6.798/(100)</f>
        <v>6.7979999999999999E-2</v>
      </c>
    </row>
    <row r="1536" spans="1:3" x14ac:dyDescent="0.3">
      <c r="A1536" s="2">
        <v>38791</v>
      </c>
      <c r="B1536">
        <f>6.5/(100)</f>
        <v>6.5000000000000002E-2</v>
      </c>
      <c r="C1536">
        <f>6.798/(100)</f>
        <v>6.7979999999999999E-2</v>
      </c>
    </row>
    <row r="1537" spans="1:3" x14ac:dyDescent="0.3">
      <c r="A1537" s="2">
        <v>38792</v>
      </c>
      <c r="B1537">
        <f>6.5/(100)</f>
        <v>6.5000000000000002E-2</v>
      </c>
      <c r="C1537">
        <f>6.791/(100)</f>
        <v>6.7909999999999998E-2</v>
      </c>
    </row>
    <row r="1538" spans="1:3" x14ac:dyDescent="0.3">
      <c r="A1538" s="2">
        <v>38793</v>
      </c>
      <c r="B1538">
        <f>6.5/(100)</f>
        <v>6.5000000000000002E-2</v>
      </c>
      <c r="C1538">
        <f>6.74/(100)</f>
        <v>6.7400000000000002E-2</v>
      </c>
    </row>
    <row r="1539" spans="1:3" x14ac:dyDescent="0.3">
      <c r="A1539" s="2">
        <v>38794</v>
      </c>
      <c r="B1539">
        <f>6.5/(100)</f>
        <v>6.5000000000000002E-2</v>
      </c>
      <c r="C1539">
        <f>6.74/(100)</f>
        <v>6.7400000000000002E-2</v>
      </c>
    </row>
    <row r="1540" spans="1:3" x14ac:dyDescent="0.3">
      <c r="A1540" s="2">
        <v>38795</v>
      </c>
      <c r="B1540">
        <f>6.5/(100)</f>
        <v>6.5000000000000002E-2</v>
      </c>
      <c r="C1540">
        <f>6.74/(100)</f>
        <v>6.7400000000000002E-2</v>
      </c>
    </row>
    <row r="1541" spans="1:3" x14ac:dyDescent="0.3">
      <c r="A1541" s="2">
        <v>38796</v>
      </c>
      <c r="B1541">
        <f>6.5/(100)</f>
        <v>6.5000000000000002E-2</v>
      </c>
      <c r="C1541">
        <f>6.769/(100)</f>
        <v>6.769E-2</v>
      </c>
    </row>
    <row r="1542" spans="1:3" x14ac:dyDescent="0.3">
      <c r="A1542" s="2">
        <v>38797</v>
      </c>
      <c r="B1542">
        <f>6.5/(100)</f>
        <v>6.5000000000000002E-2</v>
      </c>
      <c r="C1542">
        <f>6.665/(100)</f>
        <v>6.6650000000000001E-2</v>
      </c>
    </row>
    <row r="1543" spans="1:3" x14ac:dyDescent="0.3">
      <c r="A1543" s="2">
        <v>38798</v>
      </c>
      <c r="B1543">
        <f>6.5/(100)</f>
        <v>6.5000000000000002E-2</v>
      </c>
      <c r="C1543">
        <f>6.727/(100)</f>
        <v>6.7269999999999996E-2</v>
      </c>
    </row>
    <row r="1544" spans="1:3" x14ac:dyDescent="0.3">
      <c r="A1544" s="2">
        <v>38799</v>
      </c>
      <c r="B1544">
        <f>6.5/(100)</f>
        <v>6.5000000000000002E-2</v>
      </c>
      <c r="C1544">
        <f>6.667/(100)</f>
        <v>6.6669999999999993E-2</v>
      </c>
    </row>
    <row r="1545" spans="1:3" x14ac:dyDescent="0.3">
      <c r="A1545" s="2">
        <v>38800</v>
      </c>
      <c r="B1545">
        <f>6.5/(100)</f>
        <v>6.5000000000000002E-2</v>
      </c>
      <c r="C1545">
        <f>6.589/(100)</f>
        <v>6.5890000000000004E-2</v>
      </c>
    </row>
    <row r="1546" spans="1:3" x14ac:dyDescent="0.3">
      <c r="A1546" s="2">
        <v>38801</v>
      </c>
      <c r="B1546">
        <f>6.5/(100)</f>
        <v>6.5000000000000002E-2</v>
      </c>
      <c r="C1546">
        <f>6.589/(100)</f>
        <v>6.5890000000000004E-2</v>
      </c>
    </row>
    <row r="1547" spans="1:3" x14ac:dyDescent="0.3">
      <c r="A1547" s="2">
        <v>38802</v>
      </c>
      <c r="B1547">
        <f>6.5/(100)</f>
        <v>6.5000000000000002E-2</v>
      </c>
      <c r="C1547">
        <f>6.589/(100)</f>
        <v>6.5890000000000004E-2</v>
      </c>
    </row>
    <row r="1548" spans="1:3" x14ac:dyDescent="0.3">
      <c r="A1548" s="2">
        <v>38803</v>
      </c>
      <c r="B1548">
        <f>6.5/(100)</f>
        <v>6.5000000000000002E-2</v>
      </c>
      <c r="C1548">
        <f>6.605/(100)</f>
        <v>6.6049999999999998E-2</v>
      </c>
    </row>
    <row r="1549" spans="1:3" x14ac:dyDescent="0.3">
      <c r="A1549" s="2">
        <v>38804</v>
      </c>
      <c r="B1549">
        <f>6.5/(100)</f>
        <v>6.5000000000000002E-2</v>
      </c>
      <c r="C1549">
        <f>6.534/(100)</f>
        <v>6.5339999999999995E-2</v>
      </c>
    </row>
    <row r="1550" spans="1:3" x14ac:dyDescent="0.3">
      <c r="A1550" s="2">
        <v>38805</v>
      </c>
      <c r="B1550">
        <f>6.5/(100)</f>
        <v>6.5000000000000002E-2</v>
      </c>
      <c r="C1550">
        <f>6.579/(100)</f>
        <v>6.5790000000000001E-2</v>
      </c>
    </row>
    <row r="1551" spans="1:3" x14ac:dyDescent="0.3">
      <c r="A1551" s="2">
        <v>38806</v>
      </c>
      <c r="B1551">
        <f>6.5/(100)</f>
        <v>6.5000000000000002E-2</v>
      </c>
      <c r="C1551">
        <f>6.579/(100)</f>
        <v>6.5790000000000001E-2</v>
      </c>
    </row>
    <row r="1552" spans="1:3" x14ac:dyDescent="0.3">
      <c r="A1552" s="2">
        <v>38807</v>
      </c>
      <c r="B1552">
        <f>6.5/(100)</f>
        <v>6.5000000000000002E-2</v>
      </c>
      <c r="C1552">
        <f>6.602/(100)</f>
        <v>6.6020000000000009E-2</v>
      </c>
    </row>
    <row r="1553" spans="1:3" x14ac:dyDescent="0.3">
      <c r="A1553" s="2">
        <v>38808</v>
      </c>
      <c r="B1553">
        <f>6.5/(100)</f>
        <v>6.5000000000000002E-2</v>
      </c>
      <c r="C1553">
        <f>6.602/(100)</f>
        <v>6.6020000000000009E-2</v>
      </c>
    </row>
    <row r="1554" spans="1:3" x14ac:dyDescent="0.3">
      <c r="A1554" s="2">
        <v>38809</v>
      </c>
      <c r="B1554">
        <f>6.5/(100)</f>
        <v>6.5000000000000002E-2</v>
      </c>
      <c r="C1554">
        <f>6.602/(100)</f>
        <v>6.6020000000000009E-2</v>
      </c>
    </row>
    <row r="1555" spans="1:3" x14ac:dyDescent="0.3">
      <c r="A1555" s="2">
        <v>38810</v>
      </c>
      <c r="B1555">
        <f>6.5/(100)</f>
        <v>6.5000000000000002E-2</v>
      </c>
      <c r="C1555">
        <f>6.59/(100)</f>
        <v>6.59E-2</v>
      </c>
    </row>
    <row r="1556" spans="1:3" x14ac:dyDescent="0.3">
      <c r="A1556" s="2">
        <v>38811</v>
      </c>
      <c r="B1556">
        <f>6.5/(100)</f>
        <v>6.5000000000000002E-2</v>
      </c>
      <c r="C1556">
        <f>6.501/(100)</f>
        <v>6.5009999999999998E-2</v>
      </c>
    </row>
    <row r="1557" spans="1:3" x14ac:dyDescent="0.3">
      <c r="A1557" s="2">
        <v>38812</v>
      </c>
      <c r="B1557">
        <f>6.5/(100)</f>
        <v>6.5000000000000002E-2</v>
      </c>
      <c r="C1557">
        <f>6.419/(100)</f>
        <v>6.4189999999999997E-2</v>
      </c>
    </row>
    <row r="1558" spans="1:3" x14ac:dyDescent="0.3">
      <c r="A1558" s="2">
        <v>38813</v>
      </c>
      <c r="B1558">
        <f>6.5/(100)</f>
        <v>6.5000000000000002E-2</v>
      </c>
      <c r="C1558">
        <f>6.419/(100)</f>
        <v>6.4189999999999997E-2</v>
      </c>
    </row>
    <row r="1559" spans="1:3" x14ac:dyDescent="0.3">
      <c r="A1559" s="2">
        <v>38814</v>
      </c>
      <c r="B1559">
        <f>6.5/(100)</f>
        <v>6.5000000000000002E-2</v>
      </c>
      <c r="C1559">
        <f>6.336/(100)</f>
        <v>6.336E-2</v>
      </c>
    </row>
    <row r="1560" spans="1:3" x14ac:dyDescent="0.3">
      <c r="A1560" s="2">
        <v>38815</v>
      </c>
      <c r="B1560">
        <f>6.5/(100)</f>
        <v>6.5000000000000002E-2</v>
      </c>
      <c r="C1560">
        <f>6.336/(100)</f>
        <v>6.336E-2</v>
      </c>
    </row>
    <row r="1561" spans="1:3" x14ac:dyDescent="0.3">
      <c r="A1561" s="2">
        <v>38816</v>
      </c>
      <c r="B1561">
        <f>6.5/(100)</f>
        <v>6.5000000000000002E-2</v>
      </c>
      <c r="C1561">
        <f>6.336/(100)</f>
        <v>6.336E-2</v>
      </c>
    </row>
    <row r="1562" spans="1:3" x14ac:dyDescent="0.3">
      <c r="A1562" s="2">
        <v>38817</v>
      </c>
      <c r="B1562">
        <f>6.5/(100)</f>
        <v>6.5000000000000002E-2</v>
      </c>
      <c r="C1562">
        <f>6.381/(100)</f>
        <v>6.3810000000000006E-2</v>
      </c>
    </row>
    <row r="1563" spans="1:3" x14ac:dyDescent="0.3">
      <c r="A1563" s="2">
        <v>38818</v>
      </c>
      <c r="B1563">
        <f>6.5/(100)</f>
        <v>6.5000000000000002E-2</v>
      </c>
      <c r="C1563">
        <f>6.381/(100)</f>
        <v>6.3810000000000006E-2</v>
      </c>
    </row>
    <row r="1564" spans="1:3" x14ac:dyDescent="0.3">
      <c r="A1564" s="2">
        <v>38819</v>
      </c>
      <c r="B1564">
        <f>6.5/(100)</f>
        <v>6.5000000000000002E-2</v>
      </c>
      <c r="C1564">
        <f>6.358/(100)</f>
        <v>6.3579999999999998E-2</v>
      </c>
    </row>
    <row r="1565" spans="1:3" x14ac:dyDescent="0.3">
      <c r="A1565" s="2">
        <v>38820</v>
      </c>
      <c r="B1565">
        <f>6.5/(100)</f>
        <v>6.5000000000000002E-2</v>
      </c>
      <c r="C1565">
        <f>6.397/(100)</f>
        <v>6.3969999999999999E-2</v>
      </c>
    </row>
    <row r="1566" spans="1:3" x14ac:dyDescent="0.3">
      <c r="A1566" s="2">
        <v>38821</v>
      </c>
      <c r="B1566">
        <f>6.5/(100)</f>
        <v>6.5000000000000002E-2</v>
      </c>
      <c r="C1566">
        <f>6.397/(100)</f>
        <v>6.3969999999999999E-2</v>
      </c>
    </row>
    <row r="1567" spans="1:3" x14ac:dyDescent="0.3">
      <c r="A1567" s="2">
        <v>38822</v>
      </c>
      <c r="B1567">
        <f>6.5/(100)</f>
        <v>6.5000000000000002E-2</v>
      </c>
      <c r="C1567">
        <f>6.397/(100)</f>
        <v>6.3969999999999999E-2</v>
      </c>
    </row>
    <row r="1568" spans="1:3" x14ac:dyDescent="0.3">
      <c r="A1568" s="2">
        <v>38823</v>
      </c>
      <c r="B1568">
        <f>6.5/(100)</f>
        <v>6.5000000000000002E-2</v>
      </c>
      <c r="C1568">
        <f>6.397/(100)</f>
        <v>6.3969999999999999E-2</v>
      </c>
    </row>
    <row r="1569" spans="1:3" x14ac:dyDescent="0.3">
      <c r="A1569" s="2">
        <v>38824</v>
      </c>
      <c r="B1569">
        <f>6.5/(100)</f>
        <v>6.5000000000000002E-2</v>
      </c>
      <c r="C1569">
        <f>6.396/(100)</f>
        <v>6.3960000000000003E-2</v>
      </c>
    </row>
    <row r="1570" spans="1:3" x14ac:dyDescent="0.3">
      <c r="A1570" s="2">
        <v>38825</v>
      </c>
      <c r="B1570">
        <f>6.5/(100)</f>
        <v>6.5000000000000002E-2</v>
      </c>
      <c r="C1570">
        <f>6.293/(100)</f>
        <v>6.293E-2</v>
      </c>
    </row>
    <row r="1571" spans="1:3" x14ac:dyDescent="0.3">
      <c r="A1571" s="2">
        <v>38826</v>
      </c>
      <c r="B1571">
        <f>6.5/(100)</f>
        <v>6.5000000000000002E-2</v>
      </c>
      <c r="C1571">
        <f>6.232/(100)</f>
        <v>6.232E-2</v>
      </c>
    </row>
    <row r="1572" spans="1:3" x14ac:dyDescent="0.3">
      <c r="A1572" s="2">
        <v>38827</v>
      </c>
      <c r="B1572">
        <f>6.5/(100)</f>
        <v>6.5000000000000002E-2</v>
      </c>
      <c r="C1572">
        <f>6.206/(100)</f>
        <v>6.2060000000000004E-2</v>
      </c>
    </row>
    <row r="1573" spans="1:3" x14ac:dyDescent="0.3">
      <c r="A1573" s="2">
        <v>38828</v>
      </c>
      <c r="B1573">
        <f>6.5/(100)</f>
        <v>6.5000000000000002E-2</v>
      </c>
      <c r="C1573">
        <f>6.152/(100)</f>
        <v>6.1519999999999998E-2</v>
      </c>
    </row>
    <row r="1574" spans="1:3" x14ac:dyDescent="0.3">
      <c r="A1574" s="2">
        <v>38829</v>
      </c>
      <c r="B1574">
        <f>6.5/(100)</f>
        <v>6.5000000000000002E-2</v>
      </c>
      <c r="C1574">
        <f>6.152/(100)</f>
        <v>6.1519999999999998E-2</v>
      </c>
    </row>
    <row r="1575" spans="1:3" x14ac:dyDescent="0.3">
      <c r="A1575" s="2">
        <v>38830</v>
      </c>
      <c r="B1575">
        <f>6.5/(100)</f>
        <v>6.5000000000000002E-2</v>
      </c>
      <c r="C1575">
        <f>6.152/(100)</f>
        <v>6.1519999999999998E-2</v>
      </c>
    </row>
    <row r="1576" spans="1:3" x14ac:dyDescent="0.3">
      <c r="A1576" s="2">
        <v>38831</v>
      </c>
      <c r="B1576">
        <f>6.5/(100)</f>
        <v>6.5000000000000002E-2</v>
      </c>
      <c r="C1576">
        <f>6.248/(100)</f>
        <v>6.2480000000000001E-2</v>
      </c>
    </row>
    <row r="1577" spans="1:3" x14ac:dyDescent="0.3">
      <c r="A1577" s="2">
        <v>38832</v>
      </c>
      <c r="B1577">
        <f>6.5/(100)</f>
        <v>6.5000000000000002E-2</v>
      </c>
      <c r="C1577">
        <f>6.265/(100)</f>
        <v>6.2649999999999997E-2</v>
      </c>
    </row>
    <row r="1578" spans="1:3" x14ac:dyDescent="0.3">
      <c r="A1578" s="2">
        <v>38833</v>
      </c>
      <c r="B1578">
        <f>6.5/(100)</f>
        <v>6.5000000000000002E-2</v>
      </c>
      <c r="C1578">
        <f>6.286/(100)</f>
        <v>6.2859999999999999E-2</v>
      </c>
    </row>
    <row r="1579" spans="1:3" x14ac:dyDescent="0.3">
      <c r="A1579" s="2">
        <v>38834</v>
      </c>
      <c r="B1579">
        <f>6.5/(100)</f>
        <v>6.5000000000000002E-2</v>
      </c>
      <c r="C1579">
        <f>6.303/(100)</f>
        <v>6.3030000000000003E-2</v>
      </c>
    </row>
    <row r="1580" spans="1:3" x14ac:dyDescent="0.3">
      <c r="A1580" s="2">
        <v>38835</v>
      </c>
      <c r="B1580">
        <f>6.5/(100)</f>
        <v>6.5000000000000002E-2</v>
      </c>
      <c r="C1580">
        <f>6.272/(100)</f>
        <v>6.2719999999999998E-2</v>
      </c>
    </row>
    <row r="1581" spans="1:3" x14ac:dyDescent="0.3">
      <c r="A1581" s="2">
        <v>38836</v>
      </c>
      <c r="B1581">
        <f>6.5/(100)</f>
        <v>6.5000000000000002E-2</v>
      </c>
      <c r="C1581">
        <f>6.272/(100)</f>
        <v>6.2719999999999998E-2</v>
      </c>
    </row>
    <row r="1582" spans="1:3" x14ac:dyDescent="0.3">
      <c r="A1582" s="2">
        <v>38837</v>
      </c>
      <c r="B1582">
        <f>6.5/(100)</f>
        <v>6.5000000000000002E-2</v>
      </c>
      <c r="C1582">
        <f>6.272/(100)</f>
        <v>6.2719999999999998E-2</v>
      </c>
    </row>
    <row r="1583" spans="1:3" x14ac:dyDescent="0.3">
      <c r="A1583" s="2">
        <v>38838</v>
      </c>
      <c r="B1583">
        <f>6.5/(100)</f>
        <v>6.5000000000000002E-2</v>
      </c>
      <c r="C1583">
        <f>6.272/(100)</f>
        <v>6.2719999999999998E-2</v>
      </c>
    </row>
    <row r="1584" spans="1:3" x14ac:dyDescent="0.3">
      <c r="A1584" s="2">
        <v>38839</v>
      </c>
      <c r="B1584">
        <f>6.5/(100)</f>
        <v>6.5000000000000002E-2</v>
      </c>
      <c r="C1584">
        <f>6.351/(100)</f>
        <v>6.3509999999999997E-2</v>
      </c>
    </row>
    <row r="1585" spans="1:3" x14ac:dyDescent="0.3">
      <c r="A1585" s="2">
        <v>38840</v>
      </c>
      <c r="B1585">
        <f>6.5/(100)</f>
        <v>6.5000000000000002E-2</v>
      </c>
      <c r="C1585">
        <f>6.365/(100)</f>
        <v>6.3649999999999998E-2</v>
      </c>
    </row>
    <row r="1586" spans="1:3" x14ac:dyDescent="0.3">
      <c r="A1586" s="2">
        <v>38841</v>
      </c>
      <c r="B1586">
        <f>6.5/(100)</f>
        <v>6.5000000000000002E-2</v>
      </c>
      <c r="C1586">
        <f>6.36/(100)</f>
        <v>6.3600000000000004E-2</v>
      </c>
    </row>
    <row r="1587" spans="1:3" x14ac:dyDescent="0.3">
      <c r="A1587" s="2">
        <v>38842</v>
      </c>
      <c r="B1587">
        <f>6.5/(100)</f>
        <v>6.5000000000000002E-2</v>
      </c>
      <c r="C1587">
        <f>6.341/(100)</f>
        <v>6.3410000000000008E-2</v>
      </c>
    </row>
    <row r="1588" spans="1:3" x14ac:dyDescent="0.3">
      <c r="A1588" s="2">
        <v>38843</v>
      </c>
      <c r="B1588">
        <f>6.5/(100)</f>
        <v>6.5000000000000002E-2</v>
      </c>
      <c r="C1588">
        <f>6.341/(100)</f>
        <v>6.3410000000000008E-2</v>
      </c>
    </row>
    <row r="1589" spans="1:3" x14ac:dyDescent="0.3">
      <c r="A1589" s="2">
        <v>38844</v>
      </c>
      <c r="B1589">
        <f>6.5/(100)</f>
        <v>6.5000000000000002E-2</v>
      </c>
      <c r="C1589">
        <f>6.341/(100)</f>
        <v>6.3410000000000008E-2</v>
      </c>
    </row>
    <row r="1590" spans="1:3" x14ac:dyDescent="0.3">
      <c r="A1590" s="2">
        <v>38845</v>
      </c>
      <c r="B1590">
        <f>6.5/(100)</f>
        <v>6.5000000000000002E-2</v>
      </c>
      <c r="C1590">
        <f>6.371/(100)</f>
        <v>6.3710000000000003E-2</v>
      </c>
    </row>
    <row r="1591" spans="1:3" x14ac:dyDescent="0.3">
      <c r="A1591" s="2">
        <v>38846</v>
      </c>
      <c r="B1591">
        <f>6.5/(100)</f>
        <v>6.5000000000000002E-2</v>
      </c>
      <c r="C1591">
        <f>6.374/(100)</f>
        <v>6.3739999999999991E-2</v>
      </c>
    </row>
    <row r="1592" spans="1:3" x14ac:dyDescent="0.3">
      <c r="A1592" s="2">
        <v>38847</v>
      </c>
      <c r="B1592">
        <f>6.5/(100)</f>
        <v>6.5000000000000002E-2</v>
      </c>
      <c r="C1592">
        <f>6.368/(100)</f>
        <v>6.368E-2</v>
      </c>
    </row>
    <row r="1593" spans="1:3" x14ac:dyDescent="0.3">
      <c r="A1593" s="2">
        <v>38848</v>
      </c>
      <c r="B1593">
        <f>6.5/(100)</f>
        <v>6.5000000000000002E-2</v>
      </c>
      <c r="C1593">
        <f>6.343/(100)</f>
        <v>6.343E-2</v>
      </c>
    </row>
    <row r="1594" spans="1:3" x14ac:dyDescent="0.3">
      <c r="A1594" s="2">
        <v>38849</v>
      </c>
      <c r="B1594">
        <f>6.5/(100)</f>
        <v>6.5000000000000002E-2</v>
      </c>
      <c r="C1594">
        <f>6.413/(100)</f>
        <v>6.4130000000000006E-2</v>
      </c>
    </row>
    <row r="1595" spans="1:3" x14ac:dyDescent="0.3">
      <c r="A1595" s="2">
        <v>38850</v>
      </c>
      <c r="B1595">
        <f>6.5/(100)</f>
        <v>6.5000000000000002E-2</v>
      </c>
      <c r="C1595">
        <f>6.413/(100)</f>
        <v>6.4130000000000006E-2</v>
      </c>
    </row>
    <row r="1596" spans="1:3" x14ac:dyDescent="0.3">
      <c r="A1596" s="2">
        <v>38851</v>
      </c>
      <c r="B1596">
        <f>6.5/(100)</f>
        <v>6.5000000000000002E-2</v>
      </c>
      <c r="C1596">
        <f>6.413/(100)</f>
        <v>6.4130000000000006E-2</v>
      </c>
    </row>
    <row r="1597" spans="1:3" x14ac:dyDescent="0.3">
      <c r="A1597" s="2">
        <v>38852</v>
      </c>
      <c r="B1597">
        <f>6.5/(100)</f>
        <v>6.5000000000000002E-2</v>
      </c>
      <c r="C1597">
        <f>6.505/(100)</f>
        <v>6.5049999999999997E-2</v>
      </c>
    </row>
    <row r="1598" spans="1:3" x14ac:dyDescent="0.3">
      <c r="A1598" s="2">
        <v>38853</v>
      </c>
      <c r="B1598">
        <f>6.5/(100)</f>
        <v>6.5000000000000002E-2</v>
      </c>
      <c r="C1598">
        <f>6.475/(100)</f>
        <v>6.4750000000000002E-2</v>
      </c>
    </row>
    <row r="1599" spans="1:3" x14ac:dyDescent="0.3">
      <c r="A1599" s="2">
        <v>38854</v>
      </c>
      <c r="B1599">
        <f>6.5/(100)</f>
        <v>6.5000000000000002E-2</v>
      </c>
      <c r="C1599">
        <f>6.469/(100)</f>
        <v>6.4689999999999998E-2</v>
      </c>
    </row>
    <row r="1600" spans="1:3" x14ac:dyDescent="0.3">
      <c r="A1600" s="2">
        <v>38855</v>
      </c>
      <c r="B1600">
        <f>6.5/(100)</f>
        <v>6.5000000000000002E-2</v>
      </c>
      <c r="C1600">
        <f>6.5/(100)</f>
        <v>6.5000000000000002E-2</v>
      </c>
    </row>
    <row r="1601" spans="1:3" x14ac:dyDescent="0.3">
      <c r="A1601" s="2">
        <v>38856</v>
      </c>
      <c r="B1601">
        <f>6.5/(100)</f>
        <v>6.5000000000000002E-2</v>
      </c>
      <c r="C1601">
        <f>6.505/(100)</f>
        <v>6.5049999999999997E-2</v>
      </c>
    </row>
    <row r="1602" spans="1:3" x14ac:dyDescent="0.3">
      <c r="A1602" s="2">
        <v>38857</v>
      </c>
      <c r="B1602">
        <f>6.5/(100)</f>
        <v>6.5000000000000002E-2</v>
      </c>
      <c r="C1602">
        <f>6.505/(100)</f>
        <v>6.5049999999999997E-2</v>
      </c>
    </row>
    <row r="1603" spans="1:3" x14ac:dyDescent="0.3">
      <c r="A1603" s="2">
        <v>38858</v>
      </c>
      <c r="B1603">
        <f>6.5/(100)</f>
        <v>6.5000000000000002E-2</v>
      </c>
      <c r="C1603">
        <f>6.505/(100)</f>
        <v>6.5049999999999997E-2</v>
      </c>
    </row>
    <row r="1604" spans="1:3" x14ac:dyDescent="0.3">
      <c r="A1604" s="2">
        <v>38859</v>
      </c>
      <c r="B1604">
        <f>6.5/(100)</f>
        <v>6.5000000000000002E-2</v>
      </c>
      <c r="C1604">
        <f>6.491/(100)</f>
        <v>6.4909999999999995E-2</v>
      </c>
    </row>
    <row r="1605" spans="1:3" x14ac:dyDescent="0.3">
      <c r="A1605" s="2">
        <v>38860</v>
      </c>
      <c r="B1605">
        <f>6.5/(100)</f>
        <v>6.5000000000000002E-2</v>
      </c>
      <c r="C1605">
        <f>6.501/(100)</f>
        <v>6.5009999999999998E-2</v>
      </c>
    </row>
    <row r="1606" spans="1:3" x14ac:dyDescent="0.3">
      <c r="A1606" s="2">
        <v>38861</v>
      </c>
      <c r="B1606">
        <f>6.5/(100)</f>
        <v>6.5000000000000002E-2</v>
      </c>
      <c r="C1606">
        <f>6.459/(100)</f>
        <v>6.4589999999999995E-2</v>
      </c>
    </row>
    <row r="1607" spans="1:3" x14ac:dyDescent="0.3">
      <c r="A1607" s="2">
        <v>38862</v>
      </c>
      <c r="B1607">
        <f>6.5/(100)</f>
        <v>6.5000000000000002E-2</v>
      </c>
      <c r="C1607">
        <f>6.445/(100)</f>
        <v>6.4450000000000007E-2</v>
      </c>
    </row>
    <row r="1608" spans="1:3" x14ac:dyDescent="0.3">
      <c r="A1608" s="2">
        <v>38863</v>
      </c>
      <c r="B1608">
        <f>6.5/(100)</f>
        <v>6.5000000000000002E-2</v>
      </c>
      <c r="C1608">
        <f>6.439/(100)</f>
        <v>6.4390000000000003E-2</v>
      </c>
    </row>
    <row r="1609" spans="1:3" x14ac:dyDescent="0.3">
      <c r="A1609" s="2">
        <v>38864</v>
      </c>
      <c r="B1609">
        <f>6.5/(100)</f>
        <v>6.5000000000000002E-2</v>
      </c>
      <c r="C1609">
        <f>6.439/(100)</f>
        <v>6.4390000000000003E-2</v>
      </c>
    </row>
    <row r="1610" spans="1:3" x14ac:dyDescent="0.3">
      <c r="A1610" s="2">
        <v>38865</v>
      </c>
      <c r="B1610">
        <f>6.5/(100)</f>
        <v>6.5000000000000002E-2</v>
      </c>
      <c r="C1610">
        <f>6.439/(100)</f>
        <v>6.4390000000000003E-2</v>
      </c>
    </row>
    <row r="1611" spans="1:3" x14ac:dyDescent="0.3">
      <c r="A1611" s="2">
        <v>38866</v>
      </c>
      <c r="B1611">
        <f>6.5/(100)</f>
        <v>6.5000000000000002E-2</v>
      </c>
      <c r="C1611">
        <f>6.467/(100)</f>
        <v>6.4669999999999991E-2</v>
      </c>
    </row>
    <row r="1612" spans="1:3" x14ac:dyDescent="0.3">
      <c r="A1612" s="2">
        <v>38867</v>
      </c>
      <c r="B1612">
        <f>6.5/(100)</f>
        <v>6.5000000000000002E-2</v>
      </c>
      <c r="C1612">
        <f>6.48/(100)</f>
        <v>6.480000000000001E-2</v>
      </c>
    </row>
    <row r="1613" spans="1:3" x14ac:dyDescent="0.3">
      <c r="A1613" s="2">
        <v>38868</v>
      </c>
      <c r="B1613">
        <f>6.5/(100)</f>
        <v>6.5000000000000002E-2</v>
      </c>
      <c r="C1613">
        <f>6.495/(100)</f>
        <v>6.4950000000000008E-2</v>
      </c>
    </row>
    <row r="1614" spans="1:3" x14ac:dyDescent="0.3">
      <c r="A1614" s="2">
        <v>38869</v>
      </c>
      <c r="B1614">
        <f>6.5/(100)</f>
        <v>6.5000000000000002E-2</v>
      </c>
      <c r="C1614">
        <f>6.489/(100)</f>
        <v>6.4890000000000003E-2</v>
      </c>
    </row>
    <row r="1615" spans="1:3" x14ac:dyDescent="0.3">
      <c r="A1615" s="2">
        <v>38870</v>
      </c>
      <c r="B1615">
        <f>6.5/(100)</f>
        <v>6.5000000000000002E-2</v>
      </c>
      <c r="C1615">
        <f>6.465/(100)</f>
        <v>6.4649999999999999E-2</v>
      </c>
    </row>
    <row r="1616" spans="1:3" x14ac:dyDescent="0.3">
      <c r="A1616" s="2">
        <v>38871</v>
      </c>
      <c r="B1616">
        <f>6.5/(100)</f>
        <v>6.5000000000000002E-2</v>
      </c>
      <c r="C1616">
        <f>6.465/(100)</f>
        <v>6.4649999999999999E-2</v>
      </c>
    </row>
    <row r="1617" spans="1:3" x14ac:dyDescent="0.3">
      <c r="A1617" s="2">
        <v>38872</v>
      </c>
      <c r="B1617">
        <f>6.5/(100)</f>
        <v>6.5000000000000002E-2</v>
      </c>
      <c r="C1617">
        <f>6.465/(100)</f>
        <v>6.4649999999999999E-2</v>
      </c>
    </row>
    <row r="1618" spans="1:3" x14ac:dyDescent="0.3">
      <c r="A1618" s="2">
        <v>38873</v>
      </c>
      <c r="B1618">
        <f>6.5/(100)</f>
        <v>6.5000000000000002E-2</v>
      </c>
      <c r="C1618">
        <f>6.509/(100)</f>
        <v>6.5090000000000009E-2</v>
      </c>
    </row>
    <row r="1619" spans="1:3" x14ac:dyDescent="0.3">
      <c r="A1619" s="2">
        <v>38874</v>
      </c>
      <c r="B1619">
        <f>6.5/(100)</f>
        <v>6.5000000000000002E-2</v>
      </c>
      <c r="C1619">
        <f>6.539/(100)</f>
        <v>6.5390000000000004E-2</v>
      </c>
    </row>
    <row r="1620" spans="1:3" x14ac:dyDescent="0.3">
      <c r="A1620" s="2">
        <v>38875</v>
      </c>
      <c r="B1620">
        <f>6.5/(100)</f>
        <v>6.5000000000000002E-2</v>
      </c>
      <c r="C1620">
        <f>6.529/(100)</f>
        <v>6.5290000000000001E-2</v>
      </c>
    </row>
    <row r="1621" spans="1:3" x14ac:dyDescent="0.3">
      <c r="A1621" s="2">
        <v>38876</v>
      </c>
      <c r="B1621">
        <f>6.5/(100)</f>
        <v>6.5000000000000002E-2</v>
      </c>
      <c r="C1621">
        <f>6.541/(100)</f>
        <v>6.541000000000001E-2</v>
      </c>
    </row>
    <row r="1622" spans="1:3" x14ac:dyDescent="0.3">
      <c r="A1622" s="2">
        <v>38877</v>
      </c>
      <c r="B1622">
        <f>6.5/(100)</f>
        <v>6.5000000000000002E-2</v>
      </c>
      <c r="C1622">
        <f>6.704/(100)</f>
        <v>6.7040000000000002E-2</v>
      </c>
    </row>
    <row r="1623" spans="1:3" x14ac:dyDescent="0.3">
      <c r="A1623" s="2">
        <v>38878</v>
      </c>
      <c r="B1623">
        <f>6.5/(100)</f>
        <v>6.5000000000000002E-2</v>
      </c>
      <c r="C1623">
        <f>6.704/(100)</f>
        <v>6.7040000000000002E-2</v>
      </c>
    </row>
    <row r="1624" spans="1:3" x14ac:dyDescent="0.3">
      <c r="A1624" s="2">
        <v>38879</v>
      </c>
      <c r="B1624">
        <f>6.5/(100)</f>
        <v>6.5000000000000002E-2</v>
      </c>
      <c r="C1624">
        <f>6.704/(100)</f>
        <v>6.7040000000000002E-2</v>
      </c>
    </row>
    <row r="1625" spans="1:3" x14ac:dyDescent="0.3">
      <c r="A1625" s="2">
        <v>38880</v>
      </c>
      <c r="B1625">
        <f>6.5/(100)</f>
        <v>6.5000000000000002E-2</v>
      </c>
      <c r="C1625">
        <f>6.675/(100)</f>
        <v>6.6750000000000004E-2</v>
      </c>
    </row>
    <row r="1626" spans="1:3" x14ac:dyDescent="0.3">
      <c r="A1626" s="2">
        <v>38881</v>
      </c>
      <c r="B1626">
        <f>6.5/(100)</f>
        <v>6.5000000000000002E-2</v>
      </c>
      <c r="C1626">
        <f>6.824/(100)</f>
        <v>6.8239999999999995E-2</v>
      </c>
    </row>
    <row r="1627" spans="1:3" x14ac:dyDescent="0.3">
      <c r="A1627" s="2">
        <v>38882</v>
      </c>
      <c r="B1627">
        <f>6.5/(100)</f>
        <v>6.5000000000000002E-2</v>
      </c>
      <c r="C1627">
        <f>6.861/(100)</f>
        <v>6.8610000000000004E-2</v>
      </c>
    </row>
    <row r="1628" spans="1:3" x14ac:dyDescent="0.3">
      <c r="A1628" s="2">
        <v>38883</v>
      </c>
      <c r="B1628">
        <f>6.5/(100)</f>
        <v>6.5000000000000002E-2</v>
      </c>
      <c r="C1628">
        <f>6.869/(100)</f>
        <v>6.8690000000000001E-2</v>
      </c>
    </row>
    <row r="1629" spans="1:3" x14ac:dyDescent="0.3">
      <c r="A1629" s="2">
        <v>38884</v>
      </c>
      <c r="B1629">
        <f>6.5/(100)</f>
        <v>6.5000000000000002E-2</v>
      </c>
      <c r="C1629">
        <f>6.88/(100)</f>
        <v>6.88E-2</v>
      </c>
    </row>
    <row r="1630" spans="1:3" x14ac:dyDescent="0.3">
      <c r="A1630" s="2">
        <v>38885</v>
      </c>
      <c r="B1630">
        <f>6.5/(100)</f>
        <v>6.5000000000000002E-2</v>
      </c>
      <c r="C1630">
        <f>6.88/(100)</f>
        <v>6.88E-2</v>
      </c>
    </row>
    <row r="1631" spans="1:3" x14ac:dyDescent="0.3">
      <c r="A1631" s="2">
        <v>38886</v>
      </c>
      <c r="B1631">
        <f>6.5/(100)</f>
        <v>6.5000000000000002E-2</v>
      </c>
      <c r="C1631">
        <f>6.88/(100)</f>
        <v>6.88E-2</v>
      </c>
    </row>
    <row r="1632" spans="1:3" x14ac:dyDescent="0.3">
      <c r="A1632" s="2">
        <v>38887</v>
      </c>
      <c r="B1632">
        <f>6.5/(100)</f>
        <v>6.5000000000000002E-2</v>
      </c>
      <c r="C1632">
        <f>6.98/(100)</f>
        <v>6.9800000000000001E-2</v>
      </c>
    </row>
    <row r="1633" spans="1:3" x14ac:dyDescent="0.3">
      <c r="A1633" s="2">
        <v>38888</v>
      </c>
      <c r="B1633">
        <f>6.5/(100)</f>
        <v>6.5000000000000002E-2</v>
      </c>
      <c r="C1633">
        <f>7.011/(100)</f>
        <v>7.0110000000000006E-2</v>
      </c>
    </row>
    <row r="1634" spans="1:3" x14ac:dyDescent="0.3">
      <c r="A1634" s="2">
        <v>38889</v>
      </c>
      <c r="B1634">
        <f>6.5/(100)</f>
        <v>6.5000000000000002E-2</v>
      </c>
      <c r="C1634">
        <f>7.01/(100)</f>
        <v>7.0099999999999996E-2</v>
      </c>
    </row>
    <row r="1635" spans="1:3" x14ac:dyDescent="0.3">
      <c r="A1635" s="2">
        <v>38890</v>
      </c>
      <c r="B1635">
        <f>6.5/(100)</f>
        <v>6.5000000000000002E-2</v>
      </c>
      <c r="C1635">
        <f>7.02/(100)</f>
        <v>7.0199999999999999E-2</v>
      </c>
    </row>
    <row r="1636" spans="1:3" x14ac:dyDescent="0.3">
      <c r="A1636" s="2">
        <v>38891</v>
      </c>
      <c r="B1636">
        <f>6.5/(100)</f>
        <v>6.5000000000000002E-2</v>
      </c>
      <c r="C1636">
        <f>7.131/(100)</f>
        <v>7.1309999999999998E-2</v>
      </c>
    </row>
    <row r="1637" spans="1:3" x14ac:dyDescent="0.3">
      <c r="A1637" s="2">
        <v>38892</v>
      </c>
      <c r="B1637">
        <f>6.5/(100)</f>
        <v>6.5000000000000002E-2</v>
      </c>
      <c r="C1637">
        <f>7.131/(100)</f>
        <v>7.1309999999999998E-2</v>
      </c>
    </row>
    <row r="1638" spans="1:3" x14ac:dyDescent="0.3">
      <c r="A1638" s="2">
        <v>38893</v>
      </c>
      <c r="B1638">
        <f>6.5/(100)</f>
        <v>6.5000000000000002E-2</v>
      </c>
      <c r="C1638">
        <f>7.131/(100)</f>
        <v>7.1309999999999998E-2</v>
      </c>
    </row>
    <row r="1639" spans="1:3" x14ac:dyDescent="0.3">
      <c r="A1639" s="2">
        <v>38894</v>
      </c>
      <c r="B1639">
        <f>6.5/(100)</f>
        <v>6.5000000000000002E-2</v>
      </c>
      <c r="C1639">
        <f>7.111/(100)</f>
        <v>7.1109999999999993E-2</v>
      </c>
    </row>
    <row r="1640" spans="1:3" x14ac:dyDescent="0.3">
      <c r="A1640" s="2">
        <v>38895</v>
      </c>
      <c r="B1640">
        <f>6.5/(100)</f>
        <v>6.5000000000000002E-2</v>
      </c>
      <c r="C1640">
        <f>7.065/(100)</f>
        <v>7.0650000000000004E-2</v>
      </c>
    </row>
    <row r="1641" spans="1:3" x14ac:dyDescent="0.3">
      <c r="A1641" s="2">
        <v>38896</v>
      </c>
      <c r="B1641">
        <f>6.5/(100)</f>
        <v>6.5000000000000002E-2</v>
      </c>
      <c r="C1641">
        <f>7.059/(100)</f>
        <v>7.059E-2</v>
      </c>
    </row>
    <row r="1642" spans="1:3" x14ac:dyDescent="0.3">
      <c r="A1642" s="2">
        <v>38897</v>
      </c>
      <c r="B1642">
        <f>6.5/(100)</f>
        <v>6.5000000000000002E-2</v>
      </c>
      <c r="C1642">
        <f>7.024/(100)</f>
        <v>7.0239999999999997E-2</v>
      </c>
    </row>
    <row r="1643" spans="1:3" x14ac:dyDescent="0.3">
      <c r="A1643" s="2">
        <v>38898</v>
      </c>
      <c r="B1643">
        <f>6.5/(100)</f>
        <v>6.5000000000000002E-2</v>
      </c>
      <c r="C1643">
        <f>7.001/(100)</f>
        <v>7.0010000000000003E-2</v>
      </c>
    </row>
    <row r="1644" spans="1:3" x14ac:dyDescent="0.3">
      <c r="A1644" s="2">
        <v>38899</v>
      </c>
      <c r="B1644">
        <f>6.5/(100)</f>
        <v>6.5000000000000002E-2</v>
      </c>
      <c r="C1644">
        <f>7.001/(100)</f>
        <v>7.0010000000000003E-2</v>
      </c>
    </row>
    <row r="1645" spans="1:3" x14ac:dyDescent="0.3">
      <c r="A1645" s="2">
        <v>38900</v>
      </c>
      <c r="B1645">
        <f>6.5/(100)</f>
        <v>6.5000000000000002E-2</v>
      </c>
      <c r="C1645">
        <f>7.001/(100)</f>
        <v>7.0010000000000003E-2</v>
      </c>
    </row>
    <row r="1646" spans="1:3" x14ac:dyDescent="0.3">
      <c r="A1646" s="2">
        <v>38901</v>
      </c>
      <c r="B1646">
        <f>6.5/(100)</f>
        <v>6.5000000000000002E-2</v>
      </c>
      <c r="C1646">
        <f>6.966/(100)</f>
        <v>6.966E-2</v>
      </c>
    </row>
    <row r="1647" spans="1:3" x14ac:dyDescent="0.3">
      <c r="A1647" s="2">
        <v>38902</v>
      </c>
      <c r="B1647">
        <f>6.5/(100)</f>
        <v>6.5000000000000002E-2</v>
      </c>
      <c r="C1647">
        <f>7.006/(100)</f>
        <v>7.0059999999999997E-2</v>
      </c>
    </row>
    <row r="1648" spans="1:3" x14ac:dyDescent="0.3">
      <c r="A1648" s="2">
        <v>38903</v>
      </c>
      <c r="B1648">
        <f>6.5/(100)</f>
        <v>6.5000000000000002E-2</v>
      </c>
      <c r="C1648">
        <f>7.058/(100)</f>
        <v>7.0580000000000004E-2</v>
      </c>
    </row>
    <row r="1649" spans="1:3" x14ac:dyDescent="0.3">
      <c r="A1649" s="2">
        <v>38904</v>
      </c>
      <c r="B1649">
        <f>6.5/(100)</f>
        <v>6.5000000000000002E-2</v>
      </c>
      <c r="C1649">
        <f>7.058/(100)</f>
        <v>7.0580000000000004E-2</v>
      </c>
    </row>
    <row r="1650" spans="1:3" x14ac:dyDescent="0.3">
      <c r="A1650" s="2">
        <v>38905</v>
      </c>
      <c r="B1650">
        <f>6.5/(100)</f>
        <v>6.5000000000000002E-2</v>
      </c>
      <c r="C1650">
        <f>6.996/(100)</f>
        <v>6.9960000000000008E-2</v>
      </c>
    </row>
    <row r="1651" spans="1:3" x14ac:dyDescent="0.3">
      <c r="A1651" s="2">
        <v>38906</v>
      </c>
      <c r="B1651">
        <f>6.5/(100)</f>
        <v>6.5000000000000002E-2</v>
      </c>
      <c r="C1651">
        <f>6.996/(100)</f>
        <v>6.9960000000000008E-2</v>
      </c>
    </row>
    <row r="1652" spans="1:3" x14ac:dyDescent="0.3">
      <c r="A1652" s="2">
        <v>38907</v>
      </c>
      <c r="B1652">
        <f>6.5/(100)</f>
        <v>6.5000000000000002E-2</v>
      </c>
      <c r="C1652">
        <f>6.996/(100)</f>
        <v>6.9960000000000008E-2</v>
      </c>
    </row>
    <row r="1653" spans="1:3" x14ac:dyDescent="0.3">
      <c r="A1653" s="2">
        <v>38908</v>
      </c>
      <c r="B1653">
        <f>6.5/(100)</f>
        <v>6.5000000000000002E-2</v>
      </c>
      <c r="C1653">
        <f>6.99/(100)</f>
        <v>6.9900000000000004E-2</v>
      </c>
    </row>
    <row r="1654" spans="1:3" x14ac:dyDescent="0.3">
      <c r="A1654" s="2">
        <v>38909</v>
      </c>
      <c r="B1654">
        <f>6.5/(100)</f>
        <v>6.5000000000000002E-2</v>
      </c>
      <c r="C1654">
        <f>7.007/(100)</f>
        <v>7.0069999999999993E-2</v>
      </c>
    </row>
    <row r="1655" spans="1:3" x14ac:dyDescent="0.3">
      <c r="A1655" s="2">
        <v>38910</v>
      </c>
      <c r="B1655">
        <f>6.5/(100)</f>
        <v>6.5000000000000002E-2</v>
      </c>
      <c r="C1655">
        <f>7.032/(100)</f>
        <v>7.0319999999999994E-2</v>
      </c>
    </row>
    <row r="1656" spans="1:3" x14ac:dyDescent="0.3">
      <c r="A1656" s="2">
        <v>38911</v>
      </c>
      <c r="B1656">
        <f>6.5/(100)</f>
        <v>6.5000000000000002E-2</v>
      </c>
      <c r="C1656">
        <f>7.022/(100)</f>
        <v>7.0220000000000005E-2</v>
      </c>
    </row>
    <row r="1657" spans="1:3" x14ac:dyDescent="0.3">
      <c r="A1657" s="2">
        <v>38912</v>
      </c>
      <c r="B1657">
        <f>6.5/(100)</f>
        <v>6.5000000000000002E-2</v>
      </c>
      <c r="C1657">
        <f>6.959/(100)</f>
        <v>6.9589999999999999E-2</v>
      </c>
    </row>
    <row r="1658" spans="1:3" x14ac:dyDescent="0.3">
      <c r="A1658" s="2">
        <v>38913</v>
      </c>
      <c r="B1658">
        <f>6.5/(100)</f>
        <v>6.5000000000000002E-2</v>
      </c>
      <c r="C1658">
        <f>6.959/(100)</f>
        <v>6.9589999999999999E-2</v>
      </c>
    </row>
    <row r="1659" spans="1:3" x14ac:dyDescent="0.3">
      <c r="A1659" s="2">
        <v>38914</v>
      </c>
      <c r="B1659">
        <f>6.5/(100)</f>
        <v>6.5000000000000002E-2</v>
      </c>
      <c r="C1659">
        <f>6.959/(100)</f>
        <v>6.9589999999999999E-2</v>
      </c>
    </row>
    <row r="1660" spans="1:3" x14ac:dyDescent="0.3">
      <c r="A1660" s="2">
        <v>38915</v>
      </c>
      <c r="B1660">
        <f>6.5/(100)</f>
        <v>6.5000000000000002E-2</v>
      </c>
      <c r="C1660">
        <f>6.966/(100)</f>
        <v>6.966E-2</v>
      </c>
    </row>
    <row r="1661" spans="1:3" x14ac:dyDescent="0.3">
      <c r="A1661" s="2">
        <v>38916</v>
      </c>
      <c r="B1661">
        <f>6.5/(100)</f>
        <v>6.5000000000000002E-2</v>
      </c>
      <c r="C1661">
        <f>6.971/(100)</f>
        <v>6.9709999999999994E-2</v>
      </c>
    </row>
    <row r="1662" spans="1:3" x14ac:dyDescent="0.3">
      <c r="A1662" s="2">
        <v>38917</v>
      </c>
      <c r="B1662">
        <f>6.5/(100)</f>
        <v>6.5000000000000002E-2</v>
      </c>
      <c r="C1662">
        <f>7.024/(100)</f>
        <v>7.0239999999999997E-2</v>
      </c>
    </row>
    <row r="1663" spans="1:3" x14ac:dyDescent="0.3">
      <c r="A1663" s="2">
        <v>38918</v>
      </c>
      <c r="B1663">
        <f>6.5/(100)</f>
        <v>6.5000000000000002E-2</v>
      </c>
      <c r="C1663">
        <f>6.994/(100)</f>
        <v>6.9940000000000002E-2</v>
      </c>
    </row>
    <row r="1664" spans="1:3" x14ac:dyDescent="0.3">
      <c r="A1664" s="2">
        <v>38919</v>
      </c>
      <c r="B1664">
        <f>6.5/(100)</f>
        <v>6.5000000000000002E-2</v>
      </c>
      <c r="C1664">
        <f>6.934/(100)</f>
        <v>6.9339999999999999E-2</v>
      </c>
    </row>
    <row r="1665" spans="1:3" x14ac:dyDescent="0.3">
      <c r="A1665" s="2">
        <v>38920</v>
      </c>
      <c r="B1665">
        <f>6.5/(100)</f>
        <v>6.5000000000000002E-2</v>
      </c>
      <c r="C1665">
        <f>6.934/(100)</f>
        <v>6.9339999999999999E-2</v>
      </c>
    </row>
    <row r="1666" spans="1:3" x14ac:dyDescent="0.3">
      <c r="A1666" s="2">
        <v>38921</v>
      </c>
      <c r="B1666">
        <f>6.5/(100)</f>
        <v>6.5000000000000002E-2</v>
      </c>
      <c r="C1666">
        <f>6.934/(100)</f>
        <v>6.9339999999999999E-2</v>
      </c>
    </row>
    <row r="1667" spans="1:3" x14ac:dyDescent="0.3">
      <c r="A1667" s="2">
        <v>38922</v>
      </c>
      <c r="B1667">
        <f>6.5/(100)</f>
        <v>6.5000000000000002E-2</v>
      </c>
      <c r="C1667">
        <f>6.883/(100)</f>
        <v>6.8830000000000002E-2</v>
      </c>
    </row>
    <row r="1668" spans="1:3" x14ac:dyDescent="0.3">
      <c r="A1668" s="2">
        <v>38923</v>
      </c>
      <c r="B1668">
        <f>7/(100)</f>
        <v>7.0000000000000007E-2</v>
      </c>
      <c r="C1668">
        <f>6.911/(100)</f>
        <v>6.9109999999999991E-2</v>
      </c>
    </row>
    <row r="1669" spans="1:3" x14ac:dyDescent="0.3">
      <c r="A1669" s="2">
        <v>38924</v>
      </c>
      <c r="B1669">
        <f>7/(100)</f>
        <v>7.0000000000000007E-2</v>
      </c>
      <c r="C1669">
        <f>6.911/(100)</f>
        <v>6.9109999999999991E-2</v>
      </c>
    </row>
    <row r="1670" spans="1:3" x14ac:dyDescent="0.3">
      <c r="A1670" s="2">
        <v>38925</v>
      </c>
      <c r="B1670">
        <f>7/(100)</f>
        <v>7.0000000000000007E-2</v>
      </c>
      <c r="C1670">
        <f>6.874/(100)</f>
        <v>6.8739999999999996E-2</v>
      </c>
    </row>
    <row r="1671" spans="1:3" x14ac:dyDescent="0.3">
      <c r="A1671" s="2">
        <v>38926</v>
      </c>
      <c r="B1671">
        <f>7/(100)</f>
        <v>7.0000000000000007E-2</v>
      </c>
      <c r="C1671">
        <f>6.914/(100)</f>
        <v>6.9139999999999993E-2</v>
      </c>
    </row>
    <row r="1672" spans="1:3" x14ac:dyDescent="0.3">
      <c r="A1672" s="2">
        <v>38927</v>
      </c>
      <c r="B1672">
        <f>7/(100)</f>
        <v>7.0000000000000007E-2</v>
      </c>
      <c r="C1672">
        <f>6.914/(100)</f>
        <v>6.9139999999999993E-2</v>
      </c>
    </row>
    <row r="1673" spans="1:3" x14ac:dyDescent="0.3">
      <c r="A1673" s="2">
        <v>38928</v>
      </c>
      <c r="B1673">
        <f>7/(100)</f>
        <v>7.0000000000000007E-2</v>
      </c>
      <c r="C1673">
        <f>6.914/(100)</f>
        <v>6.9139999999999993E-2</v>
      </c>
    </row>
    <row r="1674" spans="1:3" x14ac:dyDescent="0.3">
      <c r="A1674" s="2">
        <v>38929</v>
      </c>
      <c r="B1674">
        <f>7/(100)</f>
        <v>7.0000000000000007E-2</v>
      </c>
      <c r="C1674">
        <f>6.906/(100)</f>
        <v>6.9059999999999996E-2</v>
      </c>
    </row>
    <row r="1675" spans="1:3" x14ac:dyDescent="0.3">
      <c r="A1675" s="2">
        <v>38930</v>
      </c>
      <c r="B1675">
        <f>7/(100)</f>
        <v>7.0000000000000007E-2</v>
      </c>
      <c r="C1675">
        <f>6.942/(100)</f>
        <v>6.9419999999999996E-2</v>
      </c>
    </row>
    <row r="1676" spans="1:3" x14ac:dyDescent="0.3">
      <c r="A1676" s="2">
        <v>38931</v>
      </c>
      <c r="B1676">
        <f>7/(100)</f>
        <v>7.0000000000000007E-2</v>
      </c>
      <c r="C1676">
        <f>6.93/(100)</f>
        <v>6.93E-2</v>
      </c>
    </row>
    <row r="1677" spans="1:3" x14ac:dyDescent="0.3">
      <c r="A1677" s="2">
        <v>38932</v>
      </c>
      <c r="B1677">
        <f>7/(100)</f>
        <v>7.0000000000000007E-2</v>
      </c>
      <c r="C1677">
        <f>6.924/(100)</f>
        <v>6.924000000000001E-2</v>
      </c>
    </row>
    <row r="1678" spans="1:3" x14ac:dyDescent="0.3">
      <c r="A1678" s="2">
        <v>38933</v>
      </c>
      <c r="B1678">
        <f>7/(100)</f>
        <v>7.0000000000000007E-2</v>
      </c>
      <c r="C1678">
        <f>6.903/(100)</f>
        <v>6.9029999999999994E-2</v>
      </c>
    </row>
    <row r="1679" spans="1:3" x14ac:dyDescent="0.3">
      <c r="A1679" s="2">
        <v>38934</v>
      </c>
      <c r="B1679">
        <f>7/(100)</f>
        <v>7.0000000000000007E-2</v>
      </c>
      <c r="C1679">
        <f>6.903/(100)</f>
        <v>6.9029999999999994E-2</v>
      </c>
    </row>
    <row r="1680" spans="1:3" x14ac:dyDescent="0.3">
      <c r="A1680" s="2">
        <v>38935</v>
      </c>
      <c r="B1680">
        <f>7/(100)</f>
        <v>7.0000000000000007E-2</v>
      </c>
      <c r="C1680">
        <f>6.903/(100)</f>
        <v>6.9029999999999994E-2</v>
      </c>
    </row>
    <row r="1681" spans="1:3" x14ac:dyDescent="0.3">
      <c r="A1681" s="2">
        <v>38936</v>
      </c>
      <c r="B1681">
        <f>7/(100)</f>
        <v>7.0000000000000007E-2</v>
      </c>
      <c r="C1681">
        <f>6.892/(100)</f>
        <v>6.8920000000000009E-2</v>
      </c>
    </row>
    <row r="1682" spans="1:3" x14ac:dyDescent="0.3">
      <c r="A1682" s="2">
        <v>38937</v>
      </c>
      <c r="B1682">
        <f>7/(100)</f>
        <v>7.0000000000000007E-2</v>
      </c>
      <c r="C1682">
        <f>6.916/(100)</f>
        <v>6.9159999999999999E-2</v>
      </c>
    </row>
    <row r="1683" spans="1:3" x14ac:dyDescent="0.3">
      <c r="A1683" s="2">
        <v>38938</v>
      </c>
      <c r="B1683">
        <f>7/(100)</f>
        <v>7.0000000000000007E-2</v>
      </c>
      <c r="C1683">
        <f>6.893/(100)</f>
        <v>6.8929999999999991E-2</v>
      </c>
    </row>
    <row r="1684" spans="1:3" x14ac:dyDescent="0.3">
      <c r="A1684" s="2">
        <v>38939</v>
      </c>
      <c r="B1684">
        <f>7/(100)</f>
        <v>7.0000000000000007E-2</v>
      </c>
      <c r="C1684">
        <f>6.893/(100)</f>
        <v>6.8929999999999991E-2</v>
      </c>
    </row>
    <row r="1685" spans="1:3" x14ac:dyDescent="0.3">
      <c r="A1685" s="2">
        <v>38940</v>
      </c>
      <c r="B1685">
        <f>7/(100)</f>
        <v>7.0000000000000007E-2</v>
      </c>
      <c r="C1685">
        <f>6.885/(100)</f>
        <v>6.8849999999999995E-2</v>
      </c>
    </row>
    <row r="1686" spans="1:3" x14ac:dyDescent="0.3">
      <c r="A1686" s="2">
        <v>38941</v>
      </c>
      <c r="B1686">
        <f>7/(100)</f>
        <v>7.0000000000000007E-2</v>
      </c>
      <c r="C1686">
        <f>6.885/(100)</f>
        <v>6.8849999999999995E-2</v>
      </c>
    </row>
    <row r="1687" spans="1:3" x14ac:dyDescent="0.3">
      <c r="A1687" s="2">
        <v>38942</v>
      </c>
      <c r="B1687">
        <f>7/(100)</f>
        <v>7.0000000000000007E-2</v>
      </c>
      <c r="C1687">
        <f>6.885/(100)</f>
        <v>6.8849999999999995E-2</v>
      </c>
    </row>
    <row r="1688" spans="1:3" x14ac:dyDescent="0.3">
      <c r="A1688" s="2">
        <v>38943</v>
      </c>
      <c r="B1688">
        <f>7/(100)</f>
        <v>7.0000000000000007E-2</v>
      </c>
      <c r="C1688">
        <f>6.863/(100)</f>
        <v>6.863000000000001E-2</v>
      </c>
    </row>
    <row r="1689" spans="1:3" x14ac:dyDescent="0.3">
      <c r="A1689" s="2">
        <v>38944</v>
      </c>
      <c r="B1689">
        <f>7/(100)</f>
        <v>7.0000000000000007E-2</v>
      </c>
      <c r="C1689">
        <f>6.863/(100)</f>
        <v>6.863000000000001E-2</v>
      </c>
    </row>
    <row r="1690" spans="1:3" x14ac:dyDescent="0.3">
      <c r="A1690" s="2">
        <v>38945</v>
      </c>
      <c r="B1690">
        <f>7/(100)</f>
        <v>7.0000000000000007E-2</v>
      </c>
      <c r="C1690">
        <f>6.922/(100)</f>
        <v>6.9220000000000004E-2</v>
      </c>
    </row>
    <row r="1691" spans="1:3" x14ac:dyDescent="0.3">
      <c r="A1691" s="2">
        <v>38946</v>
      </c>
      <c r="B1691">
        <f>7/(100)</f>
        <v>7.0000000000000007E-2</v>
      </c>
      <c r="C1691">
        <f>6.845/(100)</f>
        <v>6.8449999999999997E-2</v>
      </c>
    </row>
    <row r="1692" spans="1:3" x14ac:dyDescent="0.3">
      <c r="A1692" s="2">
        <v>38947</v>
      </c>
      <c r="B1692">
        <f>7/(100)</f>
        <v>7.0000000000000007E-2</v>
      </c>
      <c r="C1692">
        <f>6.801/(100)</f>
        <v>6.8010000000000001E-2</v>
      </c>
    </row>
    <row r="1693" spans="1:3" x14ac:dyDescent="0.3">
      <c r="A1693" s="2">
        <v>38948</v>
      </c>
      <c r="B1693">
        <f>7/(100)</f>
        <v>7.0000000000000007E-2</v>
      </c>
      <c r="C1693">
        <f>6.801/(100)</f>
        <v>6.8010000000000001E-2</v>
      </c>
    </row>
    <row r="1694" spans="1:3" x14ac:dyDescent="0.3">
      <c r="A1694" s="2">
        <v>38949</v>
      </c>
      <c r="B1694">
        <f>7/(100)</f>
        <v>7.0000000000000007E-2</v>
      </c>
      <c r="C1694">
        <f>6.801/(100)</f>
        <v>6.8010000000000001E-2</v>
      </c>
    </row>
    <row r="1695" spans="1:3" x14ac:dyDescent="0.3">
      <c r="A1695" s="2">
        <v>38950</v>
      </c>
      <c r="B1695">
        <f>7/(100)</f>
        <v>7.0000000000000007E-2</v>
      </c>
      <c r="C1695">
        <f>6.82/(100)</f>
        <v>6.8199999999999997E-2</v>
      </c>
    </row>
    <row r="1696" spans="1:3" x14ac:dyDescent="0.3">
      <c r="A1696" s="2">
        <v>38951</v>
      </c>
      <c r="B1696">
        <f>7/(100)</f>
        <v>7.0000000000000007E-2</v>
      </c>
      <c r="C1696">
        <f>6.796/(100)</f>
        <v>6.7960000000000007E-2</v>
      </c>
    </row>
    <row r="1697" spans="1:3" x14ac:dyDescent="0.3">
      <c r="A1697" s="2">
        <v>38952</v>
      </c>
      <c r="B1697">
        <f>7/(100)</f>
        <v>7.0000000000000007E-2</v>
      </c>
      <c r="C1697">
        <f>6.809/(100)</f>
        <v>6.8089999999999998E-2</v>
      </c>
    </row>
    <row r="1698" spans="1:3" x14ac:dyDescent="0.3">
      <c r="A1698" s="2">
        <v>38953</v>
      </c>
      <c r="B1698">
        <f>7/(100)</f>
        <v>7.0000000000000007E-2</v>
      </c>
      <c r="C1698">
        <f>6.856/(100)</f>
        <v>6.8559999999999996E-2</v>
      </c>
    </row>
    <row r="1699" spans="1:3" x14ac:dyDescent="0.3">
      <c r="A1699" s="2">
        <v>38954</v>
      </c>
      <c r="B1699">
        <f>7/(100)</f>
        <v>7.0000000000000007E-2</v>
      </c>
      <c r="C1699">
        <f>6.818/(100)</f>
        <v>6.8179999999999991E-2</v>
      </c>
    </row>
    <row r="1700" spans="1:3" x14ac:dyDescent="0.3">
      <c r="A1700" s="2">
        <v>38955</v>
      </c>
      <c r="B1700">
        <f>7/(100)</f>
        <v>7.0000000000000007E-2</v>
      </c>
      <c r="C1700">
        <f>6.818/(100)</f>
        <v>6.8179999999999991E-2</v>
      </c>
    </row>
    <row r="1701" spans="1:3" x14ac:dyDescent="0.3">
      <c r="A1701" s="2">
        <v>38956</v>
      </c>
      <c r="B1701">
        <f>7/(100)</f>
        <v>7.0000000000000007E-2</v>
      </c>
      <c r="C1701">
        <f>6.818/(100)</f>
        <v>6.8179999999999991E-2</v>
      </c>
    </row>
    <row r="1702" spans="1:3" x14ac:dyDescent="0.3">
      <c r="A1702" s="2">
        <v>38957</v>
      </c>
      <c r="B1702">
        <f>7/(100)</f>
        <v>7.0000000000000007E-2</v>
      </c>
      <c r="C1702">
        <f>6.881/(100)</f>
        <v>6.8809999999999996E-2</v>
      </c>
    </row>
    <row r="1703" spans="1:3" x14ac:dyDescent="0.3">
      <c r="A1703" s="2">
        <v>38958</v>
      </c>
      <c r="B1703">
        <f>7/(100)</f>
        <v>7.0000000000000007E-2</v>
      </c>
      <c r="C1703">
        <f>6.888/(100)</f>
        <v>6.8879999999999997E-2</v>
      </c>
    </row>
    <row r="1704" spans="1:3" x14ac:dyDescent="0.3">
      <c r="A1704" s="2">
        <v>38959</v>
      </c>
      <c r="B1704">
        <f>7/(100)</f>
        <v>7.0000000000000007E-2</v>
      </c>
      <c r="C1704">
        <f>6.941/(100)</f>
        <v>6.9409999999999999E-2</v>
      </c>
    </row>
    <row r="1705" spans="1:3" x14ac:dyDescent="0.3">
      <c r="A1705" s="2">
        <v>38960</v>
      </c>
      <c r="B1705">
        <f>7/(100)</f>
        <v>7.0000000000000007E-2</v>
      </c>
      <c r="C1705">
        <f>6.867/(100)</f>
        <v>6.8669999999999995E-2</v>
      </c>
    </row>
    <row r="1706" spans="1:3" x14ac:dyDescent="0.3">
      <c r="A1706" s="2">
        <v>38961</v>
      </c>
      <c r="B1706">
        <f>7/(100)</f>
        <v>7.0000000000000007E-2</v>
      </c>
      <c r="C1706">
        <f>6.993/(100)</f>
        <v>6.9930000000000006E-2</v>
      </c>
    </row>
    <row r="1707" spans="1:3" x14ac:dyDescent="0.3">
      <c r="A1707" s="2">
        <v>38962</v>
      </c>
      <c r="B1707">
        <f>7/(100)</f>
        <v>7.0000000000000007E-2</v>
      </c>
      <c r="C1707">
        <f>6.993/(100)</f>
        <v>6.9930000000000006E-2</v>
      </c>
    </row>
    <row r="1708" spans="1:3" x14ac:dyDescent="0.3">
      <c r="A1708" s="2">
        <v>38963</v>
      </c>
      <c r="B1708">
        <f>7/(100)</f>
        <v>7.0000000000000007E-2</v>
      </c>
      <c r="C1708">
        <f>6.993/(100)</f>
        <v>6.9930000000000006E-2</v>
      </c>
    </row>
    <row r="1709" spans="1:3" x14ac:dyDescent="0.3">
      <c r="A1709" s="2">
        <v>38964</v>
      </c>
      <c r="B1709">
        <f>7/(100)</f>
        <v>7.0000000000000007E-2</v>
      </c>
      <c r="C1709">
        <f>6.958/(100)</f>
        <v>6.9580000000000003E-2</v>
      </c>
    </row>
    <row r="1710" spans="1:3" x14ac:dyDescent="0.3">
      <c r="A1710" s="2">
        <v>38965</v>
      </c>
      <c r="B1710">
        <f>7/(100)</f>
        <v>7.0000000000000007E-2</v>
      </c>
      <c r="C1710">
        <f>6.937/(100)</f>
        <v>6.9370000000000001E-2</v>
      </c>
    </row>
    <row r="1711" spans="1:3" x14ac:dyDescent="0.3">
      <c r="A1711" s="2">
        <v>38966</v>
      </c>
      <c r="B1711">
        <f>7/(100)</f>
        <v>7.0000000000000007E-2</v>
      </c>
      <c r="C1711">
        <f>6.942/(100)</f>
        <v>6.9419999999999996E-2</v>
      </c>
    </row>
    <row r="1712" spans="1:3" x14ac:dyDescent="0.3">
      <c r="A1712" s="2">
        <v>38967</v>
      </c>
      <c r="B1712">
        <f>7/(100)</f>
        <v>7.0000000000000007E-2</v>
      </c>
      <c r="C1712">
        <f>6.955/(100)</f>
        <v>6.9550000000000001E-2</v>
      </c>
    </row>
    <row r="1713" spans="1:3" x14ac:dyDescent="0.3">
      <c r="A1713" s="2">
        <v>38968</v>
      </c>
      <c r="B1713">
        <f>7/(100)</f>
        <v>7.0000000000000007E-2</v>
      </c>
      <c r="C1713">
        <f>6.89/(100)</f>
        <v>6.8900000000000003E-2</v>
      </c>
    </row>
    <row r="1714" spans="1:3" x14ac:dyDescent="0.3">
      <c r="A1714" s="2">
        <v>38969</v>
      </c>
      <c r="B1714">
        <f>7/(100)</f>
        <v>7.0000000000000007E-2</v>
      </c>
      <c r="C1714">
        <f>6.89/(100)</f>
        <v>6.8900000000000003E-2</v>
      </c>
    </row>
    <row r="1715" spans="1:3" x14ac:dyDescent="0.3">
      <c r="A1715" s="2">
        <v>38970</v>
      </c>
      <c r="B1715">
        <f>7/(100)</f>
        <v>7.0000000000000007E-2</v>
      </c>
      <c r="C1715">
        <f>6.89/(100)</f>
        <v>6.8900000000000003E-2</v>
      </c>
    </row>
    <row r="1716" spans="1:3" x14ac:dyDescent="0.3">
      <c r="A1716" s="2">
        <v>38971</v>
      </c>
      <c r="B1716">
        <f>7/(100)</f>
        <v>7.0000000000000007E-2</v>
      </c>
      <c r="C1716">
        <f>6.903/(100)</f>
        <v>6.9029999999999994E-2</v>
      </c>
    </row>
    <row r="1717" spans="1:3" x14ac:dyDescent="0.3">
      <c r="A1717" s="2">
        <v>38972</v>
      </c>
      <c r="B1717">
        <f>7/(100)</f>
        <v>7.0000000000000007E-2</v>
      </c>
      <c r="C1717">
        <f>6.885/(100)</f>
        <v>6.8849999999999995E-2</v>
      </c>
    </row>
    <row r="1718" spans="1:3" x14ac:dyDescent="0.3">
      <c r="A1718" s="2">
        <v>38973</v>
      </c>
      <c r="B1718">
        <f>7/(100)</f>
        <v>7.0000000000000007E-2</v>
      </c>
      <c r="C1718">
        <f>6.873/(100)</f>
        <v>6.8729999999999999E-2</v>
      </c>
    </row>
    <row r="1719" spans="1:3" x14ac:dyDescent="0.3">
      <c r="A1719" s="2">
        <v>38974</v>
      </c>
      <c r="B1719">
        <f>7/(100)</f>
        <v>7.0000000000000007E-2</v>
      </c>
      <c r="C1719">
        <f>6.865/(100)</f>
        <v>6.8650000000000003E-2</v>
      </c>
    </row>
    <row r="1720" spans="1:3" x14ac:dyDescent="0.3">
      <c r="A1720" s="2">
        <v>38975</v>
      </c>
      <c r="B1720">
        <f>7/(100)</f>
        <v>7.0000000000000007E-2</v>
      </c>
      <c r="C1720">
        <f>6.883/(100)</f>
        <v>6.8830000000000002E-2</v>
      </c>
    </row>
    <row r="1721" spans="1:3" x14ac:dyDescent="0.3">
      <c r="A1721" s="2">
        <v>38976</v>
      </c>
      <c r="B1721">
        <f>7/(100)</f>
        <v>7.0000000000000007E-2</v>
      </c>
      <c r="C1721">
        <f>6.883/(100)</f>
        <v>6.8830000000000002E-2</v>
      </c>
    </row>
    <row r="1722" spans="1:3" x14ac:dyDescent="0.3">
      <c r="A1722" s="2">
        <v>38977</v>
      </c>
      <c r="B1722">
        <f>7/(100)</f>
        <v>7.0000000000000007E-2</v>
      </c>
      <c r="C1722">
        <f>6.883/(100)</f>
        <v>6.8830000000000002E-2</v>
      </c>
    </row>
    <row r="1723" spans="1:3" x14ac:dyDescent="0.3">
      <c r="A1723" s="2">
        <v>38978</v>
      </c>
      <c r="B1723">
        <f>7/(100)</f>
        <v>7.0000000000000007E-2</v>
      </c>
      <c r="C1723">
        <f>6.863/(100)</f>
        <v>6.863000000000001E-2</v>
      </c>
    </row>
    <row r="1724" spans="1:3" x14ac:dyDescent="0.3">
      <c r="A1724" s="2">
        <v>38979</v>
      </c>
      <c r="B1724">
        <f>7/(100)</f>
        <v>7.0000000000000007E-2</v>
      </c>
      <c r="C1724">
        <f>6.858/(100)</f>
        <v>6.8580000000000002E-2</v>
      </c>
    </row>
    <row r="1725" spans="1:3" x14ac:dyDescent="0.3">
      <c r="A1725" s="2">
        <v>38980</v>
      </c>
      <c r="B1725">
        <f>7/(100)</f>
        <v>7.0000000000000007E-2</v>
      </c>
      <c r="C1725">
        <f>6.83/(100)</f>
        <v>6.83E-2</v>
      </c>
    </row>
    <row r="1726" spans="1:3" x14ac:dyDescent="0.3">
      <c r="A1726" s="2">
        <v>38981</v>
      </c>
      <c r="B1726">
        <f>7/(100)</f>
        <v>7.0000000000000007E-2</v>
      </c>
      <c r="C1726">
        <f>6.837/(100)</f>
        <v>6.837E-2</v>
      </c>
    </row>
    <row r="1727" spans="1:3" x14ac:dyDescent="0.3">
      <c r="A1727" s="2">
        <v>38982</v>
      </c>
      <c r="B1727">
        <f>7/(100)</f>
        <v>7.0000000000000007E-2</v>
      </c>
      <c r="C1727">
        <f>6.83/(100)</f>
        <v>6.83E-2</v>
      </c>
    </row>
    <row r="1728" spans="1:3" x14ac:dyDescent="0.3">
      <c r="A1728" s="2">
        <v>38983</v>
      </c>
      <c r="B1728">
        <f>7/(100)</f>
        <v>7.0000000000000007E-2</v>
      </c>
      <c r="C1728">
        <f>6.83/(100)</f>
        <v>6.83E-2</v>
      </c>
    </row>
    <row r="1729" spans="1:3" x14ac:dyDescent="0.3">
      <c r="A1729" s="2">
        <v>38984</v>
      </c>
      <c r="B1729">
        <f>7/(100)</f>
        <v>7.0000000000000007E-2</v>
      </c>
      <c r="C1729">
        <f>6.83/(100)</f>
        <v>6.83E-2</v>
      </c>
    </row>
    <row r="1730" spans="1:3" x14ac:dyDescent="0.3">
      <c r="A1730" s="2">
        <v>38985</v>
      </c>
      <c r="B1730">
        <f>7/(100)</f>
        <v>7.0000000000000007E-2</v>
      </c>
      <c r="C1730">
        <f>6.855/(100)</f>
        <v>6.855E-2</v>
      </c>
    </row>
    <row r="1731" spans="1:3" x14ac:dyDescent="0.3">
      <c r="A1731" s="2">
        <v>38986</v>
      </c>
      <c r="B1731">
        <f>7/(100)</f>
        <v>7.0000000000000007E-2</v>
      </c>
      <c r="C1731">
        <f>6.765/(100)</f>
        <v>6.7650000000000002E-2</v>
      </c>
    </row>
    <row r="1732" spans="1:3" x14ac:dyDescent="0.3">
      <c r="A1732" s="2">
        <v>38987</v>
      </c>
      <c r="B1732">
        <f>7/(100)</f>
        <v>7.0000000000000007E-2</v>
      </c>
      <c r="C1732">
        <f>6.78/(100)</f>
        <v>6.7799999999999999E-2</v>
      </c>
    </row>
    <row r="1733" spans="1:3" x14ac:dyDescent="0.3">
      <c r="A1733" s="2">
        <v>38988</v>
      </c>
      <c r="B1733">
        <f>7/(100)</f>
        <v>7.0000000000000007E-2</v>
      </c>
      <c r="C1733">
        <f>6.724/(100)</f>
        <v>6.7240000000000008E-2</v>
      </c>
    </row>
    <row r="1734" spans="1:3" x14ac:dyDescent="0.3">
      <c r="A1734" s="2">
        <v>38989</v>
      </c>
      <c r="B1734">
        <f>7/(100)</f>
        <v>7.0000000000000007E-2</v>
      </c>
      <c r="C1734">
        <f>6.645/(100)</f>
        <v>6.6449999999999995E-2</v>
      </c>
    </row>
    <row r="1735" spans="1:3" x14ac:dyDescent="0.3">
      <c r="A1735" s="2">
        <v>38990</v>
      </c>
      <c r="B1735">
        <f>7/(100)</f>
        <v>7.0000000000000007E-2</v>
      </c>
      <c r="C1735">
        <f>6.645/(100)</f>
        <v>6.6449999999999995E-2</v>
      </c>
    </row>
    <row r="1736" spans="1:3" x14ac:dyDescent="0.3">
      <c r="A1736" s="2">
        <v>38991</v>
      </c>
      <c r="B1736">
        <f>7/(100)</f>
        <v>7.0000000000000007E-2</v>
      </c>
      <c r="C1736">
        <f>6.645/(100)</f>
        <v>6.6449999999999995E-2</v>
      </c>
    </row>
    <row r="1737" spans="1:3" x14ac:dyDescent="0.3">
      <c r="A1737" s="2">
        <v>38992</v>
      </c>
      <c r="B1737">
        <f>7/(100)</f>
        <v>7.0000000000000007E-2</v>
      </c>
      <c r="C1737">
        <f>6.645/(100)</f>
        <v>6.6449999999999995E-2</v>
      </c>
    </row>
    <row r="1738" spans="1:3" x14ac:dyDescent="0.3">
      <c r="A1738" s="2">
        <v>38993</v>
      </c>
      <c r="B1738">
        <f>7/(100)</f>
        <v>7.0000000000000007E-2</v>
      </c>
      <c r="C1738">
        <f>6.661/(100)</f>
        <v>6.6610000000000003E-2</v>
      </c>
    </row>
    <row r="1739" spans="1:3" x14ac:dyDescent="0.3">
      <c r="A1739" s="2">
        <v>38994</v>
      </c>
      <c r="B1739">
        <f>7/(100)</f>
        <v>7.0000000000000007E-2</v>
      </c>
      <c r="C1739">
        <f>6.767/(100)</f>
        <v>6.7670000000000008E-2</v>
      </c>
    </row>
    <row r="1740" spans="1:3" x14ac:dyDescent="0.3">
      <c r="A1740" s="2">
        <v>38995</v>
      </c>
      <c r="B1740">
        <f>7/(100)</f>
        <v>7.0000000000000007E-2</v>
      </c>
      <c r="C1740">
        <f>6.857/(100)</f>
        <v>6.8570000000000006E-2</v>
      </c>
    </row>
    <row r="1741" spans="1:3" x14ac:dyDescent="0.3">
      <c r="A1741" s="2">
        <v>38996</v>
      </c>
      <c r="B1741">
        <f>7/(100)</f>
        <v>7.0000000000000007E-2</v>
      </c>
      <c r="C1741">
        <f>6.886/(100)</f>
        <v>6.8860000000000005E-2</v>
      </c>
    </row>
    <row r="1742" spans="1:3" x14ac:dyDescent="0.3">
      <c r="A1742" s="2">
        <v>38997</v>
      </c>
      <c r="B1742">
        <f>7/(100)</f>
        <v>7.0000000000000007E-2</v>
      </c>
      <c r="C1742">
        <f>6.886/(100)</f>
        <v>6.8860000000000005E-2</v>
      </c>
    </row>
    <row r="1743" spans="1:3" x14ac:dyDescent="0.3">
      <c r="A1743" s="2">
        <v>38998</v>
      </c>
      <c r="B1743">
        <f>7/(100)</f>
        <v>7.0000000000000007E-2</v>
      </c>
      <c r="C1743">
        <f>6.886/(100)</f>
        <v>6.8860000000000005E-2</v>
      </c>
    </row>
    <row r="1744" spans="1:3" x14ac:dyDescent="0.3">
      <c r="A1744" s="2">
        <v>38999</v>
      </c>
      <c r="B1744">
        <f>7/(100)</f>
        <v>7.0000000000000007E-2</v>
      </c>
      <c r="C1744">
        <f>6.947/(100)</f>
        <v>6.9470000000000004E-2</v>
      </c>
    </row>
    <row r="1745" spans="1:3" x14ac:dyDescent="0.3">
      <c r="A1745" s="2">
        <v>39000</v>
      </c>
      <c r="B1745">
        <f>7/(100)</f>
        <v>7.0000000000000007E-2</v>
      </c>
      <c r="C1745">
        <f>6.965/(100)</f>
        <v>6.9650000000000004E-2</v>
      </c>
    </row>
    <row r="1746" spans="1:3" x14ac:dyDescent="0.3">
      <c r="A1746" s="2">
        <v>39001</v>
      </c>
      <c r="B1746">
        <f>7/(100)</f>
        <v>7.0000000000000007E-2</v>
      </c>
      <c r="C1746">
        <f>6.985/(100)</f>
        <v>6.9850000000000009E-2</v>
      </c>
    </row>
    <row r="1747" spans="1:3" x14ac:dyDescent="0.3">
      <c r="A1747" s="2">
        <v>39002</v>
      </c>
      <c r="B1747">
        <f>7/(100)</f>
        <v>7.0000000000000007E-2</v>
      </c>
      <c r="C1747">
        <f>6.951/(100)</f>
        <v>6.9510000000000002E-2</v>
      </c>
    </row>
    <row r="1748" spans="1:3" x14ac:dyDescent="0.3">
      <c r="A1748" s="2">
        <v>39003</v>
      </c>
      <c r="B1748">
        <f>7/(100)</f>
        <v>7.0000000000000007E-2</v>
      </c>
      <c r="C1748">
        <f>6.958/(100)</f>
        <v>6.9580000000000003E-2</v>
      </c>
    </row>
    <row r="1749" spans="1:3" x14ac:dyDescent="0.3">
      <c r="A1749" s="2">
        <v>39004</v>
      </c>
      <c r="B1749">
        <f>7/(100)</f>
        <v>7.0000000000000007E-2</v>
      </c>
      <c r="C1749">
        <f>6.958/(100)</f>
        <v>6.9580000000000003E-2</v>
      </c>
    </row>
    <row r="1750" spans="1:3" x14ac:dyDescent="0.3">
      <c r="A1750" s="2">
        <v>39005</v>
      </c>
      <c r="B1750">
        <f>7/(100)</f>
        <v>7.0000000000000007E-2</v>
      </c>
      <c r="C1750">
        <f>6.958/(100)</f>
        <v>6.9580000000000003E-2</v>
      </c>
    </row>
    <row r="1751" spans="1:3" x14ac:dyDescent="0.3">
      <c r="A1751" s="2">
        <v>39006</v>
      </c>
      <c r="B1751">
        <f>7/(100)</f>
        <v>7.0000000000000007E-2</v>
      </c>
      <c r="C1751">
        <f>6.957/(100)</f>
        <v>6.9569999999999993E-2</v>
      </c>
    </row>
    <row r="1752" spans="1:3" x14ac:dyDescent="0.3">
      <c r="A1752" s="2">
        <v>39007</v>
      </c>
      <c r="B1752">
        <f>7/(100)</f>
        <v>7.0000000000000007E-2</v>
      </c>
      <c r="C1752">
        <f>6.981/(100)</f>
        <v>6.9809999999999997E-2</v>
      </c>
    </row>
    <row r="1753" spans="1:3" x14ac:dyDescent="0.3">
      <c r="A1753" s="2">
        <v>39008</v>
      </c>
      <c r="B1753">
        <f>7/(100)</f>
        <v>7.0000000000000007E-2</v>
      </c>
      <c r="C1753">
        <f>7.035/(100)</f>
        <v>7.0349999999999996E-2</v>
      </c>
    </row>
    <row r="1754" spans="1:3" x14ac:dyDescent="0.3">
      <c r="A1754" s="2">
        <v>39009</v>
      </c>
      <c r="B1754">
        <f>7/(100)</f>
        <v>7.0000000000000007E-2</v>
      </c>
      <c r="C1754">
        <f>6.999/(100)</f>
        <v>6.9989999999999997E-2</v>
      </c>
    </row>
    <row r="1755" spans="1:3" x14ac:dyDescent="0.3">
      <c r="A1755" s="2">
        <v>39010</v>
      </c>
      <c r="B1755">
        <f>7/(100)</f>
        <v>7.0000000000000007E-2</v>
      </c>
      <c r="C1755">
        <f>6.96/(100)</f>
        <v>6.9599999999999995E-2</v>
      </c>
    </row>
    <row r="1756" spans="1:3" x14ac:dyDescent="0.3">
      <c r="A1756" s="2">
        <v>39011</v>
      </c>
      <c r="B1756">
        <f>7/(100)</f>
        <v>7.0000000000000007E-2</v>
      </c>
      <c r="C1756">
        <f>6.96/(100)</f>
        <v>6.9599999999999995E-2</v>
      </c>
    </row>
    <row r="1757" spans="1:3" x14ac:dyDescent="0.3">
      <c r="A1757" s="2">
        <v>39012</v>
      </c>
      <c r="B1757">
        <f>7/(100)</f>
        <v>7.0000000000000007E-2</v>
      </c>
      <c r="C1757">
        <f>6.96/(100)</f>
        <v>6.9599999999999995E-2</v>
      </c>
    </row>
    <row r="1758" spans="1:3" x14ac:dyDescent="0.3">
      <c r="A1758" s="2">
        <v>39013</v>
      </c>
      <c r="B1758">
        <f>7/(100)</f>
        <v>7.0000000000000007E-2</v>
      </c>
      <c r="C1758">
        <f>6.936/(100)</f>
        <v>6.9360000000000005E-2</v>
      </c>
    </row>
    <row r="1759" spans="1:3" x14ac:dyDescent="0.3">
      <c r="A1759" s="2">
        <v>39014</v>
      </c>
      <c r="B1759">
        <f>7/(100)</f>
        <v>7.0000000000000007E-2</v>
      </c>
      <c r="C1759">
        <f>6.936/(100)</f>
        <v>6.9360000000000005E-2</v>
      </c>
    </row>
    <row r="1760" spans="1:3" x14ac:dyDescent="0.3">
      <c r="A1760" s="2">
        <v>39015</v>
      </c>
      <c r="B1760">
        <f>7/(100)</f>
        <v>7.0000000000000007E-2</v>
      </c>
      <c r="C1760">
        <f>6.936/(100)</f>
        <v>6.9360000000000005E-2</v>
      </c>
    </row>
    <row r="1761" spans="1:3" x14ac:dyDescent="0.3">
      <c r="A1761" s="2">
        <v>39016</v>
      </c>
      <c r="B1761">
        <f>7/(100)</f>
        <v>7.0000000000000007E-2</v>
      </c>
      <c r="C1761">
        <f>6.937/(100)</f>
        <v>6.9370000000000001E-2</v>
      </c>
    </row>
    <row r="1762" spans="1:3" x14ac:dyDescent="0.3">
      <c r="A1762" s="2">
        <v>39017</v>
      </c>
      <c r="B1762">
        <f>7/(100)</f>
        <v>7.0000000000000007E-2</v>
      </c>
      <c r="C1762">
        <f>6.939/(100)</f>
        <v>6.9390000000000007E-2</v>
      </c>
    </row>
    <row r="1763" spans="1:3" x14ac:dyDescent="0.3">
      <c r="A1763" s="2">
        <v>39018</v>
      </c>
      <c r="B1763">
        <f>7/(100)</f>
        <v>7.0000000000000007E-2</v>
      </c>
      <c r="C1763">
        <f>6.939/(100)</f>
        <v>6.9390000000000007E-2</v>
      </c>
    </row>
    <row r="1764" spans="1:3" x14ac:dyDescent="0.3">
      <c r="A1764" s="2">
        <v>39019</v>
      </c>
      <c r="B1764">
        <f>7/(100)</f>
        <v>7.0000000000000007E-2</v>
      </c>
      <c r="C1764">
        <f>6.939/(100)</f>
        <v>6.9390000000000007E-2</v>
      </c>
    </row>
    <row r="1765" spans="1:3" x14ac:dyDescent="0.3">
      <c r="A1765" s="2">
        <v>39020</v>
      </c>
      <c r="B1765">
        <f>7/(100)</f>
        <v>7.0000000000000007E-2</v>
      </c>
      <c r="C1765">
        <f>6.991/(100)</f>
        <v>6.991E-2</v>
      </c>
    </row>
    <row r="1766" spans="1:3" x14ac:dyDescent="0.3">
      <c r="A1766" s="2">
        <v>39021</v>
      </c>
      <c r="B1766">
        <f>7.25/(100)</f>
        <v>7.2499999999999995E-2</v>
      </c>
      <c r="C1766">
        <f>7.105/(100)</f>
        <v>7.1050000000000002E-2</v>
      </c>
    </row>
    <row r="1767" spans="1:3" x14ac:dyDescent="0.3">
      <c r="A1767" s="2">
        <v>39022</v>
      </c>
      <c r="B1767">
        <f>7.25/(100)</f>
        <v>7.2499999999999995E-2</v>
      </c>
      <c r="C1767">
        <f>7.071/(100)</f>
        <v>7.0709999999999995E-2</v>
      </c>
    </row>
    <row r="1768" spans="1:3" x14ac:dyDescent="0.3">
      <c r="A1768" s="2">
        <v>39023</v>
      </c>
      <c r="B1768">
        <f>7.25/(100)</f>
        <v>7.2499999999999995E-2</v>
      </c>
      <c r="C1768">
        <f>7.063/(100)</f>
        <v>7.0629999999999998E-2</v>
      </c>
    </row>
    <row r="1769" spans="1:3" x14ac:dyDescent="0.3">
      <c r="A1769" s="2">
        <v>39024</v>
      </c>
      <c r="B1769">
        <f>7.25/(100)</f>
        <v>7.2499999999999995E-2</v>
      </c>
      <c r="C1769">
        <f>7.072/(100)</f>
        <v>7.0720000000000005E-2</v>
      </c>
    </row>
    <row r="1770" spans="1:3" x14ac:dyDescent="0.3">
      <c r="A1770" s="2">
        <v>39025</v>
      </c>
      <c r="B1770">
        <f>7.25/(100)</f>
        <v>7.2499999999999995E-2</v>
      </c>
      <c r="C1770">
        <f>7.072/(100)</f>
        <v>7.0720000000000005E-2</v>
      </c>
    </row>
    <row r="1771" spans="1:3" x14ac:dyDescent="0.3">
      <c r="A1771" s="2">
        <v>39026</v>
      </c>
      <c r="B1771">
        <f>7.25/(100)</f>
        <v>7.2499999999999995E-2</v>
      </c>
      <c r="C1771">
        <f>7.072/(100)</f>
        <v>7.0720000000000005E-2</v>
      </c>
    </row>
    <row r="1772" spans="1:3" x14ac:dyDescent="0.3">
      <c r="A1772" s="2">
        <v>39027</v>
      </c>
      <c r="B1772">
        <f>7.25/(100)</f>
        <v>7.2499999999999995E-2</v>
      </c>
      <c r="C1772">
        <f>7.178/(100)</f>
        <v>7.1779999999999997E-2</v>
      </c>
    </row>
    <row r="1773" spans="1:3" x14ac:dyDescent="0.3">
      <c r="A1773" s="2">
        <v>39028</v>
      </c>
      <c r="B1773">
        <f>7.25/(100)</f>
        <v>7.2499999999999995E-2</v>
      </c>
      <c r="C1773">
        <f>7.141/(100)</f>
        <v>7.1410000000000001E-2</v>
      </c>
    </row>
    <row r="1774" spans="1:3" x14ac:dyDescent="0.3">
      <c r="A1774" s="2">
        <v>39029</v>
      </c>
      <c r="B1774">
        <f>7.25/(100)</f>
        <v>7.2499999999999995E-2</v>
      </c>
      <c r="C1774">
        <f>7.132/(100)</f>
        <v>7.1319999999999995E-2</v>
      </c>
    </row>
    <row r="1775" spans="1:3" x14ac:dyDescent="0.3">
      <c r="A1775" s="2">
        <v>39030</v>
      </c>
      <c r="B1775">
        <f>7.25/(100)</f>
        <v>7.2499999999999995E-2</v>
      </c>
      <c r="C1775">
        <f>7.075/(100)</f>
        <v>7.0750000000000007E-2</v>
      </c>
    </row>
    <row r="1776" spans="1:3" x14ac:dyDescent="0.3">
      <c r="A1776" s="2">
        <v>39031</v>
      </c>
      <c r="B1776">
        <f>7.25/(100)</f>
        <v>7.2499999999999995E-2</v>
      </c>
      <c r="C1776">
        <f>7.042/(100)</f>
        <v>7.0419999999999996E-2</v>
      </c>
    </row>
    <row r="1777" spans="1:3" x14ac:dyDescent="0.3">
      <c r="A1777" s="2">
        <v>39032</v>
      </c>
      <c r="B1777">
        <f>7.25/(100)</f>
        <v>7.2499999999999995E-2</v>
      </c>
      <c r="C1777">
        <f>7.042/(100)</f>
        <v>7.0419999999999996E-2</v>
      </c>
    </row>
    <row r="1778" spans="1:3" x14ac:dyDescent="0.3">
      <c r="A1778" s="2">
        <v>39033</v>
      </c>
      <c r="B1778">
        <f>7.25/(100)</f>
        <v>7.2499999999999995E-2</v>
      </c>
      <c r="C1778">
        <f>7.042/(100)</f>
        <v>7.0419999999999996E-2</v>
      </c>
    </row>
    <row r="1779" spans="1:3" x14ac:dyDescent="0.3">
      <c r="A1779" s="2">
        <v>39034</v>
      </c>
      <c r="B1779">
        <f>7.25/(100)</f>
        <v>7.2499999999999995E-2</v>
      </c>
      <c r="C1779">
        <f>7.017/(100)</f>
        <v>7.017000000000001E-2</v>
      </c>
    </row>
    <row r="1780" spans="1:3" x14ac:dyDescent="0.3">
      <c r="A1780" s="2">
        <v>39035</v>
      </c>
      <c r="B1780">
        <f>7.25/(100)</f>
        <v>7.2499999999999995E-2</v>
      </c>
      <c r="C1780">
        <f>6.996/(100)</f>
        <v>6.9960000000000008E-2</v>
      </c>
    </row>
    <row r="1781" spans="1:3" x14ac:dyDescent="0.3">
      <c r="A1781" s="2">
        <v>39036</v>
      </c>
      <c r="B1781">
        <f>7.25/(100)</f>
        <v>7.2499999999999995E-2</v>
      </c>
      <c r="C1781">
        <f>6.973/(100)</f>
        <v>6.973E-2</v>
      </c>
    </row>
    <row r="1782" spans="1:3" x14ac:dyDescent="0.3">
      <c r="A1782" s="2">
        <v>39037</v>
      </c>
      <c r="B1782">
        <f>7.25/(100)</f>
        <v>7.2499999999999995E-2</v>
      </c>
      <c r="C1782">
        <f>7.09/(100)</f>
        <v>7.0900000000000005E-2</v>
      </c>
    </row>
    <row r="1783" spans="1:3" x14ac:dyDescent="0.3">
      <c r="A1783" s="2">
        <v>39038</v>
      </c>
      <c r="B1783">
        <f>7.25/(100)</f>
        <v>7.2499999999999995E-2</v>
      </c>
      <c r="C1783">
        <f>7.065/(100)</f>
        <v>7.0650000000000004E-2</v>
      </c>
    </row>
    <row r="1784" spans="1:3" x14ac:dyDescent="0.3">
      <c r="A1784" s="2">
        <v>39039</v>
      </c>
      <c r="B1784">
        <f>7.25/(100)</f>
        <v>7.2499999999999995E-2</v>
      </c>
      <c r="C1784">
        <f>7.065/(100)</f>
        <v>7.0650000000000004E-2</v>
      </c>
    </row>
    <row r="1785" spans="1:3" x14ac:dyDescent="0.3">
      <c r="A1785" s="2">
        <v>39040</v>
      </c>
      <c r="B1785">
        <f>7.25/(100)</f>
        <v>7.2499999999999995E-2</v>
      </c>
      <c r="C1785">
        <f>7.065/(100)</f>
        <v>7.0650000000000004E-2</v>
      </c>
    </row>
    <row r="1786" spans="1:3" x14ac:dyDescent="0.3">
      <c r="A1786" s="2">
        <v>39041</v>
      </c>
      <c r="B1786">
        <f>7.25/(100)</f>
        <v>7.2499999999999995E-2</v>
      </c>
      <c r="C1786">
        <f>7.128/(100)</f>
        <v>7.1279999999999996E-2</v>
      </c>
    </row>
    <row r="1787" spans="1:3" x14ac:dyDescent="0.3">
      <c r="A1787" s="2">
        <v>39042</v>
      </c>
      <c r="B1787">
        <f>7.25/(100)</f>
        <v>7.2499999999999995E-2</v>
      </c>
      <c r="C1787">
        <f>7.071/(100)</f>
        <v>7.0709999999999995E-2</v>
      </c>
    </row>
    <row r="1788" spans="1:3" x14ac:dyDescent="0.3">
      <c r="A1788" s="2">
        <v>39043</v>
      </c>
      <c r="B1788">
        <f>7.25/(100)</f>
        <v>7.2499999999999995E-2</v>
      </c>
      <c r="C1788">
        <f>7.121/(100)</f>
        <v>7.1210000000000009E-2</v>
      </c>
    </row>
    <row r="1789" spans="1:3" x14ac:dyDescent="0.3">
      <c r="A1789" s="2">
        <v>39044</v>
      </c>
      <c r="B1789">
        <f>7.25/(100)</f>
        <v>7.2499999999999995E-2</v>
      </c>
      <c r="C1789">
        <f>7.063/(100)</f>
        <v>7.0629999999999998E-2</v>
      </c>
    </row>
    <row r="1790" spans="1:3" x14ac:dyDescent="0.3">
      <c r="A1790" s="2">
        <v>39045</v>
      </c>
      <c r="B1790">
        <f>7.25/(100)</f>
        <v>7.2499999999999995E-2</v>
      </c>
      <c r="C1790">
        <f>6.963/(100)</f>
        <v>6.9629999999999997E-2</v>
      </c>
    </row>
    <row r="1791" spans="1:3" x14ac:dyDescent="0.3">
      <c r="A1791" s="2">
        <v>39046</v>
      </c>
      <c r="B1791">
        <f>7.25/(100)</f>
        <v>7.2499999999999995E-2</v>
      </c>
      <c r="C1791">
        <f>6.963/(100)</f>
        <v>6.9629999999999997E-2</v>
      </c>
    </row>
    <row r="1792" spans="1:3" x14ac:dyDescent="0.3">
      <c r="A1792" s="2">
        <v>39047</v>
      </c>
      <c r="B1792">
        <f>7.25/(100)</f>
        <v>7.2499999999999995E-2</v>
      </c>
      <c r="C1792">
        <f>6.963/(100)</f>
        <v>6.9629999999999997E-2</v>
      </c>
    </row>
    <row r="1793" spans="1:3" x14ac:dyDescent="0.3">
      <c r="A1793" s="2">
        <v>39048</v>
      </c>
      <c r="B1793">
        <f>7.25/(100)</f>
        <v>7.2499999999999995E-2</v>
      </c>
      <c r="C1793">
        <f>6.963/(100)</f>
        <v>6.9629999999999997E-2</v>
      </c>
    </row>
    <row r="1794" spans="1:3" x14ac:dyDescent="0.3">
      <c r="A1794" s="2">
        <v>39049</v>
      </c>
      <c r="B1794">
        <f>7.25/(100)</f>
        <v>7.2499999999999995E-2</v>
      </c>
      <c r="C1794">
        <f>6.921/(100)</f>
        <v>6.9210000000000008E-2</v>
      </c>
    </row>
    <row r="1795" spans="1:3" x14ac:dyDescent="0.3">
      <c r="A1795" s="2">
        <v>39050</v>
      </c>
      <c r="B1795">
        <f>7.25/(100)</f>
        <v>7.2499999999999995E-2</v>
      </c>
      <c r="C1795">
        <f>6.938/(100)</f>
        <v>6.9379999999999997E-2</v>
      </c>
    </row>
    <row r="1796" spans="1:3" x14ac:dyDescent="0.3">
      <c r="A1796" s="2">
        <v>39051</v>
      </c>
      <c r="B1796">
        <f>7.25/(100)</f>
        <v>7.2499999999999995E-2</v>
      </c>
      <c r="C1796">
        <f>6.911/(100)</f>
        <v>6.9109999999999991E-2</v>
      </c>
    </row>
    <row r="1797" spans="1:3" x14ac:dyDescent="0.3">
      <c r="A1797" s="2">
        <v>39052</v>
      </c>
      <c r="B1797">
        <f>7.25/(100)</f>
        <v>7.2499999999999995E-2</v>
      </c>
      <c r="C1797">
        <f>6.925/(100)</f>
        <v>6.9249999999999992E-2</v>
      </c>
    </row>
    <row r="1798" spans="1:3" x14ac:dyDescent="0.3">
      <c r="A1798" s="2">
        <v>39053</v>
      </c>
      <c r="B1798">
        <f>7.25/(100)</f>
        <v>7.2499999999999995E-2</v>
      </c>
      <c r="C1798">
        <f>6.925/(100)</f>
        <v>6.9249999999999992E-2</v>
      </c>
    </row>
    <row r="1799" spans="1:3" x14ac:dyDescent="0.3">
      <c r="A1799" s="2">
        <v>39054</v>
      </c>
      <c r="B1799">
        <f>7.25/(100)</f>
        <v>7.2499999999999995E-2</v>
      </c>
      <c r="C1799">
        <f>6.925/(100)</f>
        <v>6.9249999999999992E-2</v>
      </c>
    </row>
    <row r="1800" spans="1:3" x14ac:dyDescent="0.3">
      <c r="A1800" s="2">
        <v>39055</v>
      </c>
      <c r="B1800">
        <f>7.25/(100)</f>
        <v>7.2499999999999995E-2</v>
      </c>
      <c r="C1800">
        <f>6.898/(100)</f>
        <v>6.898E-2</v>
      </c>
    </row>
    <row r="1801" spans="1:3" x14ac:dyDescent="0.3">
      <c r="A1801" s="2">
        <v>39056</v>
      </c>
      <c r="B1801">
        <f>7.25/(100)</f>
        <v>7.2499999999999995E-2</v>
      </c>
      <c r="C1801">
        <f>6.883/(100)</f>
        <v>6.8830000000000002E-2</v>
      </c>
    </row>
    <row r="1802" spans="1:3" x14ac:dyDescent="0.3">
      <c r="A1802" s="2">
        <v>39057</v>
      </c>
      <c r="B1802">
        <f>7.25/(100)</f>
        <v>7.2499999999999995E-2</v>
      </c>
      <c r="C1802">
        <f>6.869/(100)</f>
        <v>6.8690000000000001E-2</v>
      </c>
    </row>
    <row r="1803" spans="1:3" x14ac:dyDescent="0.3">
      <c r="A1803" s="2">
        <v>39058</v>
      </c>
      <c r="B1803">
        <f>7.25/(100)</f>
        <v>7.2499999999999995E-2</v>
      </c>
      <c r="C1803">
        <f>6.9/(100)</f>
        <v>6.9000000000000006E-2</v>
      </c>
    </row>
    <row r="1804" spans="1:3" x14ac:dyDescent="0.3">
      <c r="A1804" s="2">
        <v>39059</v>
      </c>
      <c r="B1804">
        <f>7.25/(100)</f>
        <v>7.2499999999999995E-2</v>
      </c>
      <c r="C1804">
        <f>6.842/(100)</f>
        <v>6.8419999999999995E-2</v>
      </c>
    </row>
    <row r="1805" spans="1:3" x14ac:dyDescent="0.3">
      <c r="A1805" s="2">
        <v>39060</v>
      </c>
      <c r="B1805">
        <f>7.25/(100)</f>
        <v>7.2499999999999995E-2</v>
      </c>
      <c r="C1805">
        <f>6.842/(100)</f>
        <v>6.8419999999999995E-2</v>
      </c>
    </row>
    <row r="1806" spans="1:3" x14ac:dyDescent="0.3">
      <c r="A1806" s="2">
        <v>39061</v>
      </c>
      <c r="B1806">
        <f>7.25/(100)</f>
        <v>7.2499999999999995E-2</v>
      </c>
      <c r="C1806">
        <f>6.842/(100)</f>
        <v>6.8419999999999995E-2</v>
      </c>
    </row>
    <row r="1807" spans="1:3" x14ac:dyDescent="0.3">
      <c r="A1807" s="2">
        <v>39062</v>
      </c>
      <c r="B1807">
        <f>7.25/(100)</f>
        <v>7.2499999999999995E-2</v>
      </c>
      <c r="C1807">
        <f>7.017/(100)</f>
        <v>7.017000000000001E-2</v>
      </c>
    </row>
    <row r="1808" spans="1:3" x14ac:dyDescent="0.3">
      <c r="A1808" s="2">
        <v>39063</v>
      </c>
      <c r="B1808">
        <f>7.25/(100)</f>
        <v>7.2499999999999995E-2</v>
      </c>
      <c r="C1808">
        <f>7.048/(100)</f>
        <v>7.0480000000000001E-2</v>
      </c>
    </row>
    <row r="1809" spans="1:3" x14ac:dyDescent="0.3">
      <c r="A1809" s="2">
        <v>39064</v>
      </c>
      <c r="B1809">
        <f>7.25/(100)</f>
        <v>7.2499999999999995E-2</v>
      </c>
      <c r="C1809">
        <f>7.051/(100)</f>
        <v>7.0510000000000003E-2</v>
      </c>
    </row>
    <row r="1810" spans="1:3" x14ac:dyDescent="0.3">
      <c r="A1810" s="2">
        <v>39065</v>
      </c>
      <c r="B1810">
        <f>7.25/(100)</f>
        <v>7.2499999999999995E-2</v>
      </c>
      <c r="C1810">
        <f>7.083/(100)</f>
        <v>7.0830000000000004E-2</v>
      </c>
    </row>
    <row r="1811" spans="1:3" x14ac:dyDescent="0.3">
      <c r="A1811" s="2">
        <v>39066</v>
      </c>
      <c r="B1811">
        <f>7.25/(100)</f>
        <v>7.2499999999999995E-2</v>
      </c>
      <c r="C1811">
        <f>6.994/(100)</f>
        <v>6.9940000000000002E-2</v>
      </c>
    </row>
    <row r="1812" spans="1:3" x14ac:dyDescent="0.3">
      <c r="A1812" s="2">
        <v>39067</v>
      </c>
      <c r="B1812">
        <f>7.25/(100)</f>
        <v>7.2499999999999995E-2</v>
      </c>
      <c r="C1812">
        <f>6.994/(100)</f>
        <v>6.9940000000000002E-2</v>
      </c>
    </row>
    <row r="1813" spans="1:3" x14ac:dyDescent="0.3">
      <c r="A1813" s="2">
        <v>39068</v>
      </c>
      <c r="B1813">
        <f>7.25/(100)</f>
        <v>7.2499999999999995E-2</v>
      </c>
      <c r="C1813">
        <f>6.994/(100)</f>
        <v>6.9940000000000002E-2</v>
      </c>
    </row>
    <row r="1814" spans="1:3" x14ac:dyDescent="0.3">
      <c r="A1814" s="2">
        <v>39069</v>
      </c>
      <c r="B1814">
        <f>7.25/(100)</f>
        <v>7.2499999999999995E-2</v>
      </c>
      <c r="C1814">
        <f>7.021/(100)</f>
        <v>7.0209999999999995E-2</v>
      </c>
    </row>
    <row r="1815" spans="1:3" x14ac:dyDescent="0.3">
      <c r="A1815" s="2">
        <v>39070</v>
      </c>
      <c r="B1815">
        <f>7.25/(100)</f>
        <v>7.2499999999999995E-2</v>
      </c>
      <c r="C1815">
        <f>6.977/(100)</f>
        <v>6.9769999999999999E-2</v>
      </c>
    </row>
    <row r="1816" spans="1:3" x14ac:dyDescent="0.3">
      <c r="A1816" s="2">
        <v>39071</v>
      </c>
      <c r="B1816">
        <f>7.25/(100)</f>
        <v>7.2499999999999995E-2</v>
      </c>
      <c r="C1816">
        <f>7/(100)</f>
        <v>7.0000000000000007E-2</v>
      </c>
    </row>
    <row r="1817" spans="1:3" x14ac:dyDescent="0.3">
      <c r="A1817" s="2">
        <v>39072</v>
      </c>
      <c r="B1817">
        <f>7.25/(100)</f>
        <v>7.2499999999999995E-2</v>
      </c>
      <c r="C1817">
        <f>7.155/(100)</f>
        <v>7.1550000000000002E-2</v>
      </c>
    </row>
    <row r="1818" spans="1:3" x14ac:dyDescent="0.3">
      <c r="A1818" s="2">
        <v>39073</v>
      </c>
      <c r="B1818">
        <f>7.25/(100)</f>
        <v>7.2499999999999995E-2</v>
      </c>
      <c r="C1818">
        <f>7.139/(100)</f>
        <v>7.1390000000000009E-2</v>
      </c>
    </row>
    <row r="1819" spans="1:3" x14ac:dyDescent="0.3">
      <c r="A1819" s="2">
        <v>39074</v>
      </c>
      <c r="B1819">
        <f>7.25/(100)</f>
        <v>7.2499999999999995E-2</v>
      </c>
      <c r="C1819">
        <f>7.139/(100)</f>
        <v>7.1390000000000009E-2</v>
      </c>
    </row>
    <row r="1820" spans="1:3" x14ac:dyDescent="0.3">
      <c r="A1820" s="2">
        <v>39075</v>
      </c>
      <c r="B1820">
        <f>7.25/(100)</f>
        <v>7.2499999999999995E-2</v>
      </c>
      <c r="C1820">
        <f>7.139/(100)</f>
        <v>7.1390000000000009E-2</v>
      </c>
    </row>
    <row r="1821" spans="1:3" x14ac:dyDescent="0.3">
      <c r="A1821" s="2">
        <v>39076</v>
      </c>
      <c r="B1821">
        <f>7.25/(100)</f>
        <v>7.2499999999999995E-2</v>
      </c>
      <c r="C1821">
        <f>7.139/(100)</f>
        <v>7.1390000000000009E-2</v>
      </c>
    </row>
    <row r="1822" spans="1:3" x14ac:dyDescent="0.3">
      <c r="A1822" s="2">
        <v>39077</v>
      </c>
      <c r="B1822">
        <f>7.25/(100)</f>
        <v>7.2499999999999995E-2</v>
      </c>
      <c r="C1822">
        <f>7.234/(100)</f>
        <v>7.2340000000000002E-2</v>
      </c>
    </row>
    <row r="1823" spans="1:3" x14ac:dyDescent="0.3">
      <c r="A1823" s="2">
        <v>39078</v>
      </c>
      <c r="B1823">
        <f>7.25/(100)</f>
        <v>7.2499999999999995E-2</v>
      </c>
      <c r="C1823">
        <f>7.201/(100)</f>
        <v>7.2009999999999991E-2</v>
      </c>
    </row>
    <row r="1824" spans="1:3" x14ac:dyDescent="0.3">
      <c r="A1824" s="2">
        <v>39079</v>
      </c>
      <c r="B1824">
        <f>7.25/(100)</f>
        <v>7.2499999999999995E-2</v>
      </c>
      <c r="C1824">
        <f>7.262/(100)</f>
        <v>7.261999999999999E-2</v>
      </c>
    </row>
    <row r="1825" spans="1:3" x14ac:dyDescent="0.3">
      <c r="A1825" s="2">
        <v>39080</v>
      </c>
      <c r="B1825">
        <f>7.25/(100)</f>
        <v>7.2499999999999995E-2</v>
      </c>
      <c r="C1825">
        <f>7.18/(100)</f>
        <v>7.1800000000000003E-2</v>
      </c>
    </row>
    <row r="1826" spans="1:3" x14ac:dyDescent="0.3">
      <c r="A1826" s="2">
        <v>39081</v>
      </c>
      <c r="B1826">
        <f>7.25/(100)</f>
        <v>7.2499999999999995E-2</v>
      </c>
      <c r="C1826">
        <f>7.18/(100)</f>
        <v>7.1800000000000003E-2</v>
      </c>
    </row>
    <row r="1827" spans="1:3" x14ac:dyDescent="0.3">
      <c r="A1827" s="2">
        <v>39082</v>
      </c>
      <c r="B1827">
        <f>7.25/(100)</f>
        <v>7.2499999999999995E-2</v>
      </c>
      <c r="C1827">
        <f>7.18/(100)</f>
        <v>7.1800000000000003E-2</v>
      </c>
    </row>
    <row r="1828" spans="1:3" x14ac:dyDescent="0.3">
      <c r="A1828" s="2">
        <v>39083</v>
      </c>
      <c r="B1828">
        <f>7.25/(100)</f>
        <v>7.2499999999999995E-2</v>
      </c>
      <c r="C1828">
        <f>7.18/(100)</f>
        <v>7.1800000000000003E-2</v>
      </c>
    </row>
    <row r="1829" spans="1:3" x14ac:dyDescent="0.3">
      <c r="A1829" s="2">
        <v>39084</v>
      </c>
      <c r="B1829">
        <f>7.25/(100)</f>
        <v>7.2499999999999995E-2</v>
      </c>
      <c r="C1829">
        <f>7.199/(100)</f>
        <v>7.1989999999999998E-2</v>
      </c>
    </row>
    <row r="1830" spans="1:3" x14ac:dyDescent="0.3">
      <c r="A1830" s="2">
        <v>39085</v>
      </c>
      <c r="B1830">
        <f>7.25/(100)</f>
        <v>7.2499999999999995E-2</v>
      </c>
      <c r="C1830">
        <f>7.159/(100)</f>
        <v>7.1590000000000001E-2</v>
      </c>
    </row>
    <row r="1831" spans="1:3" x14ac:dyDescent="0.3">
      <c r="A1831" s="2">
        <v>39086</v>
      </c>
      <c r="B1831">
        <f>7.25/(100)</f>
        <v>7.2499999999999995E-2</v>
      </c>
      <c r="C1831">
        <f>7.168/(100)</f>
        <v>7.1680000000000008E-2</v>
      </c>
    </row>
    <row r="1832" spans="1:3" x14ac:dyDescent="0.3">
      <c r="A1832" s="2">
        <v>39087</v>
      </c>
      <c r="B1832">
        <f>7.25/(100)</f>
        <v>7.2499999999999995E-2</v>
      </c>
      <c r="C1832">
        <f>7.113/(100)</f>
        <v>7.1129999999999999E-2</v>
      </c>
    </row>
    <row r="1833" spans="1:3" x14ac:dyDescent="0.3">
      <c r="A1833" s="2">
        <v>39088</v>
      </c>
      <c r="B1833">
        <f>7.25/(100)</f>
        <v>7.2499999999999995E-2</v>
      </c>
      <c r="C1833">
        <f>7.113/(100)</f>
        <v>7.1129999999999999E-2</v>
      </c>
    </row>
    <row r="1834" spans="1:3" x14ac:dyDescent="0.3">
      <c r="A1834" s="2">
        <v>39089</v>
      </c>
      <c r="B1834">
        <f>7.25/(100)</f>
        <v>7.2499999999999995E-2</v>
      </c>
      <c r="C1834">
        <f>7.113/(100)</f>
        <v>7.1129999999999999E-2</v>
      </c>
    </row>
    <row r="1835" spans="1:3" x14ac:dyDescent="0.3">
      <c r="A1835" s="2">
        <v>39090</v>
      </c>
      <c r="B1835">
        <f>7.25/(100)</f>
        <v>7.2499999999999995E-2</v>
      </c>
      <c r="C1835">
        <f>7.148/(100)</f>
        <v>7.1480000000000002E-2</v>
      </c>
    </row>
    <row r="1836" spans="1:3" x14ac:dyDescent="0.3">
      <c r="A1836" s="2">
        <v>39091</v>
      </c>
      <c r="B1836">
        <f>7.25/(100)</f>
        <v>7.2499999999999995E-2</v>
      </c>
      <c r="C1836">
        <f>7.131/(100)</f>
        <v>7.1309999999999998E-2</v>
      </c>
    </row>
    <row r="1837" spans="1:3" x14ac:dyDescent="0.3">
      <c r="A1837" s="2">
        <v>39092</v>
      </c>
      <c r="B1837">
        <f>7.25/(100)</f>
        <v>7.2499999999999995E-2</v>
      </c>
      <c r="C1837">
        <f>7.064/(100)</f>
        <v>7.0639999999999994E-2</v>
      </c>
    </row>
    <row r="1838" spans="1:3" x14ac:dyDescent="0.3">
      <c r="A1838" s="2">
        <v>39093</v>
      </c>
      <c r="B1838">
        <f>7.25/(100)</f>
        <v>7.2499999999999995E-2</v>
      </c>
      <c r="C1838">
        <f>7.108/(100)</f>
        <v>7.107999999999999E-2</v>
      </c>
    </row>
    <row r="1839" spans="1:3" x14ac:dyDescent="0.3">
      <c r="A1839" s="2">
        <v>39094</v>
      </c>
      <c r="B1839">
        <f>7.25/(100)</f>
        <v>7.2499999999999995E-2</v>
      </c>
      <c r="C1839">
        <f>7.163/(100)</f>
        <v>7.1629999999999999E-2</v>
      </c>
    </row>
    <row r="1840" spans="1:3" x14ac:dyDescent="0.3">
      <c r="A1840" s="2">
        <v>39095</v>
      </c>
      <c r="B1840">
        <f>7.25/(100)</f>
        <v>7.2499999999999995E-2</v>
      </c>
      <c r="C1840">
        <f>7.163/(100)</f>
        <v>7.1629999999999999E-2</v>
      </c>
    </row>
    <row r="1841" spans="1:3" x14ac:dyDescent="0.3">
      <c r="A1841" s="2">
        <v>39096</v>
      </c>
      <c r="B1841">
        <f>7.25/(100)</f>
        <v>7.2499999999999995E-2</v>
      </c>
      <c r="C1841">
        <f>7.163/(100)</f>
        <v>7.1629999999999999E-2</v>
      </c>
    </row>
    <row r="1842" spans="1:3" x14ac:dyDescent="0.3">
      <c r="A1842" s="2">
        <v>39097</v>
      </c>
      <c r="B1842">
        <f>7.25/(100)</f>
        <v>7.2499999999999995E-2</v>
      </c>
      <c r="C1842">
        <f>7.046/(100)</f>
        <v>7.0460000000000009E-2</v>
      </c>
    </row>
    <row r="1843" spans="1:3" x14ac:dyDescent="0.3">
      <c r="A1843" s="2">
        <v>39098</v>
      </c>
      <c r="B1843">
        <f>7.25/(100)</f>
        <v>7.2499999999999995E-2</v>
      </c>
      <c r="C1843">
        <f>7.196/(100)</f>
        <v>7.1959999999999996E-2</v>
      </c>
    </row>
    <row r="1844" spans="1:3" x14ac:dyDescent="0.3">
      <c r="A1844" s="2">
        <v>39099</v>
      </c>
      <c r="B1844">
        <f>7.25/(100)</f>
        <v>7.2499999999999995E-2</v>
      </c>
      <c r="C1844">
        <f>7.103/(100)</f>
        <v>7.1029999999999996E-2</v>
      </c>
    </row>
    <row r="1845" spans="1:3" x14ac:dyDescent="0.3">
      <c r="A1845" s="2">
        <v>39100</v>
      </c>
      <c r="B1845">
        <f>7.25/(100)</f>
        <v>7.2499999999999995E-2</v>
      </c>
      <c r="C1845">
        <f>7.198/(100)</f>
        <v>7.1980000000000002E-2</v>
      </c>
    </row>
    <row r="1846" spans="1:3" x14ac:dyDescent="0.3">
      <c r="A1846" s="2">
        <v>39101</v>
      </c>
      <c r="B1846">
        <f>7.25/(100)</f>
        <v>7.2499999999999995E-2</v>
      </c>
      <c r="C1846">
        <f>6.99/(100)</f>
        <v>6.9900000000000004E-2</v>
      </c>
    </row>
    <row r="1847" spans="1:3" x14ac:dyDescent="0.3">
      <c r="A1847" s="2">
        <v>39102</v>
      </c>
      <c r="B1847">
        <f>7.25/(100)</f>
        <v>7.2499999999999995E-2</v>
      </c>
      <c r="C1847">
        <f>6.99/(100)</f>
        <v>6.9900000000000004E-2</v>
      </c>
    </row>
    <row r="1848" spans="1:3" x14ac:dyDescent="0.3">
      <c r="A1848" s="2">
        <v>39103</v>
      </c>
      <c r="B1848">
        <f>7.25/(100)</f>
        <v>7.2499999999999995E-2</v>
      </c>
      <c r="C1848">
        <f>6.99/(100)</f>
        <v>6.9900000000000004E-2</v>
      </c>
    </row>
    <row r="1849" spans="1:3" x14ac:dyDescent="0.3">
      <c r="A1849" s="2">
        <v>39104</v>
      </c>
      <c r="B1849">
        <f>7.25/(100)</f>
        <v>7.2499999999999995E-2</v>
      </c>
      <c r="C1849">
        <f>7.363/(100)</f>
        <v>7.3630000000000001E-2</v>
      </c>
    </row>
    <row r="1850" spans="1:3" x14ac:dyDescent="0.3">
      <c r="A1850" s="2">
        <v>39105</v>
      </c>
      <c r="B1850">
        <f>7.25/(100)</f>
        <v>7.2499999999999995E-2</v>
      </c>
      <c r="C1850">
        <f>7.295/(100)</f>
        <v>7.2950000000000001E-2</v>
      </c>
    </row>
    <row r="1851" spans="1:3" x14ac:dyDescent="0.3">
      <c r="A1851" s="2">
        <v>39106</v>
      </c>
      <c r="B1851">
        <f>7.25/(100)</f>
        <v>7.2499999999999995E-2</v>
      </c>
      <c r="C1851">
        <f>7.282/(100)</f>
        <v>7.2819999999999996E-2</v>
      </c>
    </row>
    <row r="1852" spans="1:3" x14ac:dyDescent="0.3">
      <c r="A1852" s="2">
        <v>39107</v>
      </c>
      <c r="B1852">
        <f>7.25/(100)</f>
        <v>7.2499999999999995E-2</v>
      </c>
      <c r="C1852">
        <f>7.334/(100)</f>
        <v>7.3340000000000002E-2</v>
      </c>
    </row>
    <row r="1853" spans="1:3" x14ac:dyDescent="0.3">
      <c r="A1853" s="2">
        <v>39108</v>
      </c>
      <c r="B1853">
        <f>7.25/(100)</f>
        <v>7.2499999999999995E-2</v>
      </c>
      <c r="C1853">
        <f>7.334/(100)</f>
        <v>7.3340000000000002E-2</v>
      </c>
    </row>
    <row r="1854" spans="1:3" x14ac:dyDescent="0.3">
      <c r="A1854" s="2">
        <v>39109</v>
      </c>
      <c r="B1854">
        <f>7.25/(100)</f>
        <v>7.2499999999999995E-2</v>
      </c>
      <c r="C1854">
        <f>7.334/(100)</f>
        <v>7.3340000000000002E-2</v>
      </c>
    </row>
    <row r="1855" spans="1:3" x14ac:dyDescent="0.3">
      <c r="A1855" s="2">
        <v>39110</v>
      </c>
      <c r="B1855">
        <f>7.25/(100)</f>
        <v>7.2499999999999995E-2</v>
      </c>
      <c r="C1855">
        <f>7.334/(100)</f>
        <v>7.3340000000000002E-2</v>
      </c>
    </row>
    <row r="1856" spans="1:3" x14ac:dyDescent="0.3">
      <c r="A1856" s="2">
        <v>39111</v>
      </c>
      <c r="B1856">
        <f>7.25/(100)</f>
        <v>7.2499999999999995E-2</v>
      </c>
      <c r="C1856">
        <f>7.275/(100)</f>
        <v>7.2750000000000009E-2</v>
      </c>
    </row>
    <row r="1857" spans="1:3" x14ac:dyDescent="0.3">
      <c r="A1857" s="2">
        <v>39112</v>
      </c>
      <c r="B1857">
        <f>7.25/(100)</f>
        <v>7.2499999999999995E-2</v>
      </c>
      <c r="C1857">
        <f>7.275/(100)</f>
        <v>7.2750000000000009E-2</v>
      </c>
    </row>
    <row r="1858" spans="1:3" x14ac:dyDescent="0.3">
      <c r="A1858" s="2">
        <v>39113</v>
      </c>
      <c r="B1858">
        <f>7.5/(100)</f>
        <v>7.4999999999999997E-2</v>
      </c>
      <c r="C1858">
        <f>7.272/(100)</f>
        <v>7.2720000000000007E-2</v>
      </c>
    </row>
    <row r="1859" spans="1:3" x14ac:dyDescent="0.3">
      <c r="A1859" s="2">
        <v>39114</v>
      </c>
      <c r="B1859">
        <f>7.5/(100)</f>
        <v>7.4999999999999997E-2</v>
      </c>
      <c r="C1859">
        <f>7.272/(100)</f>
        <v>7.2720000000000007E-2</v>
      </c>
    </row>
    <row r="1860" spans="1:3" x14ac:dyDescent="0.3">
      <c r="A1860" s="2">
        <v>39115</v>
      </c>
      <c r="B1860">
        <f>7.5/(100)</f>
        <v>7.4999999999999997E-2</v>
      </c>
      <c r="C1860">
        <f>7.274/(100)</f>
        <v>7.2739999999999999E-2</v>
      </c>
    </row>
    <row r="1861" spans="1:3" x14ac:dyDescent="0.3">
      <c r="A1861" s="2">
        <v>39116</v>
      </c>
      <c r="B1861">
        <f>7.5/(100)</f>
        <v>7.4999999999999997E-2</v>
      </c>
      <c r="C1861">
        <f>7.274/(100)</f>
        <v>7.2739999999999999E-2</v>
      </c>
    </row>
    <row r="1862" spans="1:3" x14ac:dyDescent="0.3">
      <c r="A1862" s="2">
        <v>39117</v>
      </c>
      <c r="B1862">
        <f>7.5/(100)</f>
        <v>7.4999999999999997E-2</v>
      </c>
      <c r="C1862">
        <f>7.274/(100)</f>
        <v>7.2739999999999999E-2</v>
      </c>
    </row>
    <row r="1863" spans="1:3" x14ac:dyDescent="0.3">
      <c r="A1863" s="2">
        <v>39118</v>
      </c>
      <c r="B1863">
        <f>7.5/(100)</f>
        <v>7.4999999999999997E-2</v>
      </c>
      <c r="C1863">
        <f>7.26/(100)</f>
        <v>7.2599999999999998E-2</v>
      </c>
    </row>
    <row r="1864" spans="1:3" x14ac:dyDescent="0.3">
      <c r="A1864" s="2">
        <v>39119</v>
      </c>
      <c r="B1864">
        <f>7.5/(100)</f>
        <v>7.4999999999999997E-2</v>
      </c>
      <c r="C1864">
        <f>7.332/(100)</f>
        <v>7.3319999999999996E-2</v>
      </c>
    </row>
    <row r="1865" spans="1:3" x14ac:dyDescent="0.3">
      <c r="A1865" s="2">
        <v>39120</v>
      </c>
      <c r="B1865">
        <f>7.5/(100)</f>
        <v>7.4999999999999997E-2</v>
      </c>
      <c r="C1865">
        <f>7.421/(100)</f>
        <v>7.4209999999999998E-2</v>
      </c>
    </row>
    <row r="1866" spans="1:3" x14ac:dyDescent="0.3">
      <c r="A1866" s="2">
        <v>39121</v>
      </c>
      <c r="B1866">
        <f>7.5/(100)</f>
        <v>7.4999999999999997E-2</v>
      </c>
      <c r="C1866">
        <f>7.55/(100)</f>
        <v>7.5499999999999998E-2</v>
      </c>
    </row>
    <row r="1867" spans="1:3" x14ac:dyDescent="0.3">
      <c r="A1867" s="2">
        <v>39122</v>
      </c>
      <c r="B1867">
        <f>7.5/(100)</f>
        <v>7.4999999999999997E-2</v>
      </c>
      <c r="C1867">
        <f>7.613/(100)</f>
        <v>7.6130000000000003E-2</v>
      </c>
    </row>
    <row r="1868" spans="1:3" x14ac:dyDescent="0.3">
      <c r="A1868" s="2">
        <v>39123</v>
      </c>
      <c r="B1868">
        <f>7.5/(100)</f>
        <v>7.4999999999999997E-2</v>
      </c>
      <c r="C1868">
        <f>7.613/(100)</f>
        <v>7.6130000000000003E-2</v>
      </c>
    </row>
    <row r="1869" spans="1:3" x14ac:dyDescent="0.3">
      <c r="A1869" s="2">
        <v>39124</v>
      </c>
      <c r="B1869">
        <f>7.5/(100)</f>
        <v>7.4999999999999997E-2</v>
      </c>
      <c r="C1869">
        <f>7.613/(100)</f>
        <v>7.6130000000000003E-2</v>
      </c>
    </row>
    <row r="1870" spans="1:3" x14ac:dyDescent="0.3">
      <c r="A1870" s="2">
        <v>39125</v>
      </c>
      <c r="B1870">
        <f>7.5/(100)</f>
        <v>7.4999999999999997E-2</v>
      </c>
      <c r="C1870">
        <f>7.6/(100)</f>
        <v>7.5999999999999998E-2</v>
      </c>
    </row>
    <row r="1871" spans="1:3" x14ac:dyDescent="0.3">
      <c r="A1871" s="2">
        <v>39126</v>
      </c>
      <c r="B1871">
        <f>7.5/(100)</f>
        <v>7.4999999999999997E-2</v>
      </c>
      <c r="C1871">
        <f>7.626/(100)</f>
        <v>7.6260000000000008E-2</v>
      </c>
    </row>
    <row r="1872" spans="1:3" x14ac:dyDescent="0.3">
      <c r="A1872" s="2">
        <v>39127</v>
      </c>
      <c r="B1872">
        <f>7.5/(100)</f>
        <v>7.4999999999999997E-2</v>
      </c>
      <c r="C1872">
        <f>7.722/(100)</f>
        <v>7.7220000000000011E-2</v>
      </c>
    </row>
    <row r="1873" spans="1:3" x14ac:dyDescent="0.3">
      <c r="A1873" s="2">
        <v>39128</v>
      </c>
      <c r="B1873">
        <f>7.5/(100)</f>
        <v>7.4999999999999997E-2</v>
      </c>
      <c r="C1873">
        <f>7.708/(100)</f>
        <v>7.7079999999999996E-2</v>
      </c>
    </row>
    <row r="1874" spans="1:3" x14ac:dyDescent="0.3">
      <c r="A1874" s="2">
        <v>39129</v>
      </c>
      <c r="B1874">
        <f>7.5/(100)</f>
        <v>7.4999999999999997E-2</v>
      </c>
      <c r="C1874">
        <f>7.708/(100)</f>
        <v>7.7079999999999996E-2</v>
      </c>
    </row>
    <row r="1875" spans="1:3" x14ac:dyDescent="0.3">
      <c r="A1875" s="2">
        <v>39130</v>
      </c>
      <c r="B1875">
        <f>7.5/(100)</f>
        <v>7.4999999999999997E-2</v>
      </c>
      <c r="C1875">
        <f>7.708/(100)</f>
        <v>7.7079999999999996E-2</v>
      </c>
    </row>
    <row r="1876" spans="1:3" x14ac:dyDescent="0.3">
      <c r="A1876" s="2">
        <v>39131</v>
      </c>
      <c r="B1876">
        <f>7.5/(100)</f>
        <v>7.4999999999999997E-2</v>
      </c>
      <c r="C1876">
        <f>7.708/(100)</f>
        <v>7.7079999999999996E-2</v>
      </c>
    </row>
    <row r="1877" spans="1:3" x14ac:dyDescent="0.3">
      <c r="A1877" s="2">
        <v>39132</v>
      </c>
      <c r="B1877">
        <f>7.5/(100)</f>
        <v>7.4999999999999997E-2</v>
      </c>
      <c r="C1877">
        <f>7.728/(100)</f>
        <v>7.7280000000000001E-2</v>
      </c>
    </row>
    <row r="1878" spans="1:3" x14ac:dyDescent="0.3">
      <c r="A1878" s="2">
        <v>39133</v>
      </c>
      <c r="B1878">
        <f>7.5/(100)</f>
        <v>7.4999999999999997E-2</v>
      </c>
      <c r="C1878">
        <f>7.692/(100)</f>
        <v>7.6920000000000002E-2</v>
      </c>
    </row>
    <row r="1879" spans="1:3" x14ac:dyDescent="0.3">
      <c r="A1879" s="2">
        <v>39134</v>
      </c>
      <c r="B1879">
        <f>7.5/(100)</f>
        <v>7.4999999999999997E-2</v>
      </c>
      <c r="C1879">
        <f>7.739/(100)</f>
        <v>7.739E-2</v>
      </c>
    </row>
    <row r="1880" spans="1:3" x14ac:dyDescent="0.3">
      <c r="A1880" s="2">
        <v>39135</v>
      </c>
      <c r="B1880">
        <f>7.5/(100)</f>
        <v>7.4999999999999997E-2</v>
      </c>
      <c r="C1880">
        <f>7.725/(100)</f>
        <v>7.7249999999999999E-2</v>
      </c>
    </row>
    <row r="1881" spans="1:3" x14ac:dyDescent="0.3">
      <c r="A1881" s="2">
        <v>39136</v>
      </c>
      <c r="B1881">
        <f>7.5/(100)</f>
        <v>7.4999999999999997E-2</v>
      </c>
      <c r="C1881">
        <f>7.663/(100)</f>
        <v>7.6630000000000004E-2</v>
      </c>
    </row>
    <row r="1882" spans="1:3" x14ac:dyDescent="0.3">
      <c r="A1882" s="2">
        <v>39137</v>
      </c>
      <c r="B1882">
        <f>7.5/(100)</f>
        <v>7.4999999999999997E-2</v>
      </c>
      <c r="C1882">
        <f>7.663/(100)</f>
        <v>7.6630000000000004E-2</v>
      </c>
    </row>
    <row r="1883" spans="1:3" x14ac:dyDescent="0.3">
      <c r="A1883" s="2">
        <v>39138</v>
      </c>
      <c r="B1883">
        <f>7.5/(100)</f>
        <v>7.4999999999999997E-2</v>
      </c>
      <c r="C1883">
        <f>7.663/(100)</f>
        <v>7.6630000000000004E-2</v>
      </c>
    </row>
    <row r="1884" spans="1:3" x14ac:dyDescent="0.3">
      <c r="A1884" s="2">
        <v>39139</v>
      </c>
      <c r="B1884">
        <f>7.5/(100)</f>
        <v>7.4999999999999997E-2</v>
      </c>
      <c r="C1884">
        <f>7.577/(100)</f>
        <v>7.5770000000000004E-2</v>
      </c>
    </row>
    <row r="1885" spans="1:3" x14ac:dyDescent="0.3">
      <c r="A1885" s="2">
        <v>39140</v>
      </c>
      <c r="B1885">
        <f>7.5/(100)</f>
        <v>7.4999999999999997E-2</v>
      </c>
      <c r="C1885">
        <f>7.631/(100)</f>
        <v>7.6310000000000003E-2</v>
      </c>
    </row>
    <row r="1886" spans="1:3" x14ac:dyDescent="0.3">
      <c r="A1886" s="2">
        <v>39141</v>
      </c>
      <c r="B1886">
        <f>7.5/(100)</f>
        <v>7.4999999999999997E-2</v>
      </c>
      <c r="C1886">
        <f>7.651/(100)</f>
        <v>7.6509999999999995E-2</v>
      </c>
    </row>
    <row r="1887" spans="1:3" x14ac:dyDescent="0.3">
      <c r="A1887" s="2">
        <v>39142</v>
      </c>
      <c r="B1887">
        <f>7.5/(100)</f>
        <v>7.4999999999999997E-2</v>
      </c>
      <c r="C1887">
        <f>7.599/(100)</f>
        <v>7.5990000000000002E-2</v>
      </c>
    </row>
    <row r="1888" spans="1:3" x14ac:dyDescent="0.3">
      <c r="A1888" s="2">
        <v>39143</v>
      </c>
      <c r="B1888">
        <f>7.5/(100)</f>
        <v>7.4999999999999997E-2</v>
      </c>
      <c r="C1888">
        <f>7.6/(100)</f>
        <v>7.5999999999999998E-2</v>
      </c>
    </row>
    <row r="1889" spans="1:3" x14ac:dyDescent="0.3">
      <c r="A1889" s="2">
        <v>39144</v>
      </c>
      <c r="B1889">
        <f>7.5/(100)</f>
        <v>7.4999999999999997E-2</v>
      </c>
      <c r="C1889">
        <f>7.6/(100)</f>
        <v>7.5999999999999998E-2</v>
      </c>
    </row>
    <row r="1890" spans="1:3" x14ac:dyDescent="0.3">
      <c r="A1890" s="2">
        <v>39145</v>
      </c>
      <c r="B1890">
        <f>7.5/(100)</f>
        <v>7.4999999999999997E-2</v>
      </c>
      <c r="C1890">
        <f>7.6/(100)</f>
        <v>7.5999999999999998E-2</v>
      </c>
    </row>
    <row r="1891" spans="1:3" x14ac:dyDescent="0.3">
      <c r="A1891" s="2">
        <v>39146</v>
      </c>
      <c r="B1891">
        <f>7.5/(100)</f>
        <v>7.4999999999999997E-2</v>
      </c>
      <c r="C1891">
        <f>7.552/(100)</f>
        <v>7.551999999999999E-2</v>
      </c>
    </row>
    <row r="1892" spans="1:3" x14ac:dyDescent="0.3">
      <c r="A1892" s="2">
        <v>39147</v>
      </c>
      <c r="B1892">
        <f>7.5/(100)</f>
        <v>7.4999999999999997E-2</v>
      </c>
      <c r="C1892">
        <f>7.589/(100)</f>
        <v>7.5889999999999999E-2</v>
      </c>
    </row>
    <row r="1893" spans="1:3" x14ac:dyDescent="0.3">
      <c r="A1893" s="2">
        <v>39148</v>
      </c>
      <c r="B1893">
        <f>7.5/(100)</f>
        <v>7.4999999999999997E-2</v>
      </c>
      <c r="C1893">
        <f>7.624/(100)</f>
        <v>7.6240000000000002E-2</v>
      </c>
    </row>
    <row r="1894" spans="1:3" x14ac:dyDescent="0.3">
      <c r="A1894" s="2">
        <v>39149</v>
      </c>
      <c r="B1894">
        <f>7.5/(100)</f>
        <v>7.4999999999999997E-2</v>
      </c>
      <c r="C1894">
        <f>7.671/(100)</f>
        <v>7.671E-2</v>
      </c>
    </row>
    <row r="1895" spans="1:3" x14ac:dyDescent="0.3">
      <c r="A1895" s="2">
        <v>39150</v>
      </c>
      <c r="B1895">
        <f>7.5/(100)</f>
        <v>7.4999999999999997E-2</v>
      </c>
      <c r="C1895">
        <f>7.663/(100)</f>
        <v>7.6630000000000004E-2</v>
      </c>
    </row>
    <row r="1896" spans="1:3" x14ac:dyDescent="0.3">
      <c r="A1896" s="2">
        <v>39151</v>
      </c>
      <c r="B1896">
        <f>7.5/(100)</f>
        <v>7.4999999999999997E-2</v>
      </c>
      <c r="C1896">
        <f>7.663/(100)</f>
        <v>7.6630000000000004E-2</v>
      </c>
    </row>
    <row r="1897" spans="1:3" x14ac:dyDescent="0.3">
      <c r="A1897" s="2">
        <v>39152</v>
      </c>
      <c r="B1897">
        <f>7.5/(100)</f>
        <v>7.4999999999999997E-2</v>
      </c>
      <c r="C1897">
        <f>7.663/(100)</f>
        <v>7.6630000000000004E-2</v>
      </c>
    </row>
    <row r="1898" spans="1:3" x14ac:dyDescent="0.3">
      <c r="A1898" s="2">
        <v>39153</v>
      </c>
      <c r="B1898">
        <f>7.5/(100)</f>
        <v>7.4999999999999997E-2</v>
      </c>
      <c r="C1898">
        <f>7.67/(100)</f>
        <v>7.6700000000000004E-2</v>
      </c>
    </row>
    <row r="1899" spans="1:3" x14ac:dyDescent="0.3">
      <c r="A1899" s="2">
        <v>39154</v>
      </c>
      <c r="B1899">
        <f>7.5/(100)</f>
        <v>7.4999999999999997E-2</v>
      </c>
      <c r="C1899">
        <f>7.686/(100)</f>
        <v>7.6859999999999998E-2</v>
      </c>
    </row>
    <row r="1900" spans="1:3" x14ac:dyDescent="0.3">
      <c r="A1900" s="2">
        <v>39155</v>
      </c>
      <c r="B1900">
        <f>7.5/(100)</f>
        <v>7.4999999999999997E-2</v>
      </c>
      <c r="C1900">
        <f>7.603/(100)</f>
        <v>7.603E-2</v>
      </c>
    </row>
    <row r="1901" spans="1:3" x14ac:dyDescent="0.3">
      <c r="A1901" s="2">
        <v>39156</v>
      </c>
      <c r="B1901">
        <f>7.5/(100)</f>
        <v>7.4999999999999997E-2</v>
      </c>
      <c r="C1901">
        <f>7.675/(100)</f>
        <v>7.6749999999999999E-2</v>
      </c>
    </row>
    <row r="1902" spans="1:3" x14ac:dyDescent="0.3">
      <c r="A1902" s="2">
        <v>39157</v>
      </c>
      <c r="B1902">
        <f>7.5/(100)</f>
        <v>7.4999999999999997E-2</v>
      </c>
      <c r="C1902">
        <f>7.646/(100)</f>
        <v>7.646E-2</v>
      </c>
    </row>
    <row r="1903" spans="1:3" x14ac:dyDescent="0.3">
      <c r="A1903" s="2">
        <v>39158</v>
      </c>
      <c r="B1903">
        <f>7.5/(100)</f>
        <v>7.4999999999999997E-2</v>
      </c>
      <c r="C1903">
        <f>7.646/(100)</f>
        <v>7.646E-2</v>
      </c>
    </row>
    <row r="1904" spans="1:3" x14ac:dyDescent="0.3">
      <c r="A1904" s="2">
        <v>39159</v>
      </c>
      <c r="B1904">
        <f>7.5/(100)</f>
        <v>7.4999999999999997E-2</v>
      </c>
      <c r="C1904">
        <f>7.646/(100)</f>
        <v>7.646E-2</v>
      </c>
    </row>
    <row r="1905" spans="1:3" x14ac:dyDescent="0.3">
      <c r="A1905" s="2">
        <v>39160</v>
      </c>
      <c r="B1905">
        <f>7.5/(100)</f>
        <v>7.4999999999999997E-2</v>
      </c>
      <c r="C1905">
        <f>7.646/(100)</f>
        <v>7.646E-2</v>
      </c>
    </row>
    <row r="1906" spans="1:3" x14ac:dyDescent="0.3">
      <c r="A1906" s="2">
        <v>39161</v>
      </c>
      <c r="B1906">
        <f>7.5/(100)</f>
        <v>7.4999999999999997E-2</v>
      </c>
      <c r="C1906">
        <f>7.709/(100)</f>
        <v>7.7089999999999992E-2</v>
      </c>
    </row>
    <row r="1907" spans="1:3" x14ac:dyDescent="0.3">
      <c r="A1907" s="2">
        <v>39162</v>
      </c>
      <c r="B1907">
        <f>7.5/(100)</f>
        <v>7.4999999999999997E-2</v>
      </c>
      <c r="C1907">
        <f>8.026/(100)</f>
        <v>8.0259999999999998E-2</v>
      </c>
    </row>
    <row r="1908" spans="1:3" x14ac:dyDescent="0.3">
      <c r="A1908" s="2">
        <v>39163</v>
      </c>
      <c r="B1908">
        <f>7.5/(100)</f>
        <v>7.4999999999999997E-2</v>
      </c>
      <c r="C1908">
        <f>7.863/(100)</f>
        <v>7.8630000000000005E-2</v>
      </c>
    </row>
    <row r="1909" spans="1:3" x14ac:dyDescent="0.3">
      <c r="A1909" s="2">
        <v>39164</v>
      </c>
      <c r="B1909">
        <f>7.5/(100)</f>
        <v>7.4999999999999997E-2</v>
      </c>
      <c r="C1909">
        <f>7.687/(100)</f>
        <v>7.6870000000000008E-2</v>
      </c>
    </row>
    <row r="1910" spans="1:3" x14ac:dyDescent="0.3">
      <c r="A1910" s="2">
        <v>39165</v>
      </c>
      <c r="B1910">
        <f>7.5/(100)</f>
        <v>7.4999999999999997E-2</v>
      </c>
      <c r="C1910">
        <f>7.687/(100)</f>
        <v>7.6870000000000008E-2</v>
      </c>
    </row>
    <row r="1911" spans="1:3" x14ac:dyDescent="0.3">
      <c r="A1911" s="2">
        <v>39166</v>
      </c>
      <c r="B1911">
        <f>7.5/(100)</f>
        <v>7.4999999999999997E-2</v>
      </c>
      <c r="C1911">
        <f>7.687/(100)</f>
        <v>7.6870000000000008E-2</v>
      </c>
    </row>
    <row r="1912" spans="1:3" x14ac:dyDescent="0.3">
      <c r="A1912" s="2">
        <v>39167</v>
      </c>
      <c r="B1912">
        <f>7.5/(100)</f>
        <v>7.4999999999999997E-2</v>
      </c>
      <c r="C1912">
        <f>7.709/(100)</f>
        <v>7.7089999999999992E-2</v>
      </c>
    </row>
    <row r="1913" spans="1:3" x14ac:dyDescent="0.3">
      <c r="A1913" s="2">
        <v>39168</v>
      </c>
      <c r="B1913">
        <f>7.5/(100)</f>
        <v>7.4999999999999997E-2</v>
      </c>
      <c r="C1913">
        <f>7.709/(100)</f>
        <v>7.7089999999999992E-2</v>
      </c>
    </row>
    <row r="1914" spans="1:3" x14ac:dyDescent="0.3">
      <c r="A1914" s="2">
        <v>39169</v>
      </c>
      <c r="B1914">
        <f>7.5/(100)</f>
        <v>7.4999999999999997E-2</v>
      </c>
      <c r="C1914">
        <f>7.758/(100)</f>
        <v>7.7579999999999996E-2</v>
      </c>
    </row>
    <row r="1915" spans="1:3" x14ac:dyDescent="0.3">
      <c r="A1915" s="2">
        <v>39170</v>
      </c>
      <c r="B1915">
        <f>7.5/(100)</f>
        <v>7.4999999999999997E-2</v>
      </c>
      <c r="C1915">
        <f>7.685/(100)</f>
        <v>7.6850000000000002E-2</v>
      </c>
    </row>
    <row r="1916" spans="1:3" x14ac:dyDescent="0.3">
      <c r="A1916" s="2">
        <v>39171</v>
      </c>
      <c r="B1916">
        <f>7.75/(100)</f>
        <v>7.7499999999999999E-2</v>
      </c>
      <c r="C1916">
        <f>7.633/(100)</f>
        <v>7.6329999999999995E-2</v>
      </c>
    </row>
    <row r="1917" spans="1:3" x14ac:dyDescent="0.3">
      <c r="A1917" s="2">
        <v>39172</v>
      </c>
      <c r="B1917">
        <f>7.75/(100)</f>
        <v>7.7499999999999999E-2</v>
      </c>
      <c r="C1917">
        <f>7.633/(100)</f>
        <v>7.6329999999999995E-2</v>
      </c>
    </row>
    <row r="1918" spans="1:3" x14ac:dyDescent="0.3">
      <c r="A1918" s="2">
        <v>39173</v>
      </c>
      <c r="B1918">
        <f>7.75/(100)</f>
        <v>7.7499999999999999E-2</v>
      </c>
      <c r="C1918">
        <f>7.633/(100)</f>
        <v>7.6329999999999995E-2</v>
      </c>
    </row>
    <row r="1919" spans="1:3" x14ac:dyDescent="0.3">
      <c r="A1919" s="2">
        <v>39174</v>
      </c>
      <c r="B1919">
        <f>7.75/(100)</f>
        <v>7.7499999999999999E-2</v>
      </c>
      <c r="C1919">
        <f>7.633/(100)</f>
        <v>7.6329999999999995E-2</v>
      </c>
    </row>
    <row r="1920" spans="1:3" x14ac:dyDescent="0.3">
      <c r="A1920" s="2">
        <v>39175</v>
      </c>
      <c r="B1920">
        <f>7.75/(100)</f>
        <v>7.7499999999999999E-2</v>
      </c>
      <c r="C1920">
        <f>8.094/(100)</f>
        <v>8.0939999999999998E-2</v>
      </c>
    </row>
    <row r="1921" spans="1:3" x14ac:dyDescent="0.3">
      <c r="A1921" s="2">
        <v>39176</v>
      </c>
      <c r="B1921">
        <f>7.75/(100)</f>
        <v>7.7499999999999999E-2</v>
      </c>
      <c r="C1921">
        <f>8.092/(100)</f>
        <v>8.0920000000000006E-2</v>
      </c>
    </row>
    <row r="1922" spans="1:3" x14ac:dyDescent="0.3">
      <c r="A1922" s="2">
        <v>39177</v>
      </c>
      <c r="B1922">
        <f>7.75/(100)</f>
        <v>7.7499999999999999E-2</v>
      </c>
      <c r="C1922">
        <f>7.96/(100)</f>
        <v>7.9600000000000004E-2</v>
      </c>
    </row>
    <row r="1923" spans="1:3" x14ac:dyDescent="0.3">
      <c r="A1923" s="2">
        <v>39178</v>
      </c>
      <c r="B1923">
        <f>7.75/(100)</f>
        <v>7.7499999999999999E-2</v>
      </c>
      <c r="C1923">
        <f>7.96/(100)</f>
        <v>7.9600000000000004E-2</v>
      </c>
    </row>
    <row r="1924" spans="1:3" x14ac:dyDescent="0.3">
      <c r="A1924" s="2">
        <v>39179</v>
      </c>
      <c r="B1924">
        <f>7.75/(100)</f>
        <v>7.7499999999999999E-2</v>
      </c>
      <c r="C1924">
        <f>7.96/(100)</f>
        <v>7.9600000000000004E-2</v>
      </c>
    </row>
    <row r="1925" spans="1:3" x14ac:dyDescent="0.3">
      <c r="A1925" s="2">
        <v>39180</v>
      </c>
      <c r="B1925">
        <f>7.75/(100)</f>
        <v>7.7499999999999999E-2</v>
      </c>
      <c r="C1925">
        <f>7.96/(100)</f>
        <v>7.9600000000000004E-2</v>
      </c>
    </row>
    <row r="1926" spans="1:3" x14ac:dyDescent="0.3">
      <c r="A1926" s="2">
        <v>39181</v>
      </c>
      <c r="B1926">
        <f>7.75/(100)</f>
        <v>7.7499999999999999E-2</v>
      </c>
      <c r="C1926">
        <f>8.03/(100)</f>
        <v>8.0299999999999996E-2</v>
      </c>
    </row>
    <row r="1927" spans="1:3" x14ac:dyDescent="0.3">
      <c r="A1927" s="2">
        <v>39182</v>
      </c>
      <c r="B1927">
        <f>7.75/(100)</f>
        <v>7.7499999999999999E-2</v>
      </c>
      <c r="C1927">
        <f>7.917/(100)</f>
        <v>7.9170000000000004E-2</v>
      </c>
    </row>
    <row r="1928" spans="1:3" x14ac:dyDescent="0.3">
      <c r="A1928" s="2">
        <v>39183</v>
      </c>
      <c r="B1928">
        <f>7.75/(100)</f>
        <v>7.7499999999999999E-2</v>
      </c>
      <c r="C1928">
        <f>7.938/(100)</f>
        <v>7.9379999999999992E-2</v>
      </c>
    </row>
    <row r="1929" spans="1:3" x14ac:dyDescent="0.3">
      <c r="A1929" s="2">
        <v>39184</v>
      </c>
      <c r="B1929">
        <f>7.75/(100)</f>
        <v>7.7499999999999999E-2</v>
      </c>
      <c r="C1929">
        <f>7.925/(100)</f>
        <v>7.9250000000000001E-2</v>
      </c>
    </row>
    <row r="1930" spans="1:3" x14ac:dyDescent="0.3">
      <c r="A1930" s="2">
        <v>39185</v>
      </c>
      <c r="B1930">
        <f>7.75/(100)</f>
        <v>7.7499999999999999E-2</v>
      </c>
      <c r="C1930">
        <f>7.912/(100)</f>
        <v>7.9119999999999996E-2</v>
      </c>
    </row>
    <row r="1931" spans="1:3" x14ac:dyDescent="0.3">
      <c r="A1931" s="2">
        <v>39186</v>
      </c>
      <c r="B1931">
        <f>7.75/(100)</f>
        <v>7.7499999999999999E-2</v>
      </c>
      <c r="C1931">
        <f>7.912/(100)</f>
        <v>7.9119999999999996E-2</v>
      </c>
    </row>
    <row r="1932" spans="1:3" x14ac:dyDescent="0.3">
      <c r="A1932" s="2">
        <v>39187</v>
      </c>
      <c r="B1932">
        <f>7.75/(100)</f>
        <v>7.7499999999999999E-2</v>
      </c>
      <c r="C1932">
        <f>7.912/(100)</f>
        <v>7.9119999999999996E-2</v>
      </c>
    </row>
    <row r="1933" spans="1:3" x14ac:dyDescent="0.3">
      <c r="A1933" s="2">
        <v>39188</v>
      </c>
      <c r="B1933">
        <f>7.75/(100)</f>
        <v>7.7499999999999999E-2</v>
      </c>
      <c r="C1933">
        <f>7.95/(100)</f>
        <v>7.9500000000000001E-2</v>
      </c>
    </row>
    <row r="1934" spans="1:3" x14ac:dyDescent="0.3">
      <c r="A1934" s="2">
        <v>39189</v>
      </c>
      <c r="B1934">
        <f>7.75/(100)</f>
        <v>7.7499999999999999E-2</v>
      </c>
      <c r="C1934">
        <f>7.927/(100)</f>
        <v>7.9269999999999993E-2</v>
      </c>
    </row>
    <row r="1935" spans="1:3" x14ac:dyDescent="0.3">
      <c r="A1935" s="2">
        <v>39190</v>
      </c>
      <c r="B1935">
        <f>7.75/(100)</f>
        <v>7.7499999999999999E-2</v>
      </c>
      <c r="C1935">
        <f>7.874/(100)</f>
        <v>7.8739999999999991E-2</v>
      </c>
    </row>
    <row r="1936" spans="1:3" x14ac:dyDescent="0.3">
      <c r="A1936" s="2">
        <v>39191</v>
      </c>
      <c r="B1936">
        <f>7.75/(100)</f>
        <v>7.7499999999999999E-2</v>
      </c>
      <c r="C1936">
        <f>7.94/(100)</f>
        <v>7.9399999999999998E-2</v>
      </c>
    </row>
    <row r="1937" spans="1:3" x14ac:dyDescent="0.3">
      <c r="A1937" s="2">
        <v>39192</v>
      </c>
      <c r="B1937">
        <f>7.75/(100)</f>
        <v>7.7499999999999999E-2</v>
      </c>
      <c r="C1937">
        <f>7.946/(100)</f>
        <v>7.9460000000000003E-2</v>
      </c>
    </row>
    <row r="1938" spans="1:3" x14ac:dyDescent="0.3">
      <c r="A1938" s="2">
        <v>39193</v>
      </c>
      <c r="B1938">
        <f>7.75/(100)</f>
        <v>7.7499999999999999E-2</v>
      </c>
      <c r="C1938">
        <f>7.946/(100)</f>
        <v>7.9460000000000003E-2</v>
      </c>
    </row>
    <row r="1939" spans="1:3" x14ac:dyDescent="0.3">
      <c r="A1939" s="2">
        <v>39194</v>
      </c>
      <c r="B1939">
        <f>7.75/(100)</f>
        <v>7.7499999999999999E-2</v>
      </c>
      <c r="C1939">
        <f>7.946/(100)</f>
        <v>7.9460000000000003E-2</v>
      </c>
    </row>
    <row r="1940" spans="1:3" x14ac:dyDescent="0.3">
      <c r="A1940" s="2">
        <v>39195</v>
      </c>
      <c r="B1940">
        <f>7.75/(100)</f>
        <v>7.7499999999999999E-2</v>
      </c>
      <c r="C1940">
        <f>7.874/(100)</f>
        <v>7.8739999999999991E-2</v>
      </c>
    </row>
    <row r="1941" spans="1:3" x14ac:dyDescent="0.3">
      <c r="A1941" s="2">
        <v>39196</v>
      </c>
      <c r="B1941">
        <f>7.75/(100)</f>
        <v>7.7499999999999999E-2</v>
      </c>
      <c r="C1941">
        <f>7.727/(100)</f>
        <v>7.7270000000000005E-2</v>
      </c>
    </row>
    <row r="1942" spans="1:3" x14ac:dyDescent="0.3">
      <c r="A1942" s="2">
        <v>39197</v>
      </c>
      <c r="B1942">
        <f>7.75/(100)</f>
        <v>7.7499999999999999E-2</v>
      </c>
      <c r="C1942">
        <f>7.823/(100)</f>
        <v>7.8230000000000008E-2</v>
      </c>
    </row>
    <row r="1943" spans="1:3" x14ac:dyDescent="0.3">
      <c r="A1943" s="2">
        <v>39198</v>
      </c>
      <c r="B1943">
        <f>7.75/(100)</f>
        <v>7.7499999999999999E-2</v>
      </c>
      <c r="C1943">
        <f>7.832/(100)</f>
        <v>7.8320000000000001E-2</v>
      </c>
    </row>
    <row r="1944" spans="1:3" x14ac:dyDescent="0.3">
      <c r="A1944" s="2">
        <v>39199</v>
      </c>
      <c r="B1944">
        <f>7.75/(100)</f>
        <v>7.7499999999999999E-2</v>
      </c>
      <c r="C1944">
        <f>7.842/(100)</f>
        <v>7.841999999999999E-2</v>
      </c>
    </row>
    <row r="1945" spans="1:3" x14ac:dyDescent="0.3">
      <c r="A1945" s="2">
        <v>39200</v>
      </c>
      <c r="B1945">
        <f>7.75/(100)</f>
        <v>7.7499999999999999E-2</v>
      </c>
      <c r="C1945">
        <f>7.842/(100)</f>
        <v>7.841999999999999E-2</v>
      </c>
    </row>
    <row r="1946" spans="1:3" x14ac:dyDescent="0.3">
      <c r="A1946" s="2">
        <v>39201</v>
      </c>
      <c r="B1946">
        <f>7.75/(100)</f>
        <v>7.7499999999999999E-2</v>
      </c>
      <c r="C1946">
        <f>7.842/(100)</f>
        <v>7.841999999999999E-2</v>
      </c>
    </row>
    <row r="1947" spans="1:3" x14ac:dyDescent="0.3">
      <c r="A1947" s="2">
        <v>39202</v>
      </c>
      <c r="B1947">
        <f>7.75/(100)</f>
        <v>7.7499999999999999E-2</v>
      </c>
      <c r="C1947">
        <f>7.949/(100)</f>
        <v>7.9490000000000005E-2</v>
      </c>
    </row>
    <row r="1948" spans="1:3" x14ac:dyDescent="0.3">
      <c r="A1948" s="2">
        <v>39203</v>
      </c>
      <c r="B1948">
        <f>7.75/(100)</f>
        <v>7.7499999999999999E-2</v>
      </c>
      <c r="C1948">
        <f>7.949/(100)</f>
        <v>7.9490000000000005E-2</v>
      </c>
    </row>
    <row r="1949" spans="1:3" x14ac:dyDescent="0.3">
      <c r="A1949" s="2">
        <v>39204</v>
      </c>
      <c r="B1949">
        <f>7.75/(100)</f>
        <v>7.7499999999999999E-2</v>
      </c>
      <c r="C1949">
        <f>7.949/(100)</f>
        <v>7.9490000000000005E-2</v>
      </c>
    </row>
    <row r="1950" spans="1:3" x14ac:dyDescent="0.3">
      <c r="A1950" s="2">
        <v>39205</v>
      </c>
      <c r="B1950">
        <f>7.75/(100)</f>
        <v>7.7499999999999999E-2</v>
      </c>
      <c r="C1950">
        <f>8.01/(100)</f>
        <v>8.0100000000000005E-2</v>
      </c>
    </row>
    <row r="1951" spans="1:3" x14ac:dyDescent="0.3">
      <c r="A1951" s="2">
        <v>39206</v>
      </c>
      <c r="B1951">
        <f>7.75/(100)</f>
        <v>7.7499999999999999E-2</v>
      </c>
      <c r="C1951">
        <f>7.907/(100)</f>
        <v>7.9070000000000001E-2</v>
      </c>
    </row>
    <row r="1952" spans="1:3" x14ac:dyDescent="0.3">
      <c r="A1952" s="2">
        <v>39207</v>
      </c>
      <c r="B1952">
        <f>7.75/(100)</f>
        <v>7.7499999999999999E-2</v>
      </c>
      <c r="C1952">
        <f>7.907/(100)</f>
        <v>7.9070000000000001E-2</v>
      </c>
    </row>
    <row r="1953" spans="1:3" x14ac:dyDescent="0.3">
      <c r="A1953" s="2">
        <v>39208</v>
      </c>
      <c r="B1953">
        <f>7.75/(100)</f>
        <v>7.7499999999999999E-2</v>
      </c>
      <c r="C1953">
        <f>7.907/(100)</f>
        <v>7.9070000000000001E-2</v>
      </c>
    </row>
    <row r="1954" spans="1:3" x14ac:dyDescent="0.3">
      <c r="A1954" s="2">
        <v>39209</v>
      </c>
      <c r="B1954">
        <f>7.75/(100)</f>
        <v>7.7499999999999999E-2</v>
      </c>
      <c r="C1954">
        <f>7.974/(100)</f>
        <v>7.9740000000000005E-2</v>
      </c>
    </row>
    <row r="1955" spans="1:3" x14ac:dyDescent="0.3">
      <c r="A1955" s="2">
        <v>39210</v>
      </c>
      <c r="B1955">
        <f>7.75/(100)</f>
        <v>7.7499999999999999E-2</v>
      </c>
      <c r="C1955">
        <f>7.947/(100)</f>
        <v>7.9469999999999999E-2</v>
      </c>
    </row>
    <row r="1956" spans="1:3" x14ac:dyDescent="0.3">
      <c r="A1956" s="2">
        <v>39211</v>
      </c>
      <c r="B1956">
        <f>7.75/(100)</f>
        <v>7.7499999999999999E-2</v>
      </c>
      <c r="C1956">
        <f>7.912/(100)</f>
        <v>7.9119999999999996E-2</v>
      </c>
    </row>
    <row r="1957" spans="1:3" x14ac:dyDescent="0.3">
      <c r="A1957" s="2">
        <v>39212</v>
      </c>
      <c r="B1957">
        <f>7.75/(100)</f>
        <v>7.7499999999999999E-2</v>
      </c>
      <c r="C1957">
        <f>7.948/(100)</f>
        <v>7.9480000000000009E-2</v>
      </c>
    </row>
    <row r="1958" spans="1:3" x14ac:dyDescent="0.3">
      <c r="A1958" s="2">
        <v>39213</v>
      </c>
      <c r="B1958">
        <f>7.75/(100)</f>
        <v>7.7499999999999999E-2</v>
      </c>
      <c r="C1958">
        <f>7.922/(100)</f>
        <v>7.9219999999999999E-2</v>
      </c>
    </row>
    <row r="1959" spans="1:3" x14ac:dyDescent="0.3">
      <c r="A1959" s="2">
        <v>39214</v>
      </c>
      <c r="B1959">
        <f>7.75/(100)</f>
        <v>7.7499999999999999E-2</v>
      </c>
      <c r="C1959">
        <f>7.922/(100)</f>
        <v>7.9219999999999999E-2</v>
      </c>
    </row>
    <row r="1960" spans="1:3" x14ac:dyDescent="0.3">
      <c r="A1960" s="2">
        <v>39215</v>
      </c>
      <c r="B1960">
        <f>7.75/(100)</f>
        <v>7.7499999999999999E-2</v>
      </c>
      <c r="C1960">
        <f>7.922/(100)</f>
        <v>7.9219999999999999E-2</v>
      </c>
    </row>
    <row r="1961" spans="1:3" x14ac:dyDescent="0.3">
      <c r="A1961" s="2">
        <v>39216</v>
      </c>
      <c r="B1961">
        <f>7.75/(100)</f>
        <v>7.7499999999999999E-2</v>
      </c>
      <c r="C1961">
        <f>7.928/(100)</f>
        <v>7.9280000000000003E-2</v>
      </c>
    </row>
    <row r="1962" spans="1:3" x14ac:dyDescent="0.3">
      <c r="A1962" s="2">
        <v>39217</v>
      </c>
      <c r="B1962">
        <f>7.75/(100)</f>
        <v>7.7499999999999999E-2</v>
      </c>
      <c r="C1962">
        <f>7.913/(100)</f>
        <v>7.9130000000000006E-2</v>
      </c>
    </row>
    <row r="1963" spans="1:3" x14ac:dyDescent="0.3">
      <c r="A1963" s="2">
        <v>39218</v>
      </c>
      <c r="B1963">
        <f>7.75/(100)</f>
        <v>7.7499999999999999E-2</v>
      </c>
      <c r="C1963">
        <f>7.915/(100)</f>
        <v>7.9149999999999998E-2</v>
      </c>
    </row>
    <row r="1964" spans="1:3" x14ac:dyDescent="0.3">
      <c r="A1964" s="2">
        <v>39219</v>
      </c>
      <c r="B1964">
        <f>7.75/(100)</f>
        <v>7.7499999999999999E-2</v>
      </c>
      <c r="C1964">
        <f>7.852/(100)</f>
        <v>7.8520000000000006E-2</v>
      </c>
    </row>
    <row r="1965" spans="1:3" x14ac:dyDescent="0.3">
      <c r="A1965" s="2">
        <v>39220</v>
      </c>
      <c r="B1965">
        <f>7.75/(100)</f>
        <v>7.7499999999999999E-2</v>
      </c>
      <c r="C1965">
        <f>7.859/(100)</f>
        <v>7.8589999999999993E-2</v>
      </c>
    </row>
    <row r="1966" spans="1:3" x14ac:dyDescent="0.3">
      <c r="A1966" s="2">
        <v>39221</v>
      </c>
      <c r="B1966">
        <f>7.75/(100)</f>
        <v>7.7499999999999999E-2</v>
      </c>
      <c r="C1966">
        <f>7.859/(100)</f>
        <v>7.8589999999999993E-2</v>
      </c>
    </row>
    <row r="1967" spans="1:3" x14ac:dyDescent="0.3">
      <c r="A1967" s="2">
        <v>39222</v>
      </c>
      <c r="B1967">
        <f>7.75/(100)</f>
        <v>7.7499999999999999E-2</v>
      </c>
      <c r="C1967">
        <f>7.859/(100)</f>
        <v>7.8589999999999993E-2</v>
      </c>
    </row>
    <row r="1968" spans="1:3" x14ac:dyDescent="0.3">
      <c r="A1968" s="2">
        <v>39223</v>
      </c>
      <c r="B1968">
        <f>7.75/(100)</f>
        <v>7.7499999999999999E-2</v>
      </c>
      <c r="C1968">
        <f>7.805/(100)</f>
        <v>7.8049999999999994E-2</v>
      </c>
    </row>
    <row r="1969" spans="1:3" x14ac:dyDescent="0.3">
      <c r="A1969" s="2">
        <v>39224</v>
      </c>
      <c r="B1969">
        <f>7.75/(100)</f>
        <v>7.7499999999999999E-2</v>
      </c>
      <c r="C1969">
        <f>7.77/(100)</f>
        <v>7.7699999999999991E-2</v>
      </c>
    </row>
    <row r="1970" spans="1:3" x14ac:dyDescent="0.3">
      <c r="A1970" s="2">
        <v>39225</v>
      </c>
      <c r="B1970">
        <f>7.75/(100)</f>
        <v>7.7499999999999999E-2</v>
      </c>
      <c r="C1970">
        <f>7.792/(100)</f>
        <v>7.7920000000000003E-2</v>
      </c>
    </row>
    <row r="1971" spans="1:3" x14ac:dyDescent="0.3">
      <c r="A1971" s="2">
        <v>39226</v>
      </c>
      <c r="B1971">
        <f>7.75/(100)</f>
        <v>7.7499999999999999E-2</v>
      </c>
      <c r="C1971">
        <f>7.815/(100)</f>
        <v>7.8149999999999997E-2</v>
      </c>
    </row>
    <row r="1972" spans="1:3" x14ac:dyDescent="0.3">
      <c r="A1972" s="2">
        <v>39227</v>
      </c>
      <c r="B1972">
        <f>7.75/(100)</f>
        <v>7.7499999999999999E-2</v>
      </c>
      <c r="C1972">
        <f>7.779/(100)</f>
        <v>7.7789999999999998E-2</v>
      </c>
    </row>
    <row r="1973" spans="1:3" x14ac:dyDescent="0.3">
      <c r="A1973" s="2">
        <v>39228</v>
      </c>
      <c r="B1973">
        <f>7.75/(100)</f>
        <v>7.7499999999999999E-2</v>
      </c>
      <c r="C1973">
        <f>7.779/(100)</f>
        <v>7.7789999999999998E-2</v>
      </c>
    </row>
    <row r="1974" spans="1:3" x14ac:dyDescent="0.3">
      <c r="A1974" s="2">
        <v>39229</v>
      </c>
      <c r="B1974">
        <f>7.75/(100)</f>
        <v>7.7499999999999999E-2</v>
      </c>
      <c r="C1974">
        <f>7.779/(100)</f>
        <v>7.7789999999999998E-2</v>
      </c>
    </row>
    <row r="1975" spans="1:3" x14ac:dyDescent="0.3">
      <c r="A1975" s="2">
        <v>39230</v>
      </c>
      <c r="B1975">
        <f>7.75/(100)</f>
        <v>7.7499999999999999E-2</v>
      </c>
      <c r="C1975">
        <f>7.735/(100)</f>
        <v>7.7350000000000002E-2</v>
      </c>
    </row>
    <row r="1976" spans="1:3" x14ac:dyDescent="0.3">
      <c r="A1976" s="2">
        <v>39231</v>
      </c>
      <c r="B1976">
        <f>7.75/(100)</f>
        <v>7.7499999999999999E-2</v>
      </c>
      <c r="C1976">
        <f>7.704/(100)</f>
        <v>7.7039999999999997E-2</v>
      </c>
    </row>
    <row r="1977" spans="1:3" x14ac:dyDescent="0.3">
      <c r="A1977" s="2">
        <v>39232</v>
      </c>
      <c r="B1977">
        <f>7.75/(100)</f>
        <v>7.7499999999999999E-2</v>
      </c>
      <c r="C1977">
        <f>7.706/(100)</f>
        <v>7.7060000000000003E-2</v>
      </c>
    </row>
    <row r="1978" spans="1:3" x14ac:dyDescent="0.3">
      <c r="A1978" s="2">
        <v>39233</v>
      </c>
      <c r="B1978">
        <f>7.75/(100)</f>
        <v>7.7499999999999999E-2</v>
      </c>
      <c r="C1978">
        <f>7.697/(100)</f>
        <v>7.6969999999999997E-2</v>
      </c>
    </row>
    <row r="1979" spans="1:3" x14ac:dyDescent="0.3">
      <c r="A1979" s="2">
        <v>39234</v>
      </c>
      <c r="B1979">
        <f>7.75/(100)</f>
        <v>7.7499999999999999E-2</v>
      </c>
      <c r="C1979">
        <f>7.695/(100)</f>
        <v>7.6950000000000005E-2</v>
      </c>
    </row>
    <row r="1980" spans="1:3" x14ac:dyDescent="0.3">
      <c r="A1980" s="2">
        <v>39235</v>
      </c>
      <c r="B1980">
        <f>7.75/(100)</f>
        <v>7.7499999999999999E-2</v>
      </c>
      <c r="C1980">
        <f>7.695/(100)</f>
        <v>7.6950000000000005E-2</v>
      </c>
    </row>
    <row r="1981" spans="1:3" x14ac:dyDescent="0.3">
      <c r="A1981" s="2">
        <v>39236</v>
      </c>
      <c r="B1981">
        <f>7.75/(100)</f>
        <v>7.7499999999999999E-2</v>
      </c>
      <c r="C1981">
        <f>7.695/(100)</f>
        <v>7.6950000000000005E-2</v>
      </c>
    </row>
    <row r="1982" spans="1:3" x14ac:dyDescent="0.3">
      <c r="A1982" s="2">
        <v>39237</v>
      </c>
      <c r="B1982">
        <f>7.75/(100)</f>
        <v>7.7499999999999999E-2</v>
      </c>
      <c r="C1982">
        <f>7.707/(100)</f>
        <v>7.707E-2</v>
      </c>
    </row>
    <row r="1983" spans="1:3" x14ac:dyDescent="0.3">
      <c r="A1983" s="2">
        <v>39238</v>
      </c>
      <c r="B1983">
        <f>7.75/(100)</f>
        <v>7.7499999999999999E-2</v>
      </c>
      <c r="C1983">
        <f>7.7/(100)</f>
        <v>7.6999999999999999E-2</v>
      </c>
    </row>
    <row r="1984" spans="1:3" x14ac:dyDescent="0.3">
      <c r="A1984" s="2">
        <v>39239</v>
      </c>
      <c r="B1984">
        <f>7.75/(100)</f>
        <v>7.7499999999999999E-2</v>
      </c>
      <c r="C1984">
        <f>7.707/(100)</f>
        <v>7.707E-2</v>
      </c>
    </row>
    <row r="1985" spans="1:3" x14ac:dyDescent="0.3">
      <c r="A1985" s="2">
        <v>39240</v>
      </c>
      <c r="B1985">
        <f>7.75/(100)</f>
        <v>7.7499999999999999E-2</v>
      </c>
      <c r="C1985">
        <f>7.703/(100)</f>
        <v>7.7030000000000001E-2</v>
      </c>
    </row>
    <row r="1986" spans="1:3" x14ac:dyDescent="0.3">
      <c r="A1986" s="2">
        <v>39241</v>
      </c>
      <c r="B1986">
        <f>7.75/(100)</f>
        <v>7.7499999999999999E-2</v>
      </c>
      <c r="C1986">
        <f>7.731/(100)</f>
        <v>7.7310000000000004E-2</v>
      </c>
    </row>
    <row r="1987" spans="1:3" x14ac:dyDescent="0.3">
      <c r="A1987" s="2">
        <v>39242</v>
      </c>
      <c r="B1987">
        <f>7.75/(100)</f>
        <v>7.7499999999999999E-2</v>
      </c>
      <c r="C1987">
        <f>7.731/(100)</f>
        <v>7.7310000000000004E-2</v>
      </c>
    </row>
    <row r="1988" spans="1:3" x14ac:dyDescent="0.3">
      <c r="A1988" s="2">
        <v>39243</v>
      </c>
      <c r="B1988">
        <f>7.75/(100)</f>
        <v>7.7499999999999999E-2</v>
      </c>
      <c r="C1988">
        <f>7.731/(100)</f>
        <v>7.7310000000000004E-2</v>
      </c>
    </row>
    <row r="1989" spans="1:3" x14ac:dyDescent="0.3">
      <c r="A1989" s="2">
        <v>39244</v>
      </c>
      <c r="B1989">
        <f>7.75/(100)</f>
        <v>7.7499999999999999E-2</v>
      </c>
      <c r="C1989">
        <f>7.772/(100)</f>
        <v>7.7719999999999997E-2</v>
      </c>
    </row>
    <row r="1990" spans="1:3" x14ac:dyDescent="0.3">
      <c r="A1990" s="2">
        <v>39245</v>
      </c>
      <c r="B1990">
        <f>7.75/(100)</f>
        <v>7.7499999999999999E-2</v>
      </c>
      <c r="C1990">
        <f>7.731/(100)</f>
        <v>7.7310000000000004E-2</v>
      </c>
    </row>
    <row r="1991" spans="1:3" x14ac:dyDescent="0.3">
      <c r="A1991" s="2">
        <v>39246</v>
      </c>
      <c r="B1991">
        <f>7.75/(100)</f>
        <v>7.7499999999999999E-2</v>
      </c>
      <c r="C1991">
        <f>7.804/(100)</f>
        <v>7.8039999999999998E-2</v>
      </c>
    </row>
    <row r="1992" spans="1:3" x14ac:dyDescent="0.3">
      <c r="A1992" s="2">
        <v>39247</v>
      </c>
      <c r="B1992">
        <f>7.75/(100)</f>
        <v>7.7499999999999999E-2</v>
      </c>
      <c r="C1992">
        <f>7.787/(100)</f>
        <v>7.7869999999999995E-2</v>
      </c>
    </row>
    <row r="1993" spans="1:3" x14ac:dyDescent="0.3">
      <c r="A1993" s="2">
        <v>39248</v>
      </c>
      <c r="B1993">
        <f>7.75/(100)</f>
        <v>7.7499999999999999E-2</v>
      </c>
      <c r="C1993">
        <f>7.754/(100)</f>
        <v>7.7539999999999998E-2</v>
      </c>
    </row>
    <row r="1994" spans="1:3" x14ac:dyDescent="0.3">
      <c r="A1994" s="2">
        <v>39249</v>
      </c>
      <c r="B1994">
        <f>7.75/(100)</f>
        <v>7.7499999999999999E-2</v>
      </c>
      <c r="C1994">
        <f>7.754/(100)</f>
        <v>7.7539999999999998E-2</v>
      </c>
    </row>
    <row r="1995" spans="1:3" x14ac:dyDescent="0.3">
      <c r="A1995" s="2">
        <v>39250</v>
      </c>
      <c r="B1995">
        <f>7.75/(100)</f>
        <v>7.7499999999999999E-2</v>
      </c>
      <c r="C1995">
        <f>7.754/(100)</f>
        <v>7.7539999999999998E-2</v>
      </c>
    </row>
    <row r="1996" spans="1:3" x14ac:dyDescent="0.3">
      <c r="A1996" s="2">
        <v>39251</v>
      </c>
      <c r="B1996">
        <f>7.75/(100)</f>
        <v>7.7499999999999999E-2</v>
      </c>
      <c r="C1996">
        <f>7.723/(100)</f>
        <v>7.7229999999999993E-2</v>
      </c>
    </row>
    <row r="1997" spans="1:3" x14ac:dyDescent="0.3">
      <c r="A1997" s="2">
        <v>39252</v>
      </c>
      <c r="B1997">
        <f>7.75/(100)</f>
        <v>7.7499999999999999E-2</v>
      </c>
      <c r="C1997">
        <f>7.726/(100)</f>
        <v>7.7259999999999995E-2</v>
      </c>
    </row>
    <row r="1998" spans="1:3" x14ac:dyDescent="0.3">
      <c r="A1998" s="2">
        <v>39253</v>
      </c>
      <c r="B1998">
        <f>7.75/(100)</f>
        <v>7.7499999999999999E-2</v>
      </c>
      <c r="C1998">
        <f>7.637/(100)</f>
        <v>7.6369999999999993E-2</v>
      </c>
    </row>
    <row r="1999" spans="1:3" x14ac:dyDescent="0.3">
      <c r="A1999" s="2">
        <v>39254</v>
      </c>
      <c r="B1999">
        <f>7.75/(100)</f>
        <v>7.7499999999999999E-2</v>
      </c>
      <c r="C1999">
        <f>7.701/(100)</f>
        <v>7.7009999999999995E-2</v>
      </c>
    </row>
    <row r="2000" spans="1:3" x14ac:dyDescent="0.3">
      <c r="A2000" s="2">
        <v>39255</v>
      </c>
      <c r="B2000">
        <f>7.75/(100)</f>
        <v>7.7499999999999999E-2</v>
      </c>
      <c r="C2000">
        <f>7.65/(100)</f>
        <v>7.6499999999999999E-2</v>
      </c>
    </row>
    <row r="2001" spans="1:3" x14ac:dyDescent="0.3">
      <c r="A2001" s="2">
        <v>39256</v>
      </c>
      <c r="B2001">
        <f>7.75/(100)</f>
        <v>7.7499999999999999E-2</v>
      </c>
      <c r="C2001">
        <f>7.65/(100)</f>
        <v>7.6499999999999999E-2</v>
      </c>
    </row>
    <row r="2002" spans="1:3" x14ac:dyDescent="0.3">
      <c r="A2002" s="2">
        <v>39257</v>
      </c>
      <c r="B2002">
        <f>7.75/(100)</f>
        <v>7.7499999999999999E-2</v>
      </c>
      <c r="C2002">
        <f>7.65/(100)</f>
        <v>7.6499999999999999E-2</v>
      </c>
    </row>
    <row r="2003" spans="1:3" x14ac:dyDescent="0.3">
      <c r="A2003" s="2">
        <v>39258</v>
      </c>
      <c r="B2003">
        <f>7.75/(100)</f>
        <v>7.7499999999999999E-2</v>
      </c>
      <c r="C2003">
        <f>7.538/(100)</f>
        <v>7.5380000000000003E-2</v>
      </c>
    </row>
    <row r="2004" spans="1:3" x14ac:dyDescent="0.3">
      <c r="A2004" s="2">
        <v>39259</v>
      </c>
      <c r="B2004">
        <f>7.75/(100)</f>
        <v>7.7499999999999999E-2</v>
      </c>
      <c r="C2004">
        <f>7.611/(100)</f>
        <v>7.6109999999999997E-2</v>
      </c>
    </row>
    <row r="2005" spans="1:3" x14ac:dyDescent="0.3">
      <c r="A2005" s="2">
        <v>39260</v>
      </c>
      <c r="B2005">
        <f>7.75/(100)</f>
        <v>7.7499999999999999E-2</v>
      </c>
      <c r="C2005">
        <f>7.613/(100)</f>
        <v>7.6130000000000003E-2</v>
      </c>
    </row>
    <row r="2006" spans="1:3" x14ac:dyDescent="0.3">
      <c r="A2006" s="2">
        <v>39261</v>
      </c>
      <c r="B2006">
        <f>7.75/(100)</f>
        <v>7.7499999999999999E-2</v>
      </c>
      <c r="C2006">
        <f>7.878/(100)</f>
        <v>7.8780000000000003E-2</v>
      </c>
    </row>
    <row r="2007" spans="1:3" x14ac:dyDescent="0.3">
      <c r="A2007" s="2">
        <v>39262</v>
      </c>
      <c r="B2007">
        <f>7.75/(100)</f>
        <v>7.7499999999999999E-2</v>
      </c>
      <c r="C2007">
        <f>7.519/(100)</f>
        <v>7.5190000000000007E-2</v>
      </c>
    </row>
    <row r="2008" spans="1:3" x14ac:dyDescent="0.3">
      <c r="A2008" s="2">
        <v>39263</v>
      </c>
      <c r="B2008">
        <f>7.75/(100)</f>
        <v>7.7499999999999999E-2</v>
      </c>
      <c r="C2008">
        <f>7.519/(100)</f>
        <v>7.5190000000000007E-2</v>
      </c>
    </row>
    <row r="2009" spans="1:3" x14ac:dyDescent="0.3">
      <c r="A2009" s="2">
        <v>39264</v>
      </c>
      <c r="B2009">
        <f>7.75/(100)</f>
        <v>7.7499999999999999E-2</v>
      </c>
      <c r="C2009">
        <f>7.519/(100)</f>
        <v>7.5190000000000007E-2</v>
      </c>
    </row>
    <row r="2010" spans="1:3" x14ac:dyDescent="0.3">
      <c r="A2010" s="2">
        <v>39265</v>
      </c>
      <c r="B2010">
        <f>7.75/(100)</f>
        <v>7.7499999999999999E-2</v>
      </c>
      <c r="C2010">
        <f>7.217/(100)</f>
        <v>7.2169999999999998E-2</v>
      </c>
    </row>
    <row r="2011" spans="1:3" x14ac:dyDescent="0.3">
      <c r="A2011" s="2">
        <v>39266</v>
      </c>
      <c r="B2011">
        <f>7.75/(100)</f>
        <v>7.7499999999999999E-2</v>
      </c>
      <c r="C2011">
        <f>7.214/(100)</f>
        <v>7.214000000000001E-2</v>
      </c>
    </row>
    <row r="2012" spans="1:3" x14ac:dyDescent="0.3">
      <c r="A2012" s="2">
        <v>39267</v>
      </c>
      <c r="B2012">
        <f>7.75/(100)</f>
        <v>7.7499999999999999E-2</v>
      </c>
      <c r="C2012">
        <f>7.145/(100)</f>
        <v>7.145E-2</v>
      </c>
    </row>
    <row r="2013" spans="1:3" x14ac:dyDescent="0.3">
      <c r="A2013" s="2">
        <v>39268</v>
      </c>
      <c r="B2013">
        <f>7.75/(100)</f>
        <v>7.7499999999999999E-2</v>
      </c>
      <c r="C2013">
        <f>7.482/(100)</f>
        <v>7.4819999999999998E-2</v>
      </c>
    </row>
    <row r="2014" spans="1:3" x14ac:dyDescent="0.3">
      <c r="A2014" s="2">
        <v>39269</v>
      </c>
      <c r="B2014">
        <f>7.75/(100)</f>
        <v>7.7499999999999999E-2</v>
      </c>
      <c r="C2014">
        <f>7.136/(100)</f>
        <v>7.1360000000000007E-2</v>
      </c>
    </row>
    <row r="2015" spans="1:3" x14ac:dyDescent="0.3">
      <c r="A2015" s="2">
        <v>39270</v>
      </c>
      <c r="B2015">
        <f>7.75/(100)</f>
        <v>7.7499999999999999E-2</v>
      </c>
      <c r="C2015">
        <f>7.136/(100)</f>
        <v>7.1360000000000007E-2</v>
      </c>
    </row>
    <row r="2016" spans="1:3" x14ac:dyDescent="0.3">
      <c r="A2016" s="2">
        <v>39271</v>
      </c>
      <c r="B2016">
        <f>7.75/(100)</f>
        <v>7.7499999999999999E-2</v>
      </c>
      <c r="C2016">
        <f>7.136/(100)</f>
        <v>7.1360000000000007E-2</v>
      </c>
    </row>
    <row r="2017" spans="1:3" x14ac:dyDescent="0.3">
      <c r="A2017" s="2">
        <v>39272</v>
      </c>
      <c r="B2017">
        <f>7.75/(100)</f>
        <v>7.7499999999999999E-2</v>
      </c>
      <c r="C2017">
        <f>6.979/(100)</f>
        <v>6.9790000000000005E-2</v>
      </c>
    </row>
    <row r="2018" spans="1:3" x14ac:dyDescent="0.3">
      <c r="A2018" s="2">
        <v>39273</v>
      </c>
      <c r="B2018">
        <f>7.75/(100)</f>
        <v>7.7499999999999999E-2</v>
      </c>
      <c r="C2018">
        <f>7.055/(100)</f>
        <v>7.0550000000000002E-2</v>
      </c>
    </row>
    <row r="2019" spans="1:3" x14ac:dyDescent="0.3">
      <c r="A2019" s="2">
        <v>39274</v>
      </c>
      <c r="B2019">
        <f>7.75/(100)</f>
        <v>7.7499999999999999E-2</v>
      </c>
      <c r="C2019">
        <f>7.006/(100)</f>
        <v>7.0059999999999997E-2</v>
      </c>
    </row>
    <row r="2020" spans="1:3" x14ac:dyDescent="0.3">
      <c r="A2020" s="2">
        <v>39275</v>
      </c>
      <c r="B2020">
        <f>7.75/(100)</f>
        <v>7.7499999999999999E-2</v>
      </c>
      <c r="C2020">
        <f>6.978/(100)</f>
        <v>6.9779999999999995E-2</v>
      </c>
    </row>
    <row r="2021" spans="1:3" x14ac:dyDescent="0.3">
      <c r="A2021" s="2">
        <v>39276</v>
      </c>
      <c r="B2021">
        <f>7.75/(100)</f>
        <v>7.7499999999999999E-2</v>
      </c>
      <c r="C2021">
        <f>6.974/(100)</f>
        <v>6.9739999999999996E-2</v>
      </c>
    </row>
    <row r="2022" spans="1:3" x14ac:dyDescent="0.3">
      <c r="A2022" s="2">
        <v>39277</v>
      </c>
      <c r="B2022">
        <f>7.75/(100)</f>
        <v>7.7499999999999999E-2</v>
      </c>
      <c r="C2022">
        <f>6.974/(100)</f>
        <v>6.9739999999999996E-2</v>
      </c>
    </row>
    <row r="2023" spans="1:3" x14ac:dyDescent="0.3">
      <c r="A2023" s="2">
        <v>39278</v>
      </c>
      <c r="B2023">
        <f>7.75/(100)</f>
        <v>7.7499999999999999E-2</v>
      </c>
      <c r="C2023">
        <f>6.974/(100)</f>
        <v>6.9739999999999996E-2</v>
      </c>
    </row>
    <row r="2024" spans="1:3" x14ac:dyDescent="0.3">
      <c r="A2024" s="2">
        <v>39279</v>
      </c>
      <c r="B2024">
        <f>7.75/(100)</f>
        <v>7.7499999999999999E-2</v>
      </c>
      <c r="C2024">
        <f>6.897/(100)</f>
        <v>6.8970000000000004E-2</v>
      </c>
    </row>
    <row r="2025" spans="1:3" x14ac:dyDescent="0.3">
      <c r="A2025" s="2">
        <v>39280</v>
      </c>
      <c r="B2025">
        <f>7.75/(100)</f>
        <v>7.7499999999999999E-2</v>
      </c>
      <c r="C2025">
        <f>6.849/(100)</f>
        <v>6.8489999999999995E-2</v>
      </c>
    </row>
    <row r="2026" spans="1:3" x14ac:dyDescent="0.3">
      <c r="A2026" s="2">
        <v>39281</v>
      </c>
      <c r="B2026">
        <f>7.75/(100)</f>
        <v>7.7499999999999999E-2</v>
      </c>
      <c r="C2026">
        <f>6.768/(100)</f>
        <v>6.7680000000000004E-2</v>
      </c>
    </row>
    <row r="2027" spans="1:3" x14ac:dyDescent="0.3">
      <c r="A2027" s="2">
        <v>39282</v>
      </c>
      <c r="B2027">
        <f>7.75/(100)</f>
        <v>7.7499999999999999E-2</v>
      </c>
      <c r="C2027">
        <f>6.843/(100)</f>
        <v>6.8430000000000005E-2</v>
      </c>
    </row>
    <row r="2028" spans="1:3" x14ac:dyDescent="0.3">
      <c r="A2028" s="2">
        <v>39283</v>
      </c>
      <c r="B2028">
        <f>7.75/(100)</f>
        <v>7.7499999999999999E-2</v>
      </c>
      <c r="C2028">
        <f>6.722/(100)</f>
        <v>6.7220000000000002E-2</v>
      </c>
    </row>
    <row r="2029" spans="1:3" x14ac:dyDescent="0.3">
      <c r="A2029" s="2">
        <v>39284</v>
      </c>
      <c r="B2029">
        <f>7.75/(100)</f>
        <v>7.7499999999999999E-2</v>
      </c>
      <c r="C2029">
        <f>6.722/(100)</f>
        <v>6.7220000000000002E-2</v>
      </c>
    </row>
    <row r="2030" spans="1:3" x14ac:dyDescent="0.3">
      <c r="A2030" s="2">
        <v>39285</v>
      </c>
      <c r="B2030">
        <f>7.75/(100)</f>
        <v>7.7499999999999999E-2</v>
      </c>
      <c r="C2030">
        <f>6.722/(100)</f>
        <v>6.7220000000000002E-2</v>
      </c>
    </row>
    <row r="2031" spans="1:3" x14ac:dyDescent="0.3">
      <c r="A2031" s="2">
        <v>39286</v>
      </c>
      <c r="B2031">
        <f>7.75/(100)</f>
        <v>7.7499999999999999E-2</v>
      </c>
      <c r="C2031">
        <f>6.652/(100)</f>
        <v>6.6519999999999996E-2</v>
      </c>
    </row>
    <row r="2032" spans="1:3" x14ac:dyDescent="0.3">
      <c r="A2032" s="2">
        <v>39287</v>
      </c>
      <c r="B2032">
        <f>7.75/(100)</f>
        <v>7.7499999999999999E-2</v>
      </c>
      <c r="C2032">
        <f>6.643/(100)</f>
        <v>6.6430000000000003E-2</v>
      </c>
    </row>
    <row r="2033" spans="1:3" x14ac:dyDescent="0.3">
      <c r="A2033" s="2">
        <v>39288</v>
      </c>
      <c r="B2033">
        <f>7.75/(100)</f>
        <v>7.7499999999999999E-2</v>
      </c>
      <c r="C2033">
        <f>6.799/(100)</f>
        <v>6.7990000000000009E-2</v>
      </c>
    </row>
    <row r="2034" spans="1:3" x14ac:dyDescent="0.3">
      <c r="A2034" s="2">
        <v>39289</v>
      </c>
      <c r="B2034">
        <f>7.75/(100)</f>
        <v>7.7499999999999999E-2</v>
      </c>
      <c r="C2034">
        <f>6.821/(100)</f>
        <v>6.8209999999999993E-2</v>
      </c>
    </row>
    <row r="2035" spans="1:3" x14ac:dyDescent="0.3">
      <c r="A2035" s="2">
        <v>39290</v>
      </c>
      <c r="B2035">
        <f>7.75/(100)</f>
        <v>7.7499999999999999E-2</v>
      </c>
      <c r="C2035">
        <f>6.693/(100)</f>
        <v>6.692999999999999E-2</v>
      </c>
    </row>
    <row r="2036" spans="1:3" x14ac:dyDescent="0.3">
      <c r="A2036" s="2">
        <v>39291</v>
      </c>
      <c r="B2036">
        <f>7.75/(100)</f>
        <v>7.7499999999999999E-2</v>
      </c>
      <c r="C2036">
        <f>6.693/(100)</f>
        <v>6.692999999999999E-2</v>
      </c>
    </row>
    <row r="2037" spans="1:3" x14ac:dyDescent="0.3">
      <c r="A2037" s="2">
        <v>39292</v>
      </c>
      <c r="B2037">
        <f>7.75/(100)</f>
        <v>7.7499999999999999E-2</v>
      </c>
      <c r="C2037">
        <f>6.693/(100)</f>
        <v>6.692999999999999E-2</v>
      </c>
    </row>
    <row r="2038" spans="1:3" x14ac:dyDescent="0.3">
      <c r="A2038" s="2">
        <v>39293</v>
      </c>
      <c r="B2038">
        <f>7.75/(100)</f>
        <v>7.7499999999999999E-2</v>
      </c>
      <c r="C2038">
        <f>6.847/(100)</f>
        <v>6.8470000000000003E-2</v>
      </c>
    </row>
    <row r="2039" spans="1:3" x14ac:dyDescent="0.3">
      <c r="A2039" s="2">
        <v>39294</v>
      </c>
      <c r="B2039">
        <f>7.75/(100)</f>
        <v>7.7499999999999999E-2</v>
      </c>
      <c r="C2039">
        <f>7.004/(100)</f>
        <v>7.0039999999999991E-2</v>
      </c>
    </row>
    <row r="2040" spans="1:3" x14ac:dyDescent="0.3">
      <c r="A2040" s="2">
        <v>39295</v>
      </c>
      <c r="B2040">
        <f>7.75/(100)</f>
        <v>7.7499999999999999E-2</v>
      </c>
      <c r="C2040">
        <f>7.185/(100)</f>
        <v>7.1849999999999997E-2</v>
      </c>
    </row>
    <row r="2041" spans="1:3" x14ac:dyDescent="0.3">
      <c r="A2041" s="2">
        <v>39296</v>
      </c>
      <c r="B2041">
        <f>7.75/(100)</f>
        <v>7.7499999999999999E-2</v>
      </c>
      <c r="C2041">
        <f>7.157/(100)</f>
        <v>7.1569999999999995E-2</v>
      </c>
    </row>
    <row r="2042" spans="1:3" x14ac:dyDescent="0.3">
      <c r="A2042" s="2">
        <v>39297</v>
      </c>
      <c r="B2042">
        <f>7.75/(100)</f>
        <v>7.7499999999999999E-2</v>
      </c>
      <c r="C2042">
        <f>7.081/(100)</f>
        <v>7.0809999999999998E-2</v>
      </c>
    </row>
    <row r="2043" spans="1:3" x14ac:dyDescent="0.3">
      <c r="A2043" s="2">
        <v>39298</v>
      </c>
      <c r="B2043">
        <f>7.75/(100)</f>
        <v>7.7499999999999999E-2</v>
      </c>
      <c r="C2043">
        <f>7.081/(100)</f>
        <v>7.0809999999999998E-2</v>
      </c>
    </row>
    <row r="2044" spans="1:3" x14ac:dyDescent="0.3">
      <c r="A2044" s="2">
        <v>39299</v>
      </c>
      <c r="B2044">
        <f>7.75/(100)</f>
        <v>7.7499999999999999E-2</v>
      </c>
      <c r="C2044">
        <f>7.081/(100)</f>
        <v>7.0809999999999998E-2</v>
      </c>
    </row>
    <row r="2045" spans="1:3" x14ac:dyDescent="0.3">
      <c r="A2045" s="2">
        <v>39300</v>
      </c>
      <c r="B2045">
        <f>7.75/(100)</f>
        <v>7.7499999999999999E-2</v>
      </c>
      <c r="C2045">
        <f>7.081/(100)</f>
        <v>7.0809999999999998E-2</v>
      </c>
    </row>
    <row r="2046" spans="1:3" x14ac:dyDescent="0.3">
      <c r="A2046" s="2">
        <v>39301</v>
      </c>
      <c r="B2046">
        <f>7.75/(100)</f>
        <v>7.7499999999999999E-2</v>
      </c>
      <c r="C2046">
        <f>6.815/(100)</f>
        <v>6.8150000000000002E-2</v>
      </c>
    </row>
    <row r="2047" spans="1:3" x14ac:dyDescent="0.3">
      <c r="A2047" s="2">
        <v>39302</v>
      </c>
      <c r="B2047">
        <f>7.75/(100)</f>
        <v>7.7499999999999999E-2</v>
      </c>
      <c r="C2047">
        <f>7.105/(100)</f>
        <v>7.1050000000000002E-2</v>
      </c>
    </row>
    <row r="2048" spans="1:3" x14ac:dyDescent="0.3">
      <c r="A2048" s="2">
        <v>39303</v>
      </c>
      <c r="B2048">
        <f>7.75/(100)</f>
        <v>7.7499999999999999E-2</v>
      </c>
      <c r="C2048">
        <f>7.665/(100)</f>
        <v>7.6649999999999996E-2</v>
      </c>
    </row>
    <row r="2049" spans="1:3" x14ac:dyDescent="0.3">
      <c r="A2049" s="2">
        <v>39304</v>
      </c>
      <c r="B2049">
        <f>7.75/(100)</f>
        <v>7.7499999999999999E-2</v>
      </c>
      <c r="C2049">
        <f>7.665/(100)</f>
        <v>7.6649999999999996E-2</v>
      </c>
    </row>
    <row r="2050" spans="1:3" x14ac:dyDescent="0.3">
      <c r="A2050" s="2">
        <v>39305</v>
      </c>
      <c r="B2050">
        <f>7.75/(100)</f>
        <v>7.7499999999999999E-2</v>
      </c>
      <c r="C2050">
        <f>7.665/(100)</f>
        <v>7.6649999999999996E-2</v>
      </c>
    </row>
    <row r="2051" spans="1:3" x14ac:dyDescent="0.3">
      <c r="A2051" s="2">
        <v>39306</v>
      </c>
      <c r="B2051">
        <f>7.75/(100)</f>
        <v>7.7499999999999999E-2</v>
      </c>
      <c r="C2051">
        <f>7.665/(100)</f>
        <v>7.6649999999999996E-2</v>
      </c>
    </row>
    <row r="2052" spans="1:3" x14ac:dyDescent="0.3">
      <c r="A2052" s="2">
        <v>39307</v>
      </c>
      <c r="B2052">
        <f>7.75/(100)</f>
        <v>7.7499999999999999E-2</v>
      </c>
      <c r="C2052">
        <f>7.303/(100)</f>
        <v>7.3029999999999998E-2</v>
      </c>
    </row>
    <row r="2053" spans="1:3" x14ac:dyDescent="0.3">
      <c r="A2053" s="2">
        <v>39308</v>
      </c>
      <c r="B2053">
        <f>7.75/(100)</f>
        <v>7.7499999999999999E-2</v>
      </c>
      <c r="C2053">
        <f>7.168/(100)</f>
        <v>7.1680000000000008E-2</v>
      </c>
    </row>
    <row r="2054" spans="1:3" x14ac:dyDescent="0.3">
      <c r="A2054" s="2">
        <v>39309</v>
      </c>
      <c r="B2054">
        <f>7.75/(100)</f>
        <v>7.7499999999999999E-2</v>
      </c>
      <c r="C2054">
        <f>7.168/(100)</f>
        <v>7.1680000000000008E-2</v>
      </c>
    </row>
    <row r="2055" spans="1:3" x14ac:dyDescent="0.3">
      <c r="A2055" s="2">
        <v>39310</v>
      </c>
      <c r="B2055">
        <f>7.75/(100)</f>
        <v>7.7499999999999999E-2</v>
      </c>
      <c r="C2055">
        <f>7.662/(100)</f>
        <v>7.6619999999999994E-2</v>
      </c>
    </row>
    <row r="2056" spans="1:3" x14ac:dyDescent="0.3">
      <c r="A2056" s="2">
        <v>39311</v>
      </c>
      <c r="B2056">
        <f>7.75/(100)</f>
        <v>7.7499999999999999E-2</v>
      </c>
      <c r="C2056">
        <f>7.512/(100)</f>
        <v>7.5119999999999992E-2</v>
      </c>
    </row>
    <row r="2057" spans="1:3" x14ac:dyDescent="0.3">
      <c r="A2057" s="2">
        <v>39312</v>
      </c>
      <c r="B2057">
        <f>7.75/(100)</f>
        <v>7.7499999999999999E-2</v>
      </c>
      <c r="C2057">
        <f>7.512/(100)</f>
        <v>7.5119999999999992E-2</v>
      </c>
    </row>
    <row r="2058" spans="1:3" x14ac:dyDescent="0.3">
      <c r="A2058" s="2">
        <v>39313</v>
      </c>
      <c r="B2058">
        <f>7.75/(100)</f>
        <v>7.7499999999999999E-2</v>
      </c>
      <c r="C2058">
        <f>7.512/(100)</f>
        <v>7.5119999999999992E-2</v>
      </c>
    </row>
    <row r="2059" spans="1:3" x14ac:dyDescent="0.3">
      <c r="A2059" s="2">
        <v>39314</v>
      </c>
      <c r="B2059">
        <f>7.75/(100)</f>
        <v>7.7499999999999999E-2</v>
      </c>
      <c r="C2059">
        <f>7.512/(100)</f>
        <v>7.5119999999999992E-2</v>
      </c>
    </row>
    <row r="2060" spans="1:3" x14ac:dyDescent="0.3">
      <c r="A2060" s="2">
        <v>39315</v>
      </c>
      <c r="B2060">
        <f>7.75/(100)</f>
        <v>7.7499999999999999E-2</v>
      </c>
      <c r="C2060">
        <f>7.385/(100)</f>
        <v>7.3849999999999999E-2</v>
      </c>
    </row>
    <row r="2061" spans="1:3" x14ac:dyDescent="0.3">
      <c r="A2061" s="2">
        <v>39316</v>
      </c>
      <c r="B2061">
        <f>7.75/(100)</f>
        <v>7.7499999999999999E-2</v>
      </c>
      <c r="C2061">
        <f>7.156/(100)</f>
        <v>7.1559999999999999E-2</v>
      </c>
    </row>
    <row r="2062" spans="1:3" x14ac:dyDescent="0.3">
      <c r="A2062" s="2">
        <v>39317</v>
      </c>
      <c r="B2062">
        <f>7.75/(100)</f>
        <v>7.7499999999999999E-2</v>
      </c>
      <c r="C2062">
        <f>7.285/(100)</f>
        <v>7.2849999999999998E-2</v>
      </c>
    </row>
    <row r="2063" spans="1:3" x14ac:dyDescent="0.3">
      <c r="A2063" s="2">
        <v>39318</v>
      </c>
      <c r="B2063">
        <f>7.75/(100)</f>
        <v>7.7499999999999999E-2</v>
      </c>
      <c r="C2063">
        <f>7.339/(100)</f>
        <v>7.3390000000000011E-2</v>
      </c>
    </row>
    <row r="2064" spans="1:3" x14ac:dyDescent="0.3">
      <c r="A2064" s="2">
        <v>39319</v>
      </c>
      <c r="B2064">
        <f>7.75/(100)</f>
        <v>7.7499999999999999E-2</v>
      </c>
      <c r="C2064">
        <f>7.339/(100)</f>
        <v>7.3390000000000011E-2</v>
      </c>
    </row>
    <row r="2065" spans="1:3" x14ac:dyDescent="0.3">
      <c r="A2065" s="2">
        <v>39320</v>
      </c>
      <c r="B2065">
        <f>7.75/(100)</f>
        <v>7.7499999999999999E-2</v>
      </c>
      <c r="C2065">
        <f>7.339/(100)</f>
        <v>7.3390000000000011E-2</v>
      </c>
    </row>
    <row r="2066" spans="1:3" x14ac:dyDescent="0.3">
      <c r="A2066" s="2">
        <v>39321</v>
      </c>
      <c r="B2066">
        <f>7.75/(100)</f>
        <v>7.7499999999999999E-2</v>
      </c>
      <c r="C2066">
        <f>7.214/(100)</f>
        <v>7.214000000000001E-2</v>
      </c>
    </row>
    <row r="2067" spans="1:3" x14ac:dyDescent="0.3">
      <c r="A2067" s="2">
        <v>39322</v>
      </c>
      <c r="B2067">
        <f>7.75/(100)</f>
        <v>7.7499999999999999E-2</v>
      </c>
      <c r="C2067">
        <f>7.282/(100)</f>
        <v>7.2819999999999996E-2</v>
      </c>
    </row>
    <row r="2068" spans="1:3" x14ac:dyDescent="0.3">
      <c r="A2068" s="2">
        <v>39323</v>
      </c>
      <c r="B2068">
        <f>7.75/(100)</f>
        <v>7.7499999999999999E-2</v>
      </c>
      <c r="C2068">
        <f>7.216/(100)</f>
        <v>7.2160000000000002E-2</v>
      </c>
    </row>
    <row r="2069" spans="1:3" x14ac:dyDescent="0.3">
      <c r="A2069" s="2">
        <v>39324</v>
      </c>
      <c r="B2069">
        <f>7.75/(100)</f>
        <v>7.7499999999999999E-2</v>
      </c>
      <c r="C2069">
        <f>7.361/(100)</f>
        <v>7.3609999999999995E-2</v>
      </c>
    </row>
    <row r="2070" spans="1:3" x14ac:dyDescent="0.3">
      <c r="A2070" s="2">
        <v>39325</v>
      </c>
      <c r="B2070">
        <f>7.75/(100)</f>
        <v>7.7499999999999999E-2</v>
      </c>
      <c r="C2070">
        <f>7.318/(100)</f>
        <v>7.3179999999999995E-2</v>
      </c>
    </row>
    <row r="2071" spans="1:3" x14ac:dyDescent="0.3">
      <c r="A2071" s="2">
        <v>39326</v>
      </c>
      <c r="B2071">
        <f>7.75/(100)</f>
        <v>7.7499999999999999E-2</v>
      </c>
      <c r="C2071">
        <f>7.318/(100)</f>
        <v>7.3179999999999995E-2</v>
      </c>
    </row>
    <row r="2072" spans="1:3" x14ac:dyDescent="0.3">
      <c r="A2072" s="2">
        <v>39327</v>
      </c>
      <c r="B2072">
        <f>7.75/(100)</f>
        <v>7.7499999999999999E-2</v>
      </c>
      <c r="C2072">
        <f>7.318/(100)</f>
        <v>7.3179999999999995E-2</v>
      </c>
    </row>
    <row r="2073" spans="1:3" x14ac:dyDescent="0.3">
      <c r="A2073" s="2">
        <v>39328</v>
      </c>
      <c r="B2073">
        <f>7.75/(100)</f>
        <v>7.7499999999999999E-2</v>
      </c>
      <c r="C2073">
        <f>7.327/(100)</f>
        <v>7.3270000000000002E-2</v>
      </c>
    </row>
    <row r="2074" spans="1:3" x14ac:dyDescent="0.3">
      <c r="A2074" s="2">
        <v>39329</v>
      </c>
      <c r="B2074">
        <f>7.75/(100)</f>
        <v>7.7499999999999999E-2</v>
      </c>
      <c r="C2074">
        <f>7.267/(100)</f>
        <v>7.2669999999999998E-2</v>
      </c>
    </row>
    <row r="2075" spans="1:3" x14ac:dyDescent="0.3">
      <c r="A2075" s="2">
        <v>39330</v>
      </c>
      <c r="B2075">
        <f>7.75/(100)</f>
        <v>7.7499999999999999E-2</v>
      </c>
      <c r="C2075">
        <f>7.368/(100)</f>
        <v>7.3680000000000009E-2</v>
      </c>
    </row>
    <row r="2076" spans="1:3" x14ac:dyDescent="0.3">
      <c r="A2076" s="2">
        <v>39331</v>
      </c>
      <c r="B2076">
        <f>7.75/(100)</f>
        <v>7.7499999999999999E-2</v>
      </c>
      <c r="C2076">
        <f>7.322/(100)</f>
        <v>7.3220000000000007E-2</v>
      </c>
    </row>
    <row r="2077" spans="1:3" x14ac:dyDescent="0.3">
      <c r="A2077" s="2">
        <v>39332</v>
      </c>
      <c r="B2077">
        <f>7.75/(100)</f>
        <v>7.7499999999999999E-2</v>
      </c>
      <c r="C2077">
        <f>7.305/(100)</f>
        <v>7.3050000000000004E-2</v>
      </c>
    </row>
    <row r="2078" spans="1:3" x14ac:dyDescent="0.3">
      <c r="A2078" s="2">
        <v>39333</v>
      </c>
      <c r="B2078">
        <f>7.75/(100)</f>
        <v>7.7499999999999999E-2</v>
      </c>
      <c r="C2078">
        <f>7.305/(100)</f>
        <v>7.3050000000000004E-2</v>
      </c>
    </row>
    <row r="2079" spans="1:3" x14ac:dyDescent="0.3">
      <c r="A2079" s="2">
        <v>39334</v>
      </c>
      <c r="B2079">
        <f>7.75/(100)</f>
        <v>7.7499999999999999E-2</v>
      </c>
      <c r="C2079">
        <f>7.305/(100)</f>
        <v>7.3050000000000004E-2</v>
      </c>
    </row>
    <row r="2080" spans="1:3" x14ac:dyDescent="0.3">
      <c r="A2080" s="2">
        <v>39335</v>
      </c>
      <c r="B2080">
        <f>7.75/(100)</f>
        <v>7.7499999999999999E-2</v>
      </c>
      <c r="C2080">
        <f>7.255/(100)</f>
        <v>7.2550000000000003E-2</v>
      </c>
    </row>
    <row r="2081" spans="1:3" x14ac:dyDescent="0.3">
      <c r="A2081" s="2">
        <v>39336</v>
      </c>
      <c r="B2081">
        <f>7.75/(100)</f>
        <v>7.7499999999999999E-2</v>
      </c>
      <c r="C2081">
        <f>7.269/(100)</f>
        <v>7.2690000000000005E-2</v>
      </c>
    </row>
    <row r="2082" spans="1:3" x14ac:dyDescent="0.3">
      <c r="A2082" s="2">
        <v>39337</v>
      </c>
      <c r="B2082">
        <f>7.75/(100)</f>
        <v>7.7499999999999999E-2</v>
      </c>
      <c r="C2082">
        <f>7.239/(100)</f>
        <v>7.2389999999999996E-2</v>
      </c>
    </row>
    <row r="2083" spans="1:3" x14ac:dyDescent="0.3">
      <c r="A2083" s="2">
        <v>39338</v>
      </c>
      <c r="B2083">
        <f>7.75/(100)</f>
        <v>7.7499999999999999E-2</v>
      </c>
      <c r="C2083">
        <f>7.228/(100)</f>
        <v>7.2279999999999997E-2</v>
      </c>
    </row>
    <row r="2084" spans="1:3" x14ac:dyDescent="0.3">
      <c r="A2084" s="2">
        <v>39339</v>
      </c>
      <c r="B2084">
        <f>7.75/(100)</f>
        <v>7.7499999999999999E-2</v>
      </c>
      <c r="C2084">
        <f>7.284/(100)</f>
        <v>7.2840000000000002E-2</v>
      </c>
    </row>
    <row r="2085" spans="1:3" x14ac:dyDescent="0.3">
      <c r="A2085" s="2">
        <v>39340</v>
      </c>
      <c r="B2085">
        <f>7.75/(100)</f>
        <v>7.7499999999999999E-2</v>
      </c>
      <c r="C2085">
        <f>7.284/(100)</f>
        <v>7.2840000000000002E-2</v>
      </c>
    </row>
    <row r="2086" spans="1:3" x14ac:dyDescent="0.3">
      <c r="A2086" s="2">
        <v>39341</v>
      </c>
      <c r="B2086">
        <f>7.75/(100)</f>
        <v>7.7499999999999999E-2</v>
      </c>
      <c r="C2086">
        <f>7.284/(100)</f>
        <v>7.2840000000000002E-2</v>
      </c>
    </row>
    <row r="2087" spans="1:3" x14ac:dyDescent="0.3">
      <c r="A2087" s="2">
        <v>39342</v>
      </c>
      <c r="B2087">
        <f>7.75/(100)</f>
        <v>7.7499999999999999E-2</v>
      </c>
      <c r="C2087">
        <f>7.179/(100)</f>
        <v>7.1790000000000007E-2</v>
      </c>
    </row>
    <row r="2088" spans="1:3" x14ac:dyDescent="0.3">
      <c r="A2088" s="2">
        <v>39343</v>
      </c>
      <c r="B2088">
        <f>7.75/(100)</f>
        <v>7.7499999999999999E-2</v>
      </c>
      <c r="C2088">
        <f>7.195/(100)</f>
        <v>7.195E-2</v>
      </c>
    </row>
    <row r="2089" spans="1:3" x14ac:dyDescent="0.3">
      <c r="A2089" s="2">
        <v>39344</v>
      </c>
      <c r="B2089">
        <f>7.75/(100)</f>
        <v>7.7499999999999999E-2</v>
      </c>
      <c r="C2089">
        <f>7.251/(100)</f>
        <v>7.2510000000000005E-2</v>
      </c>
    </row>
    <row r="2090" spans="1:3" x14ac:dyDescent="0.3">
      <c r="A2090" s="2">
        <v>39345</v>
      </c>
      <c r="B2090">
        <f>7.75/(100)</f>
        <v>7.7499999999999999E-2</v>
      </c>
      <c r="C2090">
        <f>7.191/(100)</f>
        <v>7.1910000000000002E-2</v>
      </c>
    </row>
    <row r="2091" spans="1:3" x14ac:dyDescent="0.3">
      <c r="A2091" s="2">
        <v>39346</v>
      </c>
      <c r="B2091">
        <f>7.75/(100)</f>
        <v>7.7499999999999999E-2</v>
      </c>
      <c r="C2091">
        <f>7.176/(100)</f>
        <v>7.1760000000000004E-2</v>
      </c>
    </row>
    <row r="2092" spans="1:3" x14ac:dyDescent="0.3">
      <c r="A2092" s="2">
        <v>39347</v>
      </c>
      <c r="B2092">
        <f>7.75/(100)</f>
        <v>7.7499999999999999E-2</v>
      </c>
      <c r="C2092">
        <f>7.176/(100)</f>
        <v>7.1760000000000004E-2</v>
      </c>
    </row>
    <row r="2093" spans="1:3" x14ac:dyDescent="0.3">
      <c r="A2093" s="2">
        <v>39348</v>
      </c>
      <c r="B2093">
        <f>7.75/(100)</f>
        <v>7.7499999999999999E-2</v>
      </c>
      <c r="C2093">
        <f>7.176/(100)</f>
        <v>7.1760000000000004E-2</v>
      </c>
    </row>
    <row r="2094" spans="1:3" x14ac:dyDescent="0.3">
      <c r="A2094" s="2">
        <v>39349</v>
      </c>
      <c r="B2094">
        <f>7.75/(100)</f>
        <v>7.7499999999999999E-2</v>
      </c>
      <c r="C2094">
        <f>7.259/(100)</f>
        <v>7.2590000000000002E-2</v>
      </c>
    </row>
    <row r="2095" spans="1:3" x14ac:dyDescent="0.3">
      <c r="A2095" s="2">
        <v>39350</v>
      </c>
      <c r="B2095">
        <f>7.75/(100)</f>
        <v>7.7499999999999999E-2</v>
      </c>
      <c r="C2095">
        <f>7.242/(100)</f>
        <v>7.2419999999999998E-2</v>
      </c>
    </row>
    <row r="2096" spans="1:3" x14ac:dyDescent="0.3">
      <c r="A2096" s="2">
        <v>39351</v>
      </c>
      <c r="B2096">
        <f>7.75/(100)</f>
        <v>7.7499999999999999E-2</v>
      </c>
      <c r="C2096">
        <f>7.126/(100)</f>
        <v>7.1260000000000004E-2</v>
      </c>
    </row>
    <row r="2097" spans="1:3" x14ac:dyDescent="0.3">
      <c r="A2097" s="2">
        <v>39352</v>
      </c>
      <c r="B2097">
        <f>7.75/(100)</f>
        <v>7.7499999999999999E-2</v>
      </c>
      <c r="C2097">
        <f>7.206/(100)</f>
        <v>7.2059999999999999E-2</v>
      </c>
    </row>
    <row r="2098" spans="1:3" x14ac:dyDescent="0.3">
      <c r="A2098" s="2">
        <v>39353</v>
      </c>
      <c r="B2098">
        <f>7.75/(100)</f>
        <v>7.7499999999999999E-2</v>
      </c>
      <c r="C2098">
        <f>7.273/(100)</f>
        <v>7.2730000000000003E-2</v>
      </c>
    </row>
    <row r="2099" spans="1:3" x14ac:dyDescent="0.3">
      <c r="A2099" s="2">
        <v>39354</v>
      </c>
      <c r="B2099">
        <f>7.75/(100)</f>
        <v>7.7499999999999999E-2</v>
      </c>
      <c r="C2099">
        <f>7.273/(100)</f>
        <v>7.2730000000000003E-2</v>
      </c>
    </row>
    <row r="2100" spans="1:3" x14ac:dyDescent="0.3">
      <c r="A2100" s="2">
        <v>39355</v>
      </c>
      <c r="B2100">
        <f>7.75/(100)</f>
        <v>7.7499999999999999E-2</v>
      </c>
      <c r="C2100">
        <f>7.273/(100)</f>
        <v>7.2730000000000003E-2</v>
      </c>
    </row>
    <row r="2101" spans="1:3" x14ac:dyDescent="0.3">
      <c r="A2101" s="2">
        <v>39356</v>
      </c>
      <c r="B2101">
        <f>7.75/(100)</f>
        <v>7.7499999999999999E-2</v>
      </c>
      <c r="C2101">
        <f>7.062/(100)</f>
        <v>7.0620000000000002E-2</v>
      </c>
    </row>
    <row r="2102" spans="1:3" x14ac:dyDescent="0.3">
      <c r="A2102" s="2">
        <v>39357</v>
      </c>
      <c r="B2102">
        <f>7.75/(100)</f>
        <v>7.7499999999999999E-2</v>
      </c>
      <c r="C2102">
        <f>7.062/(100)</f>
        <v>7.0620000000000002E-2</v>
      </c>
    </row>
    <row r="2103" spans="1:3" x14ac:dyDescent="0.3">
      <c r="A2103" s="2">
        <v>39358</v>
      </c>
      <c r="B2103">
        <f>7.75/(100)</f>
        <v>7.7499999999999999E-2</v>
      </c>
      <c r="C2103">
        <f>7.172/(100)</f>
        <v>7.1719999999999992E-2</v>
      </c>
    </row>
    <row r="2104" spans="1:3" x14ac:dyDescent="0.3">
      <c r="A2104" s="2">
        <v>39359</v>
      </c>
      <c r="B2104">
        <f>7.75/(100)</f>
        <v>7.7499999999999999E-2</v>
      </c>
      <c r="C2104">
        <f>7.322/(100)</f>
        <v>7.3220000000000007E-2</v>
      </c>
    </row>
    <row r="2105" spans="1:3" x14ac:dyDescent="0.3">
      <c r="A2105" s="2">
        <v>39360</v>
      </c>
      <c r="B2105">
        <f>7.75/(100)</f>
        <v>7.7499999999999999E-2</v>
      </c>
      <c r="C2105">
        <f>7.385/(100)</f>
        <v>7.3849999999999999E-2</v>
      </c>
    </row>
    <row r="2106" spans="1:3" x14ac:dyDescent="0.3">
      <c r="A2106" s="2">
        <v>39361</v>
      </c>
      <c r="B2106">
        <f>7.75/(100)</f>
        <v>7.7499999999999999E-2</v>
      </c>
      <c r="C2106">
        <f>7.385/(100)</f>
        <v>7.3849999999999999E-2</v>
      </c>
    </row>
    <row r="2107" spans="1:3" x14ac:dyDescent="0.3">
      <c r="A2107" s="2">
        <v>39362</v>
      </c>
      <c r="B2107">
        <f>7.75/(100)</f>
        <v>7.7499999999999999E-2</v>
      </c>
      <c r="C2107">
        <f>7.385/(100)</f>
        <v>7.3849999999999999E-2</v>
      </c>
    </row>
    <row r="2108" spans="1:3" x14ac:dyDescent="0.3">
      <c r="A2108" s="2">
        <v>39363</v>
      </c>
      <c r="B2108">
        <f>7.75/(100)</f>
        <v>7.7499999999999999E-2</v>
      </c>
      <c r="C2108">
        <f>7.514/(100)</f>
        <v>7.5139999999999998E-2</v>
      </c>
    </row>
    <row r="2109" spans="1:3" x14ac:dyDescent="0.3">
      <c r="A2109" s="2">
        <v>39364</v>
      </c>
      <c r="B2109">
        <f>7.75/(100)</f>
        <v>7.7499999999999999E-2</v>
      </c>
      <c r="C2109">
        <f>7.467/(100)</f>
        <v>7.467E-2</v>
      </c>
    </row>
    <row r="2110" spans="1:3" x14ac:dyDescent="0.3">
      <c r="A2110" s="2">
        <v>39365</v>
      </c>
      <c r="B2110">
        <f>7.75/(100)</f>
        <v>7.7499999999999999E-2</v>
      </c>
      <c r="C2110">
        <f>7.495/(100)</f>
        <v>7.4950000000000003E-2</v>
      </c>
    </row>
    <row r="2111" spans="1:3" x14ac:dyDescent="0.3">
      <c r="A2111" s="2">
        <v>39366</v>
      </c>
      <c r="B2111">
        <f>7.75/(100)</f>
        <v>7.7499999999999999E-2</v>
      </c>
      <c r="C2111">
        <f>7.14/(100)</f>
        <v>7.1399999999999991E-2</v>
      </c>
    </row>
    <row r="2112" spans="1:3" x14ac:dyDescent="0.3">
      <c r="A2112" s="2">
        <v>39367</v>
      </c>
      <c r="B2112">
        <f>7.75/(100)</f>
        <v>7.7499999999999999E-2</v>
      </c>
      <c r="C2112">
        <f>7.457/(100)</f>
        <v>7.4569999999999997E-2</v>
      </c>
    </row>
    <row r="2113" spans="1:3" x14ac:dyDescent="0.3">
      <c r="A2113" s="2">
        <v>39368</v>
      </c>
      <c r="B2113">
        <f>7.75/(100)</f>
        <v>7.7499999999999999E-2</v>
      </c>
      <c r="C2113">
        <f>7.457/(100)</f>
        <v>7.4569999999999997E-2</v>
      </c>
    </row>
    <row r="2114" spans="1:3" x14ac:dyDescent="0.3">
      <c r="A2114" s="2">
        <v>39369</v>
      </c>
      <c r="B2114">
        <f>7.75/(100)</f>
        <v>7.7499999999999999E-2</v>
      </c>
      <c r="C2114">
        <f>7.457/(100)</f>
        <v>7.4569999999999997E-2</v>
      </c>
    </row>
    <row r="2115" spans="1:3" x14ac:dyDescent="0.3">
      <c r="A2115" s="2">
        <v>39370</v>
      </c>
      <c r="B2115">
        <f>7.75/(100)</f>
        <v>7.7499999999999999E-2</v>
      </c>
      <c r="C2115">
        <f>7.454/(100)</f>
        <v>7.4539999999999995E-2</v>
      </c>
    </row>
    <row r="2116" spans="1:3" x14ac:dyDescent="0.3">
      <c r="A2116" s="2">
        <v>39371</v>
      </c>
      <c r="B2116">
        <f>7.75/(100)</f>
        <v>7.7499999999999999E-2</v>
      </c>
      <c r="C2116">
        <f>7.227/(100)</f>
        <v>7.2270000000000001E-2</v>
      </c>
    </row>
    <row r="2117" spans="1:3" x14ac:dyDescent="0.3">
      <c r="A2117" s="2">
        <v>39372</v>
      </c>
      <c r="B2117">
        <f>7.75/(100)</f>
        <v>7.7499999999999999E-2</v>
      </c>
      <c r="C2117">
        <f>7.283/(100)</f>
        <v>7.2830000000000006E-2</v>
      </c>
    </row>
    <row r="2118" spans="1:3" x14ac:dyDescent="0.3">
      <c r="A2118" s="2">
        <v>39373</v>
      </c>
      <c r="B2118">
        <f>7.75/(100)</f>
        <v>7.7499999999999999E-2</v>
      </c>
      <c r="C2118">
        <f>7.424/(100)</f>
        <v>7.424E-2</v>
      </c>
    </row>
    <row r="2119" spans="1:3" x14ac:dyDescent="0.3">
      <c r="A2119" s="2">
        <v>39374</v>
      </c>
      <c r="B2119">
        <f>7.75/(100)</f>
        <v>7.7499999999999999E-2</v>
      </c>
      <c r="C2119">
        <f>7.333/(100)</f>
        <v>7.3330000000000006E-2</v>
      </c>
    </row>
    <row r="2120" spans="1:3" x14ac:dyDescent="0.3">
      <c r="A2120" s="2">
        <v>39375</v>
      </c>
      <c r="B2120">
        <f>7.75/(100)</f>
        <v>7.7499999999999999E-2</v>
      </c>
      <c r="C2120">
        <f>7.333/(100)</f>
        <v>7.3330000000000006E-2</v>
      </c>
    </row>
    <row r="2121" spans="1:3" x14ac:dyDescent="0.3">
      <c r="A2121" s="2">
        <v>39376</v>
      </c>
      <c r="B2121">
        <f>7.75/(100)</f>
        <v>7.7499999999999999E-2</v>
      </c>
      <c r="C2121">
        <f>7.333/(100)</f>
        <v>7.3330000000000006E-2</v>
      </c>
    </row>
    <row r="2122" spans="1:3" x14ac:dyDescent="0.3">
      <c r="A2122" s="2">
        <v>39377</v>
      </c>
      <c r="B2122">
        <f>7.75/(100)</f>
        <v>7.7499999999999999E-2</v>
      </c>
      <c r="C2122">
        <f>7.328/(100)</f>
        <v>7.3279999999999998E-2</v>
      </c>
    </row>
    <row r="2123" spans="1:3" x14ac:dyDescent="0.3">
      <c r="A2123" s="2">
        <v>39378</v>
      </c>
      <c r="B2123">
        <f>7.75/(100)</f>
        <v>7.7499999999999999E-2</v>
      </c>
      <c r="C2123">
        <f>6.918/(100)</f>
        <v>6.9180000000000005E-2</v>
      </c>
    </row>
    <row r="2124" spans="1:3" x14ac:dyDescent="0.3">
      <c r="A2124" s="2">
        <v>39379</v>
      </c>
      <c r="B2124">
        <f>7.75/(100)</f>
        <v>7.7499999999999999E-2</v>
      </c>
      <c r="C2124">
        <f>6.918/(100)</f>
        <v>6.9180000000000005E-2</v>
      </c>
    </row>
    <row r="2125" spans="1:3" x14ac:dyDescent="0.3">
      <c r="A2125" s="2">
        <v>39380</v>
      </c>
      <c r="B2125">
        <f>7.75/(100)</f>
        <v>7.7499999999999999E-2</v>
      </c>
      <c r="C2125">
        <f>6.918/(100)</f>
        <v>6.9180000000000005E-2</v>
      </c>
    </row>
    <row r="2126" spans="1:3" x14ac:dyDescent="0.3">
      <c r="A2126" s="2">
        <v>39381</v>
      </c>
      <c r="B2126">
        <f>7.75/(100)</f>
        <v>7.7499999999999999E-2</v>
      </c>
      <c r="C2126">
        <f>7.034/(100)</f>
        <v>7.034E-2</v>
      </c>
    </row>
    <row r="2127" spans="1:3" x14ac:dyDescent="0.3">
      <c r="A2127" s="2">
        <v>39382</v>
      </c>
      <c r="B2127">
        <f>7.75/(100)</f>
        <v>7.7499999999999999E-2</v>
      </c>
      <c r="C2127">
        <f>7.034/(100)</f>
        <v>7.034E-2</v>
      </c>
    </row>
    <row r="2128" spans="1:3" x14ac:dyDescent="0.3">
      <c r="A2128" s="2">
        <v>39383</v>
      </c>
      <c r="B2128">
        <f>7.75/(100)</f>
        <v>7.7499999999999999E-2</v>
      </c>
      <c r="C2128">
        <f>7.034/(100)</f>
        <v>7.034E-2</v>
      </c>
    </row>
    <row r="2129" spans="1:3" x14ac:dyDescent="0.3">
      <c r="A2129" s="2">
        <v>39384</v>
      </c>
      <c r="B2129">
        <f>7.75/(100)</f>
        <v>7.7499999999999999E-2</v>
      </c>
      <c r="C2129">
        <f>7.01/(100)</f>
        <v>7.0099999999999996E-2</v>
      </c>
    </row>
    <row r="2130" spans="1:3" x14ac:dyDescent="0.3">
      <c r="A2130" s="2">
        <v>39385</v>
      </c>
      <c r="B2130">
        <f>7.75/(100)</f>
        <v>7.7499999999999999E-2</v>
      </c>
      <c r="C2130">
        <f>7.303/(100)</f>
        <v>7.3029999999999998E-2</v>
      </c>
    </row>
    <row r="2131" spans="1:3" x14ac:dyDescent="0.3">
      <c r="A2131" s="2">
        <v>39386</v>
      </c>
      <c r="B2131">
        <f>7.75/(100)</f>
        <v>7.7499999999999999E-2</v>
      </c>
      <c r="C2131">
        <f>7.393/(100)</f>
        <v>7.3929999999999996E-2</v>
      </c>
    </row>
    <row r="2132" spans="1:3" x14ac:dyDescent="0.3">
      <c r="A2132" s="2">
        <v>39387</v>
      </c>
      <c r="B2132">
        <f>7.75/(100)</f>
        <v>7.7499999999999999E-2</v>
      </c>
      <c r="C2132">
        <f>7.348/(100)</f>
        <v>7.3480000000000004E-2</v>
      </c>
    </row>
    <row r="2133" spans="1:3" x14ac:dyDescent="0.3">
      <c r="A2133" s="2">
        <v>39388</v>
      </c>
      <c r="B2133">
        <f>7.75/(100)</f>
        <v>7.7499999999999999E-2</v>
      </c>
      <c r="C2133">
        <f>7.461/(100)</f>
        <v>7.461000000000001E-2</v>
      </c>
    </row>
    <row r="2134" spans="1:3" x14ac:dyDescent="0.3">
      <c r="A2134" s="2">
        <v>39389</v>
      </c>
      <c r="B2134">
        <f>7.75/(100)</f>
        <v>7.7499999999999999E-2</v>
      </c>
      <c r="C2134">
        <f>7.461/(100)</f>
        <v>7.461000000000001E-2</v>
      </c>
    </row>
    <row r="2135" spans="1:3" x14ac:dyDescent="0.3">
      <c r="A2135" s="2">
        <v>39390</v>
      </c>
      <c r="B2135">
        <f>7.75/(100)</f>
        <v>7.7499999999999999E-2</v>
      </c>
      <c r="C2135">
        <f>7.461/(100)</f>
        <v>7.461000000000001E-2</v>
      </c>
    </row>
    <row r="2136" spans="1:3" x14ac:dyDescent="0.3">
      <c r="A2136" s="2">
        <v>39391</v>
      </c>
      <c r="B2136">
        <f>7.75/(100)</f>
        <v>7.7499999999999999E-2</v>
      </c>
      <c r="C2136">
        <f>7.459/(100)</f>
        <v>7.458999999999999E-2</v>
      </c>
    </row>
    <row r="2137" spans="1:3" x14ac:dyDescent="0.3">
      <c r="A2137" s="2">
        <v>39392</v>
      </c>
      <c r="B2137">
        <f>7.75/(100)</f>
        <v>7.7499999999999999E-2</v>
      </c>
      <c r="C2137">
        <f>7.511/(100)</f>
        <v>7.5109999999999996E-2</v>
      </c>
    </row>
    <row r="2138" spans="1:3" x14ac:dyDescent="0.3">
      <c r="A2138" s="2">
        <v>39393</v>
      </c>
      <c r="B2138">
        <f>7.75/(100)</f>
        <v>7.7499999999999999E-2</v>
      </c>
      <c r="C2138">
        <f>7.617/(100)</f>
        <v>7.6170000000000002E-2</v>
      </c>
    </row>
    <row r="2139" spans="1:3" x14ac:dyDescent="0.3">
      <c r="A2139" s="2">
        <v>39394</v>
      </c>
      <c r="B2139">
        <f>7.75/(100)</f>
        <v>7.7499999999999999E-2</v>
      </c>
      <c r="C2139">
        <f>7.5/(100)</f>
        <v>7.4999999999999997E-2</v>
      </c>
    </row>
    <row r="2140" spans="1:3" x14ac:dyDescent="0.3">
      <c r="A2140" s="2">
        <v>39395</v>
      </c>
      <c r="B2140">
        <f>7.75/(100)</f>
        <v>7.7499999999999999E-2</v>
      </c>
      <c r="C2140">
        <f>7.5/(100)</f>
        <v>7.4999999999999997E-2</v>
      </c>
    </row>
    <row r="2141" spans="1:3" x14ac:dyDescent="0.3">
      <c r="A2141" s="2">
        <v>39396</v>
      </c>
      <c r="B2141">
        <f>7.75/(100)</f>
        <v>7.7499999999999999E-2</v>
      </c>
      <c r="C2141">
        <f>7.5/(100)</f>
        <v>7.4999999999999997E-2</v>
      </c>
    </row>
    <row r="2142" spans="1:3" x14ac:dyDescent="0.3">
      <c r="A2142" s="2">
        <v>39397</v>
      </c>
      <c r="B2142">
        <f>7.75/(100)</f>
        <v>7.7499999999999999E-2</v>
      </c>
      <c r="C2142">
        <f>7.5/(100)</f>
        <v>7.4999999999999997E-2</v>
      </c>
    </row>
    <row r="2143" spans="1:3" x14ac:dyDescent="0.3">
      <c r="A2143" s="2">
        <v>39398</v>
      </c>
      <c r="B2143">
        <f>7.75/(100)</f>
        <v>7.7499999999999999E-2</v>
      </c>
      <c r="C2143">
        <f>7.542/(100)</f>
        <v>7.5420000000000001E-2</v>
      </c>
    </row>
    <row r="2144" spans="1:3" x14ac:dyDescent="0.3">
      <c r="A2144" s="2">
        <v>39399</v>
      </c>
      <c r="B2144">
        <f>7.75/(100)</f>
        <v>7.7499999999999999E-2</v>
      </c>
      <c r="C2144">
        <f>7.412/(100)</f>
        <v>7.4120000000000005E-2</v>
      </c>
    </row>
    <row r="2145" spans="1:3" x14ac:dyDescent="0.3">
      <c r="A2145" s="2">
        <v>39400</v>
      </c>
      <c r="B2145">
        <f>7.75/(100)</f>
        <v>7.7499999999999999E-2</v>
      </c>
      <c r="C2145">
        <f>7.595/(100)</f>
        <v>7.5950000000000004E-2</v>
      </c>
    </row>
    <row r="2146" spans="1:3" x14ac:dyDescent="0.3">
      <c r="A2146" s="2">
        <v>39401</v>
      </c>
      <c r="B2146">
        <f>7.75/(100)</f>
        <v>7.7499999999999999E-2</v>
      </c>
      <c r="C2146">
        <f>7.57/(100)</f>
        <v>7.5700000000000003E-2</v>
      </c>
    </row>
    <row r="2147" spans="1:3" x14ac:dyDescent="0.3">
      <c r="A2147" s="2">
        <v>39402</v>
      </c>
      <c r="B2147">
        <f>7.75/(100)</f>
        <v>7.7499999999999999E-2</v>
      </c>
      <c r="C2147">
        <f>7.495/(100)</f>
        <v>7.4950000000000003E-2</v>
      </c>
    </row>
    <row r="2148" spans="1:3" x14ac:dyDescent="0.3">
      <c r="A2148" s="2">
        <v>39403</v>
      </c>
      <c r="B2148">
        <f>7.75/(100)</f>
        <v>7.7499999999999999E-2</v>
      </c>
      <c r="C2148">
        <f>7.495/(100)</f>
        <v>7.4950000000000003E-2</v>
      </c>
    </row>
    <row r="2149" spans="1:3" x14ac:dyDescent="0.3">
      <c r="A2149" s="2">
        <v>39404</v>
      </c>
      <c r="B2149">
        <f>7.75/(100)</f>
        <v>7.7499999999999999E-2</v>
      </c>
      <c r="C2149">
        <f>7.495/(100)</f>
        <v>7.4950000000000003E-2</v>
      </c>
    </row>
    <row r="2150" spans="1:3" x14ac:dyDescent="0.3">
      <c r="A2150" s="2">
        <v>39405</v>
      </c>
      <c r="B2150">
        <f>7.75/(100)</f>
        <v>7.7499999999999999E-2</v>
      </c>
      <c r="C2150">
        <f>7.571/(100)</f>
        <v>7.571E-2</v>
      </c>
    </row>
    <row r="2151" spans="1:3" x14ac:dyDescent="0.3">
      <c r="A2151" s="2">
        <v>39406</v>
      </c>
      <c r="B2151">
        <f>7.75/(100)</f>
        <v>7.7499999999999999E-2</v>
      </c>
      <c r="C2151">
        <f>7.603/(100)</f>
        <v>7.603E-2</v>
      </c>
    </row>
    <row r="2152" spans="1:3" x14ac:dyDescent="0.3">
      <c r="A2152" s="2">
        <v>39407</v>
      </c>
      <c r="B2152">
        <f>7.75/(100)</f>
        <v>7.7499999999999999E-2</v>
      </c>
      <c r="C2152">
        <f>7.604/(100)</f>
        <v>7.6039999999999996E-2</v>
      </c>
    </row>
    <row r="2153" spans="1:3" x14ac:dyDescent="0.3">
      <c r="A2153" s="2">
        <v>39408</v>
      </c>
      <c r="B2153">
        <f>7.75/(100)</f>
        <v>7.7499999999999999E-2</v>
      </c>
      <c r="C2153">
        <f>7.589/(100)</f>
        <v>7.5889999999999999E-2</v>
      </c>
    </row>
    <row r="2154" spans="1:3" x14ac:dyDescent="0.3">
      <c r="A2154" s="2">
        <v>39409</v>
      </c>
      <c r="B2154">
        <f>7.75/(100)</f>
        <v>7.7499999999999999E-2</v>
      </c>
      <c r="C2154">
        <f>7.581/(100)</f>
        <v>7.5810000000000002E-2</v>
      </c>
    </row>
    <row r="2155" spans="1:3" x14ac:dyDescent="0.3">
      <c r="A2155" s="2">
        <v>39410</v>
      </c>
      <c r="B2155">
        <f>7.75/(100)</f>
        <v>7.7499999999999999E-2</v>
      </c>
      <c r="C2155">
        <f>7.581/(100)</f>
        <v>7.5810000000000002E-2</v>
      </c>
    </row>
    <row r="2156" spans="1:3" x14ac:dyDescent="0.3">
      <c r="A2156" s="2">
        <v>39411</v>
      </c>
      <c r="B2156">
        <f>7.75/(100)</f>
        <v>7.7499999999999999E-2</v>
      </c>
      <c r="C2156">
        <f>7.581/(100)</f>
        <v>7.5810000000000002E-2</v>
      </c>
    </row>
    <row r="2157" spans="1:3" x14ac:dyDescent="0.3">
      <c r="A2157" s="2">
        <v>39412</v>
      </c>
      <c r="B2157">
        <f>7.75/(100)</f>
        <v>7.7499999999999999E-2</v>
      </c>
      <c r="C2157">
        <f>7.489/(100)</f>
        <v>7.4889999999999998E-2</v>
      </c>
    </row>
    <row r="2158" spans="1:3" x14ac:dyDescent="0.3">
      <c r="A2158" s="2">
        <v>39413</v>
      </c>
      <c r="B2158">
        <f>7.75/(100)</f>
        <v>7.7499999999999999E-2</v>
      </c>
      <c r="C2158">
        <f>7.676/(100)</f>
        <v>7.6759999999999995E-2</v>
      </c>
    </row>
    <row r="2159" spans="1:3" x14ac:dyDescent="0.3">
      <c r="A2159" s="2">
        <v>39414</v>
      </c>
      <c r="B2159">
        <f>7.75/(100)</f>
        <v>7.7499999999999999E-2</v>
      </c>
      <c r="C2159">
        <f>7.613/(100)</f>
        <v>7.6130000000000003E-2</v>
      </c>
    </row>
    <row r="2160" spans="1:3" x14ac:dyDescent="0.3">
      <c r="A2160" s="2">
        <v>39415</v>
      </c>
      <c r="B2160">
        <f>7.75/(100)</f>
        <v>7.7499999999999999E-2</v>
      </c>
      <c r="C2160">
        <f>7.764/(100)</f>
        <v>7.7640000000000001E-2</v>
      </c>
    </row>
    <row r="2161" spans="1:3" x14ac:dyDescent="0.3">
      <c r="A2161" s="2">
        <v>39416</v>
      </c>
      <c r="B2161">
        <f>7.75/(100)</f>
        <v>7.7499999999999999E-2</v>
      </c>
      <c r="C2161">
        <f>7.783/(100)</f>
        <v>7.783000000000001E-2</v>
      </c>
    </row>
    <row r="2162" spans="1:3" x14ac:dyDescent="0.3">
      <c r="A2162" s="2">
        <v>39417</v>
      </c>
      <c r="B2162">
        <f>7.75/(100)</f>
        <v>7.7499999999999999E-2</v>
      </c>
      <c r="C2162">
        <f>7.783/(100)</f>
        <v>7.783000000000001E-2</v>
      </c>
    </row>
    <row r="2163" spans="1:3" x14ac:dyDescent="0.3">
      <c r="A2163" s="2">
        <v>39418</v>
      </c>
      <c r="B2163">
        <f>7.75/(100)</f>
        <v>7.7499999999999999E-2</v>
      </c>
      <c r="C2163">
        <f>7.783/(100)</f>
        <v>7.783000000000001E-2</v>
      </c>
    </row>
    <row r="2164" spans="1:3" x14ac:dyDescent="0.3">
      <c r="A2164" s="2">
        <v>39419</v>
      </c>
      <c r="B2164">
        <f>7.75/(100)</f>
        <v>7.7499999999999999E-2</v>
      </c>
      <c r="C2164">
        <f>7.604/(100)</f>
        <v>7.6039999999999996E-2</v>
      </c>
    </row>
    <row r="2165" spans="1:3" x14ac:dyDescent="0.3">
      <c r="A2165" s="2">
        <v>39420</v>
      </c>
      <c r="B2165">
        <f>7.75/(100)</f>
        <v>7.7499999999999999E-2</v>
      </c>
      <c r="C2165">
        <f>7.653/(100)</f>
        <v>7.6530000000000001E-2</v>
      </c>
    </row>
    <row r="2166" spans="1:3" x14ac:dyDescent="0.3">
      <c r="A2166" s="2">
        <v>39421</v>
      </c>
      <c r="B2166">
        <f>7.75/(100)</f>
        <v>7.7499999999999999E-2</v>
      </c>
      <c r="C2166">
        <f>7.636/(100)</f>
        <v>7.6359999999999997E-2</v>
      </c>
    </row>
    <row r="2167" spans="1:3" x14ac:dyDescent="0.3">
      <c r="A2167" s="2">
        <v>39422</v>
      </c>
      <c r="B2167">
        <f>7.75/(100)</f>
        <v>7.7499999999999999E-2</v>
      </c>
      <c r="C2167">
        <f>7.587/(100)</f>
        <v>7.5869999999999993E-2</v>
      </c>
    </row>
    <row r="2168" spans="1:3" x14ac:dyDescent="0.3">
      <c r="A2168" s="2">
        <v>39423</v>
      </c>
      <c r="B2168">
        <f>7.75/(100)</f>
        <v>7.7499999999999999E-2</v>
      </c>
      <c r="C2168">
        <f>7.533/(100)</f>
        <v>7.5330000000000008E-2</v>
      </c>
    </row>
    <row r="2169" spans="1:3" x14ac:dyDescent="0.3">
      <c r="A2169" s="2">
        <v>39424</v>
      </c>
      <c r="B2169">
        <f>7.75/(100)</f>
        <v>7.7499999999999999E-2</v>
      </c>
      <c r="C2169">
        <f>7.533/(100)</f>
        <v>7.5330000000000008E-2</v>
      </c>
    </row>
    <row r="2170" spans="1:3" x14ac:dyDescent="0.3">
      <c r="A2170" s="2">
        <v>39425</v>
      </c>
      <c r="B2170">
        <f>7.75/(100)</f>
        <v>7.7499999999999999E-2</v>
      </c>
      <c r="C2170">
        <f>7.533/(100)</f>
        <v>7.5330000000000008E-2</v>
      </c>
    </row>
    <row r="2171" spans="1:3" x14ac:dyDescent="0.3">
      <c r="A2171" s="2">
        <v>39426</v>
      </c>
      <c r="B2171">
        <f>7.75/(100)</f>
        <v>7.7499999999999999E-2</v>
      </c>
      <c r="C2171">
        <f>7.582/(100)</f>
        <v>7.5819999999999999E-2</v>
      </c>
    </row>
    <row r="2172" spans="1:3" x14ac:dyDescent="0.3">
      <c r="A2172" s="2">
        <v>39427</v>
      </c>
      <c r="B2172">
        <f>7.75/(100)</f>
        <v>7.7499999999999999E-2</v>
      </c>
      <c r="C2172">
        <f>7.64/(100)</f>
        <v>7.6399999999999996E-2</v>
      </c>
    </row>
    <row r="2173" spans="1:3" x14ac:dyDescent="0.3">
      <c r="A2173" s="2">
        <v>39428</v>
      </c>
      <c r="B2173">
        <f>7.75/(100)</f>
        <v>7.7499999999999999E-2</v>
      </c>
      <c r="C2173">
        <f>7.639/(100)</f>
        <v>7.639E-2</v>
      </c>
    </row>
    <row r="2174" spans="1:3" x14ac:dyDescent="0.3">
      <c r="A2174" s="2">
        <v>39429</v>
      </c>
      <c r="B2174">
        <f>7.75/(100)</f>
        <v>7.7499999999999999E-2</v>
      </c>
      <c r="C2174">
        <f>7.448/(100)</f>
        <v>7.4480000000000005E-2</v>
      </c>
    </row>
    <row r="2175" spans="1:3" x14ac:dyDescent="0.3">
      <c r="A2175" s="2">
        <v>39430</v>
      </c>
      <c r="B2175">
        <f>7.75/(100)</f>
        <v>7.7499999999999999E-2</v>
      </c>
      <c r="C2175">
        <f>7.629/(100)</f>
        <v>7.6289999999999997E-2</v>
      </c>
    </row>
    <row r="2176" spans="1:3" x14ac:dyDescent="0.3">
      <c r="A2176" s="2">
        <v>39431</v>
      </c>
      <c r="B2176">
        <f>7.75/(100)</f>
        <v>7.7499999999999999E-2</v>
      </c>
      <c r="C2176">
        <f>7.629/(100)</f>
        <v>7.6289999999999997E-2</v>
      </c>
    </row>
    <row r="2177" spans="1:3" x14ac:dyDescent="0.3">
      <c r="A2177" s="2">
        <v>39432</v>
      </c>
      <c r="B2177">
        <f>7.75/(100)</f>
        <v>7.7499999999999999E-2</v>
      </c>
      <c r="C2177">
        <f>7.629/(100)</f>
        <v>7.6289999999999997E-2</v>
      </c>
    </row>
    <row r="2178" spans="1:3" x14ac:dyDescent="0.3">
      <c r="A2178" s="2">
        <v>39433</v>
      </c>
      <c r="B2178">
        <f>7.75/(100)</f>
        <v>7.7499999999999999E-2</v>
      </c>
      <c r="C2178">
        <f>7.64/(100)</f>
        <v>7.6399999999999996E-2</v>
      </c>
    </row>
    <row r="2179" spans="1:3" x14ac:dyDescent="0.3">
      <c r="A2179" s="2">
        <v>39434</v>
      </c>
      <c r="B2179">
        <f>7.75/(100)</f>
        <v>7.7499999999999999E-2</v>
      </c>
      <c r="C2179">
        <f>7.7/(100)</f>
        <v>7.6999999999999999E-2</v>
      </c>
    </row>
    <row r="2180" spans="1:3" x14ac:dyDescent="0.3">
      <c r="A2180" s="2">
        <v>39435</v>
      </c>
      <c r="B2180">
        <f>7.75/(100)</f>
        <v>7.7499999999999999E-2</v>
      </c>
      <c r="C2180">
        <f>7.653/(100)</f>
        <v>7.6530000000000001E-2</v>
      </c>
    </row>
    <row r="2181" spans="1:3" x14ac:dyDescent="0.3">
      <c r="A2181" s="2">
        <v>39436</v>
      </c>
      <c r="B2181">
        <f>7.75/(100)</f>
        <v>7.7499999999999999E-2</v>
      </c>
      <c r="C2181">
        <f>7.657/(100)</f>
        <v>7.6569999999999999E-2</v>
      </c>
    </row>
    <row r="2182" spans="1:3" x14ac:dyDescent="0.3">
      <c r="A2182" s="2">
        <v>39437</v>
      </c>
      <c r="B2182">
        <f>7.75/(100)</f>
        <v>7.7499999999999999E-2</v>
      </c>
      <c r="C2182">
        <f>7.657/(100)</f>
        <v>7.6569999999999999E-2</v>
      </c>
    </row>
    <row r="2183" spans="1:3" x14ac:dyDescent="0.3">
      <c r="A2183" s="2">
        <v>39438</v>
      </c>
      <c r="B2183">
        <f>7.75/(100)</f>
        <v>7.7499999999999999E-2</v>
      </c>
      <c r="C2183">
        <f>7.657/(100)</f>
        <v>7.6569999999999999E-2</v>
      </c>
    </row>
    <row r="2184" spans="1:3" x14ac:dyDescent="0.3">
      <c r="A2184" s="2">
        <v>39439</v>
      </c>
      <c r="B2184">
        <f>7.75/(100)</f>
        <v>7.7499999999999999E-2</v>
      </c>
      <c r="C2184">
        <f>7.657/(100)</f>
        <v>7.6569999999999999E-2</v>
      </c>
    </row>
    <row r="2185" spans="1:3" x14ac:dyDescent="0.3">
      <c r="A2185" s="2">
        <v>39440</v>
      </c>
      <c r="B2185">
        <f>7.75/(100)</f>
        <v>7.7499999999999999E-2</v>
      </c>
      <c r="C2185">
        <f>7.625/(100)</f>
        <v>7.6249999999999998E-2</v>
      </c>
    </row>
    <row r="2186" spans="1:3" x14ac:dyDescent="0.3">
      <c r="A2186" s="2">
        <v>39441</v>
      </c>
      <c r="B2186">
        <f>7.75/(100)</f>
        <v>7.7499999999999999E-2</v>
      </c>
      <c r="C2186">
        <f>7.625/(100)</f>
        <v>7.6249999999999998E-2</v>
      </c>
    </row>
    <row r="2187" spans="1:3" x14ac:dyDescent="0.3">
      <c r="A2187" s="2">
        <v>39442</v>
      </c>
      <c r="B2187">
        <f>7.75/(100)</f>
        <v>7.7499999999999999E-2</v>
      </c>
      <c r="C2187">
        <f>7.624/(100)</f>
        <v>7.6240000000000002E-2</v>
      </c>
    </row>
    <row r="2188" spans="1:3" x14ac:dyDescent="0.3">
      <c r="A2188" s="2">
        <v>39443</v>
      </c>
      <c r="B2188">
        <f>7.75/(100)</f>
        <v>7.7499999999999999E-2</v>
      </c>
      <c r="C2188">
        <f>7.649/(100)</f>
        <v>7.6490000000000002E-2</v>
      </c>
    </row>
    <row r="2189" spans="1:3" x14ac:dyDescent="0.3">
      <c r="A2189" s="2">
        <v>39444</v>
      </c>
      <c r="B2189">
        <f>7.75/(100)</f>
        <v>7.7499999999999999E-2</v>
      </c>
      <c r="C2189">
        <f>7.58/(100)</f>
        <v>7.5800000000000006E-2</v>
      </c>
    </row>
    <row r="2190" spans="1:3" x14ac:dyDescent="0.3">
      <c r="A2190" s="2">
        <v>39445</v>
      </c>
      <c r="B2190">
        <f>7.75/(100)</f>
        <v>7.7499999999999999E-2</v>
      </c>
      <c r="C2190">
        <f>7.58/(100)</f>
        <v>7.5800000000000006E-2</v>
      </c>
    </row>
    <row r="2191" spans="1:3" x14ac:dyDescent="0.3">
      <c r="A2191" s="2">
        <v>39446</v>
      </c>
      <c r="B2191">
        <f>7.75/(100)</f>
        <v>7.7499999999999999E-2</v>
      </c>
      <c r="C2191">
        <f>7.58/(100)</f>
        <v>7.5800000000000006E-2</v>
      </c>
    </row>
    <row r="2192" spans="1:3" x14ac:dyDescent="0.3">
      <c r="A2192" s="2">
        <v>39447</v>
      </c>
      <c r="B2192">
        <f>7.75/(100)</f>
        <v>7.7499999999999999E-2</v>
      </c>
      <c r="C2192">
        <f>7.449/(100)</f>
        <v>7.4490000000000001E-2</v>
      </c>
    </row>
    <row r="2193" spans="1:3" x14ac:dyDescent="0.3">
      <c r="A2193" s="2">
        <v>39448</v>
      </c>
      <c r="B2193">
        <f>7.75/(100)</f>
        <v>7.7499999999999999E-2</v>
      </c>
      <c r="C2193">
        <f>7.42/(100)</f>
        <v>7.4200000000000002E-2</v>
      </c>
    </row>
    <row r="2194" spans="1:3" x14ac:dyDescent="0.3">
      <c r="A2194" s="2">
        <v>39449</v>
      </c>
      <c r="B2194">
        <f>7.75/(100)</f>
        <v>7.7499999999999999E-2</v>
      </c>
      <c r="C2194">
        <f>7.4/(100)</f>
        <v>7.400000000000001E-2</v>
      </c>
    </row>
    <row r="2195" spans="1:3" x14ac:dyDescent="0.3">
      <c r="A2195" s="2">
        <v>39450</v>
      </c>
      <c r="B2195">
        <f>7.75/(100)</f>
        <v>7.7499999999999999E-2</v>
      </c>
      <c r="C2195">
        <f>7.306/(100)</f>
        <v>7.306E-2</v>
      </c>
    </row>
    <row r="2196" spans="1:3" x14ac:dyDescent="0.3">
      <c r="A2196" s="2">
        <v>39451</v>
      </c>
      <c r="B2196">
        <f>7.75/(100)</f>
        <v>7.7499999999999999E-2</v>
      </c>
      <c r="C2196">
        <f>7.504/(100)</f>
        <v>7.5039999999999996E-2</v>
      </c>
    </row>
    <row r="2197" spans="1:3" x14ac:dyDescent="0.3">
      <c r="A2197" s="2">
        <v>39452</v>
      </c>
      <c r="B2197">
        <f>7.75/(100)</f>
        <v>7.7499999999999999E-2</v>
      </c>
      <c r="C2197">
        <f>7.504/(100)</f>
        <v>7.5039999999999996E-2</v>
      </c>
    </row>
    <row r="2198" spans="1:3" x14ac:dyDescent="0.3">
      <c r="A2198" s="2">
        <v>39453</v>
      </c>
      <c r="B2198">
        <f>7.75/(100)</f>
        <v>7.7499999999999999E-2</v>
      </c>
      <c r="C2198">
        <f>7.504/(100)</f>
        <v>7.5039999999999996E-2</v>
      </c>
    </row>
    <row r="2199" spans="1:3" x14ac:dyDescent="0.3">
      <c r="A2199" s="2">
        <v>39454</v>
      </c>
      <c r="B2199">
        <f>7.75/(100)</f>
        <v>7.7499999999999999E-2</v>
      </c>
      <c r="C2199">
        <f>7.438/(100)</f>
        <v>7.4380000000000002E-2</v>
      </c>
    </row>
    <row r="2200" spans="1:3" x14ac:dyDescent="0.3">
      <c r="A2200" s="2">
        <v>39455</v>
      </c>
      <c r="B2200">
        <f>7.75/(100)</f>
        <v>7.7499999999999999E-2</v>
      </c>
      <c r="C2200">
        <f>7.48/(100)</f>
        <v>7.4800000000000005E-2</v>
      </c>
    </row>
    <row r="2201" spans="1:3" x14ac:dyDescent="0.3">
      <c r="A2201" s="2">
        <v>39456</v>
      </c>
      <c r="B2201">
        <f>7.75/(100)</f>
        <v>7.7499999999999999E-2</v>
      </c>
      <c r="C2201">
        <f>7.499/(100)</f>
        <v>7.4990000000000001E-2</v>
      </c>
    </row>
    <row r="2202" spans="1:3" x14ac:dyDescent="0.3">
      <c r="A2202" s="2">
        <v>39457</v>
      </c>
      <c r="B2202">
        <f>7.75/(100)</f>
        <v>7.7499999999999999E-2</v>
      </c>
      <c r="C2202">
        <f>7.527/(100)</f>
        <v>7.5270000000000004E-2</v>
      </c>
    </row>
    <row r="2203" spans="1:3" x14ac:dyDescent="0.3">
      <c r="A2203" s="2">
        <v>39458</v>
      </c>
      <c r="B2203">
        <f>7.75/(100)</f>
        <v>7.7499999999999999E-2</v>
      </c>
      <c r="C2203">
        <f>7.475/(100)</f>
        <v>7.4749999999999997E-2</v>
      </c>
    </row>
    <row r="2204" spans="1:3" x14ac:dyDescent="0.3">
      <c r="A2204" s="2">
        <v>39459</v>
      </c>
      <c r="B2204">
        <f>7.75/(100)</f>
        <v>7.7499999999999999E-2</v>
      </c>
      <c r="C2204">
        <f>7.475/(100)</f>
        <v>7.4749999999999997E-2</v>
      </c>
    </row>
    <row r="2205" spans="1:3" x14ac:dyDescent="0.3">
      <c r="A2205" s="2">
        <v>39460</v>
      </c>
      <c r="B2205">
        <f>7.75/(100)</f>
        <v>7.7499999999999999E-2</v>
      </c>
      <c r="C2205">
        <f>7.475/(100)</f>
        <v>7.4749999999999997E-2</v>
      </c>
    </row>
    <row r="2206" spans="1:3" x14ac:dyDescent="0.3">
      <c r="A2206" s="2">
        <v>39461</v>
      </c>
      <c r="B2206">
        <f>7.75/(100)</f>
        <v>7.7499999999999999E-2</v>
      </c>
      <c r="C2206">
        <f>7.517/(100)</f>
        <v>7.5170000000000001E-2</v>
      </c>
    </row>
    <row r="2207" spans="1:3" x14ac:dyDescent="0.3">
      <c r="A2207" s="2">
        <v>39462</v>
      </c>
      <c r="B2207">
        <f>7.75/(100)</f>
        <v>7.7499999999999999E-2</v>
      </c>
      <c r="C2207">
        <f>7.471/(100)</f>
        <v>7.4709999999999999E-2</v>
      </c>
    </row>
    <row r="2208" spans="1:3" x14ac:dyDescent="0.3">
      <c r="A2208" s="2">
        <v>39463</v>
      </c>
      <c r="B2208">
        <f>7.75/(100)</f>
        <v>7.7499999999999999E-2</v>
      </c>
      <c r="C2208">
        <f>7.479/(100)</f>
        <v>7.4789999999999995E-2</v>
      </c>
    </row>
    <row r="2209" spans="1:3" x14ac:dyDescent="0.3">
      <c r="A2209" s="2">
        <v>39464</v>
      </c>
      <c r="B2209">
        <f>7.75/(100)</f>
        <v>7.7499999999999999E-2</v>
      </c>
      <c r="C2209">
        <f>7.5/(100)</f>
        <v>7.4999999999999997E-2</v>
      </c>
    </row>
    <row r="2210" spans="1:3" x14ac:dyDescent="0.3">
      <c r="A2210" s="2">
        <v>39465</v>
      </c>
      <c r="B2210">
        <f>7.75/(100)</f>
        <v>7.7499999999999999E-2</v>
      </c>
      <c r="C2210">
        <f>7.508/(100)</f>
        <v>7.5079999999999994E-2</v>
      </c>
    </row>
    <row r="2211" spans="1:3" x14ac:dyDescent="0.3">
      <c r="A2211" s="2">
        <v>39466</v>
      </c>
      <c r="B2211">
        <f>7.75/(100)</f>
        <v>7.7499999999999999E-2</v>
      </c>
      <c r="C2211">
        <f>7.508/(100)</f>
        <v>7.5079999999999994E-2</v>
      </c>
    </row>
    <row r="2212" spans="1:3" x14ac:dyDescent="0.3">
      <c r="A2212" s="2">
        <v>39467</v>
      </c>
      <c r="B2212">
        <f>7.75/(100)</f>
        <v>7.7499999999999999E-2</v>
      </c>
      <c r="C2212">
        <f>7.508/(100)</f>
        <v>7.5079999999999994E-2</v>
      </c>
    </row>
    <row r="2213" spans="1:3" x14ac:dyDescent="0.3">
      <c r="A2213" s="2">
        <v>39468</v>
      </c>
      <c r="B2213">
        <f>7.75/(100)</f>
        <v>7.7499999999999999E-2</v>
      </c>
      <c r="C2213">
        <f>7.506/(100)</f>
        <v>7.5060000000000002E-2</v>
      </c>
    </row>
    <row r="2214" spans="1:3" x14ac:dyDescent="0.3">
      <c r="A2214" s="2">
        <v>39469</v>
      </c>
      <c r="B2214">
        <f>7.75/(100)</f>
        <v>7.7499999999999999E-2</v>
      </c>
      <c r="C2214">
        <f>7.426/(100)</f>
        <v>7.4260000000000007E-2</v>
      </c>
    </row>
    <row r="2215" spans="1:3" x14ac:dyDescent="0.3">
      <c r="A2215" s="2">
        <v>39470</v>
      </c>
      <c r="B2215">
        <f>7.75/(100)</f>
        <v>7.7499999999999999E-2</v>
      </c>
      <c r="C2215">
        <f>7.338/(100)</f>
        <v>7.3380000000000001E-2</v>
      </c>
    </row>
    <row r="2216" spans="1:3" x14ac:dyDescent="0.3">
      <c r="A2216" s="2">
        <v>39471</v>
      </c>
      <c r="B2216">
        <f>7.75/(100)</f>
        <v>7.7499999999999999E-2</v>
      </c>
      <c r="C2216">
        <f>7.369/(100)</f>
        <v>7.3689999999999992E-2</v>
      </c>
    </row>
    <row r="2217" spans="1:3" x14ac:dyDescent="0.3">
      <c r="A2217" s="2">
        <v>39472</v>
      </c>
      <c r="B2217">
        <f>7.75/(100)</f>
        <v>7.7499999999999999E-2</v>
      </c>
      <c r="C2217">
        <f>7.357/(100)</f>
        <v>7.3569999999999997E-2</v>
      </c>
    </row>
    <row r="2218" spans="1:3" x14ac:dyDescent="0.3">
      <c r="A2218" s="2">
        <v>39473</v>
      </c>
      <c r="B2218">
        <f>7.75/(100)</f>
        <v>7.7499999999999999E-2</v>
      </c>
      <c r="C2218">
        <f>7.357/(100)</f>
        <v>7.3569999999999997E-2</v>
      </c>
    </row>
    <row r="2219" spans="1:3" x14ac:dyDescent="0.3">
      <c r="A2219" s="2">
        <v>39474</v>
      </c>
      <c r="B2219">
        <f>7.75/(100)</f>
        <v>7.7499999999999999E-2</v>
      </c>
      <c r="C2219">
        <f>7.357/(100)</f>
        <v>7.3569999999999997E-2</v>
      </c>
    </row>
    <row r="2220" spans="1:3" x14ac:dyDescent="0.3">
      <c r="A2220" s="2">
        <v>39475</v>
      </c>
      <c r="B2220">
        <f>7.75/(100)</f>
        <v>7.7499999999999999E-2</v>
      </c>
      <c r="C2220">
        <f>7.408/(100)</f>
        <v>7.4080000000000007E-2</v>
      </c>
    </row>
    <row r="2221" spans="1:3" x14ac:dyDescent="0.3">
      <c r="A2221" s="2">
        <v>39476</v>
      </c>
      <c r="B2221">
        <f>7.75/(100)</f>
        <v>7.7499999999999999E-2</v>
      </c>
      <c r="C2221">
        <f>7.466/(100)</f>
        <v>7.4660000000000004E-2</v>
      </c>
    </row>
    <row r="2222" spans="1:3" x14ac:dyDescent="0.3">
      <c r="A2222" s="2">
        <v>39477</v>
      </c>
      <c r="B2222">
        <f>7.75/(100)</f>
        <v>7.7499999999999999E-2</v>
      </c>
      <c r="C2222">
        <f>7.497/(100)</f>
        <v>7.4969999999999995E-2</v>
      </c>
    </row>
    <row r="2223" spans="1:3" x14ac:dyDescent="0.3">
      <c r="A2223" s="2">
        <v>39478</v>
      </c>
      <c r="B2223">
        <f>7.75/(100)</f>
        <v>7.7499999999999999E-2</v>
      </c>
      <c r="C2223">
        <f>7.514/(100)</f>
        <v>7.5139999999999998E-2</v>
      </c>
    </row>
    <row r="2224" spans="1:3" x14ac:dyDescent="0.3">
      <c r="A2224" s="2">
        <v>39479</v>
      </c>
      <c r="B2224">
        <f>7.75/(100)</f>
        <v>7.7499999999999999E-2</v>
      </c>
      <c r="C2224">
        <f>7.462/(100)</f>
        <v>7.4619999999999992E-2</v>
      </c>
    </row>
    <row r="2225" spans="1:3" x14ac:dyDescent="0.3">
      <c r="A2225" s="2">
        <v>39480</v>
      </c>
      <c r="B2225">
        <f>7.75/(100)</f>
        <v>7.7499999999999999E-2</v>
      </c>
      <c r="C2225">
        <f>7.462/(100)</f>
        <v>7.4619999999999992E-2</v>
      </c>
    </row>
    <row r="2226" spans="1:3" x14ac:dyDescent="0.3">
      <c r="A2226" s="2">
        <v>39481</v>
      </c>
      <c r="B2226">
        <f>7.75/(100)</f>
        <v>7.7499999999999999E-2</v>
      </c>
      <c r="C2226">
        <f>7.462/(100)</f>
        <v>7.4619999999999992E-2</v>
      </c>
    </row>
    <row r="2227" spans="1:3" x14ac:dyDescent="0.3">
      <c r="A2227" s="2">
        <v>39482</v>
      </c>
      <c r="B2227">
        <f>7.75/(100)</f>
        <v>7.7499999999999999E-2</v>
      </c>
      <c r="C2227">
        <f>7.493/(100)</f>
        <v>7.4929999999999997E-2</v>
      </c>
    </row>
    <row r="2228" spans="1:3" x14ac:dyDescent="0.3">
      <c r="A2228" s="2">
        <v>39483</v>
      </c>
      <c r="B2228">
        <f>7.75/(100)</f>
        <v>7.7499999999999999E-2</v>
      </c>
      <c r="C2228">
        <f>7.462/(100)</f>
        <v>7.4619999999999992E-2</v>
      </c>
    </row>
    <row r="2229" spans="1:3" x14ac:dyDescent="0.3">
      <c r="A2229" s="2">
        <v>39484</v>
      </c>
      <c r="B2229">
        <f>7.75/(100)</f>
        <v>7.7499999999999999E-2</v>
      </c>
      <c r="C2229">
        <f>7.439/(100)</f>
        <v>7.4389999999999998E-2</v>
      </c>
    </row>
    <row r="2230" spans="1:3" x14ac:dyDescent="0.3">
      <c r="A2230" s="2">
        <v>39485</v>
      </c>
      <c r="B2230">
        <f>7.75/(100)</f>
        <v>7.7499999999999999E-2</v>
      </c>
      <c r="C2230">
        <f>7.429/(100)</f>
        <v>7.4290000000000009E-2</v>
      </c>
    </row>
    <row r="2231" spans="1:3" x14ac:dyDescent="0.3">
      <c r="A2231" s="2">
        <v>39486</v>
      </c>
      <c r="B2231">
        <f>7.75/(100)</f>
        <v>7.7499999999999999E-2</v>
      </c>
      <c r="C2231">
        <f>7.413/(100)</f>
        <v>7.4130000000000001E-2</v>
      </c>
    </row>
    <row r="2232" spans="1:3" x14ac:dyDescent="0.3">
      <c r="A2232" s="2">
        <v>39487</v>
      </c>
      <c r="B2232">
        <f>7.75/(100)</f>
        <v>7.7499999999999999E-2</v>
      </c>
      <c r="C2232">
        <f>7.413/(100)</f>
        <v>7.4130000000000001E-2</v>
      </c>
    </row>
    <row r="2233" spans="1:3" x14ac:dyDescent="0.3">
      <c r="A2233" s="2">
        <v>39488</v>
      </c>
      <c r="B2233">
        <f>7.75/(100)</f>
        <v>7.7499999999999999E-2</v>
      </c>
      <c r="C2233">
        <f>7.413/(100)</f>
        <v>7.4130000000000001E-2</v>
      </c>
    </row>
    <row r="2234" spans="1:3" x14ac:dyDescent="0.3">
      <c r="A2234" s="2">
        <v>39489</v>
      </c>
      <c r="B2234">
        <f>7.75/(100)</f>
        <v>7.7499999999999999E-2</v>
      </c>
      <c r="C2234">
        <f>7.429/(100)</f>
        <v>7.4290000000000009E-2</v>
      </c>
    </row>
    <row r="2235" spans="1:3" x14ac:dyDescent="0.3">
      <c r="A2235" s="2">
        <v>39490</v>
      </c>
      <c r="B2235">
        <f>7.75/(100)</f>
        <v>7.7499999999999999E-2</v>
      </c>
      <c r="C2235">
        <f>7.433/(100)</f>
        <v>7.4329999999999993E-2</v>
      </c>
    </row>
    <row r="2236" spans="1:3" x14ac:dyDescent="0.3">
      <c r="A2236" s="2">
        <v>39491</v>
      </c>
      <c r="B2236">
        <f>7.75/(100)</f>
        <v>7.7499999999999999E-2</v>
      </c>
      <c r="C2236">
        <f>7.468/(100)</f>
        <v>7.4679999999999996E-2</v>
      </c>
    </row>
    <row r="2237" spans="1:3" x14ac:dyDescent="0.3">
      <c r="A2237" s="2">
        <v>39492</v>
      </c>
      <c r="B2237">
        <f>7.75/(100)</f>
        <v>7.7499999999999999E-2</v>
      </c>
      <c r="C2237">
        <f>7.497/(100)</f>
        <v>7.4969999999999995E-2</v>
      </c>
    </row>
    <row r="2238" spans="1:3" x14ac:dyDescent="0.3">
      <c r="A2238" s="2">
        <v>39493</v>
      </c>
      <c r="B2238">
        <f>7.75/(100)</f>
        <v>7.7499999999999999E-2</v>
      </c>
      <c r="C2238">
        <f>7.468/(100)</f>
        <v>7.4679999999999996E-2</v>
      </c>
    </row>
    <row r="2239" spans="1:3" x14ac:dyDescent="0.3">
      <c r="A2239" s="2">
        <v>39494</v>
      </c>
      <c r="B2239">
        <f>7.75/(100)</f>
        <v>7.7499999999999999E-2</v>
      </c>
      <c r="C2239">
        <f>7.468/(100)</f>
        <v>7.4679999999999996E-2</v>
      </c>
    </row>
    <row r="2240" spans="1:3" x14ac:dyDescent="0.3">
      <c r="A2240" s="2">
        <v>39495</v>
      </c>
      <c r="B2240">
        <f>7.75/(100)</f>
        <v>7.7499999999999999E-2</v>
      </c>
      <c r="C2240">
        <f>7.468/(100)</f>
        <v>7.4679999999999996E-2</v>
      </c>
    </row>
    <row r="2241" spans="1:3" x14ac:dyDescent="0.3">
      <c r="A2241" s="2">
        <v>39496</v>
      </c>
      <c r="B2241">
        <f>7.75/(100)</f>
        <v>7.7499999999999999E-2</v>
      </c>
      <c r="C2241">
        <f>7.544/(100)</f>
        <v>7.5439999999999993E-2</v>
      </c>
    </row>
    <row r="2242" spans="1:3" x14ac:dyDescent="0.3">
      <c r="A2242" s="2">
        <v>39497</v>
      </c>
      <c r="B2242">
        <f>7.75/(100)</f>
        <v>7.7499999999999999E-2</v>
      </c>
      <c r="C2242">
        <f>7.577/(100)</f>
        <v>7.5770000000000004E-2</v>
      </c>
    </row>
    <row r="2243" spans="1:3" x14ac:dyDescent="0.3">
      <c r="A2243" s="2">
        <v>39498</v>
      </c>
      <c r="B2243">
        <f>7.75/(100)</f>
        <v>7.7499999999999999E-2</v>
      </c>
      <c r="C2243">
        <f>7.586/(100)</f>
        <v>7.5859999999999997E-2</v>
      </c>
    </row>
    <row r="2244" spans="1:3" x14ac:dyDescent="0.3">
      <c r="A2244" s="2">
        <v>39499</v>
      </c>
      <c r="B2244">
        <f>7.75/(100)</f>
        <v>7.7499999999999999E-2</v>
      </c>
      <c r="C2244">
        <f>7.611/(100)</f>
        <v>7.6109999999999997E-2</v>
      </c>
    </row>
    <row r="2245" spans="1:3" x14ac:dyDescent="0.3">
      <c r="A2245" s="2">
        <v>39500</v>
      </c>
      <c r="B2245">
        <f>7.75/(100)</f>
        <v>7.7499999999999999E-2</v>
      </c>
      <c r="C2245">
        <f>7.571/(100)</f>
        <v>7.571E-2</v>
      </c>
    </row>
    <row r="2246" spans="1:3" x14ac:dyDescent="0.3">
      <c r="A2246" s="2">
        <v>39501</v>
      </c>
      <c r="B2246">
        <f>7.75/(100)</f>
        <v>7.7499999999999999E-2</v>
      </c>
      <c r="C2246">
        <f>7.571/(100)</f>
        <v>7.571E-2</v>
      </c>
    </row>
    <row r="2247" spans="1:3" x14ac:dyDescent="0.3">
      <c r="A2247" s="2">
        <v>39502</v>
      </c>
      <c r="B2247">
        <f>7.75/(100)</f>
        <v>7.7499999999999999E-2</v>
      </c>
      <c r="C2247">
        <f>7.571/(100)</f>
        <v>7.571E-2</v>
      </c>
    </row>
    <row r="2248" spans="1:3" x14ac:dyDescent="0.3">
      <c r="A2248" s="2">
        <v>39503</v>
      </c>
      <c r="B2248">
        <f>7.75/(100)</f>
        <v>7.7499999999999999E-2</v>
      </c>
      <c r="C2248">
        <f>7.594/(100)</f>
        <v>7.5940000000000007E-2</v>
      </c>
    </row>
    <row r="2249" spans="1:3" x14ac:dyDescent="0.3">
      <c r="A2249" s="2">
        <v>39504</v>
      </c>
      <c r="B2249">
        <f>7.75/(100)</f>
        <v>7.7499999999999999E-2</v>
      </c>
      <c r="C2249">
        <f>7.553/(100)</f>
        <v>7.553E-2</v>
      </c>
    </row>
    <row r="2250" spans="1:3" x14ac:dyDescent="0.3">
      <c r="A2250" s="2">
        <v>39505</v>
      </c>
      <c r="B2250">
        <f>7.75/(100)</f>
        <v>7.7499999999999999E-2</v>
      </c>
      <c r="C2250">
        <f>7.588/(100)</f>
        <v>7.5880000000000003E-2</v>
      </c>
    </row>
    <row r="2251" spans="1:3" x14ac:dyDescent="0.3">
      <c r="A2251" s="2">
        <v>39506</v>
      </c>
      <c r="B2251">
        <f>7.75/(100)</f>
        <v>7.7499999999999999E-2</v>
      </c>
      <c r="C2251">
        <f>7.546/(100)</f>
        <v>7.5459999999999999E-2</v>
      </c>
    </row>
    <row r="2252" spans="1:3" x14ac:dyDescent="0.3">
      <c r="A2252" s="2">
        <v>39507</v>
      </c>
      <c r="B2252">
        <f>7.75/(100)</f>
        <v>7.7499999999999999E-2</v>
      </c>
      <c r="C2252">
        <f>7.527/(100)</f>
        <v>7.5270000000000004E-2</v>
      </c>
    </row>
    <row r="2253" spans="1:3" x14ac:dyDescent="0.3">
      <c r="A2253" s="2">
        <v>39508</v>
      </c>
      <c r="B2253">
        <f>7.75/(100)</f>
        <v>7.7499999999999999E-2</v>
      </c>
      <c r="C2253">
        <f>7.527/(100)</f>
        <v>7.5270000000000004E-2</v>
      </c>
    </row>
    <row r="2254" spans="1:3" x14ac:dyDescent="0.3">
      <c r="A2254" s="2">
        <v>39509</v>
      </c>
      <c r="B2254">
        <f>7.75/(100)</f>
        <v>7.7499999999999999E-2</v>
      </c>
      <c r="C2254">
        <f>7.527/(100)</f>
        <v>7.5270000000000004E-2</v>
      </c>
    </row>
    <row r="2255" spans="1:3" x14ac:dyDescent="0.3">
      <c r="A2255" s="2">
        <v>39510</v>
      </c>
      <c r="B2255">
        <f>7.75/(100)</f>
        <v>7.7499999999999999E-2</v>
      </c>
      <c r="C2255">
        <f>7.545/(100)</f>
        <v>7.5450000000000003E-2</v>
      </c>
    </row>
    <row r="2256" spans="1:3" x14ac:dyDescent="0.3">
      <c r="A2256" s="2">
        <v>39511</v>
      </c>
      <c r="B2256">
        <f>7.75/(100)</f>
        <v>7.7499999999999999E-2</v>
      </c>
      <c r="C2256">
        <f>7.554/(100)</f>
        <v>7.5539999999999996E-2</v>
      </c>
    </row>
    <row r="2257" spans="1:3" x14ac:dyDescent="0.3">
      <c r="A2257" s="2">
        <v>39512</v>
      </c>
      <c r="B2257">
        <f>7.75/(100)</f>
        <v>7.7499999999999999E-2</v>
      </c>
      <c r="C2257">
        <f>7.549/(100)</f>
        <v>7.5490000000000002E-2</v>
      </c>
    </row>
    <row r="2258" spans="1:3" x14ac:dyDescent="0.3">
      <c r="A2258" s="2">
        <v>39513</v>
      </c>
      <c r="B2258">
        <f>7.75/(100)</f>
        <v>7.7499999999999999E-2</v>
      </c>
      <c r="C2258">
        <f>7.549/(100)</f>
        <v>7.5490000000000002E-2</v>
      </c>
    </row>
    <row r="2259" spans="1:3" x14ac:dyDescent="0.3">
      <c r="A2259" s="2">
        <v>39514</v>
      </c>
      <c r="B2259">
        <f>7.75/(100)</f>
        <v>7.7499999999999999E-2</v>
      </c>
      <c r="C2259">
        <f>7.577/(100)</f>
        <v>7.5770000000000004E-2</v>
      </c>
    </row>
    <row r="2260" spans="1:3" x14ac:dyDescent="0.3">
      <c r="A2260" s="2">
        <v>39515</v>
      </c>
      <c r="B2260">
        <f>7.75/(100)</f>
        <v>7.7499999999999999E-2</v>
      </c>
      <c r="C2260">
        <f>7.577/(100)</f>
        <v>7.5770000000000004E-2</v>
      </c>
    </row>
    <row r="2261" spans="1:3" x14ac:dyDescent="0.3">
      <c r="A2261" s="2">
        <v>39516</v>
      </c>
      <c r="B2261">
        <f>7.75/(100)</f>
        <v>7.7499999999999999E-2</v>
      </c>
      <c r="C2261">
        <f>7.577/(100)</f>
        <v>7.5770000000000004E-2</v>
      </c>
    </row>
    <row r="2262" spans="1:3" x14ac:dyDescent="0.3">
      <c r="A2262" s="2">
        <v>39517</v>
      </c>
      <c r="B2262">
        <f>7.75/(100)</f>
        <v>7.7499999999999999E-2</v>
      </c>
      <c r="C2262">
        <f>7.591/(100)</f>
        <v>7.5910000000000005E-2</v>
      </c>
    </row>
    <row r="2263" spans="1:3" x14ac:dyDescent="0.3">
      <c r="A2263" s="2">
        <v>39518</v>
      </c>
      <c r="B2263">
        <f>7.75/(100)</f>
        <v>7.7499999999999999E-2</v>
      </c>
      <c r="C2263">
        <f>7.578/(100)</f>
        <v>7.578E-2</v>
      </c>
    </row>
    <row r="2264" spans="1:3" x14ac:dyDescent="0.3">
      <c r="A2264" s="2">
        <v>39519</v>
      </c>
      <c r="B2264">
        <f>7.75/(100)</f>
        <v>7.7499999999999999E-2</v>
      </c>
      <c r="C2264">
        <f>7.576/(100)</f>
        <v>7.5759999999999994E-2</v>
      </c>
    </row>
    <row r="2265" spans="1:3" x14ac:dyDescent="0.3">
      <c r="A2265" s="2">
        <v>39520</v>
      </c>
      <c r="B2265">
        <f>7.75/(100)</f>
        <v>7.7499999999999999E-2</v>
      </c>
      <c r="C2265">
        <f>7.524/(100)</f>
        <v>7.5240000000000001E-2</v>
      </c>
    </row>
    <row r="2266" spans="1:3" x14ac:dyDescent="0.3">
      <c r="A2266" s="2">
        <v>39521</v>
      </c>
      <c r="B2266">
        <f>7.75/(100)</f>
        <v>7.7499999999999999E-2</v>
      </c>
      <c r="C2266">
        <f>7.578/(100)</f>
        <v>7.578E-2</v>
      </c>
    </row>
    <row r="2267" spans="1:3" x14ac:dyDescent="0.3">
      <c r="A2267" s="2">
        <v>39522</v>
      </c>
      <c r="B2267">
        <f>7.75/(100)</f>
        <v>7.7499999999999999E-2</v>
      </c>
      <c r="C2267">
        <f>7.578/(100)</f>
        <v>7.578E-2</v>
      </c>
    </row>
    <row r="2268" spans="1:3" x14ac:dyDescent="0.3">
      <c r="A2268" s="2">
        <v>39523</v>
      </c>
      <c r="B2268">
        <f>7.75/(100)</f>
        <v>7.7499999999999999E-2</v>
      </c>
      <c r="C2268">
        <f>7.578/(100)</f>
        <v>7.578E-2</v>
      </c>
    </row>
    <row r="2269" spans="1:3" x14ac:dyDescent="0.3">
      <c r="A2269" s="2">
        <v>39524</v>
      </c>
      <c r="B2269">
        <f>7.75/(100)</f>
        <v>7.7499999999999999E-2</v>
      </c>
      <c r="C2269">
        <f>7.559/(100)</f>
        <v>7.5590000000000004E-2</v>
      </c>
    </row>
    <row r="2270" spans="1:3" x14ac:dyDescent="0.3">
      <c r="A2270" s="2">
        <v>39525</v>
      </c>
      <c r="B2270">
        <f>7.75/(100)</f>
        <v>7.7499999999999999E-2</v>
      </c>
      <c r="C2270">
        <f>7.53/(100)</f>
        <v>7.5300000000000006E-2</v>
      </c>
    </row>
    <row r="2271" spans="1:3" x14ac:dyDescent="0.3">
      <c r="A2271" s="2">
        <v>39526</v>
      </c>
      <c r="B2271">
        <f>7.75/(100)</f>
        <v>7.7499999999999999E-2</v>
      </c>
      <c r="C2271">
        <f>7.517/(100)</f>
        <v>7.5170000000000001E-2</v>
      </c>
    </row>
    <row r="2272" spans="1:3" x14ac:dyDescent="0.3">
      <c r="A2272" s="2">
        <v>39527</v>
      </c>
      <c r="B2272">
        <f>7.75/(100)</f>
        <v>7.7499999999999999E-2</v>
      </c>
      <c r="C2272">
        <f>7.517/(100)</f>
        <v>7.5170000000000001E-2</v>
      </c>
    </row>
    <row r="2273" spans="1:3" x14ac:dyDescent="0.3">
      <c r="A2273" s="2">
        <v>39528</v>
      </c>
      <c r="B2273">
        <f>7.75/(100)</f>
        <v>7.7499999999999999E-2</v>
      </c>
      <c r="C2273">
        <f>7.517/(100)</f>
        <v>7.5170000000000001E-2</v>
      </c>
    </row>
    <row r="2274" spans="1:3" x14ac:dyDescent="0.3">
      <c r="A2274" s="2">
        <v>39529</v>
      </c>
      <c r="B2274">
        <f>7.75/(100)</f>
        <v>7.7499999999999999E-2</v>
      </c>
      <c r="C2274">
        <f>7.517/(100)</f>
        <v>7.5170000000000001E-2</v>
      </c>
    </row>
    <row r="2275" spans="1:3" x14ac:dyDescent="0.3">
      <c r="A2275" s="2">
        <v>39530</v>
      </c>
      <c r="B2275">
        <f>7.75/(100)</f>
        <v>7.7499999999999999E-2</v>
      </c>
      <c r="C2275">
        <f>7.517/(100)</f>
        <v>7.5170000000000001E-2</v>
      </c>
    </row>
    <row r="2276" spans="1:3" x14ac:dyDescent="0.3">
      <c r="A2276" s="2">
        <v>39531</v>
      </c>
      <c r="B2276">
        <f>7.75/(100)</f>
        <v>7.7499999999999999E-2</v>
      </c>
      <c r="C2276">
        <f>7.541/(100)</f>
        <v>7.5410000000000005E-2</v>
      </c>
    </row>
    <row r="2277" spans="1:3" x14ac:dyDescent="0.3">
      <c r="A2277" s="2">
        <v>39532</v>
      </c>
      <c r="B2277">
        <f>7.75/(100)</f>
        <v>7.7499999999999999E-2</v>
      </c>
      <c r="C2277">
        <f>7.555/(100)</f>
        <v>7.5549999999999992E-2</v>
      </c>
    </row>
    <row r="2278" spans="1:3" x14ac:dyDescent="0.3">
      <c r="A2278" s="2">
        <v>39533</v>
      </c>
      <c r="B2278">
        <f>7.75/(100)</f>
        <v>7.7499999999999999E-2</v>
      </c>
      <c r="C2278">
        <f>7.491/(100)</f>
        <v>7.490999999999999E-2</v>
      </c>
    </row>
    <row r="2279" spans="1:3" x14ac:dyDescent="0.3">
      <c r="A2279" s="2">
        <v>39534</v>
      </c>
      <c r="B2279">
        <f>7.75/(100)</f>
        <v>7.7499999999999999E-2</v>
      </c>
      <c r="C2279">
        <f>7.434/(100)</f>
        <v>7.4340000000000003E-2</v>
      </c>
    </row>
    <row r="2280" spans="1:3" x14ac:dyDescent="0.3">
      <c r="A2280" s="2">
        <v>39535</v>
      </c>
      <c r="B2280">
        <f>7.75/(100)</f>
        <v>7.7499999999999999E-2</v>
      </c>
      <c r="C2280">
        <f>7.561/(100)</f>
        <v>7.5609999999999997E-2</v>
      </c>
    </row>
    <row r="2281" spans="1:3" x14ac:dyDescent="0.3">
      <c r="A2281" s="2">
        <v>39536</v>
      </c>
      <c r="B2281">
        <f>7.75/(100)</f>
        <v>7.7499999999999999E-2</v>
      </c>
      <c r="C2281">
        <f>7.561/(100)</f>
        <v>7.5609999999999997E-2</v>
      </c>
    </row>
    <row r="2282" spans="1:3" x14ac:dyDescent="0.3">
      <c r="A2282" s="2">
        <v>39537</v>
      </c>
      <c r="B2282">
        <f>7.75/(100)</f>
        <v>7.7499999999999999E-2</v>
      </c>
      <c r="C2282">
        <f>7.561/(100)</f>
        <v>7.5609999999999997E-2</v>
      </c>
    </row>
    <row r="2283" spans="1:3" x14ac:dyDescent="0.3">
      <c r="A2283" s="2">
        <v>39538</v>
      </c>
      <c r="B2283">
        <f>7.75/(100)</f>
        <v>7.7499999999999999E-2</v>
      </c>
      <c r="C2283">
        <f>7.557/(100)</f>
        <v>7.5569999999999998E-2</v>
      </c>
    </row>
    <row r="2284" spans="1:3" x14ac:dyDescent="0.3">
      <c r="A2284" s="2">
        <v>39539</v>
      </c>
      <c r="B2284">
        <f>7.75/(100)</f>
        <v>7.7499999999999999E-2</v>
      </c>
      <c r="C2284">
        <f>7.557/(100)</f>
        <v>7.5569999999999998E-2</v>
      </c>
    </row>
    <row r="2285" spans="1:3" x14ac:dyDescent="0.3">
      <c r="A2285" s="2">
        <v>39540</v>
      </c>
      <c r="B2285">
        <f>7.75/(100)</f>
        <v>7.7499999999999999E-2</v>
      </c>
      <c r="C2285">
        <f>7.585/(100)</f>
        <v>7.5850000000000001E-2</v>
      </c>
    </row>
    <row r="2286" spans="1:3" x14ac:dyDescent="0.3">
      <c r="A2286" s="2">
        <v>39541</v>
      </c>
      <c r="B2286">
        <f>7.75/(100)</f>
        <v>7.7499999999999999E-2</v>
      </c>
      <c r="C2286">
        <f>7.455/(100)</f>
        <v>7.4550000000000005E-2</v>
      </c>
    </row>
    <row r="2287" spans="1:3" x14ac:dyDescent="0.3">
      <c r="A2287" s="2">
        <v>39542</v>
      </c>
      <c r="B2287">
        <f>7.75/(100)</f>
        <v>7.7499999999999999E-2</v>
      </c>
      <c r="C2287">
        <f>7.59/(100)</f>
        <v>7.5899999999999995E-2</v>
      </c>
    </row>
    <row r="2288" spans="1:3" x14ac:dyDescent="0.3">
      <c r="A2288" s="2">
        <v>39543</v>
      </c>
      <c r="B2288">
        <f>7.75/(100)</f>
        <v>7.7499999999999999E-2</v>
      </c>
      <c r="C2288">
        <f>7.59/(100)</f>
        <v>7.5899999999999995E-2</v>
      </c>
    </row>
    <row r="2289" spans="1:3" x14ac:dyDescent="0.3">
      <c r="A2289" s="2">
        <v>39544</v>
      </c>
      <c r="B2289">
        <f>7.75/(100)</f>
        <v>7.7499999999999999E-2</v>
      </c>
      <c r="C2289">
        <f>7.59/(100)</f>
        <v>7.5899999999999995E-2</v>
      </c>
    </row>
    <row r="2290" spans="1:3" x14ac:dyDescent="0.3">
      <c r="A2290" s="2">
        <v>39545</v>
      </c>
      <c r="B2290">
        <f>7.75/(100)</f>
        <v>7.7499999999999999E-2</v>
      </c>
      <c r="C2290">
        <f>7.607/(100)</f>
        <v>7.6069999999999999E-2</v>
      </c>
    </row>
    <row r="2291" spans="1:3" x14ac:dyDescent="0.3">
      <c r="A2291" s="2">
        <v>39546</v>
      </c>
      <c r="B2291">
        <f>7.75/(100)</f>
        <v>7.7499999999999999E-2</v>
      </c>
      <c r="C2291">
        <f>7.642/(100)</f>
        <v>7.6420000000000002E-2</v>
      </c>
    </row>
    <row r="2292" spans="1:3" x14ac:dyDescent="0.3">
      <c r="A2292" s="2">
        <v>39547</v>
      </c>
      <c r="B2292">
        <f>7.75/(100)</f>
        <v>7.7499999999999999E-2</v>
      </c>
      <c r="C2292">
        <f>7.589/(100)</f>
        <v>7.5889999999999999E-2</v>
      </c>
    </row>
    <row r="2293" spans="1:3" x14ac:dyDescent="0.3">
      <c r="A2293" s="2">
        <v>39548</v>
      </c>
      <c r="B2293">
        <f>7.75/(100)</f>
        <v>7.7499999999999999E-2</v>
      </c>
      <c r="C2293">
        <f>7.672/(100)</f>
        <v>7.6719999999999997E-2</v>
      </c>
    </row>
    <row r="2294" spans="1:3" x14ac:dyDescent="0.3">
      <c r="A2294" s="2">
        <v>39549</v>
      </c>
      <c r="B2294">
        <f>7.75/(100)</f>
        <v>7.7499999999999999E-2</v>
      </c>
      <c r="C2294">
        <f>7.853/(100)</f>
        <v>7.8530000000000003E-2</v>
      </c>
    </row>
    <row r="2295" spans="1:3" x14ac:dyDescent="0.3">
      <c r="A2295" s="2">
        <v>39550</v>
      </c>
      <c r="B2295">
        <f>7.75/(100)</f>
        <v>7.7499999999999999E-2</v>
      </c>
      <c r="C2295">
        <f>7.853/(100)</f>
        <v>7.8530000000000003E-2</v>
      </c>
    </row>
    <row r="2296" spans="1:3" x14ac:dyDescent="0.3">
      <c r="A2296" s="2">
        <v>39551</v>
      </c>
      <c r="B2296">
        <f>7.75/(100)</f>
        <v>7.7499999999999999E-2</v>
      </c>
      <c r="C2296">
        <f>7.853/(100)</f>
        <v>7.8530000000000003E-2</v>
      </c>
    </row>
    <row r="2297" spans="1:3" x14ac:dyDescent="0.3">
      <c r="A2297" s="2">
        <v>39552</v>
      </c>
      <c r="B2297">
        <f>7.75/(100)</f>
        <v>7.7499999999999999E-2</v>
      </c>
      <c r="C2297">
        <f>7.853/(100)</f>
        <v>7.8530000000000003E-2</v>
      </c>
    </row>
    <row r="2298" spans="1:3" x14ac:dyDescent="0.3">
      <c r="A2298" s="2">
        <v>39553</v>
      </c>
      <c r="B2298">
        <f>7.75/(100)</f>
        <v>7.7499999999999999E-2</v>
      </c>
      <c r="C2298">
        <f>7.806/(100)</f>
        <v>7.8060000000000004E-2</v>
      </c>
    </row>
    <row r="2299" spans="1:3" x14ac:dyDescent="0.3">
      <c r="A2299" s="2">
        <v>39554</v>
      </c>
      <c r="B2299">
        <f>7.75/(100)</f>
        <v>7.7499999999999999E-2</v>
      </c>
      <c r="C2299">
        <f>7.901/(100)</f>
        <v>7.9009999999999997E-2</v>
      </c>
    </row>
    <row r="2300" spans="1:3" x14ac:dyDescent="0.3">
      <c r="A2300" s="2">
        <v>39555</v>
      </c>
      <c r="B2300">
        <f>7.75/(100)</f>
        <v>7.7499999999999999E-2</v>
      </c>
      <c r="C2300">
        <f>7.931/(100)</f>
        <v>7.9310000000000005E-2</v>
      </c>
    </row>
    <row r="2301" spans="1:3" x14ac:dyDescent="0.3">
      <c r="A2301" s="2">
        <v>39556</v>
      </c>
      <c r="B2301">
        <f>7.75/(100)</f>
        <v>7.7499999999999999E-2</v>
      </c>
      <c r="C2301">
        <f>7.931/(100)</f>
        <v>7.9310000000000005E-2</v>
      </c>
    </row>
    <row r="2302" spans="1:3" x14ac:dyDescent="0.3">
      <c r="A2302" s="2">
        <v>39557</v>
      </c>
      <c r="B2302">
        <f>7.75/(100)</f>
        <v>7.7499999999999999E-2</v>
      </c>
      <c r="C2302">
        <f>7.931/(100)</f>
        <v>7.9310000000000005E-2</v>
      </c>
    </row>
    <row r="2303" spans="1:3" x14ac:dyDescent="0.3">
      <c r="A2303" s="2">
        <v>39558</v>
      </c>
      <c r="B2303">
        <f>7.75/(100)</f>
        <v>7.7499999999999999E-2</v>
      </c>
      <c r="C2303">
        <f>7.931/(100)</f>
        <v>7.9310000000000005E-2</v>
      </c>
    </row>
    <row r="2304" spans="1:3" x14ac:dyDescent="0.3">
      <c r="A2304" s="2">
        <v>39559</v>
      </c>
      <c r="B2304">
        <f>7.75/(100)</f>
        <v>7.7499999999999999E-2</v>
      </c>
      <c r="C2304">
        <f>7.902/(100)</f>
        <v>7.9020000000000007E-2</v>
      </c>
    </row>
    <row r="2305" spans="1:3" x14ac:dyDescent="0.3">
      <c r="A2305" s="2">
        <v>39560</v>
      </c>
      <c r="B2305">
        <f>7.75/(100)</f>
        <v>7.7499999999999999E-2</v>
      </c>
      <c r="C2305">
        <f>7.867/(100)</f>
        <v>7.8670000000000004E-2</v>
      </c>
    </row>
    <row r="2306" spans="1:3" x14ac:dyDescent="0.3">
      <c r="A2306" s="2">
        <v>39561</v>
      </c>
      <c r="B2306">
        <f>7.75/(100)</f>
        <v>7.7499999999999999E-2</v>
      </c>
      <c r="C2306">
        <f>7.825/(100)</f>
        <v>7.825E-2</v>
      </c>
    </row>
    <row r="2307" spans="1:3" x14ac:dyDescent="0.3">
      <c r="A2307" s="2">
        <v>39562</v>
      </c>
      <c r="B2307">
        <f>7.75/(100)</f>
        <v>7.7499999999999999E-2</v>
      </c>
      <c r="C2307">
        <f>7.81/(100)</f>
        <v>7.8100000000000003E-2</v>
      </c>
    </row>
    <row r="2308" spans="1:3" x14ac:dyDescent="0.3">
      <c r="A2308" s="2">
        <v>39563</v>
      </c>
      <c r="B2308">
        <f>7.75/(100)</f>
        <v>7.7499999999999999E-2</v>
      </c>
      <c r="C2308">
        <f>7.835/(100)</f>
        <v>7.8350000000000003E-2</v>
      </c>
    </row>
    <row r="2309" spans="1:3" x14ac:dyDescent="0.3">
      <c r="A2309" s="2">
        <v>39564</v>
      </c>
      <c r="B2309">
        <f>7.75/(100)</f>
        <v>7.7499999999999999E-2</v>
      </c>
      <c r="C2309">
        <f>7.835/(100)</f>
        <v>7.8350000000000003E-2</v>
      </c>
    </row>
    <row r="2310" spans="1:3" x14ac:dyDescent="0.3">
      <c r="A2310" s="2">
        <v>39565</v>
      </c>
      <c r="B2310">
        <f>7.75/(100)</f>
        <v>7.7499999999999999E-2</v>
      </c>
      <c r="C2310">
        <f>7.835/(100)</f>
        <v>7.8350000000000003E-2</v>
      </c>
    </row>
    <row r="2311" spans="1:3" x14ac:dyDescent="0.3">
      <c r="A2311" s="2">
        <v>39566</v>
      </c>
      <c r="B2311">
        <f>7.75/(100)</f>
        <v>7.7499999999999999E-2</v>
      </c>
      <c r="C2311">
        <f>7.776/(100)</f>
        <v>7.7759999999999996E-2</v>
      </c>
    </row>
    <row r="2312" spans="1:3" x14ac:dyDescent="0.3">
      <c r="A2312" s="2">
        <v>39567</v>
      </c>
      <c r="B2312">
        <f>7.75/(100)</f>
        <v>7.7499999999999999E-2</v>
      </c>
      <c r="C2312">
        <f>7.763/(100)</f>
        <v>7.7630000000000005E-2</v>
      </c>
    </row>
    <row r="2313" spans="1:3" x14ac:dyDescent="0.3">
      <c r="A2313" s="2">
        <v>39568</v>
      </c>
      <c r="B2313">
        <f>7.75/(100)</f>
        <v>7.7499999999999999E-2</v>
      </c>
      <c r="C2313">
        <f>7.746/(100)</f>
        <v>7.7460000000000001E-2</v>
      </c>
    </row>
    <row r="2314" spans="1:3" x14ac:dyDescent="0.3">
      <c r="A2314" s="2">
        <v>39569</v>
      </c>
      <c r="B2314">
        <f>7.75/(100)</f>
        <v>7.7499999999999999E-2</v>
      </c>
      <c r="C2314">
        <f>7.746/(100)</f>
        <v>7.7460000000000001E-2</v>
      </c>
    </row>
    <row r="2315" spans="1:3" x14ac:dyDescent="0.3">
      <c r="A2315" s="2">
        <v>39570</v>
      </c>
      <c r="B2315">
        <f>7.75/(100)</f>
        <v>7.7499999999999999E-2</v>
      </c>
      <c r="C2315">
        <f>7.764/(100)</f>
        <v>7.7640000000000001E-2</v>
      </c>
    </row>
    <row r="2316" spans="1:3" x14ac:dyDescent="0.3">
      <c r="A2316" s="2">
        <v>39571</v>
      </c>
      <c r="B2316">
        <f>7.75/(100)</f>
        <v>7.7499999999999999E-2</v>
      </c>
      <c r="C2316">
        <f>7.764/(100)</f>
        <v>7.7640000000000001E-2</v>
      </c>
    </row>
    <row r="2317" spans="1:3" x14ac:dyDescent="0.3">
      <c r="A2317" s="2">
        <v>39572</v>
      </c>
      <c r="B2317">
        <f>7.75/(100)</f>
        <v>7.7499999999999999E-2</v>
      </c>
      <c r="C2317">
        <f>7.764/(100)</f>
        <v>7.7640000000000001E-2</v>
      </c>
    </row>
    <row r="2318" spans="1:3" x14ac:dyDescent="0.3">
      <c r="A2318" s="2">
        <v>39573</v>
      </c>
      <c r="B2318">
        <f>7.75/(100)</f>
        <v>7.7499999999999999E-2</v>
      </c>
      <c r="C2318">
        <f>7.693/(100)</f>
        <v>7.6929999999999998E-2</v>
      </c>
    </row>
    <row r="2319" spans="1:3" x14ac:dyDescent="0.3">
      <c r="A2319" s="2">
        <v>39574</v>
      </c>
      <c r="B2319">
        <f>7.75/(100)</f>
        <v>7.7499999999999999E-2</v>
      </c>
      <c r="C2319">
        <f>7.674/(100)</f>
        <v>7.6740000000000003E-2</v>
      </c>
    </row>
    <row r="2320" spans="1:3" x14ac:dyDescent="0.3">
      <c r="A2320" s="2">
        <v>39575</v>
      </c>
      <c r="B2320">
        <f>7.75/(100)</f>
        <v>7.7499999999999999E-2</v>
      </c>
      <c r="C2320">
        <f>7.655/(100)</f>
        <v>7.6550000000000007E-2</v>
      </c>
    </row>
    <row r="2321" spans="1:3" x14ac:dyDescent="0.3">
      <c r="A2321" s="2">
        <v>39576</v>
      </c>
      <c r="B2321">
        <f>7.75/(100)</f>
        <v>7.7499999999999999E-2</v>
      </c>
      <c r="C2321">
        <f>7.674/(100)</f>
        <v>7.6740000000000003E-2</v>
      </c>
    </row>
    <row r="2322" spans="1:3" x14ac:dyDescent="0.3">
      <c r="A2322" s="2">
        <v>39577</v>
      </c>
      <c r="B2322">
        <f>7.75/(100)</f>
        <v>7.7499999999999999E-2</v>
      </c>
      <c r="C2322">
        <f>7.679/(100)</f>
        <v>7.6789999999999997E-2</v>
      </c>
    </row>
    <row r="2323" spans="1:3" x14ac:dyDescent="0.3">
      <c r="A2323" s="2">
        <v>39578</v>
      </c>
      <c r="B2323">
        <f>7.75/(100)</f>
        <v>7.7499999999999999E-2</v>
      </c>
      <c r="C2323">
        <f>7.679/(100)</f>
        <v>7.6789999999999997E-2</v>
      </c>
    </row>
    <row r="2324" spans="1:3" x14ac:dyDescent="0.3">
      <c r="A2324" s="2">
        <v>39579</v>
      </c>
      <c r="B2324">
        <f>7.75/(100)</f>
        <v>7.7499999999999999E-2</v>
      </c>
      <c r="C2324">
        <f>7.679/(100)</f>
        <v>7.6789999999999997E-2</v>
      </c>
    </row>
    <row r="2325" spans="1:3" x14ac:dyDescent="0.3">
      <c r="A2325" s="2">
        <v>39580</v>
      </c>
      <c r="B2325">
        <f>7.75/(100)</f>
        <v>7.7499999999999999E-2</v>
      </c>
      <c r="C2325">
        <f>7.681/(100)</f>
        <v>7.6810000000000003E-2</v>
      </c>
    </row>
    <row r="2326" spans="1:3" x14ac:dyDescent="0.3">
      <c r="A2326" s="2">
        <v>39581</v>
      </c>
      <c r="B2326">
        <f>7.75/(100)</f>
        <v>7.7499999999999999E-2</v>
      </c>
      <c r="C2326">
        <f>7.652/(100)</f>
        <v>7.6520000000000005E-2</v>
      </c>
    </row>
    <row r="2327" spans="1:3" x14ac:dyDescent="0.3">
      <c r="A2327" s="2">
        <v>39582</v>
      </c>
      <c r="B2327">
        <f>7.75/(100)</f>
        <v>7.7499999999999999E-2</v>
      </c>
      <c r="C2327">
        <f>7.72/(100)</f>
        <v>7.7199999999999991E-2</v>
      </c>
    </row>
    <row r="2328" spans="1:3" x14ac:dyDescent="0.3">
      <c r="A2328" s="2">
        <v>39583</v>
      </c>
      <c r="B2328">
        <f>7.75/(100)</f>
        <v>7.7499999999999999E-2</v>
      </c>
      <c r="C2328">
        <f>7.77/(100)</f>
        <v>7.7699999999999991E-2</v>
      </c>
    </row>
    <row r="2329" spans="1:3" x14ac:dyDescent="0.3">
      <c r="A2329" s="2">
        <v>39584</v>
      </c>
      <c r="B2329">
        <f>7.75/(100)</f>
        <v>7.7499999999999999E-2</v>
      </c>
      <c r="C2329">
        <f>7.815/(100)</f>
        <v>7.8149999999999997E-2</v>
      </c>
    </row>
    <row r="2330" spans="1:3" x14ac:dyDescent="0.3">
      <c r="A2330" s="2">
        <v>39585</v>
      </c>
      <c r="B2330">
        <f>7.75/(100)</f>
        <v>7.7499999999999999E-2</v>
      </c>
      <c r="C2330">
        <f>7.815/(100)</f>
        <v>7.8149999999999997E-2</v>
      </c>
    </row>
    <row r="2331" spans="1:3" x14ac:dyDescent="0.3">
      <c r="A2331" s="2">
        <v>39586</v>
      </c>
      <c r="B2331">
        <f>7.75/(100)</f>
        <v>7.7499999999999999E-2</v>
      </c>
      <c r="C2331">
        <f>7.815/(100)</f>
        <v>7.8149999999999997E-2</v>
      </c>
    </row>
    <row r="2332" spans="1:3" x14ac:dyDescent="0.3">
      <c r="A2332" s="2">
        <v>39587</v>
      </c>
      <c r="B2332">
        <f>7.75/(100)</f>
        <v>7.7499999999999999E-2</v>
      </c>
      <c r="C2332">
        <f>7.815/(100)</f>
        <v>7.8149999999999997E-2</v>
      </c>
    </row>
    <row r="2333" spans="1:3" x14ac:dyDescent="0.3">
      <c r="A2333" s="2">
        <v>39588</v>
      </c>
      <c r="B2333">
        <f>7.75/(100)</f>
        <v>7.7499999999999999E-2</v>
      </c>
      <c r="C2333">
        <f>7.835/(100)</f>
        <v>7.8350000000000003E-2</v>
      </c>
    </row>
    <row r="2334" spans="1:3" x14ac:dyDescent="0.3">
      <c r="A2334" s="2">
        <v>39589</v>
      </c>
      <c r="B2334">
        <f>7.75/(100)</f>
        <v>7.7499999999999999E-2</v>
      </c>
      <c r="C2334">
        <f>7.779/(100)</f>
        <v>7.7789999999999998E-2</v>
      </c>
    </row>
    <row r="2335" spans="1:3" x14ac:dyDescent="0.3">
      <c r="A2335" s="2">
        <v>39590</v>
      </c>
      <c r="B2335">
        <f>7.75/(100)</f>
        <v>7.7499999999999999E-2</v>
      </c>
      <c r="C2335">
        <f>7.923/(100)</f>
        <v>7.9229999999999995E-2</v>
      </c>
    </row>
    <row r="2336" spans="1:3" x14ac:dyDescent="0.3">
      <c r="A2336" s="2">
        <v>39591</v>
      </c>
      <c r="B2336">
        <f>7.75/(100)</f>
        <v>7.7499999999999999E-2</v>
      </c>
      <c r="C2336">
        <f>7.824/(100)</f>
        <v>7.8240000000000004E-2</v>
      </c>
    </row>
    <row r="2337" spans="1:3" x14ac:dyDescent="0.3">
      <c r="A2337" s="2">
        <v>39592</v>
      </c>
      <c r="B2337">
        <f>7.75/(100)</f>
        <v>7.7499999999999999E-2</v>
      </c>
      <c r="C2337">
        <f>7.824/(100)</f>
        <v>7.8240000000000004E-2</v>
      </c>
    </row>
    <row r="2338" spans="1:3" x14ac:dyDescent="0.3">
      <c r="A2338" s="2">
        <v>39593</v>
      </c>
      <c r="B2338">
        <f>7.75/(100)</f>
        <v>7.7499999999999999E-2</v>
      </c>
      <c r="C2338">
        <f>7.824/(100)</f>
        <v>7.8240000000000004E-2</v>
      </c>
    </row>
    <row r="2339" spans="1:3" x14ac:dyDescent="0.3">
      <c r="A2339" s="2">
        <v>39594</v>
      </c>
      <c r="B2339">
        <f>7.75/(100)</f>
        <v>7.7499999999999999E-2</v>
      </c>
      <c r="C2339">
        <f>7.851/(100)</f>
        <v>7.8509999999999996E-2</v>
      </c>
    </row>
    <row r="2340" spans="1:3" x14ac:dyDescent="0.3">
      <c r="A2340" s="2">
        <v>39595</v>
      </c>
      <c r="B2340">
        <f>7.75/(100)</f>
        <v>7.7499999999999999E-2</v>
      </c>
      <c r="C2340">
        <f>7.831/(100)</f>
        <v>7.8310000000000005E-2</v>
      </c>
    </row>
    <row r="2341" spans="1:3" x14ac:dyDescent="0.3">
      <c r="A2341" s="2">
        <v>39596</v>
      </c>
      <c r="B2341">
        <f>7.75/(100)</f>
        <v>7.7499999999999999E-2</v>
      </c>
      <c r="C2341">
        <f>7.829/(100)</f>
        <v>7.8289999999999998E-2</v>
      </c>
    </row>
    <row r="2342" spans="1:3" x14ac:dyDescent="0.3">
      <c r="A2342" s="2">
        <v>39597</v>
      </c>
      <c r="B2342">
        <f>7.75/(100)</f>
        <v>7.7499999999999999E-2</v>
      </c>
      <c r="C2342">
        <f>7.845/(100)</f>
        <v>7.8449999999999992E-2</v>
      </c>
    </row>
    <row r="2343" spans="1:3" x14ac:dyDescent="0.3">
      <c r="A2343" s="2">
        <v>39598</v>
      </c>
      <c r="B2343">
        <f>7.75/(100)</f>
        <v>7.7499999999999999E-2</v>
      </c>
      <c r="C2343">
        <f>7.878/(100)</f>
        <v>7.8780000000000003E-2</v>
      </c>
    </row>
    <row r="2344" spans="1:3" x14ac:dyDescent="0.3">
      <c r="A2344" s="2">
        <v>39599</v>
      </c>
      <c r="B2344">
        <f>7.75/(100)</f>
        <v>7.7499999999999999E-2</v>
      </c>
      <c r="C2344">
        <f>7.878/(100)</f>
        <v>7.8780000000000003E-2</v>
      </c>
    </row>
    <row r="2345" spans="1:3" x14ac:dyDescent="0.3">
      <c r="A2345" s="2">
        <v>39600</v>
      </c>
      <c r="B2345">
        <f>7.75/(100)</f>
        <v>7.7499999999999999E-2</v>
      </c>
      <c r="C2345">
        <f>7.878/(100)</f>
        <v>7.8780000000000003E-2</v>
      </c>
    </row>
    <row r="2346" spans="1:3" x14ac:dyDescent="0.3">
      <c r="A2346" s="2">
        <v>39601</v>
      </c>
      <c r="B2346">
        <f>7.75/(100)</f>
        <v>7.7499999999999999E-2</v>
      </c>
      <c r="C2346">
        <f>7.865/(100)</f>
        <v>7.8649999999999998E-2</v>
      </c>
    </row>
    <row r="2347" spans="1:3" x14ac:dyDescent="0.3">
      <c r="A2347" s="2">
        <v>39602</v>
      </c>
      <c r="B2347">
        <f>7.75/(100)</f>
        <v>7.7499999999999999E-2</v>
      </c>
      <c r="C2347">
        <f>7.888/(100)</f>
        <v>7.8880000000000006E-2</v>
      </c>
    </row>
    <row r="2348" spans="1:3" x14ac:dyDescent="0.3">
      <c r="A2348" s="2">
        <v>39603</v>
      </c>
      <c r="B2348">
        <f>7.75/(100)</f>
        <v>7.7499999999999999E-2</v>
      </c>
      <c r="C2348">
        <f>7.904/(100)</f>
        <v>7.9039999999999999E-2</v>
      </c>
    </row>
    <row r="2349" spans="1:3" x14ac:dyDescent="0.3">
      <c r="A2349" s="2">
        <v>39604</v>
      </c>
      <c r="B2349">
        <f>7.75/(100)</f>
        <v>7.7499999999999999E-2</v>
      </c>
      <c r="C2349">
        <f>7.932/(100)</f>
        <v>7.9320000000000002E-2</v>
      </c>
    </row>
    <row r="2350" spans="1:3" x14ac:dyDescent="0.3">
      <c r="A2350" s="2">
        <v>39605</v>
      </c>
      <c r="B2350">
        <f>7.75/(100)</f>
        <v>7.7499999999999999E-2</v>
      </c>
      <c r="C2350">
        <f>7.978/(100)</f>
        <v>7.9780000000000004E-2</v>
      </c>
    </row>
    <row r="2351" spans="1:3" x14ac:dyDescent="0.3">
      <c r="A2351" s="2">
        <v>39606</v>
      </c>
      <c r="B2351">
        <f>7.75/(100)</f>
        <v>7.7499999999999999E-2</v>
      </c>
      <c r="C2351">
        <f>7.978/(100)</f>
        <v>7.9780000000000004E-2</v>
      </c>
    </row>
    <row r="2352" spans="1:3" x14ac:dyDescent="0.3">
      <c r="A2352" s="2">
        <v>39607</v>
      </c>
      <c r="B2352">
        <f>7.75/(100)</f>
        <v>7.7499999999999999E-2</v>
      </c>
      <c r="C2352">
        <f>7.978/(100)</f>
        <v>7.9780000000000004E-2</v>
      </c>
    </row>
    <row r="2353" spans="1:3" x14ac:dyDescent="0.3">
      <c r="A2353" s="2">
        <v>39608</v>
      </c>
      <c r="B2353">
        <f>7.75/(100)</f>
        <v>7.7499999999999999E-2</v>
      </c>
      <c r="C2353">
        <f>8.017/(100)</f>
        <v>8.0169999999999991E-2</v>
      </c>
    </row>
    <row r="2354" spans="1:3" x14ac:dyDescent="0.3">
      <c r="A2354" s="2">
        <v>39609</v>
      </c>
      <c r="B2354">
        <f>7.75/(100)</f>
        <v>7.7499999999999999E-2</v>
      </c>
      <c r="C2354">
        <f>8.046/(100)</f>
        <v>8.045999999999999E-2</v>
      </c>
    </row>
    <row r="2355" spans="1:3" x14ac:dyDescent="0.3">
      <c r="A2355" s="2">
        <v>39610</v>
      </c>
      <c r="B2355">
        <f>8/(100)</f>
        <v>0.08</v>
      </c>
      <c r="C2355">
        <f>7.961/(100)</f>
        <v>7.961E-2</v>
      </c>
    </row>
    <row r="2356" spans="1:3" x14ac:dyDescent="0.3">
      <c r="A2356" s="2">
        <v>39611</v>
      </c>
      <c r="B2356">
        <f>8/(100)</f>
        <v>0.08</v>
      </c>
      <c r="C2356">
        <f>8.102/(100)</f>
        <v>8.1020000000000009E-2</v>
      </c>
    </row>
    <row r="2357" spans="1:3" x14ac:dyDescent="0.3">
      <c r="A2357" s="2">
        <v>39612</v>
      </c>
      <c r="B2357">
        <f>8/(100)</f>
        <v>0.08</v>
      </c>
      <c r="C2357">
        <f>8.26/(100)</f>
        <v>8.2599999999999993E-2</v>
      </c>
    </row>
    <row r="2358" spans="1:3" x14ac:dyDescent="0.3">
      <c r="A2358" s="2">
        <v>39613</v>
      </c>
      <c r="B2358">
        <f>8/(100)</f>
        <v>0.08</v>
      </c>
      <c r="C2358">
        <f>8.26/(100)</f>
        <v>8.2599999999999993E-2</v>
      </c>
    </row>
    <row r="2359" spans="1:3" x14ac:dyDescent="0.3">
      <c r="A2359" s="2">
        <v>39614</v>
      </c>
      <c r="B2359">
        <f>8/(100)</f>
        <v>0.08</v>
      </c>
      <c r="C2359">
        <f>8.26/(100)</f>
        <v>8.2599999999999993E-2</v>
      </c>
    </row>
    <row r="2360" spans="1:3" x14ac:dyDescent="0.3">
      <c r="A2360" s="2">
        <v>39615</v>
      </c>
      <c r="B2360">
        <f>8/(100)</f>
        <v>0.08</v>
      </c>
      <c r="C2360">
        <f>8.161/(100)</f>
        <v>8.1610000000000002E-2</v>
      </c>
    </row>
    <row r="2361" spans="1:3" x14ac:dyDescent="0.3">
      <c r="A2361" s="2">
        <v>39616</v>
      </c>
      <c r="B2361">
        <f>8/(100)</f>
        <v>0.08</v>
      </c>
      <c r="C2361">
        <f>8.138/(100)</f>
        <v>8.1379999999999994E-2</v>
      </c>
    </row>
    <row r="2362" spans="1:3" x14ac:dyDescent="0.3">
      <c r="A2362" s="2">
        <v>39617</v>
      </c>
      <c r="B2362">
        <f>8/(100)</f>
        <v>0.08</v>
      </c>
      <c r="C2362">
        <f>8.177/(100)</f>
        <v>8.1769999999999995E-2</v>
      </c>
    </row>
    <row r="2363" spans="1:3" x14ac:dyDescent="0.3">
      <c r="A2363" s="2">
        <v>39618</v>
      </c>
      <c r="B2363">
        <f>8/(100)</f>
        <v>0.08</v>
      </c>
      <c r="C2363">
        <f>8.359/(100)</f>
        <v>8.3589999999999998E-2</v>
      </c>
    </row>
    <row r="2364" spans="1:3" x14ac:dyDescent="0.3">
      <c r="A2364" s="2">
        <v>39619</v>
      </c>
      <c r="B2364">
        <f>8/(100)</f>
        <v>0.08</v>
      </c>
      <c r="C2364">
        <f>8.364/(100)</f>
        <v>8.3640000000000006E-2</v>
      </c>
    </row>
    <row r="2365" spans="1:3" x14ac:dyDescent="0.3">
      <c r="A2365" s="2">
        <v>39620</v>
      </c>
      <c r="B2365">
        <f>8/(100)</f>
        <v>0.08</v>
      </c>
      <c r="C2365">
        <f>8.364/(100)</f>
        <v>8.3640000000000006E-2</v>
      </c>
    </row>
    <row r="2366" spans="1:3" x14ac:dyDescent="0.3">
      <c r="A2366" s="2">
        <v>39621</v>
      </c>
      <c r="B2366">
        <f>8/(100)</f>
        <v>0.08</v>
      </c>
      <c r="C2366">
        <f>8.364/(100)</f>
        <v>8.3640000000000006E-2</v>
      </c>
    </row>
    <row r="2367" spans="1:3" x14ac:dyDescent="0.3">
      <c r="A2367" s="2">
        <v>39622</v>
      </c>
      <c r="B2367">
        <f>8/(100)</f>
        <v>0.08</v>
      </c>
      <c r="C2367">
        <f>8.807/(100)</f>
        <v>8.8070000000000009E-2</v>
      </c>
    </row>
    <row r="2368" spans="1:3" x14ac:dyDescent="0.3">
      <c r="A2368" s="2">
        <v>39623</v>
      </c>
      <c r="B2368">
        <f>8.5/(100)</f>
        <v>8.5000000000000006E-2</v>
      </c>
      <c r="C2368">
        <f>8.913/(100)</f>
        <v>8.9130000000000001E-2</v>
      </c>
    </row>
    <row r="2369" spans="1:3" x14ac:dyDescent="0.3">
      <c r="A2369" s="2">
        <v>39624</v>
      </c>
      <c r="B2369">
        <f>8.5/(100)</f>
        <v>8.5000000000000006E-2</v>
      </c>
      <c r="C2369">
        <f>9.227/(100)</f>
        <v>9.2270000000000005E-2</v>
      </c>
    </row>
    <row r="2370" spans="1:3" x14ac:dyDescent="0.3">
      <c r="A2370" s="2">
        <v>39625</v>
      </c>
      <c r="B2370">
        <f>8.5/(100)</f>
        <v>8.5000000000000006E-2</v>
      </c>
      <c r="C2370">
        <f>9.13/(100)</f>
        <v>9.1300000000000006E-2</v>
      </c>
    </row>
    <row r="2371" spans="1:3" x14ac:dyDescent="0.3">
      <c r="A2371" s="2">
        <v>39626</v>
      </c>
      <c r="B2371">
        <f>8.5/(100)</f>
        <v>8.5000000000000006E-2</v>
      </c>
      <c r="C2371">
        <f>9.211/(100)</f>
        <v>9.2109999999999997E-2</v>
      </c>
    </row>
    <row r="2372" spans="1:3" x14ac:dyDescent="0.3">
      <c r="A2372" s="2">
        <v>39627</v>
      </c>
      <c r="B2372">
        <f>8.5/(100)</f>
        <v>8.5000000000000006E-2</v>
      </c>
      <c r="C2372">
        <f>9.211/(100)</f>
        <v>9.2109999999999997E-2</v>
      </c>
    </row>
    <row r="2373" spans="1:3" x14ac:dyDescent="0.3">
      <c r="A2373" s="2">
        <v>39628</v>
      </c>
      <c r="B2373">
        <f>8.5/(100)</f>
        <v>8.5000000000000006E-2</v>
      </c>
      <c r="C2373">
        <f>9.211/(100)</f>
        <v>9.2109999999999997E-2</v>
      </c>
    </row>
    <row r="2374" spans="1:3" x14ac:dyDescent="0.3">
      <c r="A2374" s="2">
        <v>39629</v>
      </c>
      <c r="B2374">
        <f>8.5/(100)</f>
        <v>8.5000000000000006E-2</v>
      </c>
      <c r="C2374">
        <f>9.235/(100)</f>
        <v>9.2349999999999988E-2</v>
      </c>
    </row>
    <row r="2375" spans="1:3" x14ac:dyDescent="0.3">
      <c r="A2375" s="2">
        <v>39630</v>
      </c>
      <c r="B2375">
        <f>8.5/(100)</f>
        <v>8.5000000000000006E-2</v>
      </c>
      <c r="C2375">
        <f>9.327/(100)</f>
        <v>9.3270000000000006E-2</v>
      </c>
    </row>
    <row r="2376" spans="1:3" x14ac:dyDescent="0.3">
      <c r="A2376" s="2">
        <v>39631</v>
      </c>
      <c r="B2376">
        <f>8.5/(100)</f>
        <v>8.5000000000000006E-2</v>
      </c>
      <c r="C2376">
        <f>9.293/(100)</f>
        <v>9.2929999999999999E-2</v>
      </c>
    </row>
    <row r="2377" spans="1:3" x14ac:dyDescent="0.3">
      <c r="A2377" s="2">
        <v>39632</v>
      </c>
      <c r="B2377">
        <f>8.5/(100)</f>
        <v>8.5000000000000006E-2</v>
      </c>
      <c r="C2377">
        <f>9.246/(100)</f>
        <v>9.2460000000000001E-2</v>
      </c>
    </row>
    <row r="2378" spans="1:3" x14ac:dyDescent="0.3">
      <c r="A2378" s="2">
        <v>39633</v>
      </c>
      <c r="B2378">
        <f>8.5/(100)</f>
        <v>8.5000000000000006E-2</v>
      </c>
      <c r="C2378">
        <f>9.072/(100)</f>
        <v>9.0719999999999995E-2</v>
      </c>
    </row>
    <row r="2379" spans="1:3" x14ac:dyDescent="0.3">
      <c r="A2379" s="2">
        <v>39634</v>
      </c>
      <c r="B2379">
        <f>8.5/(100)</f>
        <v>8.5000000000000006E-2</v>
      </c>
      <c r="C2379">
        <f>9.072/(100)</f>
        <v>9.0719999999999995E-2</v>
      </c>
    </row>
    <row r="2380" spans="1:3" x14ac:dyDescent="0.3">
      <c r="A2380" s="2">
        <v>39635</v>
      </c>
      <c r="B2380">
        <f>8.5/(100)</f>
        <v>8.5000000000000006E-2</v>
      </c>
      <c r="C2380">
        <f>9.072/(100)</f>
        <v>9.0719999999999995E-2</v>
      </c>
    </row>
    <row r="2381" spans="1:3" x14ac:dyDescent="0.3">
      <c r="A2381" s="2">
        <v>39636</v>
      </c>
      <c r="B2381">
        <f>8.5/(100)</f>
        <v>8.5000000000000006E-2</v>
      </c>
      <c r="C2381">
        <f>9.137/(100)</f>
        <v>9.1370000000000007E-2</v>
      </c>
    </row>
    <row r="2382" spans="1:3" x14ac:dyDescent="0.3">
      <c r="A2382" s="2">
        <v>39637</v>
      </c>
      <c r="B2382">
        <f>8.5/(100)</f>
        <v>8.5000000000000006E-2</v>
      </c>
      <c r="C2382">
        <f>9.182/(100)</f>
        <v>9.1819999999999999E-2</v>
      </c>
    </row>
    <row r="2383" spans="1:3" x14ac:dyDescent="0.3">
      <c r="A2383" s="2">
        <v>39638</v>
      </c>
      <c r="B2383">
        <f>8.5/(100)</f>
        <v>8.5000000000000006E-2</v>
      </c>
      <c r="C2383">
        <f>9.238/(100)</f>
        <v>9.237999999999999E-2</v>
      </c>
    </row>
    <row r="2384" spans="1:3" x14ac:dyDescent="0.3">
      <c r="A2384" s="2">
        <v>39639</v>
      </c>
      <c r="B2384">
        <f>8.5/(100)</f>
        <v>8.5000000000000006E-2</v>
      </c>
      <c r="C2384">
        <f>9.232/(100)</f>
        <v>9.2319999999999999E-2</v>
      </c>
    </row>
    <row r="2385" spans="1:3" x14ac:dyDescent="0.3">
      <c r="A2385" s="2">
        <v>39640</v>
      </c>
      <c r="B2385">
        <f>8.5/(100)</f>
        <v>8.5000000000000006E-2</v>
      </c>
      <c r="C2385">
        <f>9.371/(100)</f>
        <v>9.3710000000000002E-2</v>
      </c>
    </row>
    <row r="2386" spans="1:3" x14ac:dyDescent="0.3">
      <c r="A2386" s="2">
        <v>39641</v>
      </c>
      <c r="B2386">
        <f>8.5/(100)</f>
        <v>8.5000000000000006E-2</v>
      </c>
      <c r="C2386">
        <f>9.371/(100)</f>
        <v>9.3710000000000002E-2</v>
      </c>
    </row>
    <row r="2387" spans="1:3" x14ac:dyDescent="0.3">
      <c r="A2387" s="2">
        <v>39642</v>
      </c>
      <c r="B2387">
        <f>8.5/(100)</f>
        <v>8.5000000000000006E-2</v>
      </c>
      <c r="C2387">
        <f>9.371/(100)</f>
        <v>9.3710000000000002E-2</v>
      </c>
    </row>
    <row r="2388" spans="1:3" x14ac:dyDescent="0.3">
      <c r="A2388" s="2">
        <v>39643</v>
      </c>
      <c r="B2388">
        <f>8.5/(100)</f>
        <v>8.5000000000000006E-2</v>
      </c>
      <c r="C2388">
        <f>9.424/(100)</f>
        <v>9.423999999999999E-2</v>
      </c>
    </row>
    <row r="2389" spans="1:3" x14ac:dyDescent="0.3">
      <c r="A2389" s="2">
        <v>39644</v>
      </c>
      <c r="B2389">
        <f>8.5/(100)</f>
        <v>8.5000000000000006E-2</v>
      </c>
      <c r="C2389">
        <f>9.478/(100)</f>
        <v>9.4780000000000003E-2</v>
      </c>
    </row>
    <row r="2390" spans="1:3" x14ac:dyDescent="0.3">
      <c r="A2390" s="2">
        <v>39645</v>
      </c>
      <c r="B2390">
        <f>8.5/(100)</f>
        <v>8.5000000000000006E-2</v>
      </c>
      <c r="C2390">
        <f>9.496/(100)</f>
        <v>9.4960000000000003E-2</v>
      </c>
    </row>
    <row r="2391" spans="1:3" x14ac:dyDescent="0.3">
      <c r="A2391" s="2">
        <v>39646</v>
      </c>
      <c r="B2391">
        <f>8.5/(100)</f>
        <v>8.5000000000000006E-2</v>
      </c>
      <c r="C2391">
        <f>9.405/(100)</f>
        <v>9.4049999999999995E-2</v>
      </c>
    </row>
    <row r="2392" spans="1:3" x14ac:dyDescent="0.3">
      <c r="A2392" s="2">
        <v>39647</v>
      </c>
      <c r="B2392">
        <f>8.5/(100)</f>
        <v>8.5000000000000006E-2</v>
      </c>
      <c r="C2392">
        <f>9.258/(100)</f>
        <v>9.2579999999999996E-2</v>
      </c>
    </row>
    <row r="2393" spans="1:3" x14ac:dyDescent="0.3">
      <c r="A2393" s="2">
        <v>39648</v>
      </c>
      <c r="B2393">
        <f>8.5/(100)</f>
        <v>8.5000000000000006E-2</v>
      </c>
      <c r="C2393">
        <f>9.258/(100)</f>
        <v>9.2579999999999996E-2</v>
      </c>
    </row>
    <row r="2394" spans="1:3" x14ac:dyDescent="0.3">
      <c r="A2394" s="2">
        <v>39649</v>
      </c>
      <c r="B2394">
        <f>8.5/(100)</f>
        <v>8.5000000000000006E-2</v>
      </c>
      <c r="C2394">
        <f>9.258/(100)</f>
        <v>9.2579999999999996E-2</v>
      </c>
    </row>
    <row r="2395" spans="1:3" x14ac:dyDescent="0.3">
      <c r="A2395" s="2">
        <v>39650</v>
      </c>
      <c r="B2395">
        <f>8.5/(100)</f>
        <v>8.5000000000000006E-2</v>
      </c>
      <c r="C2395">
        <f>9.139/(100)</f>
        <v>9.1389999999999999E-2</v>
      </c>
    </row>
    <row r="2396" spans="1:3" x14ac:dyDescent="0.3">
      <c r="A2396" s="2">
        <v>39651</v>
      </c>
      <c r="B2396">
        <f>8.5/(100)</f>
        <v>8.5000000000000006E-2</v>
      </c>
      <c r="C2396">
        <f>9.243/(100)</f>
        <v>9.2429999999999998E-2</v>
      </c>
    </row>
    <row r="2397" spans="1:3" x14ac:dyDescent="0.3">
      <c r="A2397" s="2">
        <v>39652</v>
      </c>
      <c r="B2397">
        <f>8.5/(100)</f>
        <v>8.5000000000000006E-2</v>
      </c>
      <c r="C2397">
        <f>9.189/(100)</f>
        <v>9.1889999999999999E-2</v>
      </c>
    </row>
    <row r="2398" spans="1:3" x14ac:dyDescent="0.3">
      <c r="A2398" s="2">
        <v>39653</v>
      </c>
      <c r="B2398">
        <f>8.5/(100)</f>
        <v>8.5000000000000006E-2</v>
      </c>
      <c r="C2398">
        <f>9.269/(100)</f>
        <v>9.2689999999999995E-2</v>
      </c>
    </row>
    <row r="2399" spans="1:3" x14ac:dyDescent="0.3">
      <c r="A2399" s="2">
        <v>39654</v>
      </c>
      <c r="B2399">
        <f>8.5/(100)</f>
        <v>8.5000000000000006E-2</v>
      </c>
      <c r="C2399">
        <f>9.284/(100)</f>
        <v>9.2840000000000006E-2</v>
      </c>
    </row>
    <row r="2400" spans="1:3" x14ac:dyDescent="0.3">
      <c r="A2400" s="2">
        <v>39655</v>
      </c>
      <c r="B2400">
        <f>8.5/(100)</f>
        <v>8.5000000000000006E-2</v>
      </c>
      <c r="C2400">
        <f>9.284/(100)</f>
        <v>9.2840000000000006E-2</v>
      </c>
    </row>
    <row r="2401" spans="1:3" x14ac:dyDescent="0.3">
      <c r="A2401" s="2">
        <v>39656</v>
      </c>
      <c r="B2401">
        <f>8.5/(100)</f>
        <v>8.5000000000000006E-2</v>
      </c>
      <c r="C2401">
        <f>9.284/(100)</f>
        <v>9.2840000000000006E-2</v>
      </c>
    </row>
    <row r="2402" spans="1:3" x14ac:dyDescent="0.3">
      <c r="A2402" s="2">
        <v>39657</v>
      </c>
      <c r="B2402">
        <f>8.5/(100)</f>
        <v>8.5000000000000006E-2</v>
      </c>
      <c r="C2402">
        <f>9.304/(100)</f>
        <v>9.3039999999999998E-2</v>
      </c>
    </row>
    <row r="2403" spans="1:3" x14ac:dyDescent="0.3">
      <c r="A2403" s="2">
        <v>39658</v>
      </c>
      <c r="B2403">
        <f>9/(100)</f>
        <v>0.09</v>
      </c>
      <c r="C2403">
        <f>9.455/(100)</f>
        <v>9.4549999999999995E-2</v>
      </c>
    </row>
    <row r="2404" spans="1:3" x14ac:dyDescent="0.3">
      <c r="A2404" s="2">
        <v>39659</v>
      </c>
      <c r="B2404">
        <f>9/(100)</f>
        <v>0.09</v>
      </c>
      <c r="C2404">
        <f>9.437/(100)</f>
        <v>9.4369999999999996E-2</v>
      </c>
    </row>
    <row r="2405" spans="1:3" x14ac:dyDescent="0.3">
      <c r="A2405" s="2">
        <v>39660</v>
      </c>
      <c r="B2405">
        <f>9/(100)</f>
        <v>0.09</v>
      </c>
      <c r="C2405">
        <f>9.393/(100)</f>
        <v>9.3930000000000013E-2</v>
      </c>
    </row>
    <row r="2406" spans="1:3" x14ac:dyDescent="0.3">
      <c r="A2406" s="2">
        <v>39661</v>
      </c>
      <c r="B2406">
        <f>9/(100)</f>
        <v>0.09</v>
      </c>
      <c r="C2406">
        <f>9.359/(100)</f>
        <v>9.3590000000000007E-2</v>
      </c>
    </row>
    <row r="2407" spans="1:3" x14ac:dyDescent="0.3">
      <c r="A2407" s="2">
        <v>39662</v>
      </c>
      <c r="B2407">
        <f>9/(100)</f>
        <v>0.09</v>
      </c>
      <c r="C2407">
        <f>9.359/(100)</f>
        <v>9.3590000000000007E-2</v>
      </c>
    </row>
    <row r="2408" spans="1:3" x14ac:dyDescent="0.3">
      <c r="A2408" s="2">
        <v>39663</v>
      </c>
      <c r="B2408">
        <f>9/(100)</f>
        <v>0.09</v>
      </c>
      <c r="C2408">
        <f>9.359/(100)</f>
        <v>9.3590000000000007E-2</v>
      </c>
    </row>
    <row r="2409" spans="1:3" x14ac:dyDescent="0.3">
      <c r="A2409" s="2">
        <v>39664</v>
      </c>
      <c r="B2409">
        <f>9/(100)</f>
        <v>0.09</v>
      </c>
      <c r="C2409">
        <f>9.352/(100)</f>
        <v>9.3520000000000006E-2</v>
      </c>
    </row>
    <row r="2410" spans="1:3" x14ac:dyDescent="0.3">
      <c r="A2410" s="2">
        <v>39665</v>
      </c>
      <c r="B2410">
        <f>9/(100)</f>
        <v>0.09</v>
      </c>
      <c r="C2410">
        <f>9.175/(100)</f>
        <v>9.1750000000000012E-2</v>
      </c>
    </row>
    <row r="2411" spans="1:3" x14ac:dyDescent="0.3">
      <c r="A2411" s="2">
        <v>39666</v>
      </c>
      <c r="B2411">
        <f>9/(100)</f>
        <v>0.09</v>
      </c>
      <c r="C2411">
        <f>9.211/(100)</f>
        <v>9.2109999999999997E-2</v>
      </c>
    </row>
    <row r="2412" spans="1:3" x14ac:dyDescent="0.3">
      <c r="A2412" s="2">
        <v>39667</v>
      </c>
      <c r="B2412">
        <f>9/(100)</f>
        <v>0.09</v>
      </c>
      <c r="C2412">
        <f>9.269/(100)</f>
        <v>9.2689999999999995E-2</v>
      </c>
    </row>
    <row r="2413" spans="1:3" x14ac:dyDescent="0.3">
      <c r="A2413" s="2">
        <v>39668</v>
      </c>
      <c r="B2413">
        <f>9/(100)</f>
        <v>0.09</v>
      </c>
      <c r="C2413">
        <f>9.239/(100)</f>
        <v>9.2390000000000014E-2</v>
      </c>
    </row>
    <row r="2414" spans="1:3" x14ac:dyDescent="0.3">
      <c r="A2414" s="2">
        <v>39669</v>
      </c>
      <c r="B2414">
        <f>9/(100)</f>
        <v>0.09</v>
      </c>
      <c r="C2414">
        <f>9.239/(100)</f>
        <v>9.2390000000000014E-2</v>
      </c>
    </row>
    <row r="2415" spans="1:3" x14ac:dyDescent="0.3">
      <c r="A2415" s="2">
        <v>39670</v>
      </c>
      <c r="B2415">
        <f>9/(100)</f>
        <v>0.09</v>
      </c>
      <c r="C2415">
        <f>9.239/(100)</f>
        <v>9.2390000000000014E-2</v>
      </c>
    </row>
    <row r="2416" spans="1:3" x14ac:dyDescent="0.3">
      <c r="A2416" s="2">
        <v>39671</v>
      </c>
      <c r="B2416">
        <f>9/(100)</f>
        <v>0.09</v>
      </c>
      <c r="C2416">
        <f>9.105/(100)</f>
        <v>9.1050000000000006E-2</v>
      </c>
    </row>
    <row r="2417" spans="1:3" x14ac:dyDescent="0.3">
      <c r="A2417" s="2">
        <v>39672</v>
      </c>
      <c r="B2417">
        <f>9/(100)</f>
        <v>0.09</v>
      </c>
      <c r="C2417">
        <f>9.164/(100)</f>
        <v>9.1639999999999999E-2</v>
      </c>
    </row>
    <row r="2418" spans="1:3" x14ac:dyDescent="0.3">
      <c r="A2418" s="2">
        <v>39673</v>
      </c>
      <c r="B2418">
        <f>9/(100)</f>
        <v>0.09</v>
      </c>
      <c r="C2418">
        <f>9.229/(100)</f>
        <v>9.2289999999999997E-2</v>
      </c>
    </row>
    <row r="2419" spans="1:3" x14ac:dyDescent="0.3">
      <c r="A2419" s="2">
        <v>39674</v>
      </c>
      <c r="B2419">
        <f>9/(100)</f>
        <v>0.09</v>
      </c>
      <c r="C2419">
        <f>9.263/(100)</f>
        <v>9.2630000000000004E-2</v>
      </c>
    </row>
    <row r="2420" spans="1:3" x14ac:dyDescent="0.3">
      <c r="A2420" s="2">
        <v>39675</v>
      </c>
      <c r="B2420">
        <f>9/(100)</f>
        <v>0.09</v>
      </c>
      <c r="C2420">
        <f>9.263/(100)</f>
        <v>9.2630000000000004E-2</v>
      </c>
    </row>
    <row r="2421" spans="1:3" x14ac:dyDescent="0.3">
      <c r="A2421" s="2">
        <v>39676</v>
      </c>
      <c r="B2421">
        <f>9/(100)</f>
        <v>0.09</v>
      </c>
      <c r="C2421">
        <f>9.263/(100)</f>
        <v>9.2630000000000004E-2</v>
      </c>
    </row>
    <row r="2422" spans="1:3" x14ac:dyDescent="0.3">
      <c r="A2422" s="2">
        <v>39677</v>
      </c>
      <c r="B2422">
        <f>9/(100)</f>
        <v>0.09</v>
      </c>
      <c r="C2422">
        <f>9.263/(100)</f>
        <v>9.2630000000000004E-2</v>
      </c>
    </row>
    <row r="2423" spans="1:3" x14ac:dyDescent="0.3">
      <c r="A2423" s="2">
        <v>39678</v>
      </c>
      <c r="B2423">
        <f>9/(100)</f>
        <v>0.09</v>
      </c>
      <c r="C2423">
        <f>9.308/(100)</f>
        <v>9.3079999999999996E-2</v>
      </c>
    </row>
    <row r="2424" spans="1:3" x14ac:dyDescent="0.3">
      <c r="A2424" s="2">
        <v>39679</v>
      </c>
      <c r="B2424">
        <f>9/(100)</f>
        <v>0.09</v>
      </c>
      <c r="C2424">
        <f>9.308/(100)</f>
        <v>9.3079999999999996E-2</v>
      </c>
    </row>
    <row r="2425" spans="1:3" x14ac:dyDescent="0.3">
      <c r="A2425" s="2">
        <v>39680</v>
      </c>
      <c r="B2425">
        <f>9/(100)</f>
        <v>0.09</v>
      </c>
      <c r="C2425">
        <f>9.243/(100)</f>
        <v>9.2429999999999998E-2</v>
      </c>
    </row>
    <row r="2426" spans="1:3" x14ac:dyDescent="0.3">
      <c r="A2426" s="2">
        <v>39681</v>
      </c>
      <c r="B2426">
        <f>9/(100)</f>
        <v>0.09</v>
      </c>
      <c r="C2426">
        <f>9.289/(100)</f>
        <v>9.289E-2</v>
      </c>
    </row>
    <row r="2427" spans="1:3" x14ac:dyDescent="0.3">
      <c r="A2427" s="2">
        <v>39682</v>
      </c>
      <c r="B2427">
        <f>9/(100)</f>
        <v>0.09</v>
      </c>
      <c r="C2427">
        <f>9.287/(100)</f>
        <v>9.2870000000000008E-2</v>
      </c>
    </row>
    <row r="2428" spans="1:3" x14ac:dyDescent="0.3">
      <c r="A2428" s="2">
        <v>39683</v>
      </c>
      <c r="B2428">
        <f>9/(100)</f>
        <v>0.09</v>
      </c>
      <c r="C2428">
        <f>9.287/(100)</f>
        <v>9.2870000000000008E-2</v>
      </c>
    </row>
    <row r="2429" spans="1:3" x14ac:dyDescent="0.3">
      <c r="A2429" s="2">
        <v>39684</v>
      </c>
      <c r="B2429">
        <f>9/(100)</f>
        <v>0.09</v>
      </c>
      <c r="C2429">
        <f>9.287/(100)</f>
        <v>9.2870000000000008E-2</v>
      </c>
    </row>
    <row r="2430" spans="1:3" x14ac:dyDescent="0.3">
      <c r="A2430" s="2">
        <v>39685</v>
      </c>
      <c r="B2430">
        <f>9/(100)</f>
        <v>0.09</v>
      </c>
      <c r="C2430">
        <f>9.258/(100)</f>
        <v>9.2579999999999996E-2</v>
      </c>
    </row>
    <row r="2431" spans="1:3" x14ac:dyDescent="0.3">
      <c r="A2431" s="2">
        <v>39686</v>
      </c>
      <c r="B2431">
        <f>9/(100)</f>
        <v>0.09</v>
      </c>
      <c r="C2431">
        <f>9.242/(100)</f>
        <v>9.2420000000000002E-2</v>
      </c>
    </row>
    <row r="2432" spans="1:3" x14ac:dyDescent="0.3">
      <c r="A2432" s="2">
        <v>39687</v>
      </c>
      <c r="B2432">
        <f>9/(100)</f>
        <v>0.09</v>
      </c>
      <c r="C2432">
        <f>9.21/(100)</f>
        <v>9.2100000000000015E-2</v>
      </c>
    </row>
    <row r="2433" spans="1:3" x14ac:dyDescent="0.3">
      <c r="A2433" s="2">
        <v>39688</v>
      </c>
      <c r="B2433">
        <f>9/(100)</f>
        <v>0.09</v>
      </c>
      <c r="C2433">
        <f>9.186/(100)</f>
        <v>9.1859999999999997E-2</v>
      </c>
    </row>
    <row r="2434" spans="1:3" x14ac:dyDescent="0.3">
      <c r="A2434" s="2">
        <v>39689</v>
      </c>
      <c r="B2434">
        <f>9/(100)</f>
        <v>0.09</v>
      </c>
      <c r="C2434">
        <f>9.176/(100)</f>
        <v>9.1760000000000008E-2</v>
      </c>
    </row>
    <row r="2435" spans="1:3" x14ac:dyDescent="0.3">
      <c r="A2435" s="2">
        <v>39690</v>
      </c>
      <c r="B2435">
        <f>9/(100)</f>
        <v>0.09</v>
      </c>
      <c r="C2435">
        <f>9.176/(100)</f>
        <v>9.1760000000000008E-2</v>
      </c>
    </row>
    <row r="2436" spans="1:3" x14ac:dyDescent="0.3">
      <c r="A2436" s="2">
        <v>39691</v>
      </c>
      <c r="B2436">
        <f>9/(100)</f>
        <v>0.09</v>
      </c>
      <c r="C2436">
        <f>9.176/(100)</f>
        <v>9.1760000000000008E-2</v>
      </c>
    </row>
    <row r="2437" spans="1:3" x14ac:dyDescent="0.3">
      <c r="A2437" s="2">
        <v>39692</v>
      </c>
      <c r="B2437">
        <f>9/(100)</f>
        <v>0.09</v>
      </c>
      <c r="C2437">
        <f>9.161/(100)</f>
        <v>9.1609999999999997E-2</v>
      </c>
    </row>
    <row r="2438" spans="1:3" x14ac:dyDescent="0.3">
      <c r="A2438" s="2">
        <v>39693</v>
      </c>
      <c r="B2438">
        <f>9/(100)</f>
        <v>0.09</v>
      </c>
      <c r="C2438">
        <f>9.057/(100)</f>
        <v>9.0569999999999998E-2</v>
      </c>
    </row>
    <row r="2439" spans="1:3" x14ac:dyDescent="0.3">
      <c r="A2439" s="2">
        <v>39694</v>
      </c>
      <c r="B2439">
        <f>9/(100)</f>
        <v>0.09</v>
      </c>
      <c r="C2439">
        <f>9.057/(100)</f>
        <v>9.0569999999999998E-2</v>
      </c>
    </row>
    <row r="2440" spans="1:3" x14ac:dyDescent="0.3">
      <c r="A2440" s="2">
        <v>39695</v>
      </c>
      <c r="B2440">
        <f>9/(100)</f>
        <v>0.09</v>
      </c>
      <c r="C2440">
        <f>8.994/(100)</f>
        <v>8.9939999999999992E-2</v>
      </c>
    </row>
    <row r="2441" spans="1:3" x14ac:dyDescent="0.3">
      <c r="A2441" s="2">
        <v>39696</v>
      </c>
      <c r="B2441">
        <f>9/(100)</f>
        <v>0.09</v>
      </c>
      <c r="C2441">
        <f>9.002/(100)</f>
        <v>9.0020000000000003E-2</v>
      </c>
    </row>
    <row r="2442" spans="1:3" x14ac:dyDescent="0.3">
      <c r="A2442" s="2">
        <v>39697</v>
      </c>
      <c r="B2442">
        <f>9/(100)</f>
        <v>0.09</v>
      </c>
      <c r="C2442">
        <f>9.002/(100)</f>
        <v>9.0020000000000003E-2</v>
      </c>
    </row>
    <row r="2443" spans="1:3" x14ac:dyDescent="0.3">
      <c r="A2443" s="2">
        <v>39698</v>
      </c>
      <c r="B2443">
        <f>9/(100)</f>
        <v>0.09</v>
      </c>
      <c r="C2443">
        <f>9.002/(100)</f>
        <v>9.0020000000000003E-2</v>
      </c>
    </row>
    <row r="2444" spans="1:3" x14ac:dyDescent="0.3">
      <c r="A2444" s="2">
        <v>39699</v>
      </c>
      <c r="B2444">
        <f>9/(100)</f>
        <v>0.09</v>
      </c>
      <c r="C2444">
        <f>8.87/(100)</f>
        <v>8.8699999999999987E-2</v>
      </c>
    </row>
    <row r="2445" spans="1:3" x14ac:dyDescent="0.3">
      <c r="A2445" s="2">
        <v>39700</v>
      </c>
      <c r="B2445">
        <f>9/(100)</f>
        <v>0.09</v>
      </c>
      <c r="C2445">
        <f>8.848/(100)</f>
        <v>8.8480000000000003E-2</v>
      </c>
    </row>
    <row r="2446" spans="1:3" x14ac:dyDescent="0.3">
      <c r="A2446" s="2">
        <v>39701</v>
      </c>
      <c r="B2446">
        <f>9/(100)</f>
        <v>0.09</v>
      </c>
      <c r="C2446">
        <f>8.84/(100)</f>
        <v>8.8399999999999992E-2</v>
      </c>
    </row>
    <row r="2447" spans="1:3" x14ac:dyDescent="0.3">
      <c r="A2447" s="2">
        <v>39702</v>
      </c>
      <c r="B2447">
        <f>9/(100)</f>
        <v>0.09</v>
      </c>
      <c r="C2447">
        <f>8.775/(100)</f>
        <v>8.7750000000000009E-2</v>
      </c>
    </row>
    <row r="2448" spans="1:3" x14ac:dyDescent="0.3">
      <c r="A2448" s="2">
        <v>39703</v>
      </c>
      <c r="B2448">
        <f>9/(100)</f>
        <v>0.09</v>
      </c>
      <c r="C2448">
        <f>8.705/(100)</f>
        <v>8.7050000000000002E-2</v>
      </c>
    </row>
    <row r="2449" spans="1:3" x14ac:dyDescent="0.3">
      <c r="A2449" s="2">
        <v>39704</v>
      </c>
      <c r="B2449">
        <f>9/(100)</f>
        <v>0.09</v>
      </c>
      <c r="C2449">
        <f>8.705/(100)</f>
        <v>8.7050000000000002E-2</v>
      </c>
    </row>
    <row r="2450" spans="1:3" x14ac:dyDescent="0.3">
      <c r="A2450" s="2">
        <v>39705</v>
      </c>
      <c r="B2450">
        <f>9/(100)</f>
        <v>0.09</v>
      </c>
      <c r="C2450">
        <f>8.705/(100)</f>
        <v>8.7050000000000002E-2</v>
      </c>
    </row>
    <row r="2451" spans="1:3" x14ac:dyDescent="0.3">
      <c r="A2451" s="2">
        <v>39706</v>
      </c>
      <c r="B2451">
        <f>9/(100)</f>
        <v>0.09</v>
      </c>
      <c r="C2451">
        <f>8.736/(100)</f>
        <v>8.7360000000000007E-2</v>
      </c>
    </row>
    <row r="2452" spans="1:3" x14ac:dyDescent="0.3">
      <c r="A2452" s="2">
        <v>39707</v>
      </c>
      <c r="B2452">
        <f>9/(100)</f>
        <v>0.09</v>
      </c>
      <c r="C2452">
        <f>8.608/(100)</f>
        <v>8.6080000000000004E-2</v>
      </c>
    </row>
    <row r="2453" spans="1:3" x14ac:dyDescent="0.3">
      <c r="A2453" s="2">
        <v>39708</v>
      </c>
      <c r="B2453">
        <f>9/(100)</f>
        <v>0.09</v>
      </c>
      <c r="C2453">
        <f>8.551/(100)</f>
        <v>8.5510000000000003E-2</v>
      </c>
    </row>
    <row r="2454" spans="1:3" x14ac:dyDescent="0.3">
      <c r="A2454" s="2">
        <v>39709</v>
      </c>
      <c r="B2454">
        <f>9/(100)</f>
        <v>0.09</v>
      </c>
      <c r="C2454">
        <f>8.734/(100)</f>
        <v>8.7340000000000001E-2</v>
      </c>
    </row>
    <row r="2455" spans="1:3" x14ac:dyDescent="0.3">
      <c r="A2455" s="2">
        <v>39710</v>
      </c>
      <c r="B2455">
        <f>9/(100)</f>
        <v>0.09</v>
      </c>
      <c r="C2455">
        <f>8.852/(100)</f>
        <v>8.8520000000000001E-2</v>
      </c>
    </row>
    <row r="2456" spans="1:3" x14ac:dyDescent="0.3">
      <c r="A2456" s="2">
        <v>39711</v>
      </c>
      <c r="B2456">
        <f>9/(100)</f>
        <v>0.09</v>
      </c>
      <c r="C2456">
        <f>8.852/(100)</f>
        <v>8.8520000000000001E-2</v>
      </c>
    </row>
    <row r="2457" spans="1:3" x14ac:dyDescent="0.3">
      <c r="A2457" s="2">
        <v>39712</v>
      </c>
      <c r="B2457">
        <f>9/(100)</f>
        <v>0.09</v>
      </c>
      <c r="C2457">
        <f>8.852/(100)</f>
        <v>8.8520000000000001E-2</v>
      </c>
    </row>
    <row r="2458" spans="1:3" x14ac:dyDescent="0.3">
      <c r="A2458" s="2">
        <v>39713</v>
      </c>
      <c r="B2458">
        <f>9/(100)</f>
        <v>0.09</v>
      </c>
      <c r="C2458">
        <f>8.864/(100)</f>
        <v>8.864000000000001E-2</v>
      </c>
    </row>
    <row r="2459" spans="1:3" x14ac:dyDescent="0.3">
      <c r="A2459" s="2">
        <v>39714</v>
      </c>
      <c r="B2459">
        <f>9/(100)</f>
        <v>0.09</v>
      </c>
      <c r="C2459">
        <f>8.796/(100)</f>
        <v>8.7959999999999997E-2</v>
      </c>
    </row>
    <row r="2460" spans="1:3" x14ac:dyDescent="0.3">
      <c r="A2460" s="2">
        <v>39715</v>
      </c>
      <c r="B2460">
        <f>9/(100)</f>
        <v>0.09</v>
      </c>
      <c r="C2460">
        <f>8.842/(100)</f>
        <v>8.8419999999999999E-2</v>
      </c>
    </row>
    <row r="2461" spans="1:3" x14ac:dyDescent="0.3">
      <c r="A2461" s="2">
        <v>39716</v>
      </c>
      <c r="B2461">
        <f>9/(100)</f>
        <v>0.09</v>
      </c>
      <c r="C2461">
        <f>8.72/(100)</f>
        <v>8.72E-2</v>
      </c>
    </row>
    <row r="2462" spans="1:3" x14ac:dyDescent="0.3">
      <c r="A2462" s="2">
        <v>39717</v>
      </c>
      <c r="B2462">
        <f>9/(100)</f>
        <v>0.09</v>
      </c>
      <c r="C2462">
        <f>8.722/(100)</f>
        <v>8.7219999999999992E-2</v>
      </c>
    </row>
    <row r="2463" spans="1:3" x14ac:dyDescent="0.3">
      <c r="A2463" s="2">
        <v>39718</v>
      </c>
      <c r="B2463">
        <f>9/(100)</f>
        <v>0.09</v>
      </c>
      <c r="C2463">
        <f>8.722/(100)</f>
        <v>8.7219999999999992E-2</v>
      </c>
    </row>
    <row r="2464" spans="1:3" x14ac:dyDescent="0.3">
      <c r="A2464" s="2">
        <v>39719</v>
      </c>
      <c r="B2464">
        <f>9/(100)</f>
        <v>0.09</v>
      </c>
      <c r="C2464">
        <f>8.722/(100)</f>
        <v>8.7219999999999992E-2</v>
      </c>
    </row>
    <row r="2465" spans="1:3" x14ac:dyDescent="0.3">
      <c r="A2465" s="2">
        <v>39720</v>
      </c>
      <c r="B2465">
        <f>9/(100)</f>
        <v>0.09</v>
      </c>
      <c r="C2465">
        <f>8.723/(100)</f>
        <v>8.7230000000000002E-2</v>
      </c>
    </row>
    <row r="2466" spans="1:3" x14ac:dyDescent="0.3">
      <c r="A2466" s="2">
        <v>39721</v>
      </c>
      <c r="B2466">
        <f>9/(100)</f>
        <v>0.09</v>
      </c>
      <c r="C2466">
        <f>8.723/(100)</f>
        <v>8.7230000000000002E-2</v>
      </c>
    </row>
    <row r="2467" spans="1:3" x14ac:dyDescent="0.3">
      <c r="A2467" s="2">
        <v>39722</v>
      </c>
      <c r="B2467">
        <f>9/(100)</f>
        <v>0.09</v>
      </c>
      <c r="C2467">
        <f>9.054/(100)</f>
        <v>9.0540000000000009E-2</v>
      </c>
    </row>
    <row r="2468" spans="1:3" x14ac:dyDescent="0.3">
      <c r="A2468" s="2">
        <v>39723</v>
      </c>
      <c r="B2468">
        <f>9/(100)</f>
        <v>0.09</v>
      </c>
      <c r="C2468">
        <f>9.054/(100)</f>
        <v>9.0540000000000009E-2</v>
      </c>
    </row>
    <row r="2469" spans="1:3" x14ac:dyDescent="0.3">
      <c r="A2469" s="2">
        <v>39724</v>
      </c>
      <c r="B2469">
        <f>9/(100)</f>
        <v>0.09</v>
      </c>
      <c r="C2469">
        <f>8.768/(100)</f>
        <v>8.7680000000000008E-2</v>
      </c>
    </row>
    <row r="2470" spans="1:3" x14ac:dyDescent="0.3">
      <c r="A2470" s="2">
        <v>39725</v>
      </c>
      <c r="B2470">
        <f>9/(100)</f>
        <v>0.09</v>
      </c>
      <c r="C2470">
        <f>8.768/(100)</f>
        <v>8.7680000000000008E-2</v>
      </c>
    </row>
    <row r="2471" spans="1:3" x14ac:dyDescent="0.3">
      <c r="A2471" s="2">
        <v>39726</v>
      </c>
      <c r="B2471">
        <f>9/(100)</f>
        <v>0.09</v>
      </c>
      <c r="C2471">
        <f>8.768/(100)</f>
        <v>8.7680000000000008E-2</v>
      </c>
    </row>
    <row r="2472" spans="1:3" x14ac:dyDescent="0.3">
      <c r="A2472" s="2">
        <v>39727</v>
      </c>
      <c r="B2472">
        <f>9/(100)</f>
        <v>0.09</v>
      </c>
      <c r="C2472">
        <f>8.53/(100)</f>
        <v>8.5299999999999987E-2</v>
      </c>
    </row>
    <row r="2473" spans="1:3" x14ac:dyDescent="0.3">
      <c r="A2473" s="2">
        <v>39728</v>
      </c>
      <c r="B2473">
        <f>9/(100)</f>
        <v>0.09</v>
      </c>
      <c r="C2473">
        <f>8.295/(100)</f>
        <v>8.2949999999999996E-2</v>
      </c>
    </row>
    <row r="2474" spans="1:3" x14ac:dyDescent="0.3">
      <c r="A2474" s="2">
        <v>39729</v>
      </c>
      <c r="B2474">
        <f>9/(100)</f>
        <v>0.09</v>
      </c>
      <c r="C2474">
        <f>8.286/(100)</f>
        <v>8.2859999999999989E-2</v>
      </c>
    </row>
    <row r="2475" spans="1:3" x14ac:dyDescent="0.3">
      <c r="A2475" s="2">
        <v>39730</v>
      </c>
      <c r="B2475">
        <f>9/(100)</f>
        <v>0.09</v>
      </c>
      <c r="C2475">
        <f>8.286/(100)</f>
        <v>8.2859999999999989E-2</v>
      </c>
    </row>
    <row r="2476" spans="1:3" x14ac:dyDescent="0.3">
      <c r="A2476" s="2">
        <v>39731</v>
      </c>
      <c r="B2476">
        <f>9/(100)</f>
        <v>0.09</v>
      </c>
      <c r="C2476">
        <f>7.936/(100)</f>
        <v>7.936E-2</v>
      </c>
    </row>
    <row r="2477" spans="1:3" x14ac:dyDescent="0.3">
      <c r="A2477" s="2">
        <v>39732</v>
      </c>
      <c r="B2477">
        <f>9/(100)</f>
        <v>0.09</v>
      </c>
      <c r="C2477">
        <f>7.936/(100)</f>
        <v>7.936E-2</v>
      </c>
    </row>
    <row r="2478" spans="1:3" x14ac:dyDescent="0.3">
      <c r="A2478" s="2">
        <v>39733</v>
      </c>
      <c r="B2478">
        <f>9/(100)</f>
        <v>0.09</v>
      </c>
      <c r="C2478">
        <f>7.936/(100)</f>
        <v>7.936E-2</v>
      </c>
    </row>
    <row r="2479" spans="1:3" x14ac:dyDescent="0.3">
      <c r="A2479" s="2">
        <v>39734</v>
      </c>
      <c r="B2479">
        <f>9/(100)</f>
        <v>0.09</v>
      </c>
      <c r="C2479">
        <f>7.739/(100)</f>
        <v>7.739E-2</v>
      </c>
    </row>
    <row r="2480" spans="1:3" x14ac:dyDescent="0.3">
      <c r="A2480" s="2">
        <v>39735</v>
      </c>
      <c r="B2480">
        <f>9/(100)</f>
        <v>0.09</v>
      </c>
      <c r="C2480">
        <f>8.174/(100)</f>
        <v>8.1739999999999993E-2</v>
      </c>
    </row>
    <row r="2481" spans="1:3" x14ac:dyDescent="0.3">
      <c r="A2481" s="2">
        <v>39736</v>
      </c>
      <c r="B2481">
        <f>9/(100)</f>
        <v>0.09</v>
      </c>
      <c r="C2481">
        <f>8.108/(100)</f>
        <v>8.1079999999999999E-2</v>
      </c>
    </row>
    <row r="2482" spans="1:3" x14ac:dyDescent="0.3">
      <c r="A2482" s="2">
        <v>39737</v>
      </c>
      <c r="B2482">
        <f>9/(100)</f>
        <v>0.09</v>
      </c>
      <c r="C2482">
        <f>7.669/(100)</f>
        <v>7.6689999999999994E-2</v>
      </c>
    </row>
    <row r="2483" spans="1:3" x14ac:dyDescent="0.3">
      <c r="A2483" s="2">
        <v>39738</v>
      </c>
      <c r="B2483">
        <f>9/(100)</f>
        <v>0.09</v>
      </c>
      <c r="C2483">
        <f>7.655/(100)</f>
        <v>7.6550000000000007E-2</v>
      </c>
    </row>
    <row r="2484" spans="1:3" x14ac:dyDescent="0.3">
      <c r="A2484" s="2">
        <v>39739</v>
      </c>
      <c r="B2484">
        <f>9/(100)</f>
        <v>0.09</v>
      </c>
      <c r="C2484">
        <f>7.655/(100)</f>
        <v>7.6550000000000007E-2</v>
      </c>
    </row>
    <row r="2485" spans="1:3" x14ac:dyDescent="0.3">
      <c r="A2485" s="2">
        <v>39740</v>
      </c>
      <c r="B2485">
        <f>9/(100)</f>
        <v>0.09</v>
      </c>
      <c r="C2485">
        <f>7.655/(100)</f>
        <v>7.6550000000000007E-2</v>
      </c>
    </row>
    <row r="2486" spans="1:3" x14ac:dyDescent="0.3">
      <c r="A2486" s="2">
        <v>39741</v>
      </c>
      <c r="B2486">
        <f>8/(100)</f>
        <v>0.08</v>
      </c>
      <c r="C2486">
        <f>7.462/(100)</f>
        <v>7.4619999999999992E-2</v>
      </c>
    </row>
    <row r="2487" spans="1:3" x14ac:dyDescent="0.3">
      <c r="A2487" s="2">
        <v>39742</v>
      </c>
      <c r="B2487">
        <f>8/(100)</f>
        <v>0.08</v>
      </c>
      <c r="C2487">
        <f>7.462/(100)</f>
        <v>7.4619999999999992E-2</v>
      </c>
    </row>
    <row r="2488" spans="1:3" x14ac:dyDescent="0.3">
      <c r="A2488" s="2">
        <v>39743</v>
      </c>
      <c r="B2488">
        <f>8/(100)</f>
        <v>0.08</v>
      </c>
      <c r="C2488">
        <f>7.422/(100)</f>
        <v>7.4219999999999994E-2</v>
      </c>
    </row>
    <row r="2489" spans="1:3" x14ac:dyDescent="0.3">
      <c r="A2489" s="2">
        <v>39744</v>
      </c>
      <c r="B2489">
        <f>8/(100)</f>
        <v>0.08</v>
      </c>
      <c r="C2489">
        <f>7.272/(100)</f>
        <v>7.2720000000000007E-2</v>
      </c>
    </row>
    <row r="2490" spans="1:3" x14ac:dyDescent="0.3">
      <c r="A2490" s="2">
        <v>39745</v>
      </c>
      <c r="B2490">
        <f>8/(100)</f>
        <v>0.08</v>
      </c>
      <c r="C2490">
        <f>7.367/(100)</f>
        <v>7.3669999999999999E-2</v>
      </c>
    </row>
    <row r="2491" spans="1:3" x14ac:dyDescent="0.3">
      <c r="A2491" s="2">
        <v>39746</v>
      </c>
      <c r="B2491">
        <f>8/(100)</f>
        <v>0.08</v>
      </c>
      <c r="C2491">
        <f>7.367/(100)</f>
        <v>7.3669999999999999E-2</v>
      </c>
    </row>
    <row r="2492" spans="1:3" x14ac:dyDescent="0.3">
      <c r="A2492" s="2">
        <v>39747</v>
      </c>
      <c r="B2492">
        <f>8/(100)</f>
        <v>0.08</v>
      </c>
      <c r="C2492">
        <f>7.367/(100)</f>
        <v>7.3669999999999999E-2</v>
      </c>
    </row>
    <row r="2493" spans="1:3" x14ac:dyDescent="0.3">
      <c r="A2493" s="2">
        <v>39748</v>
      </c>
      <c r="B2493">
        <f>8/(100)</f>
        <v>0.08</v>
      </c>
      <c r="C2493">
        <f>7.335/(100)</f>
        <v>7.3349999999999999E-2</v>
      </c>
    </row>
    <row r="2494" spans="1:3" x14ac:dyDescent="0.3">
      <c r="A2494" s="2">
        <v>39749</v>
      </c>
      <c r="B2494">
        <f>8/(100)</f>
        <v>0.08</v>
      </c>
      <c r="C2494">
        <f>7.335/(100)</f>
        <v>7.3349999999999999E-2</v>
      </c>
    </row>
    <row r="2495" spans="1:3" x14ac:dyDescent="0.3">
      <c r="A2495" s="2">
        <v>39750</v>
      </c>
      <c r="B2495">
        <f>8/(100)</f>
        <v>0.08</v>
      </c>
      <c r="C2495">
        <f>7.31/(100)</f>
        <v>7.3099999999999998E-2</v>
      </c>
    </row>
    <row r="2496" spans="1:3" x14ac:dyDescent="0.3">
      <c r="A2496" s="2">
        <v>39751</v>
      </c>
      <c r="B2496">
        <f>8/(100)</f>
        <v>0.08</v>
      </c>
      <c r="C2496">
        <f>7.31/(100)</f>
        <v>7.3099999999999998E-2</v>
      </c>
    </row>
    <row r="2497" spans="1:3" x14ac:dyDescent="0.3">
      <c r="A2497" s="2">
        <v>39752</v>
      </c>
      <c r="B2497">
        <f>8/(100)</f>
        <v>0.08</v>
      </c>
      <c r="C2497">
        <f>7.274/(100)</f>
        <v>7.2739999999999999E-2</v>
      </c>
    </row>
    <row r="2498" spans="1:3" x14ac:dyDescent="0.3">
      <c r="A2498" s="2">
        <v>39753</v>
      </c>
      <c r="B2498">
        <f>8/(100)</f>
        <v>0.08</v>
      </c>
      <c r="C2498">
        <f>7.274/(100)</f>
        <v>7.2739999999999999E-2</v>
      </c>
    </row>
    <row r="2499" spans="1:3" x14ac:dyDescent="0.3">
      <c r="A2499" s="2">
        <v>39754</v>
      </c>
      <c r="B2499">
        <f>8/(100)</f>
        <v>0.08</v>
      </c>
      <c r="C2499">
        <f>7.274/(100)</f>
        <v>7.2739999999999999E-2</v>
      </c>
    </row>
    <row r="2500" spans="1:3" x14ac:dyDescent="0.3">
      <c r="A2500" s="2">
        <v>39755</v>
      </c>
      <c r="B2500">
        <f>7.5/(100)</f>
        <v>7.4999999999999997E-2</v>
      </c>
      <c r="C2500">
        <f>7.347/(100)</f>
        <v>7.3470000000000008E-2</v>
      </c>
    </row>
    <row r="2501" spans="1:3" x14ac:dyDescent="0.3">
      <c r="A2501" s="2">
        <v>39756</v>
      </c>
      <c r="B2501">
        <f>7.5/(100)</f>
        <v>7.4999999999999997E-2</v>
      </c>
      <c r="C2501">
        <f>7.163/(100)</f>
        <v>7.1629999999999999E-2</v>
      </c>
    </row>
    <row r="2502" spans="1:3" x14ac:dyDescent="0.3">
      <c r="A2502" s="2">
        <v>39757</v>
      </c>
      <c r="B2502">
        <f>7.5/(100)</f>
        <v>7.4999999999999997E-2</v>
      </c>
      <c r="C2502">
        <f>7.154/(100)</f>
        <v>7.1539999999999992E-2</v>
      </c>
    </row>
    <row r="2503" spans="1:3" x14ac:dyDescent="0.3">
      <c r="A2503" s="2">
        <v>39758</v>
      </c>
      <c r="B2503">
        <f>7.5/(100)</f>
        <v>7.4999999999999997E-2</v>
      </c>
      <c r="C2503">
        <f>7.092/(100)</f>
        <v>7.0919999999999997E-2</v>
      </c>
    </row>
    <row r="2504" spans="1:3" x14ac:dyDescent="0.3">
      <c r="A2504" s="2">
        <v>39759</v>
      </c>
      <c r="B2504">
        <f>7.5/(100)</f>
        <v>7.4999999999999997E-2</v>
      </c>
      <c r="C2504">
        <f>7.002/(100)</f>
        <v>7.0019999999999999E-2</v>
      </c>
    </row>
    <row r="2505" spans="1:3" x14ac:dyDescent="0.3">
      <c r="A2505" s="2">
        <v>39760</v>
      </c>
      <c r="B2505">
        <f>7.5/(100)</f>
        <v>7.4999999999999997E-2</v>
      </c>
      <c r="C2505">
        <f>7.002/(100)</f>
        <v>7.0019999999999999E-2</v>
      </c>
    </row>
    <row r="2506" spans="1:3" x14ac:dyDescent="0.3">
      <c r="A2506" s="2">
        <v>39761</v>
      </c>
      <c r="B2506">
        <f>7.5/(100)</f>
        <v>7.4999999999999997E-2</v>
      </c>
      <c r="C2506">
        <f>7.002/(100)</f>
        <v>7.0019999999999999E-2</v>
      </c>
    </row>
    <row r="2507" spans="1:3" x14ac:dyDescent="0.3">
      <c r="A2507" s="2">
        <v>39762</v>
      </c>
      <c r="B2507">
        <f>7.5/(100)</f>
        <v>7.4999999999999997E-2</v>
      </c>
      <c r="C2507">
        <f>7.092/(100)</f>
        <v>7.0919999999999997E-2</v>
      </c>
    </row>
    <row r="2508" spans="1:3" x14ac:dyDescent="0.3">
      <c r="A2508" s="2">
        <v>39763</v>
      </c>
      <c r="B2508">
        <f>7.5/(100)</f>
        <v>7.4999999999999997E-2</v>
      </c>
      <c r="C2508">
        <f>6.956/(100)</f>
        <v>6.9560000000000011E-2</v>
      </c>
    </row>
    <row r="2509" spans="1:3" x14ac:dyDescent="0.3">
      <c r="A2509" s="2">
        <v>39764</v>
      </c>
      <c r="B2509">
        <f>7.5/(100)</f>
        <v>7.4999999999999997E-2</v>
      </c>
      <c r="C2509">
        <f>6.972/(100)</f>
        <v>6.9720000000000004E-2</v>
      </c>
    </row>
    <row r="2510" spans="1:3" x14ac:dyDescent="0.3">
      <c r="A2510" s="2">
        <v>39765</v>
      </c>
      <c r="B2510">
        <f>7.5/(100)</f>
        <v>7.4999999999999997E-2</v>
      </c>
      <c r="C2510">
        <f>6.972/(100)</f>
        <v>6.9720000000000004E-2</v>
      </c>
    </row>
    <row r="2511" spans="1:3" x14ac:dyDescent="0.3">
      <c r="A2511" s="2">
        <v>39766</v>
      </c>
      <c r="B2511">
        <f>7.5/(100)</f>
        <v>7.4999999999999997E-2</v>
      </c>
      <c r="C2511">
        <f>6.905/(100)</f>
        <v>6.905E-2</v>
      </c>
    </row>
    <row r="2512" spans="1:3" x14ac:dyDescent="0.3">
      <c r="A2512" s="2">
        <v>39767</v>
      </c>
      <c r="B2512">
        <f>7.5/(100)</f>
        <v>7.4999999999999997E-2</v>
      </c>
      <c r="C2512">
        <f>6.905/(100)</f>
        <v>6.905E-2</v>
      </c>
    </row>
    <row r="2513" spans="1:3" x14ac:dyDescent="0.3">
      <c r="A2513" s="2">
        <v>39768</v>
      </c>
      <c r="B2513">
        <f>7.5/(100)</f>
        <v>7.4999999999999997E-2</v>
      </c>
      <c r="C2513">
        <f>6.905/(100)</f>
        <v>6.905E-2</v>
      </c>
    </row>
    <row r="2514" spans="1:3" x14ac:dyDescent="0.3">
      <c r="A2514" s="2">
        <v>39769</v>
      </c>
      <c r="B2514">
        <f>7.5/(100)</f>
        <v>7.4999999999999997E-2</v>
      </c>
      <c r="C2514">
        <f>7.01/(100)</f>
        <v>7.0099999999999996E-2</v>
      </c>
    </row>
    <row r="2515" spans="1:3" x14ac:dyDescent="0.3">
      <c r="A2515" s="2">
        <v>39770</v>
      </c>
      <c r="B2515">
        <f>7.5/(100)</f>
        <v>7.4999999999999997E-2</v>
      </c>
      <c r="C2515">
        <f>7.003/(100)</f>
        <v>7.0029999999999995E-2</v>
      </c>
    </row>
    <row r="2516" spans="1:3" x14ac:dyDescent="0.3">
      <c r="A2516" s="2">
        <v>39771</v>
      </c>
      <c r="B2516">
        <f>7.5/(100)</f>
        <v>7.4999999999999997E-2</v>
      </c>
      <c r="C2516">
        <f>6.977/(100)</f>
        <v>6.9769999999999999E-2</v>
      </c>
    </row>
    <row r="2517" spans="1:3" x14ac:dyDescent="0.3">
      <c r="A2517" s="2">
        <v>39772</v>
      </c>
      <c r="B2517">
        <f>7.5/(100)</f>
        <v>7.4999999999999997E-2</v>
      </c>
      <c r="C2517">
        <f>6.883/(100)</f>
        <v>6.8830000000000002E-2</v>
      </c>
    </row>
    <row r="2518" spans="1:3" x14ac:dyDescent="0.3">
      <c r="A2518" s="2">
        <v>39773</v>
      </c>
      <c r="B2518">
        <f>7.5/(100)</f>
        <v>7.4999999999999997E-2</v>
      </c>
      <c r="C2518">
        <f>6.854/(100)</f>
        <v>6.8540000000000004E-2</v>
      </c>
    </row>
    <row r="2519" spans="1:3" x14ac:dyDescent="0.3">
      <c r="A2519" s="2">
        <v>39774</v>
      </c>
      <c r="B2519">
        <f>7.5/(100)</f>
        <v>7.4999999999999997E-2</v>
      </c>
      <c r="C2519">
        <f>6.854/(100)</f>
        <v>6.8540000000000004E-2</v>
      </c>
    </row>
    <row r="2520" spans="1:3" x14ac:dyDescent="0.3">
      <c r="A2520" s="2">
        <v>39775</v>
      </c>
      <c r="B2520">
        <f>7.5/(100)</f>
        <v>7.4999999999999997E-2</v>
      </c>
      <c r="C2520">
        <f>6.854/(100)</f>
        <v>6.8540000000000004E-2</v>
      </c>
    </row>
    <row r="2521" spans="1:3" x14ac:dyDescent="0.3">
      <c r="A2521" s="2">
        <v>39776</v>
      </c>
      <c r="B2521">
        <f>7.5/(100)</f>
        <v>7.4999999999999997E-2</v>
      </c>
      <c r="C2521">
        <f>6.914/(100)</f>
        <v>6.9139999999999993E-2</v>
      </c>
    </row>
    <row r="2522" spans="1:3" x14ac:dyDescent="0.3">
      <c r="A2522" s="2">
        <v>39777</v>
      </c>
      <c r="B2522">
        <f>7.5/(100)</f>
        <v>7.4999999999999997E-2</v>
      </c>
      <c r="C2522">
        <f>6.966/(100)</f>
        <v>6.966E-2</v>
      </c>
    </row>
    <row r="2523" spans="1:3" x14ac:dyDescent="0.3">
      <c r="A2523" s="2">
        <v>39778</v>
      </c>
      <c r="B2523">
        <f>7.5/(100)</f>
        <v>7.4999999999999997E-2</v>
      </c>
      <c r="C2523">
        <f>7.055/(100)</f>
        <v>7.0550000000000002E-2</v>
      </c>
    </row>
    <row r="2524" spans="1:3" x14ac:dyDescent="0.3">
      <c r="A2524" s="2">
        <v>39779</v>
      </c>
      <c r="B2524">
        <f>7.5/(100)</f>
        <v>7.4999999999999997E-2</v>
      </c>
      <c r="C2524">
        <f>7.055/(100)</f>
        <v>7.0550000000000002E-2</v>
      </c>
    </row>
    <row r="2525" spans="1:3" x14ac:dyDescent="0.3">
      <c r="A2525" s="2">
        <v>39780</v>
      </c>
      <c r="B2525">
        <f>7.5/(100)</f>
        <v>7.4999999999999997E-2</v>
      </c>
      <c r="C2525">
        <f>7.093/(100)</f>
        <v>7.0929999999999993E-2</v>
      </c>
    </row>
    <row r="2526" spans="1:3" x14ac:dyDescent="0.3">
      <c r="A2526" s="2">
        <v>39781</v>
      </c>
      <c r="B2526">
        <f>7.5/(100)</f>
        <v>7.4999999999999997E-2</v>
      </c>
      <c r="C2526">
        <f>7.093/(100)</f>
        <v>7.0929999999999993E-2</v>
      </c>
    </row>
    <row r="2527" spans="1:3" x14ac:dyDescent="0.3">
      <c r="A2527" s="2">
        <v>39782</v>
      </c>
      <c r="B2527">
        <f>7.5/(100)</f>
        <v>7.4999999999999997E-2</v>
      </c>
      <c r="C2527">
        <f>7.093/(100)</f>
        <v>7.0929999999999993E-2</v>
      </c>
    </row>
    <row r="2528" spans="1:3" x14ac:dyDescent="0.3">
      <c r="A2528" s="2">
        <v>39783</v>
      </c>
      <c r="B2528">
        <f>7.5/(100)</f>
        <v>7.4999999999999997E-2</v>
      </c>
      <c r="C2528">
        <f>7.067/(100)</f>
        <v>7.0669999999999997E-2</v>
      </c>
    </row>
    <row r="2529" spans="1:3" x14ac:dyDescent="0.3">
      <c r="A2529" s="2">
        <v>39784</v>
      </c>
      <c r="B2529">
        <f>7.5/(100)</f>
        <v>7.4999999999999997E-2</v>
      </c>
      <c r="C2529">
        <f>6.938/(100)</f>
        <v>6.9379999999999997E-2</v>
      </c>
    </row>
    <row r="2530" spans="1:3" x14ac:dyDescent="0.3">
      <c r="A2530" s="2">
        <v>39785</v>
      </c>
      <c r="B2530">
        <f>7.5/(100)</f>
        <v>7.4999999999999997E-2</v>
      </c>
      <c r="C2530">
        <f>6.634/(100)</f>
        <v>6.634000000000001E-2</v>
      </c>
    </row>
    <row r="2531" spans="1:3" x14ac:dyDescent="0.3">
      <c r="A2531" s="2">
        <v>39786</v>
      </c>
      <c r="B2531">
        <f>7.5/(100)</f>
        <v>7.4999999999999997E-2</v>
      </c>
      <c r="C2531">
        <f>6.516/(100)</f>
        <v>6.5159999999999996E-2</v>
      </c>
    </row>
    <row r="2532" spans="1:3" x14ac:dyDescent="0.3">
      <c r="A2532" s="2">
        <v>39787</v>
      </c>
      <c r="B2532">
        <f>7.5/(100)</f>
        <v>7.4999999999999997E-2</v>
      </c>
      <c r="C2532">
        <f>6.403/(100)</f>
        <v>6.402999999999999E-2</v>
      </c>
    </row>
    <row r="2533" spans="1:3" x14ac:dyDescent="0.3">
      <c r="A2533" s="2">
        <v>39788</v>
      </c>
      <c r="B2533">
        <f>7.5/(100)</f>
        <v>7.4999999999999997E-2</v>
      </c>
      <c r="C2533">
        <f>6.403/(100)</f>
        <v>6.402999999999999E-2</v>
      </c>
    </row>
    <row r="2534" spans="1:3" x14ac:dyDescent="0.3">
      <c r="A2534" s="2">
        <v>39789</v>
      </c>
      <c r="B2534">
        <f>7.5/(100)</f>
        <v>7.4999999999999997E-2</v>
      </c>
      <c r="C2534">
        <f>6.403/(100)</f>
        <v>6.402999999999999E-2</v>
      </c>
    </row>
    <row r="2535" spans="1:3" x14ac:dyDescent="0.3">
      <c r="A2535" s="2">
        <v>39790</v>
      </c>
      <c r="B2535">
        <f>6.5/(100)</f>
        <v>6.5000000000000002E-2</v>
      </c>
      <c r="C2535">
        <f>6.085/(100)</f>
        <v>6.0850000000000001E-2</v>
      </c>
    </row>
    <row r="2536" spans="1:3" x14ac:dyDescent="0.3">
      <c r="A2536" s="2">
        <v>39791</v>
      </c>
      <c r="B2536">
        <f>6.5/(100)</f>
        <v>6.5000000000000002E-2</v>
      </c>
      <c r="C2536">
        <f>6.085/(100)</f>
        <v>6.0850000000000001E-2</v>
      </c>
    </row>
    <row r="2537" spans="1:3" x14ac:dyDescent="0.3">
      <c r="A2537" s="2">
        <v>39792</v>
      </c>
      <c r="B2537">
        <f>6.5/(100)</f>
        <v>6.5000000000000002E-2</v>
      </c>
      <c r="C2537">
        <f>5.807/(100)</f>
        <v>5.8070000000000004E-2</v>
      </c>
    </row>
    <row r="2538" spans="1:3" x14ac:dyDescent="0.3">
      <c r="A2538" s="2">
        <v>39793</v>
      </c>
      <c r="B2538">
        <f>6.5/(100)</f>
        <v>6.5000000000000002E-2</v>
      </c>
      <c r="C2538">
        <f>5.657/(100)</f>
        <v>5.6570000000000002E-2</v>
      </c>
    </row>
    <row r="2539" spans="1:3" x14ac:dyDescent="0.3">
      <c r="A2539" s="2">
        <v>39794</v>
      </c>
      <c r="B2539">
        <f>6.5/(100)</f>
        <v>6.5000000000000002E-2</v>
      </c>
      <c r="C2539">
        <f>5.382/(100)</f>
        <v>5.382E-2</v>
      </c>
    </row>
    <row r="2540" spans="1:3" x14ac:dyDescent="0.3">
      <c r="A2540" s="2">
        <v>39795</v>
      </c>
      <c r="B2540">
        <f>6.5/(100)</f>
        <v>6.5000000000000002E-2</v>
      </c>
      <c r="C2540">
        <f>5.382/(100)</f>
        <v>5.382E-2</v>
      </c>
    </row>
    <row r="2541" spans="1:3" x14ac:dyDescent="0.3">
      <c r="A2541" s="2">
        <v>39796</v>
      </c>
      <c r="B2541">
        <f>6.5/(100)</f>
        <v>6.5000000000000002E-2</v>
      </c>
      <c r="C2541">
        <f>5.382/(100)</f>
        <v>5.382E-2</v>
      </c>
    </row>
    <row r="2542" spans="1:3" x14ac:dyDescent="0.3">
      <c r="A2542" s="2">
        <v>39797</v>
      </c>
      <c r="B2542">
        <f>6.5/(100)</f>
        <v>6.5000000000000002E-2</v>
      </c>
      <c r="C2542">
        <f>5.521/(100)</f>
        <v>5.5210000000000002E-2</v>
      </c>
    </row>
    <row r="2543" spans="1:3" x14ac:dyDescent="0.3">
      <c r="A2543" s="2">
        <v>39798</v>
      </c>
      <c r="B2543">
        <f>6.5/(100)</f>
        <v>6.5000000000000002E-2</v>
      </c>
      <c r="C2543">
        <f>5.486/(100)</f>
        <v>5.4859999999999999E-2</v>
      </c>
    </row>
    <row r="2544" spans="1:3" x14ac:dyDescent="0.3">
      <c r="A2544" s="2">
        <v>39799</v>
      </c>
      <c r="B2544">
        <f>6.5/(100)</f>
        <v>6.5000000000000002E-2</v>
      </c>
      <c r="C2544">
        <f>5.469/(100)</f>
        <v>5.4690000000000003E-2</v>
      </c>
    </row>
    <row r="2545" spans="1:3" x14ac:dyDescent="0.3">
      <c r="A2545" s="2">
        <v>39800</v>
      </c>
      <c r="B2545">
        <f>6.5/(100)</f>
        <v>6.5000000000000002E-2</v>
      </c>
      <c r="C2545">
        <f>5.395/(100)</f>
        <v>5.3949999999999998E-2</v>
      </c>
    </row>
    <row r="2546" spans="1:3" x14ac:dyDescent="0.3">
      <c r="A2546" s="2">
        <v>39801</v>
      </c>
      <c r="B2546">
        <f>6.5/(100)</f>
        <v>6.5000000000000002E-2</v>
      </c>
      <c r="C2546">
        <f>5.318/(100)</f>
        <v>5.3179999999999998E-2</v>
      </c>
    </row>
    <row r="2547" spans="1:3" x14ac:dyDescent="0.3">
      <c r="A2547" s="2">
        <v>39802</v>
      </c>
      <c r="B2547">
        <f>6.5/(100)</f>
        <v>6.5000000000000002E-2</v>
      </c>
      <c r="C2547">
        <f>5.318/(100)</f>
        <v>5.3179999999999998E-2</v>
      </c>
    </row>
    <row r="2548" spans="1:3" x14ac:dyDescent="0.3">
      <c r="A2548" s="2">
        <v>39803</v>
      </c>
      <c r="B2548">
        <f>6.5/(100)</f>
        <v>6.5000000000000002E-2</v>
      </c>
      <c r="C2548">
        <f>5.318/(100)</f>
        <v>5.3179999999999998E-2</v>
      </c>
    </row>
    <row r="2549" spans="1:3" x14ac:dyDescent="0.3">
      <c r="A2549" s="2">
        <v>39804</v>
      </c>
      <c r="B2549">
        <f>6.5/(100)</f>
        <v>6.5000000000000002E-2</v>
      </c>
      <c r="C2549">
        <f>5.371/(100)</f>
        <v>5.3710000000000008E-2</v>
      </c>
    </row>
    <row r="2550" spans="1:3" x14ac:dyDescent="0.3">
      <c r="A2550" s="2">
        <v>39805</v>
      </c>
      <c r="B2550">
        <f>6.5/(100)</f>
        <v>6.5000000000000002E-2</v>
      </c>
      <c r="C2550">
        <f>6.383/(100)</f>
        <v>6.3829999999999998E-2</v>
      </c>
    </row>
    <row r="2551" spans="1:3" x14ac:dyDescent="0.3">
      <c r="A2551" s="2">
        <v>39806</v>
      </c>
      <c r="B2551">
        <f>6.5/(100)</f>
        <v>6.5000000000000002E-2</v>
      </c>
      <c r="C2551">
        <f>5.44/(100)</f>
        <v>5.4400000000000004E-2</v>
      </c>
    </row>
    <row r="2552" spans="1:3" x14ac:dyDescent="0.3">
      <c r="A2552" s="2">
        <v>39807</v>
      </c>
      <c r="B2552">
        <f>6.5/(100)</f>
        <v>6.5000000000000002E-2</v>
      </c>
      <c r="C2552">
        <f>5.44/(100)</f>
        <v>5.4400000000000004E-2</v>
      </c>
    </row>
    <row r="2553" spans="1:3" x14ac:dyDescent="0.3">
      <c r="A2553" s="2">
        <v>39808</v>
      </c>
      <c r="B2553">
        <f>6.5/(100)</f>
        <v>6.5000000000000002E-2</v>
      </c>
      <c r="C2553">
        <f>5.258/(100)</f>
        <v>5.2580000000000002E-2</v>
      </c>
    </row>
    <row r="2554" spans="1:3" x14ac:dyDescent="0.3">
      <c r="A2554" s="2">
        <v>39809</v>
      </c>
      <c r="B2554">
        <f>6.5/(100)</f>
        <v>6.5000000000000002E-2</v>
      </c>
      <c r="C2554">
        <f>5.258/(100)</f>
        <v>5.2580000000000002E-2</v>
      </c>
    </row>
    <row r="2555" spans="1:3" x14ac:dyDescent="0.3">
      <c r="A2555" s="2">
        <v>39810</v>
      </c>
      <c r="B2555">
        <f>6.5/(100)</f>
        <v>6.5000000000000002E-2</v>
      </c>
      <c r="C2555">
        <f>5.258/(100)</f>
        <v>5.2580000000000002E-2</v>
      </c>
    </row>
    <row r="2556" spans="1:3" x14ac:dyDescent="0.3">
      <c r="A2556" s="2">
        <v>39811</v>
      </c>
      <c r="B2556">
        <f>6.5/(100)</f>
        <v>6.5000000000000002E-2</v>
      </c>
      <c r="C2556">
        <f>5.061/(100)</f>
        <v>5.0610000000000002E-2</v>
      </c>
    </row>
    <row r="2557" spans="1:3" x14ac:dyDescent="0.3">
      <c r="A2557" s="2">
        <v>39812</v>
      </c>
      <c r="B2557">
        <f>6.5/(100)</f>
        <v>6.5000000000000002E-2</v>
      </c>
      <c r="C2557">
        <f>5.089/(100)</f>
        <v>5.0890000000000005E-2</v>
      </c>
    </row>
    <row r="2558" spans="1:3" x14ac:dyDescent="0.3">
      <c r="A2558" s="2">
        <v>39813</v>
      </c>
      <c r="B2558">
        <f>6.5/(100)</f>
        <v>6.5000000000000002E-2</v>
      </c>
      <c r="C2558">
        <f>5.015/(100)</f>
        <v>5.015E-2</v>
      </c>
    </row>
    <row r="2559" spans="1:3" x14ac:dyDescent="0.3">
      <c r="A2559" s="2">
        <v>39814</v>
      </c>
      <c r="B2559">
        <f>6.5/(100)</f>
        <v>6.5000000000000002E-2</v>
      </c>
      <c r="C2559">
        <f>4.795/(100)</f>
        <v>4.795E-2</v>
      </c>
    </row>
    <row r="2560" spans="1:3" x14ac:dyDescent="0.3">
      <c r="A2560" s="2">
        <v>39815</v>
      </c>
      <c r="B2560">
        <f>5.5/(100)</f>
        <v>5.5E-2</v>
      </c>
      <c r="C2560">
        <f>4.752/(100)</f>
        <v>4.752E-2</v>
      </c>
    </row>
    <row r="2561" spans="1:3" x14ac:dyDescent="0.3">
      <c r="A2561" s="2">
        <v>39816</v>
      </c>
      <c r="B2561">
        <f>5.5/(100)</f>
        <v>5.5E-2</v>
      </c>
      <c r="C2561">
        <f>4.752/(100)</f>
        <v>4.752E-2</v>
      </c>
    </row>
    <row r="2562" spans="1:3" x14ac:dyDescent="0.3">
      <c r="A2562" s="2">
        <v>39817</v>
      </c>
      <c r="B2562">
        <f>5.5/(100)</f>
        <v>5.5E-2</v>
      </c>
      <c r="C2562">
        <f>4.752/(100)</f>
        <v>4.752E-2</v>
      </c>
    </row>
    <row r="2563" spans="1:3" x14ac:dyDescent="0.3">
      <c r="A2563" s="2">
        <v>39818</v>
      </c>
      <c r="B2563">
        <f>5.5/(100)</f>
        <v>5.5E-2</v>
      </c>
      <c r="C2563">
        <f>4.458/(100)</f>
        <v>4.4580000000000002E-2</v>
      </c>
    </row>
    <row r="2564" spans="1:3" x14ac:dyDescent="0.3">
      <c r="A2564" s="2">
        <v>39819</v>
      </c>
      <c r="B2564">
        <f>5.5/(100)</f>
        <v>5.5E-2</v>
      </c>
      <c r="C2564">
        <f>4.438/(100)</f>
        <v>4.4379999999999996E-2</v>
      </c>
    </row>
    <row r="2565" spans="1:3" x14ac:dyDescent="0.3">
      <c r="A2565" s="2">
        <v>39820</v>
      </c>
      <c r="B2565">
        <f>5.5/(100)</f>
        <v>5.5E-2</v>
      </c>
      <c r="C2565">
        <f>4.521/(100)</f>
        <v>4.521E-2</v>
      </c>
    </row>
    <row r="2566" spans="1:3" x14ac:dyDescent="0.3">
      <c r="A2566" s="2">
        <v>39821</v>
      </c>
      <c r="B2566">
        <f>5.5/(100)</f>
        <v>5.5E-2</v>
      </c>
      <c r="C2566">
        <f>4.521/(100)</f>
        <v>4.521E-2</v>
      </c>
    </row>
    <row r="2567" spans="1:3" x14ac:dyDescent="0.3">
      <c r="A2567" s="2">
        <v>39822</v>
      </c>
      <c r="B2567">
        <f>5.5/(100)</f>
        <v>5.5E-2</v>
      </c>
      <c r="C2567">
        <f>4.634/(100)</f>
        <v>4.6340000000000006E-2</v>
      </c>
    </row>
    <row r="2568" spans="1:3" x14ac:dyDescent="0.3">
      <c r="A2568" s="2">
        <v>39823</v>
      </c>
      <c r="B2568">
        <f>5.5/(100)</f>
        <v>5.5E-2</v>
      </c>
      <c r="C2568">
        <f>4.634/(100)</f>
        <v>4.6340000000000006E-2</v>
      </c>
    </row>
    <row r="2569" spans="1:3" x14ac:dyDescent="0.3">
      <c r="A2569" s="2">
        <v>39824</v>
      </c>
      <c r="B2569">
        <f>5.5/(100)</f>
        <v>5.5E-2</v>
      </c>
      <c r="C2569">
        <f>4.634/(100)</f>
        <v>4.6340000000000006E-2</v>
      </c>
    </row>
    <row r="2570" spans="1:3" x14ac:dyDescent="0.3">
      <c r="A2570" s="2">
        <v>39825</v>
      </c>
      <c r="B2570">
        <f>5.5/(100)</f>
        <v>5.5E-2</v>
      </c>
      <c r="C2570">
        <f>4.705/(100)</f>
        <v>4.7050000000000002E-2</v>
      </c>
    </row>
    <row r="2571" spans="1:3" x14ac:dyDescent="0.3">
      <c r="A2571" s="2">
        <v>39826</v>
      </c>
      <c r="B2571">
        <f>5.5/(100)</f>
        <v>5.5E-2</v>
      </c>
      <c r="C2571">
        <f>4.627/(100)</f>
        <v>4.6269999999999999E-2</v>
      </c>
    </row>
    <row r="2572" spans="1:3" x14ac:dyDescent="0.3">
      <c r="A2572" s="2">
        <v>39827</v>
      </c>
      <c r="B2572">
        <f>5.5/(100)</f>
        <v>5.5E-2</v>
      </c>
      <c r="C2572">
        <f>4.547/(100)</f>
        <v>4.5469999999999997E-2</v>
      </c>
    </row>
    <row r="2573" spans="1:3" x14ac:dyDescent="0.3">
      <c r="A2573" s="2">
        <v>39828</v>
      </c>
      <c r="B2573">
        <f>5.5/(100)</f>
        <v>5.5E-2</v>
      </c>
      <c r="C2573">
        <f>4.59/(100)</f>
        <v>4.5899999999999996E-2</v>
      </c>
    </row>
    <row r="2574" spans="1:3" x14ac:dyDescent="0.3">
      <c r="A2574" s="2">
        <v>39829</v>
      </c>
      <c r="B2574">
        <f>5.5/(100)</f>
        <v>5.5E-2</v>
      </c>
      <c r="C2574">
        <f>4.578/(100)</f>
        <v>4.5780000000000001E-2</v>
      </c>
    </row>
    <row r="2575" spans="1:3" x14ac:dyDescent="0.3">
      <c r="A2575" s="2">
        <v>39830</v>
      </c>
      <c r="B2575">
        <f>5.5/(100)</f>
        <v>5.5E-2</v>
      </c>
      <c r="C2575">
        <f>4.578/(100)</f>
        <v>4.5780000000000001E-2</v>
      </c>
    </row>
    <row r="2576" spans="1:3" x14ac:dyDescent="0.3">
      <c r="A2576" s="2">
        <v>39831</v>
      </c>
      <c r="B2576">
        <f>5.5/(100)</f>
        <v>5.5E-2</v>
      </c>
      <c r="C2576">
        <f>4.578/(100)</f>
        <v>4.5780000000000001E-2</v>
      </c>
    </row>
    <row r="2577" spans="1:3" x14ac:dyDescent="0.3">
      <c r="A2577" s="2">
        <v>39832</v>
      </c>
      <c r="B2577">
        <f>5.5/(100)</f>
        <v>5.5E-2</v>
      </c>
      <c r="C2577">
        <f>4.551/(100)</f>
        <v>4.5510000000000002E-2</v>
      </c>
    </row>
    <row r="2578" spans="1:3" x14ac:dyDescent="0.3">
      <c r="A2578" s="2">
        <v>39833</v>
      </c>
      <c r="B2578">
        <f>5.5/(100)</f>
        <v>5.5E-2</v>
      </c>
      <c r="C2578">
        <f>4.558/(100)</f>
        <v>4.5579999999999996E-2</v>
      </c>
    </row>
    <row r="2579" spans="1:3" x14ac:dyDescent="0.3">
      <c r="A2579" s="2">
        <v>39834</v>
      </c>
      <c r="B2579">
        <f>5.5/(100)</f>
        <v>5.5E-2</v>
      </c>
      <c r="C2579">
        <f>4.645/(100)</f>
        <v>4.6449999999999998E-2</v>
      </c>
    </row>
    <row r="2580" spans="1:3" x14ac:dyDescent="0.3">
      <c r="A2580" s="2">
        <v>39835</v>
      </c>
      <c r="B2580">
        <f>5.5/(100)</f>
        <v>5.5E-2</v>
      </c>
      <c r="C2580">
        <f>4.714/(100)</f>
        <v>4.7140000000000001E-2</v>
      </c>
    </row>
    <row r="2581" spans="1:3" x14ac:dyDescent="0.3">
      <c r="A2581" s="2">
        <v>39836</v>
      </c>
      <c r="B2581">
        <f>5.5/(100)</f>
        <v>5.5E-2</v>
      </c>
      <c r="C2581">
        <f>4.661/(100)</f>
        <v>4.6609999999999999E-2</v>
      </c>
    </row>
    <row r="2582" spans="1:3" x14ac:dyDescent="0.3">
      <c r="A2582" s="2">
        <v>39837</v>
      </c>
      <c r="B2582">
        <f>5.5/(100)</f>
        <v>5.5E-2</v>
      </c>
      <c r="C2582">
        <f>4.661/(100)</f>
        <v>4.6609999999999999E-2</v>
      </c>
    </row>
    <row r="2583" spans="1:3" x14ac:dyDescent="0.3">
      <c r="A2583" s="2">
        <v>39838</v>
      </c>
      <c r="B2583">
        <f>5.5/(100)</f>
        <v>5.5E-2</v>
      </c>
      <c r="C2583">
        <f>4.661/(100)</f>
        <v>4.6609999999999999E-2</v>
      </c>
    </row>
    <row r="2584" spans="1:3" x14ac:dyDescent="0.3">
      <c r="A2584" s="2">
        <v>39839</v>
      </c>
      <c r="B2584">
        <f>5.5/(100)</f>
        <v>5.5E-2</v>
      </c>
      <c r="C2584">
        <f>4.661/(100)</f>
        <v>4.6609999999999999E-2</v>
      </c>
    </row>
    <row r="2585" spans="1:3" x14ac:dyDescent="0.3">
      <c r="A2585" s="2">
        <v>39840</v>
      </c>
      <c r="B2585">
        <f>5.5/(100)</f>
        <v>5.5E-2</v>
      </c>
      <c r="C2585">
        <f>4.562/(100)</f>
        <v>4.5620000000000001E-2</v>
      </c>
    </row>
    <row r="2586" spans="1:3" x14ac:dyDescent="0.3">
      <c r="A2586" s="2">
        <v>39841</v>
      </c>
      <c r="B2586">
        <f>5.5/(100)</f>
        <v>5.5E-2</v>
      </c>
      <c r="C2586">
        <f>4.485/(100)</f>
        <v>4.4850000000000001E-2</v>
      </c>
    </row>
    <row r="2587" spans="1:3" x14ac:dyDescent="0.3">
      <c r="A2587" s="2">
        <v>39842</v>
      </c>
      <c r="B2587">
        <f>5.5/(100)</f>
        <v>5.5E-2</v>
      </c>
      <c r="C2587">
        <f>4.681/(100)</f>
        <v>4.6809999999999997E-2</v>
      </c>
    </row>
    <row r="2588" spans="1:3" x14ac:dyDescent="0.3">
      <c r="A2588" s="2">
        <v>39843</v>
      </c>
      <c r="B2588">
        <f>5.5/(100)</f>
        <v>5.5E-2</v>
      </c>
      <c r="C2588">
        <f>4.603/(100)</f>
        <v>4.6029999999999995E-2</v>
      </c>
    </row>
    <row r="2589" spans="1:3" x14ac:dyDescent="0.3">
      <c r="A2589" s="2">
        <v>39844</v>
      </c>
      <c r="B2589">
        <f>5.5/(100)</f>
        <v>5.5E-2</v>
      </c>
      <c r="C2589">
        <f>4.603/(100)</f>
        <v>4.6029999999999995E-2</v>
      </c>
    </row>
    <row r="2590" spans="1:3" x14ac:dyDescent="0.3">
      <c r="A2590" s="2">
        <v>39845</v>
      </c>
      <c r="B2590">
        <f>5.5/(100)</f>
        <v>5.5E-2</v>
      </c>
      <c r="C2590">
        <f>4.603/(100)</f>
        <v>4.6029999999999995E-2</v>
      </c>
    </row>
    <row r="2591" spans="1:3" x14ac:dyDescent="0.3">
      <c r="A2591" s="2">
        <v>39846</v>
      </c>
      <c r="B2591">
        <f>5.5/(100)</f>
        <v>5.5E-2</v>
      </c>
      <c r="C2591">
        <f>4.609/(100)</f>
        <v>4.6089999999999999E-2</v>
      </c>
    </row>
    <row r="2592" spans="1:3" x14ac:dyDescent="0.3">
      <c r="A2592" s="2">
        <v>39847</v>
      </c>
      <c r="B2592">
        <f>5.5/(100)</f>
        <v>5.5E-2</v>
      </c>
      <c r="C2592">
        <f>4.592/(100)</f>
        <v>4.5919999999999996E-2</v>
      </c>
    </row>
    <row r="2593" spans="1:3" x14ac:dyDescent="0.3">
      <c r="A2593" s="2">
        <v>39848</v>
      </c>
      <c r="B2593">
        <f>5.5/(100)</f>
        <v>5.5E-2</v>
      </c>
      <c r="C2593">
        <f>4.586/(100)</f>
        <v>4.5860000000000005E-2</v>
      </c>
    </row>
    <row r="2594" spans="1:3" x14ac:dyDescent="0.3">
      <c r="A2594" s="2">
        <v>39849</v>
      </c>
      <c r="B2594">
        <f>5.5/(100)</f>
        <v>5.5E-2</v>
      </c>
      <c r="C2594">
        <f>4.586/(100)</f>
        <v>4.5860000000000005E-2</v>
      </c>
    </row>
    <row r="2595" spans="1:3" x14ac:dyDescent="0.3">
      <c r="A2595" s="2">
        <v>39850</v>
      </c>
      <c r="B2595">
        <f>5.5/(100)</f>
        <v>5.5E-2</v>
      </c>
      <c r="C2595">
        <f>4.557/(100)</f>
        <v>4.5570000000000006E-2</v>
      </c>
    </row>
    <row r="2596" spans="1:3" x14ac:dyDescent="0.3">
      <c r="A2596" s="2">
        <v>39851</v>
      </c>
      <c r="B2596">
        <f>5.5/(100)</f>
        <v>5.5E-2</v>
      </c>
      <c r="C2596">
        <f>4.557/(100)</f>
        <v>4.5570000000000006E-2</v>
      </c>
    </row>
    <row r="2597" spans="1:3" x14ac:dyDescent="0.3">
      <c r="A2597" s="2">
        <v>39852</v>
      </c>
      <c r="B2597">
        <f>5.5/(100)</f>
        <v>5.5E-2</v>
      </c>
      <c r="C2597">
        <f>4.557/(100)</f>
        <v>4.5570000000000006E-2</v>
      </c>
    </row>
    <row r="2598" spans="1:3" x14ac:dyDescent="0.3">
      <c r="A2598" s="2">
        <v>39853</v>
      </c>
      <c r="B2598">
        <f>5.5/(100)</f>
        <v>5.5E-2</v>
      </c>
      <c r="C2598">
        <f>4.557/(100)</f>
        <v>4.5570000000000006E-2</v>
      </c>
    </row>
    <row r="2599" spans="1:3" x14ac:dyDescent="0.3">
      <c r="A2599" s="2">
        <v>39854</v>
      </c>
      <c r="B2599">
        <f>5.5/(100)</f>
        <v>5.5E-2</v>
      </c>
      <c r="C2599">
        <f>4.6/(100)</f>
        <v>4.5999999999999999E-2</v>
      </c>
    </row>
    <row r="2600" spans="1:3" x14ac:dyDescent="0.3">
      <c r="A2600" s="2">
        <v>39855</v>
      </c>
      <c r="B2600">
        <f>5.5/(100)</f>
        <v>5.5E-2</v>
      </c>
      <c r="C2600">
        <f>4.674/(100)</f>
        <v>4.6740000000000004E-2</v>
      </c>
    </row>
    <row r="2601" spans="1:3" x14ac:dyDescent="0.3">
      <c r="A2601" s="2">
        <v>39856</v>
      </c>
      <c r="B2601">
        <f>5.5/(100)</f>
        <v>5.5E-2</v>
      </c>
      <c r="C2601">
        <f>4.603/(100)</f>
        <v>4.6029999999999995E-2</v>
      </c>
    </row>
    <row r="2602" spans="1:3" x14ac:dyDescent="0.3">
      <c r="A2602" s="2">
        <v>39857</v>
      </c>
      <c r="B2602">
        <f>5.5/(100)</f>
        <v>5.5E-2</v>
      </c>
      <c r="C2602">
        <f>4.533/(100)</f>
        <v>4.5330000000000002E-2</v>
      </c>
    </row>
    <row r="2603" spans="1:3" x14ac:dyDescent="0.3">
      <c r="A2603" s="2">
        <v>39858</v>
      </c>
      <c r="B2603">
        <f>5.5/(100)</f>
        <v>5.5E-2</v>
      </c>
      <c r="C2603">
        <f>4.533/(100)</f>
        <v>4.5330000000000002E-2</v>
      </c>
    </row>
    <row r="2604" spans="1:3" x14ac:dyDescent="0.3">
      <c r="A2604" s="2">
        <v>39859</v>
      </c>
      <c r="B2604">
        <f>5.5/(100)</f>
        <v>5.5E-2</v>
      </c>
      <c r="C2604">
        <f>4.533/(100)</f>
        <v>4.5330000000000002E-2</v>
      </c>
    </row>
    <row r="2605" spans="1:3" x14ac:dyDescent="0.3">
      <c r="A2605" s="2">
        <v>39860</v>
      </c>
      <c r="B2605">
        <f>5.5/(100)</f>
        <v>5.5E-2</v>
      </c>
      <c r="C2605">
        <f>4.594/(100)</f>
        <v>4.5940000000000002E-2</v>
      </c>
    </row>
    <row r="2606" spans="1:3" x14ac:dyDescent="0.3">
      <c r="A2606" s="2">
        <v>39861</v>
      </c>
      <c r="B2606">
        <f>5.5/(100)</f>
        <v>5.5E-2</v>
      </c>
      <c r="C2606">
        <f>4.734/(100)</f>
        <v>4.734E-2</v>
      </c>
    </row>
    <row r="2607" spans="1:3" x14ac:dyDescent="0.3">
      <c r="A2607" s="2">
        <v>39862</v>
      </c>
      <c r="B2607">
        <f>5.5/(100)</f>
        <v>5.5E-2</v>
      </c>
      <c r="C2607">
        <f>4.765/(100)</f>
        <v>4.7649999999999998E-2</v>
      </c>
    </row>
    <row r="2608" spans="1:3" x14ac:dyDescent="0.3">
      <c r="A2608" s="2">
        <v>39863</v>
      </c>
      <c r="B2608">
        <f>5.5/(100)</f>
        <v>5.5E-2</v>
      </c>
      <c r="C2608">
        <f>4.682/(100)</f>
        <v>4.6820000000000001E-2</v>
      </c>
    </row>
    <row r="2609" spans="1:3" x14ac:dyDescent="0.3">
      <c r="A2609" s="2">
        <v>39864</v>
      </c>
      <c r="B2609">
        <f>5.5/(100)</f>
        <v>5.5E-2</v>
      </c>
      <c r="C2609">
        <f>4.694/(100)</f>
        <v>4.6940000000000003E-2</v>
      </c>
    </row>
    <row r="2610" spans="1:3" x14ac:dyDescent="0.3">
      <c r="A2610" s="2">
        <v>39865</v>
      </c>
      <c r="B2610">
        <f>5.5/(100)</f>
        <v>5.5E-2</v>
      </c>
      <c r="C2610">
        <f>4.694/(100)</f>
        <v>4.6940000000000003E-2</v>
      </c>
    </row>
    <row r="2611" spans="1:3" x14ac:dyDescent="0.3">
      <c r="A2611" s="2">
        <v>39866</v>
      </c>
      <c r="B2611">
        <f>5.5/(100)</f>
        <v>5.5E-2</v>
      </c>
      <c r="C2611">
        <f>4.694/(100)</f>
        <v>4.6940000000000003E-2</v>
      </c>
    </row>
    <row r="2612" spans="1:3" x14ac:dyDescent="0.3">
      <c r="A2612" s="2">
        <v>39867</v>
      </c>
      <c r="B2612">
        <f>5.5/(100)</f>
        <v>5.5E-2</v>
      </c>
      <c r="C2612">
        <f>4.694/(100)</f>
        <v>4.6940000000000003E-2</v>
      </c>
    </row>
    <row r="2613" spans="1:3" x14ac:dyDescent="0.3">
      <c r="A2613" s="2">
        <v>39868</v>
      </c>
      <c r="B2613">
        <f>5.5/(100)</f>
        <v>5.5E-2</v>
      </c>
      <c r="C2613">
        <f>4.731/(100)</f>
        <v>4.7309999999999998E-2</v>
      </c>
    </row>
    <row r="2614" spans="1:3" x14ac:dyDescent="0.3">
      <c r="A2614" s="2">
        <v>39869</v>
      </c>
      <c r="B2614">
        <f>5.5/(100)</f>
        <v>5.5E-2</v>
      </c>
      <c r="C2614">
        <f>4.848/(100)</f>
        <v>4.8479999999999995E-2</v>
      </c>
    </row>
    <row r="2615" spans="1:3" x14ac:dyDescent="0.3">
      <c r="A2615" s="2">
        <v>39870</v>
      </c>
      <c r="B2615">
        <f>5.5/(100)</f>
        <v>5.5E-2</v>
      </c>
      <c r="C2615">
        <f>4.754/(100)</f>
        <v>4.7539999999999999E-2</v>
      </c>
    </row>
    <row r="2616" spans="1:3" x14ac:dyDescent="0.3">
      <c r="A2616" s="2">
        <v>39871</v>
      </c>
      <c r="B2616">
        <f>5.5/(100)</f>
        <v>5.5E-2</v>
      </c>
      <c r="C2616">
        <f>4.686/(100)</f>
        <v>4.6859999999999999E-2</v>
      </c>
    </row>
    <row r="2617" spans="1:3" x14ac:dyDescent="0.3">
      <c r="A2617" s="2">
        <v>39872</v>
      </c>
      <c r="B2617">
        <f>5.5/(100)</f>
        <v>5.5E-2</v>
      </c>
      <c r="C2617">
        <f>4.686/(100)</f>
        <v>4.6859999999999999E-2</v>
      </c>
    </row>
    <row r="2618" spans="1:3" x14ac:dyDescent="0.3">
      <c r="A2618" s="2">
        <v>39873</v>
      </c>
      <c r="B2618">
        <f>5.5/(100)</f>
        <v>5.5E-2</v>
      </c>
      <c r="C2618">
        <f>4.686/(100)</f>
        <v>4.6859999999999999E-2</v>
      </c>
    </row>
    <row r="2619" spans="1:3" x14ac:dyDescent="0.3">
      <c r="A2619" s="2">
        <v>39874</v>
      </c>
      <c r="B2619">
        <f>5.5/(100)</f>
        <v>5.5E-2</v>
      </c>
      <c r="C2619">
        <f>4.721/(100)</f>
        <v>4.7210000000000002E-2</v>
      </c>
    </row>
    <row r="2620" spans="1:3" x14ac:dyDescent="0.3">
      <c r="A2620" s="2">
        <v>39875</v>
      </c>
      <c r="B2620">
        <f>5.5/(100)</f>
        <v>5.5E-2</v>
      </c>
      <c r="C2620">
        <f>4.711/(100)</f>
        <v>4.7110000000000006E-2</v>
      </c>
    </row>
    <row r="2621" spans="1:3" x14ac:dyDescent="0.3">
      <c r="A2621" s="2">
        <v>39876</v>
      </c>
      <c r="B2621">
        <f>5/(100)</f>
        <v>0.05</v>
      </c>
      <c r="C2621">
        <f>4.701/(100)</f>
        <v>4.7009999999999996E-2</v>
      </c>
    </row>
    <row r="2622" spans="1:3" x14ac:dyDescent="0.3">
      <c r="A2622" s="2">
        <v>39877</v>
      </c>
      <c r="B2622">
        <f>5/(100)</f>
        <v>0.05</v>
      </c>
      <c r="C2622">
        <f>4.67/(100)</f>
        <v>4.6699999999999998E-2</v>
      </c>
    </row>
    <row r="2623" spans="1:3" x14ac:dyDescent="0.3">
      <c r="A2623" s="2">
        <v>39878</v>
      </c>
      <c r="B2623">
        <f>5/(100)</f>
        <v>0.05</v>
      </c>
      <c r="C2623">
        <f>4.725/(100)</f>
        <v>4.7249999999999993E-2</v>
      </c>
    </row>
    <row r="2624" spans="1:3" x14ac:dyDescent="0.3">
      <c r="A2624" s="2">
        <v>39879</v>
      </c>
      <c r="B2624">
        <f>5/(100)</f>
        <v>0.05</v>
      </c>
      <c r="C2624">
        <f>4.725/(100)</f>
        <v>4.7249999999999993E-2</v>
      </c>
    </row>
    <row r="2625" spans="1:3" x14ac:dyDescent="0.3">
      <c r="A2625" s="2">
        <v>39880</v>
      </c>
      <c r="B2625">
        <f>5/(100)</f>
        <v>0.05</v>
      </c>
      <c r="C2625">
        <f>4.725/(100)</f>
        <v>4.7249999999999993E-2</v>
      </c>
    </row>
    <row r="2626" spans="1:3" x14ac:dyDescent="0.3">
      <c r="A2626" s="2">
        <v>39881</v>
      </c>
      <c r="B2626">
        <f>5/(100)</f>
        <v>0.05</v>
      </c>
      <c r="C2626">
        <f>4.959/(100)</f>
        <v>4.9589999999999995E-2</v>
      </c>
    </row>
    <row r="2627" spans="1:3" x14ac:dyDescent="0.3">
      <c r="A2627" s="2">
        <v>39882</v>
      </c>
      <c r="B2627">
        <f>5/(100)</f>
        <v>0.05</v>
      </c>
      <c r="C2627">
        <f>4.959/(100)</f>
        <v>4.9589999999999995E-2</v>
      </c>
    </row>
    <row r="2628" spans="1:3" x14ac:dyDescent="0.3">
      <c r="A2628" s="2">
        <v>39883</v>
      </c>
      <c r="B2628">
        <f>5/(100)</f>
        <v>0.05</v>
      </c>
      <c r="C2628">
        <f>4.959/(100)</f>
        <v>4.9589999999999995E-2</v>
      </c>
    </row>
    <row r="2629" spans="1:3" x14ac:dyDescent="0.3">
      <c r="A2629" s="2">
        <v>39884</v>
      </c>
      <c r="B2629">
        <f>5/(100)</f>
        <v>0.05</v>
      </c>
      <c r="C2629">
        <f>4.799/(100)</f>
        <v>4.7990000000000005E-2</v>
      </c>
    </row>
    <row r="2630" spans="1:3" x14ac:dyDescent="0.3">
      <c r="A2630" s="2">
        <v>39885</v>
      </c>
      <c r="B2630">
        <f>5/(100)</f>
        <v>0.05</v>
      </c>
      <c r="C2630">
        <f>5.041/(100)</f>
        <v>5.0410000000000003E-2</v>
      </c>
    </row>
    <row r="2631" spans="1:3" x14ac:dyDescent="0.3">
      <c r="A2631" s="2">
        <v>39886</v>
      </c>
      <c r="B2631">
        <f>5/(100)</f>
        <v>0.05</v>
      </c>
      <c r="C2631">
        <f>5.041/(100)</f>
        <v>5.0410000000000003E-2</v>
      </c>
    </row>
    <row r="2632" spans="1:3" x14ac:dyDescent="0.3">
      <c r="A2632" s="2">
        <v>39887</v>
      </c>
      <c r="B2632">
        <f>5/(100)</f>
        <v>0.05</v>
      </c>
      <c r="C2632">
        <f>5.041/(100)</f>
        <v>5.0410000000000003E-2</v>
      </c>
    </row>
    <row r="2633" spans="1:3" x14ac:dyDescent="0.3">
      <c r="A2633" s="2">
        <v>39888</v>
      </c>
      <c r="B2633">
        <f>5/(100)</f>
        <v>0.05</v>
      </c>
      <c r="C2633">
        <f>5.021/(100)</f>
        <v>5.0209999999999998E-2</v>
      </c>
    </row>
    <row r="2634" spans="1:3" x14ac:dyDescent="0.3">
      <c r="A2634" s="2">
        <v>39889</v>
      </c>
      <c r="B2634">
        <f>5/(100)</f>
        <v>0.05</v>
      </c>
      <c r="C2634">
        <f>5.073/(100)</f>
        <v>5.0730000000000004E-2</v>
      </c>
    </row>
    <row r="2635" spans="1:3" x14ac:dyDescent="0.3">
      <c r="A2635" s="2">
        <v>39890</v>
      </c>
      <c r="B2635">
        <f>5/(100)</f>
        <v>0.05</v>
      </c>
      <c r="C2635">
        <f>4.978/(100)</f>
        <v>4.9779999999999998E-2</v>
      </c>
    </row>
    <row r="2636" spans="1:3" x14ac:dyDescent="0.3">
      <c r="A2636" s="2">
        <v>39891</v>
      </c>
      <c r="B2636">
        <f>5/(100)</f>
        <v>0.05</v>
      </c>
      <c r="C2636">
        <f>5.057/(100)</f>
        <v>5.0570000000000004E-2</v>
      </c>
    </row>
    <row r="2637" spans="1:3" x14ac:dyDescent="0.3">
      <c r="A2637" s="2">
        <v>39892</v>
      </c>
      <c r="B2637">
        <f>5/(100)</f>
        <v>0.05</v>
      </c>
      <c r="C2637">
        <f>5.029/(100)</f>
        <v>5.0290000000000001E-2</v>
      </c>
    </row>
    <row r="2638" spans="1:3" x14ac:dyDescent="0.3">
      <c r="A2638" s="2">
        <v>39893</v>
      </c>
      <c r="B2638">
        <f>5/(100)</f>
        <v>0.05</v>
      </c>
      <c r="C2638">
        <f>5.029/(100)</f>
        <v>5.0290000000000001E-2</v>
      </c>
    </row>
    <row r="2639" spans="1:3" x14ac:dyDescent="0.3">
      <c r="A2639" s="2">
        <v>39894</v>
      </c>
      <c r="B2639">
        <f>5/(100)</f>
        <v>0.05</v>
      </c>
      <c r="C2639">
        <f>5.029/(100)</f>
        <v>5.0290000000000001E-2</v>
      </c>
    </row>
    <row r="2640" spans="1:3" x14ac:dyDescent="0.3">
      <c r="A2640" s="2">
        <v>39895</v>
      </c>
      <c r="B2640">
        <f>5/(100)</f>
        <v>0.05</v>
      </c>
      <c r="C2640">
        <f>4.987/(100)</f>
        <v>4.9869999999999998E-2</v>
      </c>
    </row>
    <row r="2641" spans="1:3" x14ac:dyDescent="0.3">
      <c r="A2641" s="2">
        <v>39896</v>
      </c>
      <c r="B2641">
        <f>5/(100)</f>
        <v>0.05</v>
      </c>
      <c r="C2641">
        <f>5.108/(100)</f>
        <v>5.1079999999999993E-2</v>
      </c>
    </row>
    <row r="2642" spans="1:3" x14ac:dyDescent="0.3">
      <c r="A2642" s="2">
        <v>39897</v>
      </c>
      <c r="B2642">
        <f>5/(100)</f>
        <v>0.05</v>
      </c>
      <c r="C2642">
        <f>5.094/(100)</f>
        <v>5.0940000000000006E-2</v>
      </c>
    </row>
    <row r="2643" spans="1:3" x14ac:dyDescent="0.3">
      <c r="A2643" s="2">
        <v>39898</v>
      </c>
      <c r="B2643">
        <f>5/(100)</f>
        <v>0.05</v>
      </c>
      <c r="C2643">
        <f>5.176/(100)</f>
        <v>5.176E-2</v>
      </c>
    </row>
    <row r="2644" spans="1:3" x14ac:dyDescent="0.3">
      <c r="A2644" s="2">
        <v>39899</v>
      </c>
      <c r="B2644">
        <f>5/(100)</f>
        <v>0.05</v>
      </c>
      <c r="C2644">
        <f>5.176/(100)</f>
        <v>5.176E-2</v>
      </c>
    </row>
    <row r="2645" spans="1:3" x14ac:dyDescent="0.3">
      <c r="A2645" s="2">
        <v>39900</v>
      </c>
      <c r="B2645">
        <f>5/(100)</f>
        <v>0.05</v>
      </c>
      <c r="C2645">
        <f>5.176/(100)</f>
        <v>5.176E-2</v>
      </c>
    </row>
    <row r="2646" spans="1:3" x14ac:dyDescent="0.3">
      <c r="A2646" s="2">
        <v>39901</v>
      </c>
      <c r="B2646">
        <f>5/(100)</f>
        <v>0.05</v>
      </c>
      <c r="C2646">
        <f>5.176/(100)</f>
        <v>5.176E-2</v>
      </c>
    </row>
    <row r="2647" spans="1:3" x14ac:dyDescent="0.3">
      <c r="A2647" s="2">
        <v>39902</v>
      </c>
      <c r="B2647">
        <f>5/(100)</f>
        <v>0.05</v>
      </c>
      <c r="C2647">
        <f>5.298/(100)</f>
        <v>5.2979999999999999E-2</v>
      </c>
    </row>
    <row r="2648" spans="1:3" x14ac:dyDescent="0.3">
      <c r="A2648" s="2">
        <v>39903</v>
      </c>
      <c r="B2648">
        <f>5/(100)</f>
        <v>0.05</v>
      </c>
      <c r="C2648">
        <f>5.16/(100)</f>
        <v>5.16E-2</v>
      </c>
    </row>
    <row r="2649" spans="1:3" x14ac:dyDescent="0.3">
      <c r="A2649" s="2">
        <v>39904</v>
      </c>
      <c r="B2649">
        <f>5/(100)</f>
        <v>0.05</v>
      </c>
      <c r="C2649">
        <f>5.16/(100)</f>
        <v>5.16E-2</v>
      </c>
    </row>
    <row r="2650" spans="1:3" x14ac:dyDescent="0.3">
      <c r="A2650" s="2">
        <v>39905</v>
      </c>
      <c r="B2650">
        <f>5/(100)</f>
        <v>0.05</v>
      </c>
      <c r="C2650">
        <f>5.022/(100)</f>
        <v>5.0220000000000001E-2</v>
      </c>
    </row>
    <row r="2651" spans="1:3" x14ac:dyDescent="0.3">
      <c r="A2651" s="2">
        <v>39906</v>
      </c>
      <c r="B2651">
        <f>5/(100)</f>
        <v>0.05</v>
      </c>
      <c r="C2651">
        <f>5.022/(100)</f>
        <v>5.0220000000000001E-2</v>
      </c>
    </row>
    <row r="2652" spans="1:3" x14ac:dyDescent="0.3">
      <c r="A2652" s="2">
        <v>39907</v>
      </c>
      <c r="B2652">
        <f>5/(100)</f>
        <v>0.05</v>
      </c>
      <c r="C2652">
        <f>5.022/(100)</f>
        <v>5.0220000000000001E-2</v>
      </c>
    </row>
    <row r="2653" spans="1:3" x14ac:dyDescent="0.3">
      <c r="A2653" s="2">
        <v>39908</v>
      </c>
      <c r="B2653">
        <f>5/(100)</f>
        <v>0.05</v>
      </c>
      <c r="C2653">
        <f>5.022/(100)</f>
        <v>5.0220000000000001E-2</v>
      </c>
    </row>
    <row r="2654" spans="1:3" x14ac:dyDescent="0.3">
      <c r="A2654" s="2">
        <v>39909</v>
      </c>
      <c r="B2654">
        <f>5/(100)</f>
        <v>0.05</v>
      </c>
      <c r="C2654">
        <f>4.738/(100)</f>
        <v>4.7380000000000005E-2</v>
      </c>
    </row>
    <row r="2655" spans="1:3" x14ac:dyDescent="0.3">
      <c r="A2655" s="2">
        <v>39910</v>
      </c>
      <c r="B2655">
        <f>5/(100)</f>
        <v>0.05</v>
      </c>
      <c r="C2655">
        <f>4.738/(100)</f>
        <v>4.7380000000000005E-2</v>
      </c>
    </row>
    <row r="2656" spans="1:3" x14ac:dyDescent="0.3">
      <c r="A2656" s="2">
        <v>39911</v>
      </c>
      <c r="B2656">
        <f>5/(100)</f>
        <v>0.05</v>
      </c>
      <c r="C2656">
        <f>4.654/(100)</f>
        <v>4.6539999999999998E-2</v>
      </c>
    </row>
    <row r="2657" spans="1:3" x14ac:dyDescent="0.3">
      <c r="A2657" s="2">
        <v>39912</v>
      </c>
      <c r="B2657">
        <f>5/(100)</f>
        <v>0.05</v>
      </c>
      <c r="C2657">
        <f>4.445/(100)</f>
        <v>4.4450000000000003E-2</v>
      </c>
    </row>
    <row r="2658" spans="1:3" x14ac:dyDescent="0.3">
      <c r="A2658" s="2">
        <v>39913</v>
      </c>
      <c r="B2658">
        <f>5/(100)</f>
        <v>0.05</v>
      </c>
      <c r="C2658">
        <f>4.445/(100)</f>
        <v>4.4450000000000003E-2</v>
      </c>
    </row>
    <row r="2659" spans="1:3" x14ac:dyDescent="0.3">
      <c r="A2659" s="2">
        <v>39914</v>
      </c>
      <c r="B2659">
        <f>5/(100)</f>
        <v>0.05</v>
      </c>
      <c r="C2659">
        <f>4.445/(100)</f>
        <v>4.4450000000000003E-2</v>
      </c>
    </row>
    <row r="2660" spans="1:3" x14ac:dyDescent="0.3">
      <c r="A2660" s="2">
        <v>39915</v>
      </c>
      <c r="B2660">
        <f>5/(100)</f>
        <v>0.05</v>
      </c>
      <c r="C2660">
        <f>4.445/(100)</f>
        <v>4.4450000000000003E-2</v>
      </c>
    </row>
    <row r="2661" spans="1:3" x14ac:dyDescent="0.3">
      <c r="A2661" s="2">
        <v>39916</v>
      </c>
      <c r="B2661">
        <f>5/(100)</f>
        <v>0.05</v>
      </c>
      <c r="C2661">
        <f>4.384/(100)</f>
        <v>4.3840000000000004E-2</v>
      </c>
    </row>
    <row r="2662" spans="1:3" x14ac:dyDescent="0.3">
      <c r="A2662" s="2">
        <v>39917</v>
      </c>
      <c r="B2662">
        <f>5/(100)</f>
        <v>0.05</v>
      </c>
      <c r="C2662">
        <f>4.384/(100)</f>
        <v>4.3840000000000004E-2</v>
      </c>
    </row>
    <row r="2663" spans="1:3" x14ac:dyDescent="0.3">
      <c r="A2663" s="2">
        <v>39918</v>
      </c>
      <c r="B2663">
        <f>5/(100)</f>
        <v>0.05</v>
      </c>
      <c r="C2663">
        <f>4.387/(100)</f>
        <v>4.3869999999999992E-2</v>
      </c>
    </row>
    <row r="2664" spans="1:3" x14ac:dyDescent="0.3">
      <c r="A2664" s="2">
        <v>39919</v>
      </c>
      <c r="B2664">
        <f>5/(100)</f>
        <v>0.05</v>
      </c>
      <c r="C2664">
        <f>4.373/(100)</f>
        <v>4.3730000000000005E-2</v>
      </c>
    </row>
    <row r="2665" spans="1:3" x14ac:dyDescent="0.3">
      <c r="A2665" s="2">
        <v>39920</v>
      </c>
      <c r="B2665">
        <f>5/(100)</f>
        <v>0.05</v>
      </c>
      <c r="C2665">
        <f>4.374/(100)</f>
        <v>4.3739999999999994E-2</v>
      </c>
    </row>
    <row r="2666" spans="1:3" x14ac:dyDescent="0.3">
      <c r="A2666" s="2">
        <v>39921</v>
      </c>
      <c r="B2666">
        <f>5/(100)</f>
        <v>0.05</v>
      </c>
      <c r="C2666">
        <f>4.374/(100)</f>
        <v>4.3739999999999994E-2</v>
      </c>
    </row>
    <row r="2667" spans="1:3" x14ac:dyDescent="0.3">
      <c r="A2667" s="2">
        <v>39922</v>
      </c>
      <c r="B2667">
        <f>5/(100)</f>
        <v>0.05</v>
      </c>
      <c r="C2667">
        <f>4.374/(100)</f>
        <v>4.3739999999999994E-2</v>
      </c>
    </row>
    <row r="2668" spans="1:3" x14ac:dyDescent="0.3">
      <c r="A2668" s="2">
        <v>39923</v>
      </c>
      <c r="B2668">
        <f>5/(100)</f>
        <v>0.05</v>
      </c>
      <c r="C2668">
        <f>4.368/(100)</f>
        <v>4.3680000000000004E-2</v>
      </c>
    </row>
    <row r="2669" spans="1:3" x14ac:dyDescent="0.3">
      <c r="A2669" s="2">
        <v>39924</v>
      </c>
      <c r="B2669">
        <f>4.75/(100)</f>
        <v>4.7500000000000001E-2</v>
      </c>
      <c r="C2669">
        <f>4.251/(100)</f>
        <v>4.2510000000000006E-2</v>
      </c>
    </row>
    <row r="2670" spans="1:3" x14ac:dyDescent="0.3">
      <c r="A2670" s="2">
        <v>39925</v>
      </c>
      <c r="B2670">
        <f>4.75/(100)</f>
        <v>4.7500000000000001E-2</v>
      </c>
      <c r="C2670">
        <f>4.018/(100)</f>
        <v>4.018E-2</v>
      </c>
    </row>
    <row r="2671" spans="1:3" x14ac:dyDescent="0.3">
      <c r="A2671" s="2">
        <v>39926</v>
      </c>
      <c r="B2671">
        <f>4.75/(100)</f>
        <v>4.7500000000000001E-2</v>
      </c>
      <c r="C2671">
        <f>4.062/(100)</f>
        <v>4.0620000000000003E-2</v>
      </c>
    </row>
    <row r="2672" spans="1:3" x14ac:dyDescent="0.3">
      <c r="A2672" s="2">
        <v>39927</v>
      </c>
      <c r="B2672">
        <f>4.75/(100)</f>
        <v>4.7500000000000001E-2</v>
      </c>
      <c r="C2672">
        <f>4.235/(100)</f>
        <v>4.2350000000000006E-2</v>
      </c>
    </row>
    <row r="2673" spans="1:3" x14ac:dyDescent="0.3">
      <c r="A2673" s="2">
        <v>39928</v>
      </c>
      <c r="B2673">
        <f>4.75/(100)</f>
        <v>4.7500000000000001E-2</v>
      </c>
      <c r="C2673">
        <f>4.235/(100)</f>
        <v>4.2350000000000006E-2</v>
      </c>
    </row>
    <row r="2674" spans="1:3" x14ac:dyDescent="0.3">
      <c r="A2674" s="2">
        <v>39929</v>
      </c>
      <c r="B2674">
        <f>4.75/(100)</f>
        <v>4.7500000000000001E-2</v>
      </c>
      <c r="C2674">
        <f>4.235/(100)</f>
        <v>4.2350000000000006E-2</v>
      </c>
    </row>
    <row r="2675" spans="1:3" x14ac:dyDescent="0.3">
      <c r="A2675" s="2">
        <v>39930</v>
      </c>
      <c r="B2675">
        <f>4.75/(100)</f>
        <v>4.7500000000000001E-2</v>
      </c>
      <c r="C2675">
        <f>4.016/(100)</f>
        <v>4.0160000000000001E-2</v>
      </c>
    </row>
    <row r="2676" spans="1:3" x14ac:dyDescent="0.3">
      <c r="A2676" s="2">
        <v>39931</v>
      </c>
      <c r="B2676">
        <f>4.75/(100)</f>
        <v>4.7500000000000001E-2</v>
      </c>
      <c r="C2676">
        <f>4.039/(100)</f>
        <v>4.0389999999999995E-2</v>
      </c>
    </row>
    <row r="2677" spans="1:3" x14ac:dyDescent="0.3">
      <c r="A2677" s="2">
        <v>39932</v>
      </c>
      <c r="B2677">
        <f>4.75/(100)</f>
        <v>4.7500000000000001E-2</v>
      </c>
      <c r="C2677">
        <f>3.933/(100)</f>
        <v>3.9329999999999997E-2</v>
      </c>
    </row>
    <row r="2678" spans="1:3" x14ac:dyDescent="0.3">
      <c r="A2678" s="2">
        <v>39933</v>
      </c>
      <c r="B2678">
        <f>4.75/(100)</f>
        <v>4.7500000000000001E-2</v>
      </c>
      <c r="C2678">
        <f>3.933/(100)</f>
        <v>3.9329999999999997E-2</v>
      </c>
    </row>
    <row r="2679" spans="1:3" x14ac:dyDescent="0.3">
      <c r="A2679" s="2">
        <v>39934</v>
      </c>
      <c r="B2679">
        <f>4.75/(100)</f>
        <v>4.7500000000000001E-2</v>
      </c>
      <c r="C2679">
        <f>3.933/(100)</f>
        <v>3.9329999999999997E-2</v>
      </c>
    </row>
    <row r="2680" spans="1:3" x14ac:dyDescent="0.3">
      <c r="A2680" s="2">
        <v>39935</v>
      </c>
      <c r="B2680">
        <f>4.75/(100)</f>
        <v>4.7500000000000001E-2</v>
      </c>
      <c r="C2680">
        <f>3.933/(100)</f>
        <v>3.9329999999999997E-2</v>
      </c>
    </row>
    <row r="2681" spans="1:3" x14ac:dyDescent="0.3">
      <c r="A2681" s="2">
        <v>39936</v>
      </c>
      <c r="B2681">
        <f>4.75/(100)</f>
        <v>4.7500000000000001E-2</v>
      </c>
      <c r="C2681">
        <f>3.933/(100)</f>
        <v>3.9329999999999997E-2</v>
      </c>
    </row>
    <row r="2682" spans="1:3" x14ac:dyDescent="0.3">
      <c r="A2682" s="2">
        <v>39937</v>
      </c>
      <c r="B2682">
        <f>4.75/(100)</f>
        <v>4.7500000000000001E-2</v>
      </c>
      <c r="C2682">
        <f>4.181/(100)</f>
        <v>4.181E-2</v>
      </c>
    </row>
    <row r="2683" spans="1:3" x14ac:dyDescent="0.3">
      <c r="A2683" s="2">
        <v>39938</v>
      </c>
      <c r="B2683">
        <f>4.75/(100)</f>
        <v>4.7500000000000001E-2</v>
      </c>
      <c r="C2683">
        <f>4.155/(100)</f>
        <v>4.1550000000000004E-2</v>
      </c>
    </row>
    <row r="2684" spans="1:3" x14ac:dyDescent="0.3">
      <c r="A2684" s="2">
        <v>39939</v>
      </c>
      <c r="B2684">
        <f>4.75/(100)</f>
        <v>4.7500000000000001E-2</v>
      </c>
      <c r="C2684">
        <f>4.168/(100)</f>
        <v>4.1680000000000002E-2</v>
      </c>
    </row>
    <row r="2685" spans="1:3" x14ac:dyDescent="0.3">
      <c r="A2685" s="2">
        <v>39940</v>
      </c>
      <c r="B2685">
        <f>4.75/(100)</f>
        <v>4.7500000000000001E-2</v>
      </c>
      <c r="C2685">
        <f>4.134/(100)</f>
        <v>4.1340000000000002E-2</v>
      </c>
    </row>
    <row r="2686" spans="1:3" x14ac:dyDescent="0.3">
      <c r="A2686" s="2">
        <v>39941</v>
      </c>
      <c r="B2686">
        <f>4.75/(100)</f>
        <v>4.7500000000000001E-2</v>
      </c>
      <c r="C2686">
        <f>4.168/(100)</f>
        <v>4.1680000000000002E-2</v>
      </c>
    </row>
    <row r="2687" spans="1:3" x14ac:dyDescent="0.3">
      <c r="A2687" s="2">
        <v>39942</v>
      </c>
      <c r="B2687">
        <f>4.75/(100)</f>
        <v>4.7500000000000001E-2</v>
      </c>
      <c r="C2687">
        <f>4.168/(100)</f>
        <v>4.1680000000000002E-2</v>
      </c>
    </row>
    <row r="2688" spans="1:3" x14ac:dyDescent="0.3">
      <c r="A2688" s="2">
        <v>39943</v>
      </c>
      <c r="B2688">
        <f>4.75/(100)</f>
        <v>4.7500000000000001E-2</v>
      </c>
      <c r="C2688">
        <f>4.168/(100)</f>
        <v>4.1680000000000002E-2</v>
      </c>
    </row>
    <row r="2689" spans="1:3" x14ac:dyDescent="0.3">
      <c r="A2689" s="2">
        <v>39944</v>
      </c>
      <c r="B2689">
        <f>4.75/(100)</f>
        <v>4.7500000000000001E-2</v>
      </c>
      <c r="C2689">
        <f>4.232/(100)</f>
        <v>4.2320000000000003E-2</v>
      </c>
    </row>
    <row r="2690" spans="1:3" x14ac:dyDescent="0.3">
      <c r="A2690" s="2">
        <v>39945</v>
      </c>
      <c r="B2690">
        <f>4.75/(100)</f>
        <v>4.7500000000000001E-2</v>
      </c>
      <c r="C2690">
        <f>4.159/(100)</f>
        <v>4.1589999999999995E-2</v>
      </c>
    </row>
    <row r="2691" spans="1:3" x14ac:dyDescent="0.3">
      <c r="A2691" s="2">
        <v>39946</v>
      </c>
      <c r="B2691">
        <f>4.75/(100)</f>
        <v>4.7500000000000001E-2</v>
      </c>
      <c r="C2691">
        <f>4.113/(100)</f>
        <v>4.1130000000000007E-2</v>
      </c>
    </row>
    <row r="2692" spans="1:3" x14ac:dyDescent="0.3">
      <c r="A2692" s="2">
        <v>39947</v>
      </c>
      <c r="B2692">
        <f>4.75/(100)</f>
        <v>4.7500000000000001E-2</v>
      </c>
      <c r="C2692">
        <f>4.123/(100)</f>
        <v>4.1230000000000003E-2</v>
      </c>
    </row>
    <row r="2693" spans="1:3" x14ac:dyDescent="0.3">
      <c r="A2693" s="2">
        <v>39948</v>
      </c>
      <c r="B2693">
        <f>4.75/(100)</f>
        <v>4.7500000000000001E-2</v>
      </c>
      <c r="C2693">
        <f>4.131/(100)</f>
        <v>4.1309999999999999E-2</v>
      </c>
    </row>
    <row r="2694" spans="1:3" x14ac:dyDescent="0.3">
      <c r="A2694" s="2">
        <v>39949</v>
      </c>
      <c r="B2694">
        <f>4.75/(100)</f>
        <v>4.7500000000000001E-2</v>
      </c>
      <c r="C2694">
        <f>4.131/(100)</f>
        <v>4.1309999999999999E-2</v>
      </c>
    </row>
    <row r="2695" spans="1:3" x14ac:dyDescent="0.3">
      <c r="A2695" s="2">
        <v>39950</v>
      </c>
      <c r="B2695">
        <f>4.75/(100)</f>
        <v>4.7500000000000001E-2</v>
      </c>
      <c r="C2695">
        <f>4.131/(100)</f>
        <v>4.1309999999999999E-2</v>
      </c>
    </row>
    <row r="2696" spans="1:3" x14ac:dyDescent="0.3">
      <c r="A2696" s="2">
        <v>39951</v>
      </c>
      <c r="B2696">
        <f>4.75/(100)</f>
        <v>4.7500000000000001E-2</v>
      </c>
      <c r="C2696">
        <f>4.128/(100)</f>
        <v>4.1280000000000004E-2</v>
      </c>
    </row>
    <row r="2697" spans="1:3" x14ac:dyDescent="0.3">
      <c r="A2697" s="2">
        <v>39952</v>
      </c>
      <c r="B2697">
        <f>4.75/(100)</f>
        <v>4.7500000000000001E-2</v>
      </c>
      <c r="C2697">
        <f>3.953/(100)</f>
        <v>3.9529999999999996E-2</v>
      </c>
    </row>
    <row r="2698" spans="1:3" x14ac:dyDescent="0.3">
      <c r="A2698" s="2">
        <v>39953</v>
      </c>
      <c r="B2698">
        <f>4.75/(100)</f>
        <v>4.7500000000000001E-2</v>
      </c>
      <c r="C2698">
        <f>4.03/(100)</f>
        <v>4.0300000000000002E-2</v>
      </c>
    </row>
    <row r="2699" spans="1:3" x14ac:dyDescent="0.3">
      <c r="A2699" s="2">
        <v>39954</v>
      </c>
      <c r="B2699">
        <f>4.75/(100)</f>
        <v>4.7500000000000001E-2</v>
      </c>
      <c r="C2699">
        <f>4.041/(100)</f>
        <v>4.0410000000000001E-2</v>
      </c>
    </row>
    <row r="2700" spans="1:3" x14ac:dyDescent="0.3">
      <c r="A2700" s="2">
        <v>39955</v>
      </c>
      <c r="B2700">
        <f>4.75/(100)</f>
        <v>4.7500000000000001E-2</v>
      </c>
      <c r="C2700">
        <f>4.043/(100)</f>
        <v>4.0430000000000001E-2</v>
      </c>
    </row>
    <row r="2701" spans="1:3" x14ac:dyDescent="0.3">
      <c r="A2701" s="2">
        <v>39956</v>
      </c>
      <c r="B2701">
        <f>4.75/(100)</f>
        <v>4.7500000000000001E-2</v>
      </c>
      <c r="C2701">
        <f>4.043/(100)</f>
        <v>4.0430000000000001E-2</v>
      </c>
    </row>
    <row r="2702" spans="1:3" x14ac:dyDescent="0.3">
      <c r="A2702" s="2">
        <v>39957</v>
      </c>
      <c r="B2702">
        <f>4.75/(100)</f>
        <v>4.7500000000000001E-2</v>
      </c>
      <c r="C2702">
        <f>4.043/(100)</f>
        <v>4.0430000000000001E-2</v>
      </c>
    </row>
    <row r="2703" spans="1:3" x14ac:dyDescent="0.3">
      <c r="A2703" s="2">
        <v>39958</v>
      </c>
      <c r="B2703">
        <f>4.75/(100)</f>
        <v>4.7500000000000001E-2</v>
      </c>
      <c r="C2703">
        <f>4.037/(100)</f>
        <v>4.0369999999999996E-2</v>
      </c>
    </row>
    <row r="2704" spans="1:3" x14ac:dyDescent="0.3">
      <c r="A2704" s="2">
        <v>39959</v>
      </c>
      <c r="B2704">
        <f>4.75/(100)</f>
        <v>4.7500000000000001E-2</v>
      </c>
      <c r="C2704">
        <f>4.061/(100)</f>
        <v>4.061E-2</v>
      </c>
    </row>
    <row r="2705" spans="1:3" x14ac:dyDescent="0.3">
      <c r="A2705" s="2">
        <v>39960</v>
      </c>
      <c r="B2705">
        <f>4.75/(100)</f>
        <v>4.7500000000000001E-2</v>
      </c>
      <c r="C2705">
        <f>4.085/(100)</f>
        <v>4.0849999999999997E-2</v>
      </c>
    </row>
    <row r="2706" spans="1:3" x14ac:dyDescent="0.3">
      <c r="A2706" s="2">
        <v>39961</v>
      </c>
      <c r="B2706">
        <f>4.75/(100)</f>
        <v>4.7500000000000001E-2</v>
      </c>
      <c r="C2706">
        <f>4.09/(100)</f>
        <v>4.0899999999999999E-2</v>
      </c>
    </row>
    <row r="2707" spans="1:3" x14ac:dyDescent="0.3">
      <c r="A2707" s="2">
        <v>39962</v>
      </c>
      <c r="B2707">
        <f>4.75/(100)</f>
        <v>4.7500000000000001E-2</v>
      </c>
      <c r="C2707">
        <f>4.169/(100)</f>
        <v>4.1689999999999998E-2</v>
      </c>
    </row>
    <row r="2708" spans="1:3" x14ac:dyDescent="0.3">
      <c r="A2708" s="2">
        <v>39963</v>
      </c>
      <c r="B2708">
        <f>4.75/(100)</f>
        <v>4.7500000000000001E-2</v>
      </c>
      <c r="C2708">
        <f>4.169/(100)</f>
        <v>4.1689999999999998E-2</v>
      </c>
    </row>
    <row r="2709" spans="1:3" x14ac:dyDescent="0.3">
      <c r="A2709" s="2">
        <v>39964</v>
      </c>
      <c r="B2709">
        <f>4.75/(100)</f>
        <v>4.7500000000000001E-2</v>
      </c>
      <c r="C2709">
        <f>4.169/(100)</f>
        <v>4.1689999999999998E-2</v>
      </c>
    </row>
    <row r="2710" spans="1:3" x14ac:dyDescent="0.3">
      <c r="A2710" s="2">
        <v>39965</v>
      </c>
      <c r="B2710">
        <f>4.75/(100)</f>
        <v>4.7500000000000001E-2</v>
      </c>
      <c r="C2710">
        <f>4.12/(100)</f>
        <v>4.1200000000000001E-2</v>
      </c>
    </row>
    <row r="2711" spans="1:3" x14ac:dyDescent="0.3">
      <c r="A2711" s="2">
        <v>39966</v>
      </c>
      <c r="B2711">
        <f>4.75/(100)</f>
        <v>4.7500000000000001E-2</v>
      </c>
      <c r="C2711">
        <f>4.238/(100)</f>
        <v>4.2380000000000001E-2</v>
      </c>
    </row>
    <row r="2712" spans="1:3" x14ac:dyDescent="0.3">
      <c r="A2712" s="2">
        <v>39967</v>
      </c>
      <c r="B2712">
        <f>4.75/(100)</f>
        <v>4.7500000000000001E-2</v>
      </c>
      <c r="C2712">
        <f>4.119/(100)</f>
        <v>4.1189999999999997E-2</v>
      </c>
    </row>
    <row r="2713" spans="1:3" x14ac:dyDescent="0.3">
      <c r="A2713" s="2">
        <v>39968</v>
      </c>
      <c r="B2713">
        <f>4.75/(100)</f>
        <v>4.7500000000000001E-2</v>
      </c>
      <c r="C2713">
        <f>4.001/(100)</f>
        <v>4.0010000000000004E-2</v>
      </c>
    </row>
    <row r="2714" spans="1:3" x14ac:dyDescent="0.3">
      <c r="A2714" s="2">
        <v>39969</v>
      </c>
      <c r="B2714">
        <f>4.75/(100)</f>
        <v>4.7500000000000001E-2</v>
      </c>
      <c r="C2714">
        <f>4.11/(100)</f>
        <v>4.1100000000000005E-2</v>
      </c>
    </row>
    <row r="2715" spans="1:3" x14ac:dyDescent="0.3">
      <c r="A2715" s="2">
        <v>39970</v>
      </c>
      <c r="B2715">
        <f>4.75/(100)</f>
        <v>4.7500000000000001E-2</v>
      </c>
      <c r="C2715">
        <f>4.11/(100)</f>
        <v>4.1100000000000005E-2</v>
      </c>
    </row>
    <row r="2716" spans="1:3" x14ac:dyDescent="0.3">
      <c r="A2716" s="2">
        <v>39971</v>
      </c>
      <c r="B2716">
        <f>4.75/(100)</f>
        <v>4.7500000000000001E-2</v>
      </c>
      <c r="C2716">
        <f>4.11/(100)</f>
        <v>4.1100000000000005E-2</v>
      </c>
    </row>
    <row r="2717" spans="1:3" x14ac:dyDescent="0.3">
      <c r="A2717" s="2">
        <v>39972</v>
      </c>
      <c r="B2717">
        <f>4.75/(100)</f>
        <v>4.7500000000000001E-2</v>
      </c>
      <c r="C2717">
        <f>4.09/(100)</f>
        <v>4.0899999999999999E-2</v>
      </c>
    </row>
    <row r="2718" spans="1:3" x14ac:dyDescent="0.3">
      <c r="A2718" s="2">
        <v>39973</v>
      </c>
      <c r="B2718">
        <f>4.75/(100)</f>
        <v>4.7500000000000001E-2</v>
      </c>
      <c r="C2718">
        <f>4.082/(100)</f>
        <v>4.0819999999999995E-2</v>
      </c>
    </row>
    <row r="2719" spans="1:3" x14ac:dyDescent="0.3">
      <c r="A2719" s="2">
        <v>39974</v>
      </c>
      <c r="B2719">
        <f>4.75/(100)</f>
        <v>4.7500000000000001E-2</v>
      </c>
      <c r="C2719">
        <f>4.078/(100)</f>
        <v>4.0780000000000004E-2</v>
      </c>
    </row>
    <row r="2720" spans="1:3" x14ac:dyDescent="0.3">
      <c r="A2720" s="2">
        <v>39975</v>
      </c>
      <c r="B2720">
        <f>4.75/(100)</f>
        <v>4.7500000000000001E-2</v>
      </c>
      <c r="C2720">
        <f>4.09/(100)</f>
        <v>4.0899999999999999E-2</v>
      </c>
    </row>
    <row r="2721" spans="1:3" x14ac:dyDescent="0.3">
      <c r="A2721" s="2">
        <v>39976</v>
      </c>
      <c r="B2721">
        <f>4.75/(100)</f>
        <v>4.7500000000000001E-2</v>
      </c>
      <c r="C2721">
        <f>4.152/(100)</f>
        <v>4.1520000000000001E-2</v>
      </c>
    </row>
    <row r="2722" spans="1:3" x14ac:dyDescent="0.3">
      <c r="A2722" s="2">
        <v>39977</v>
      </c>
      <c r="B2722">
        <f>4.75/(100)</f>
        <v>4.7500000000000001E-2</v>
      </c>
      <c r="C2722">
        <f>4.152/(100)</f>
        <v>4.1520000000000001E-2</v>
      </c>
    </row>
    <row r="2723" spans="1:3" x14ac:dyDescent="0.3">
      <c r="A2723" s="2">
        <v>39978</v>
      </c>
      <c r="B2723">
        <f>4.75/(100)</f>
        <v>4.7500000000000001E-2</v>
      </c>
      <c r="C2723">
        <f>4.152/(100)</f>
        <v>4.1520000000000001E-2</v>
      </c>
    </row>
    <row r="2724" spans="1:3" x14ac:dyDescent="0.3">
      <c r="A2724" s="2">
        <v>39979</v>
      </c>
      <c r="B2724">
        <f>4.75/(100)</f>
        <v>4.7500000000000001E-2</v>
      </c>
      <c r="C2724">
        <f>4.114/(100)</f>
        <v>4.1139999999999996E-2</v>
      </c>
    </row>
    <row r="2725" spans="1:3" x14ac:dyDescent="0.3">
      <c r="A2725" s="2">
        <v>39980</v>
      </c>
      <c r="B2725">
        <f>4.75/(100)</f>
        <v>4.7500000000000001E-2</v>
      </c>
      <c r="C2725">
        <f>4.063/(100)</f>
        <v>4.0629999999999999E-2</v>
      </c>
    </row>
    <row r="2726" spans="1:3" x14ac:dyDescent="0.3">
      <c r="A2726" s="2">
        <v>39981</v>
      </c>
      <c r="B2726">
        <f>4.75/(100)</f>
        <v>4.7500000000000001E-2</v>
      </c>
      <c r="C2726">
        <f>4.152/(100)</f>
        <v>4.1520000000000001E-2</v>
      </c>
    </row>
    <row r="2727" spans="1:3" x14ac:dyDescent="0.3">
      <c r="A2727" s="2">
        <v>39982</v>
      </c>
      <c r="B2727">
        <f>4.75/(100)</f>
        <v>4.7500000000000001E-2</v>
      </c>
      <c r="C2727">
        <f>4.226/(100)</f>
        <v>4.2259999999999999E-2</v>
      </c>
    </row>
    <row r="2728" spans="1:3" x14ac:dyDescent="0.3">
      <c r="A2728" s="2">
        <v>39983</v>
      </c>
      <c r="B2728">
        <f>4.75/(100)</f>
        <v>4.7500000000000001E-2</v>
      </c>
      <c r="C2728">
        <f>4.151/(100)</f>
        <v>4.1509999999999998E-2</v>
      </c>
    </row>
    <row r="2729" spans="1:3" x14ac:dyDescent="0.3">
      <c r="A2729" s="2">
        <v>39984</v>
      </c>
      <c r="B2729">
        <f>4.75/(100)</f>
        <v>4.7500000000000001E-2</v>
      </c>
      <c r="C2729">
        <f>4.151/(100)</f>
        <v>4.1509999999999998E-2</v>
      </c>
    </row>
    <row r="2730" spans="1:3" x14ac:dyDescent="0.3">
      <c r="A2730" s="2">
        <v>39985</v>
      </c>
      <c r="B2730">
        <f>4.75/(100)</f>
        <v>4.7500000000000001E-2</v>
      </c>
      <c r="C2730">
        <f>4.151/(100)</f>
        <v>4.1509999999999998E-2</v>
      </c>
    </row>
    <row r="2731" spans="1:3" x14ac:dyDescent="0.3">
      <c r="A2731" s="2">
        <v>39986</v>
      </c>
      <c r="B2731">
        <f>4.75/(100)</f>
        <v>4.7500000000000001E-2</v>
      </c>
      <c r="C2731">
        <f>4.177/(100)</f>
        <v>4.1769999999999995E-2</v>
      </c>
    </row>
    <row r="2732" spans="1:3" x14ac:dyDescent="0.3">
      <c r="A2732" s="2">
        <v>39987</v>
      </c>
      <c r="B2732">
        <f>4.75/(100)</f>
        <v>4.7500000000000001E-2</v>
      </c>
      <c r="C2732">
        <f>4.229/(100)</f>
        <v>4.2290000000000001E-2</v>
      </c>
    </row>
    <row r="2733" spans="1:3" x14ac:dyDescent="0.3">
      <c r="A2733" s="2">
        <v>39988</v>
      </c>
      <c r="B2733">
        <f>4.75/(100)</f>
        <v>4.7500000000000001E-2</v>
      </c>
      <c r="C2733">
        <f>4.293/(100)</f>
        <v>4.2930000000000003E-2</v>
      </c>
    </row>
    <row r="2734" spans="1:3" x14ac:dyDescent="0.3">
      <c r="A2734" s="2">
        <v>39989</v>
      </c>
      <c r="B2734">
        <f>4.75/(100)</f>
        <v>4.7500000000000001E-2</v>
      </c>
      <c r="C2734">
        <f>4.247/(100)</f>
        <v>4.2470000000000001E-2</v>
      </c>
    </row>
    <row r="2735" spans="1:3" x14ac:dyDescent="0.3">
      <c r="A2735" s="2">
        <v>39990</v>
      </c>
      <c r="B2735">
        <f>4.75/(100)</f>
        <v>4.7500000000000001E-2</v>
      </c>
      <c r="C2735">
        <f>4.215/(100)</f>
        <v>4.215E-2</v>
      </c>
    </row>
    <row r="2736" spans="1:3" x14ac:dyDescent="0.3">
      <c r="A2736" s="2">
        <v>39991</v>
      </c>
      <c r="B2736">
        <f>4.75/(100)</f>
        <v>4.7500000000000001E-2</v>
      </c>
      <c r="C2736">
        <f>4.215/(100)</f>
        <v>4.215E-2</v>
      </c>
    </row>
    <row r="2737" spans="1:3" x14ac:dyDescent="0.3">
      <c r="A2737" s="2">
        <v>39992</v>
      </c>
      <c r="B2737">
        <f>4.75/(100)</f>
        <v>4.7500000000000001E-2</v>
      </c>
      <c r="C2737">
        <f>4.215/(100)</f>
        <v>4.215E-2</v>
      </c>
    </row>
    <row r="2738" spans="1:3" x14ac:dyDescent="0.3">
      <c r="A2738" s="2">
        <v>39993</v>
      </c>
      <c r="B2738">
        <f>4.75/(100)</f>
        <v>4.7500000000000001E-2</v>
      </c>
      <c r="C2738">
        <f>4.26/(100)</f>
        <v>4.2599999999999999E-2</v>
      </c>
    </row>
    <row r="2739" spans="1:3" x14ac:dyDescent="0.3">
      <c r="A2739" s="2">
        <v>39994</v>
      </c>
      <c r="B2739">
        <f>4.75/(100)</f>
        <v>4.7500000000000001E-2</v>
      </c>
      <c r="C2739">
        <f>4.253/(100)</f>
        <v>4.2529999999999998E-2</v>
      </c>
    </row>
    <row r="2740" spans="1:3" x14ac:dyDescent="0.3">
      <c r="A2740" s="2">
        <v>39995</v>
      </c>
      <c r="B2740">
        <f>4.75/(100)</f>
        <v>4.7500000000000001E-2</v>
      </c>
      <c r="C2740">
        <f>4.225/(100)</f>
        <v>4.2249999999999996E-2</v>
      </c>
    </row>
    <row r="2741" spans="1:3" x14ac:dyDescent="0.3">
      <c r="A2741" s="2">
        <v>39996</v>
      </c>
      <c r="B2741">
        <f>4.75/(100)</f>
        <v>4.7500000000000001E-2</v>
      </c>
      <c r="C2741">
        <f>4.178/(100)</f>
        <v>4.1779999999999998E-2</v>
      </c>
    </row>
    <row r="2742" spans="1:3" x14ac:dyDescent="0.3">
      <c r="A2742" s="2">
        <v>39997</v>
      </c>
      <c r="B2742">
        <f>4.75/(100)</f>
        <v>4.7500000000000001E-2</v>
      </c>
      <c r="C2742">
        <f>4.113/(100)</f>
        <v>4.1130000000000007E-2</v>
      </c>
    </row>
    <row r="2743" spans="1:3" x14ac:dyDescent="0.3">
      <c r="A2743" s="2">
        <v>39998</v>
      </c>
      <c r="B2743">
        <f>4.75/(100)</f>
        <v>4.7500000000000001E-2</v>
      </c>
      <c r="C2743">
        <f>4.113/(100)</f>
        <v>4.1130000000000007E-2</v>
      </c>
    </row>
    <row r="2744" spans="1:3" x14ac:dyDescent="0.3">
      <c r="A2744" s="2">
        <v>39999</v>
      </c>
      <c r="B2744">
        <f>4.75/(100)</f>
        <v>4.7500000000000001E-2</v>
      </c>
      <c r="C2744">
        <f>4.113/(100)</f>
        <v>4.1130000000000007E-2</v>
      </c>
    </row>
    <row r="2745" spans="1:3" x14ac:dyDescent="0.3">
      <c r="A2745" s="2">
        <v>40000</v>
      </c>
      <c r="B2745">
        <f>4.75/(100)</f>
        <v>4.7500000000000001E-2</v>
      </c>
      <c r="C2745">
        <f>4.059/(100)</f>
        <v>4.0590000000000001E-2</v>
      </c>
    </row>
    <row r="2746" spans="1:3" x14ac:dyDescent="0.3">
      <c r="A2746" s="2">
        <v>40001</v>
      </c>
      <c r="B2746">
        <f>4.75/(100)</f>
        <v>4.7500000000000001E-2</v>
      </c>
      <c r="C2746">
        <f>4.061/(100)</f>
        <v>4.061E-2</v>
      </c>
    </row>
    <row r="2747" spans="1:3" x14ac:dyDescent="0.3">
      <c r="A2747" s="2">
        <v>40002</v>
      </c>
      <c r="B2747">
        <f>4.75/(100)</f>
        <v>4.7500000000000001E-2</v>
      </c>
      <c r="C2747">
        <f>4.048/(100)</f>
        <v>4.0480000000000002E-2</v>
      </c>
    </row>
    <row r="2748" spans="1:3" x14ac:dyDescent="0.3">
      <c r="A2748" s="2">
        <v>40003</v>
      </c>
      <c r="B2748">
        <f>4.75/(100)</f>
        <v>4.7500000000000001E-2</v>
      </c>
      <c r="C2748">
        <f>4.14/(100)</f>
        <v>4.1399999999999999E-2</v>
      </c>
    </row>
    <row r="2749" spans="1:3" x14ac:dyDescent="0.3">
      <c r="A2749" s="2">
        <v>40004</v>
      </c>
      <c r="B2749">
        <f>4.75/(100)</f>
        <v>4.7500000000000001E-2</v>
      </c>
      <c r="C2749">
        <f>4.178/(100)</f>
        <v>4.1779999999999998E-2</v>
      </c>
    </row>
    <row r="2750" spans="1:3" x14ac:dyDescent="0.3">
      <c r="A2750" s="2">
        <v>40005</v>
      </c>
      <c r="B2750">
        <f>4.75/(100)</f>
        <v>4.7500000000000001E-2</v>
      </c>
      <c r="C2750">
        <f>4.178/(100)</f>
        <v>4.1779999999999998E-2</v>
      </c>
    </row>
    <row r="2751" spans="1:3" x14ac:dyDescent="0.3">
      <c r="A2751" s="2">
        <v>40006</v>
      </c>
      <c r="B2751">
        <f>4.75/(100)</f>
        <v>4.7500000000000001E-2</v>
      </c>
      <c r="C2751">
        <f>4.178/(100)</f>
        <v>4.1779999999999998E-2</v>
      </c>
    </row>
    <row r="2752" spans="1:3" x14ac:dyDescent="0.3">
      <c r="A2752" s="2">
        <v>40007</v>
      </c>
      <c r="B2752">
        <f>4.75/(100)</f>
        <v>4.7500000000000001E-2</v>
      </c>
      <c r="C2752">
        <f>4.149/(100)</f>
        <v>4.1489999999999999E-2</v>
      </c>
    </row>
    <row r="2753" spans="1:3" x14ac:dyDescent="0.3">
      <c r="A2753" s="2">
        <v>40008</v>
      </c>
      <c r="B2753">
        <f>4.75/(100)</f>
        <v>4.7500000000000001E-2</v>
      </c>
      <c r="C2753">
        <f>4.099/(100)</f>
        <v>4.0989999999999999E-2</v>
      </c>
    </row>
    <row r="2754" spans="1:3" x14ac:dyDescent="0.3">
      <c r="A2754" s="2">
        <v>40009</v>
      </c>
      <c r="B2754">
        <f>4.75/(100)</f>
        <v>4.7500000000000001E-2</v>
      </c>
      <c r="C2754">
        <f>4.092/(100)</f>
        <v>4.0919999999999998E-2</v>
      </c>
    </row>
    <row r="2755" spans="1:3" x14ac:dyDescent="0.3">
      <c r="A2755" s="2">
        <v>40010</v>
      </c>
      <c r="B2755">
        <f>4.75/(100)</f>
        <v>4.7500000000000001E-2</v>
      </c>
      <c r="C2755">
        <f>4.107/(100)</f>
        <v>4.1070000000000002E-2</v>
      </c>
    </row>
    <row r="2756" spans="1:3" x14ac:dyDescent="0.3">
      <c r="A2756" s="2">
        <v>40011</v>
      </c>
      <c r="B2756">
        <f>4.75/(100)</f>
        <v>4.7500000000000001E-2</v>
      </c>
      <c r="C2756">
        <f>4.053/(100)</f>
        <v>4.0529999999999997E-2</v>
      </c>
    </row>
    <row r="2757" spans="1:3" x14ac:dyDescent="0.3">
      <c r="A2757" s="2">
        <v>40012</v>
      </c>
      <c r="B2757">
        <f>4.75/(100)</f>
        <v>4.7500000000000001E-2</v>
      </c>
      <c r="C2757">
        <f>4.053/(100)</f>
        <v>4.0529999999999997E-2</v>
      </c>
    </row>
    <row r="2758" spans="1:3" x14ac:dyDescent="0.3">
      <c r="A2758" s="2">
        <v>40013</v>
      </c>
      <c r="B2758">
        <f>4.75/(100)</f>
        <v>4.7500000000000001E-2</v>
      </c>
      <c r="C2758">
        <f>4.053/(100)</f>
        <v>4.0529999999999997E-2</v>
      </c>
    </row>
    <row r="2759" spans="1:3" x14ac:dyDescent="0.3">
      <c r="A2759" s="2">
        <v>40014</v>
      </c>
      <c r="B2759">
        <f>4.75/(100)</f>
        <v>4.7500000000000001E-2</v>
      </c>
      <c r="C2759">
        <f>4.097/(100)</f>
        <v>4.0970000000000006E-2</v>
      </c>
    </row>
    <row r="2760" spans="1:3" x14ac:dyDescent="0.3">
      <c r="A2760" s="2">
        <v>40015</v>
      </c>
      <c r="B2760">
        <f>4.75/(100)</f>
        <v>4.7500000000000001E-2</v>
      </c>
      <c r="C2760">
        <f>4.055/(100)</f>
        <v>4.0549999999999996E-2</v>
      </c>
    </row>
    <row r="2761" spans="1:3" x14ac:dyDescent="0.3">
      <c r="A2761" s="2">
        <v>40016</v>
      </c>
      <c r="B2761">
        <f>4.75/(100)</f>
        <v>4.7500000000000001E-2</v>
      </c>
      <c r="C2761">
        <f>4.099/(100)</f>
        <v>4.0989999999999999E-2</v>
      </c>
    </row>
    <row r="2762" spans="1:3" x14ac:dyDescent="0.3">
      <c r="A2762" s="2">
        <v>40017</v>
      </c>
      <c r="B2762">
        <f>4.75/(100)</f>
        <v>4.7500000000000001E-2</v>
      </c>
      <c r="C2762">
        <f>4.06/(100)</f>
        <v>4.0599999999999997E-2</v>
      </c>
    </row>
    <row r="2763" spans="1:3" x14ac:dyDescent="0.3">
      <c r="A2763" s="2">
        <v>40018</v>
      </c>
      <c r="B2763">
        <f>4.75/(100)</f>
        <v>4.7500000000000001E-2</v>
      </c>
      <c r="C2763">
        <f>4.067/(100)</f>
        <v>4.0670000000000005E-2</v>
      </c>
    </row>
    <row r="2764" spans="1:3" x14ac:dyDescent="0.3">
      <c r="A2764" s="2">
        <v>40019</v>
      </c>
      <c r="B2764">
        <f>4.75/(100)</f>
        <v>4.7500000000000001E-2</v>
      </c>
      <c r="C2764">
        <f>4.067/(100)</f>
        <v>4.0670000000000005E-2</v>
      </c>
    </row>
    <row r="2765" spans="1:3" x14ac:dyDescent="0.3">
      <c r="A2765" s="2">
        <v>40020</v>
      </c>
      <c r="B2765">
        <f>4.75/(100)</f>
        <v>4.7500000000000001E-2</v>
      </c>
      <c r="C2765">
        <f>4.067/(100)</f>
        <v>4.0670000000000005E-2</v>
      </c>
    </row>
    <row r="2766" spans="1:3" x14ac:dyDescent="0.3">
      <c r="A2766" s="2">
        <v>40021</v>
      </c>
      <c r="B2766">
        <f>4.75/(100)</f>
        <v>4.7500000000000001E-2</v>
      </c>
      <c r="C2766">
        <f>4.043/(100)</f>
        <v>4.0430000000000001E-2</v>
      </c>
    </row>
    <row r="2767" spans="1:3" x14ac:dyDescent="0.3">
      <c r="A2767" s="2">
        <v>40022</v>
      </c>
      <c r="B2767">
        <f>4.75/(100)</f>
        <v>4.7500000000000001E-2</v>
      </c>
      <c r="C2767">
        <f>4.041/(100)</f>
        <v>4.0410000000000001E-2</v>
      </c>
    </row>
    <row r="2768" spans="1:3" x14ac:dyDescent="0.3">
      <c r="A2768" s="2">
        <v>40023</v>
      </c>
      <c r="B2768">
        <f>4.75/(100)</f>
        <v>4.7500000000000001E-2</v>
      </c>
      <c r="C2768">
        <f>4.062/(100)</f>
        <v>4.0620000000000003E-2</v>
      </c>
    </row>
    <row r="2769" spans="1:3" x14ac:dyDescent="0.3">
      <c r="A2769" s="2">
        <v>40024</v>
      </c>
      <c r="B2769">
        <f>4.75/(100)</f>
        <v>4.7500000000000001E-2</v>
      </c>
      <c r="C2769">
        <f>4.027/(100)</f>
        <v>4.027E-2</v>
      </c>
    </row>
    <row r="2770" spans="1:3" x14ac:dyDescent="0.3">
      <c r="A2770" s="2">
        <v>40025</v>
      </c>
      <c r="B2770">
        <f>4.75/(100)</f>
        <v>4.7500000000000001E-2</v>
      </c>
      <c r="C2770">
        <f>4.077/(100)</f>
        <v>4.0770000000000001E-2</v>
      </c>
    </row>
    <row r="2771" spans="1:3" x14ac:dyDescent="0.3">
      <c r="A2771" s="2">
        <v>40026</v>
      </c>
      <c r="B2771">
        <f>4.75/(100)</f>
        <v>4.7500000000000001E-2</v>
      </c>
      <c r="C2771">
        <f>4.077/(100)</f>
        <v>4.0770000000000001E-2</v>
      </c>
    </row>
    <row r="2772" spans="1:3" x14ac:dyDescent="0.3">
      <c r="A2772" s="2">
        <v>40027</v>
      </c>
      <c r="B2772">
        <f>4.75/(100)</f>
        <v>4.7500000000000001E-2</v>
      </c>
      <c r="C2772">
        <f>4.077/(100)</f>
        <v>4.0770000000000001E-2</v>
      </c>
    </row>
    <row r="2773" spans="1:3" x14ac:dyDescent="0.3">
      <c r="A2773" s="2">
        <v>40028</v>
      </c>
      <c r="B2773">
        <f>4.75/(100)</f>
        <v>4.7500000000000001E-2</v>
      </c>
      <c r="C2773">
        <f>4.16/(100)</f>
        <v>4.1599999999999998E-2</v>
      </c>
    </row>
    <row r="2774" spans="1:3" x14ac:dyDescent="0.3">
      <c r="A2774" s="2">
        <v>40029</v>
      </c>
      <c r="B2774">
        <f>4.75/(100)</f>
        <v>4.7500000000000001E-2</v>
      </c>
      <c r="C2774">
        <f>4.126/(100)</f>
        <v>4.1260000000000005E-2</v>
      </c>
    </row>
    <row r="2775" spans="1:3" x14ac:dyDescent="0.3">
      <c r="A2775" s="2">
        <v>40030</v>
      </c>
      <c r="B2775">
        <f>4.75/(100)</f>
        <v>4.7500000000000001E-2</v>
      </c>
      <c r="C2775">
        <f>4.381/(100)</f>
        <v>4.3810000000000002E-2</v>
      </c>
    </row>
    <row r="2776" spans="1:3" x14ac:dyDescent="0.3">
      <c r="A2776" s="2">
        <v>40031</v>
      </c>
      <c r="B2776">
        <f>4.75/(100)</f>
        <v>4.7500000000000001E-2</v>
      </c>
      <c r="C2776">
        <f>4.254/(100)</f>
        <v>4.2539999999999994E-2</v>
      </c>
    </row>
    <row r="2777" spans="1:3" x14ac:dyDescent="0.3">
      <c r="A2777" s="2">
        <v>40032</v>
      </c>
      <c r="B2777">
        <f>4.75/(100)</f>
        <v>4.7500000000000001E-2</v>
      </c>
      <c r="C2777">
        <f>4.226/(100)</f>
        <v>4.2259999999999999E-2</v>
      </c>
    </row>
    <row r="2778" spans="1:3" x14ac:dyDescent="0.3">
      <c r="A2778" s="2">
        <v>40033</v>
      </c>
      <c r="B2778">
        <f>4.75/(100)</f>
        <v>4.7500000000000001E-2</v>
      </c>
      <c r="C2778">
        <f>4.226/(100)</f>
        <v>4.2259999999999999E-2</v>
      </c>
    </row>
    <row r="2779" spans="1:3" x14ac:dyDescent="0.3">
      <c r="A2779" s="2">
        <v>40034</v>
      </c>
      <c r="B2779">
        <f>4.75/(100)</f>
        <v>4.7500000000000001E-2</v>
      </c>
      <c r="C2779">
        <f>4.226/(100)</f>
        <v>4.2259999999999999E-2</v>
      </c>
    </row>
    <row r="2780" spans="1:3" x14ac:dyDescent="0.3">
      <c r="A2780" s="2">
        <v>40035</v>
      </c>
      <c r="B2780">
        <f>4.75/(100)</f>
        <v>4.7500000000000001E-2</v>
      </c>
      <c r="C2780">
        <f>4.44/(100)</f>
        <v>4.4400000000000002E-2</v>
      </c>
    </row>
    <row r="2781" spans="1:3" x14ac:dyDescent="0.3">
      <c r="A2781" s="2">
        <v>40036</v>
      </c>
      <c r="B2781">
        <f>4.75/(100)</f>
        <v>4.7500000000000001E-2</v>
      </c>
      <c r="C2781">
        <f>4.347/(100)</f>
        <v>4.3470000000000002E-2</v>
      </c>
    </row>
    <row r="2782" spans="1:3" x14ac:dyDescent="0.3">
      <c r="A2782" s="2">
        <v>40037</v>
      </c>
      <c r="B2782">
        <f>4.75/(100)</f>
        <v>4.7500000000000001E-2</v>
      </c>
      <c r="C2782">
        <f>4.358/(100)</f>
        <v>4.3579999999999994E-2</v>
      </c>
    </row>
    <row r="2783" spans="1:3" x14ac:dyDescent="0.3">
      <c r="A2783" s="2">
        <v>40038</v>
      </c>
      <c r="B2783">
        <f>4.75/(100)</f>
        <v>4.7500000000000001E-2</v>
      </c>
      <c r="C2783">
        <f>4.33/(100)</f>
        <v>4.3299999999999998E-2</v>
      </c>
    </row>
    <row r="2784" spans="1:3" x14ac:dyDescent="0.3">
      <c r="A2784" s="2">
        <v>40039</v>
      </c>
      <c r="B2784">
        <f>4.75/(100)</f>
        <v>4.7500000000000001E-2</v>
      </c>
      <c r="C2784">
        <f>4.286/(100)</f>
        <v>4.2859999999999995E-2</v>
      </c>
    </row>
    <row r="2785" spans="1:3" x14ac:dyDescent="0.3">
      <c r="A2785" s="2">
        <v>40040</v>
      </c>
      <c r="B2785">
        <f>4.75/(100)</f>
        <v>4.7500000000000001E-2</v>
      </c>
      <c r="C2785">
        <f>4.286/(100)</f>
        <v>4.2859999999999995E-2</v>
      </c>
    </row>
    <row r="2786" spans="1:3" x14ac:dyDescent="0.3">
      <c r="A2786" s="2">
        <v>40041</v>
      </c>
      <c r="B2786">
        <f>4.75/(100)</f>
        <v>4.7500000000000001E-2</v>
      </c>
      <c r="C2786">
        <f>4.286/(100)</f>
        <v>4.2859999999999995E-2</v>
      </c>
    </row>
    <row r="2787" spans="1:3" x14ac:dyDescent="0.3">
      <c r="A2787" s="2">
        <v>40042</v>
      </c>
      <c r="B2787">
        <f>4.75/(100)</f>
        <v>4.7500000000000001E-2</v>
      </c>
      <c r="C2787">
        <f>4.468/(100)</f>
        <v>4.4679999999999997E-2</v>
      </c>
    </row>
    <row r="2788" spans="1:3" x14ac:dyDescent="0.3">
      <c r="A2788" s="2">
        <v>40043</v>
      </c>
      <c r="B2788">
        <f>4.75/(100)</f>
        <v>4.7500000000000001E-2</v>
      </c>
      <c r="C2788">
        <f>4.522/(100)</f>
        <v>4.5220000000000003E-2</v>
      </c>
    </row>
    <row r="2789" spans="1:3" x14ac:dyDescent="0.3">
      <c r="A2789" s="2">
        <v>40044</v>
      </c>
      <c r="B2789">
        <f>4.75/(100)</f>
        <v>4.7500000000000001E-2</v>
      </c>
      <c r="C2789">
        <f>4.522/(100)</f>
        <v>4.5220000000000003E-2</v>
      </c>
    </row>
    <row r="2790" spans="1:3" x14ac:dyDescent="0.3">
      <c r="A2790" s="2">
        <v>40045</v>
      </c>
      <c r="B2790">
        <f>4.75/(100)</f>
        <v>4.7500000000000001E-2</v>
      </c>
      <c r="C2790">
        <f>4.51/(100)</f>
        <v>4.5100000000000001E-2</v>
      </c>
    </row>
    <row r="2791" spans="1:3" x14ac:dyDescent="0.3">
      <c r="A2791" s="2">
        <v>40046</v>
      </c>
      <c r="B2791">
        <f>4.75/(100)</f>
        <v>4.7500000000000001E-2</v>
      </c>
      <c r="C2791">
        <f>4.546/(100)</f>
        <v>4.546E-2</v>
      </c>
    </row>
    <row r="2792" spans="1:3" x14ac:dyDescent="0.3">
      <c r="A2792" s="2">
        <v>40047</v>
      </c>
      <c r="B2792">
        <f>4.75/(100)</f>
        <v>4.7500000000000001E-2</v>
      </c>
      <c r="C2792">
        <f>4.546/(100)</f>
        <v>4.546E-2</v>
      </c>
    </row>
    <row r="2793" spans="1:3" x14ac:dyDescent="0.3">
      <c r="A2793" s="2">
        <v>40048</v>
      </c>
      <c r="B2793">
        <f>4.75/(100)</f>
        <v>4.7500000000000001E-2</v>
      </c>
      <c r="C2793">
        <f>4.546/(100)</f>
        <v>4.546E-2</v>
      </c>
    </row>
    <row r="2794" spans="1:3" x14ac:dyDescent="0.3">
      <c r="A2794" s="2">
        <v>40049</v>
      </c>
      <c r="B2794">
        <f>4.75/(100)</f>
        <v>4.7500000000000001E-2</v>
      </c>
      <c r="C2794">
        <f>4.526/(100)</f>
        <v>4.5259999999999995E-2</v>
      </c>
    </row>
    <row r="2795" spans="1:3" x14ac:dyDescent="0.3">
      <c r="A2795" s="2">
        <v>40050</v>
      </c>
      <c r="B2795">
        <f>4.75/(100)</f>
        <v>4.7500000000000001E-2</v>
      </c>
      <c r="C2795">
        <f>4.52/(100)</f>
        <v>4.5199999999999997E-2</v>
      </c>
    </row>
    <row r="2796" spans="1:3" x14ac:dyDescent="0.3">
      <c r="A2796" s="2">
        <v>40051</v>
      </c>
      <c r="B2796">
        <f>4.75/(100)</f>
        <v>4.7500000000000001E-2</v>
      </c>
      <c r="C2796">
        <f>4.491/(100)</f>
        <v>4.4909999999999999E-2</v>
      </c>
    </row>
    <row r="2797" spans="1:3" x14ac:dyDescent="0.3">
      <c r="A2797" s="2">
        <v>40052</v>
      </c>
      <c r="B2797">
        <f>4.75/(100)</f>
        <v>4.7500000000000001E-2</v>
      </c>
      <c r="C2797">
        <f>4.615/(100)</f>
        <v>4.6150000000000004E-2</v>
      </c>
    </row>
    <row r="2798" spans="1:3" x14ac:dyDescent="0.3">
      <c r="A2798" s="2">
        <v>40053</v>
      </c>
      <c r="B2798">
        <f>4.75/(100)</f>
        <v>4.7500000000000001E-2</v>
      </c>
      <c r="C2798">
        <f>4.758/(100)</f>
        <v>4.7579999999999997E-2</v>
      </c>
    </row>
    <row r="2799" spans="1:3" x14ac:dyDescent="0.3">
      <c r="A2799" s="2">
        <v>40054</v>
      </c>
      <c r="B2799">
        <f>4.75/(100)</f>
        <v>4.7500000000000001E-2</v>
      </c>
      <c r="C2799">
        <f>4.758/(100)</f>
        <v>4.7579999999999997E-2</v>
      </c>
    </row>
    <row r="2800" spans="1:3" x14ac:dyDescent="0.3">
      <c r="A2800" s="2">
        <v>40055</v>
      </c>
      <c r="B2800">
        <f>4.75/(100)</f>
        <v>4.7500000000000001E-2</v>
      </c>
      <c r="C2800">
        <f>4.758/(100)</f>
        <v>4.7579999999999997E-2</v>
      </c>
    </row>
    <row r="2801" spans="1:3" x14ac:dyDescent="0.3">
      <c r="A2801" s="2">
        <v>40056</v>
      </c>
      <c r="B2801">
        <f>4.75/(100)</f>
        <v>4.7500000000000001E-2</v>
      </c>
      <c r="C2801">
        <f>4.636/(100)</f>
        <v>4.6359999999999998E-2</v>
      </c>
    </row>
    <row r="2802" spans="1:3" x14ac:dyDescent="0.3">
      <c r="A2802" s="2">
        <v>40057</v>
      </c>
      <c r="B2802">
        <f>4.75/(100)</f>
        <v>4.7500000000000001E-2</v>
      </c>
      <c r="C2802">
        <f>4.772/(100)</f>
        <v>4.7720000000000005E-2</v>
      </c>
    </row>
    <row r="2803" spans="1:3" x14ac:dyDescent="0.3">
      <c r="A2803" s="2">
        <v>40058</v>
      </c>
      <c r="B2803">
        <f>4.75/(100)</f>
        <v>4.7500000000000001E-2</v>
      </c>
      <c r="C2803">
        <f>4.748/(100)</f>
        <v>4.7480000000000001E-2</v>
      </c>
    </row>
    <row r="2804" spans="1:3" x14ac:dyDescent="0.3">
      <c r="A2804" s="2">
        <v>40059</v>
      </c>
      <c r="B2804">
        <f>4.75/(100)</f>
        <v>4.7500000000000001E-2</v>
      </c>
      <c r="C2804">
        <f>4.81/(100)</f>
        <v>4.8099999999999997E-2</v>
      </c>
    </row>
    <row r="2805" spans="1:3" x14ac:dyDescent="0.3">
      <c r="A2805" s="2">
        <v>40060</v>
      </c>
      <c r="B2805">
        <f>4.75/(100)</f>
        <v>4.7500000000000001E-2</v>
      </c>
      <c r="C2805">
        <f>4.832/(100)</f>
        <v>4.8320000000000002E-2</v>
      </c>
    </row>
    <row r="2806" spans="1:3" x14ac:dyDescent="0.3">
      <c r="A2806" s="2">
        <v>40061</v>
      </c>
      <c r="B2806">
        <f>4.75/(100)</f>
        <v>4.7500000000000001E-2</v>
      </c>
      <c r="C2806">
        <f>4.832/(100)</f>
        <v>4.8320000000000002E-2</v>
      </c>
    </row>
    <row r="2807" spans="1:3" x14ac:dyDescent="0.3">
      <c r="A2807" s="2">
        <v>40062</v>
      </c>
      <c r="B2807">
        <f>4.75/(100)</f>
        <v>4.7500000000000001E-2</v>
      </c>
      <c r="C2807">
        <f>4.832/(100)</f>
        <v>4.8320000000000002E-2</v>
      </c>
    </row>
    <row r="2808" spans="1:3" x14ac:dyDescent="0.3">
      <c r="A2808" s="2">
        <v>40063</v>
      </c>
      <c r="B2808">
        <f>4.75/(100)</f>
        <v>4.7500000000000001E-2</v>
      </c>
      <c r="C2808">
        <f>4.807/(100)</f>
        <v>4.8070000000000002E-2</v>
      </c>
    </row>
    <row r="2809" spans="1:3" x14ac:dyDescent="0.3">
      <c r="A2809" s="2">
        <v>40064</v>
      </c>
      <c r="B2809">
        <f>4.75/(100)</f>
        <v>4.7500000000000001E-2</v>
      </c>
      <c r="C2809">
        <f>4.72/(100)</f>
        <v>4.7199999999999999E-2</v>
      </c>
    </row>
    <row r="2810" spans="1:3" x14ac:dyDescent="0.3">
      <c r="A2810" s="2">
        <v>40065</v>
      </c>
      <c r="B2810">
        <f>4.75/(100)</f>
        <v>4.7500000000000001E-2</v>
      </c>
      <c r="C2810">
        <f>4.785/(100)</f>
        <v>4.7850000000000004E-2</v>
      </c>
    </row>
    <row r="2811" spans="1:3" x14ac:dyDescent="0.3">
      <c r="A2811" s="2">
        <v>40066</v>
      </c>
      <c r="B2811">
        <f>4.75/(100)</f>
        <v>4.7500000000000001E-2</v>
      </c>
      <c r="C2811">
        <f>4.677/(100)</f>
        <v>4.6769999999999999E-2</v>
      </c>
    </row>
    <row r="2812" spans="1:3" x14ac:dyDescent="0.3">
      <c r="A2812" s="2">
        <v>40067</v>
      </c>
      <c r="B2812">
        <f>4.75/(100)</f>
        <v>4.7500000000000001E-2</v>
      </c>
      <c r="C2812">
        <f>4.62/(100)</f>
        <v>4.6199999999999998E-2</v>
      </c>
    </row>
    <row r="2813" spans="1:3" x14ac:dyDescent="0.3">
      <c r="A2813" s="2">
        <v>40068</v>
      </c>
      <c r="B2813">
        <f>4.75/(100)</f>
        <v>4.7500000000000001E-2</v>
      </c>
      <c r="C2813">
        <f>4.62/(100)</f>
        <v>4.6199999999999998E-2</v>
      </c>
    </row>
    <row r="2814" spans="1:3" x14ac:dyDescent="0.3">
      <c r="A2814" s="2">
        <v>40069</v>
      </c>
      <c r="B2814">
        <f>4.75/(100)</f>
        <v>4.7500000000000001E-2</v>
      </c>
      <c r="C2814">
        <f>4.62/(100)</f>
        <v>4.6199999999999998E-2</v>
      </c>
    </row>
    <row r="2815" spans="1:3" x14ac:dyDescent="0.3">
      <c r="A2815" s="2">
        <v>40070</v>
      </c>
      <c r="B2815">
        <f>4.75/(100)</f>
        <v>4.7500000000000001E-2</v>
      </c>
      <c r="C2815">
        <f>4.515/(100)</f>
        <v>4.5149999999999996E-2</v>
      </c>
    </row>
    <row r="2816" spans="1:3" x14ac:dyDescent="0.3">
      <c r="A2816" s="2">
        <v>40071</v>
      </c>
      <c r="B2816">
        <f>4.75/(100)</f>
        <v>4.7500000000000001E-2</v>
      </c>
      <c r="C2816">
        <f>4.595/(100)</f>
        <v>4.5949999999999998E-2</v>
      </c>
    </row>
    <row r="2817" spans="1:3" x14ac:dyDescent="0.3">
      <c r="A2817" s="2">
        <v>40072</v>
      </c>
      <c r="B2817">
        <f>4.75/(100)</f>
        <v>4.7500000000000001E-2</v>
      </c>
      <c r="C2817">
        <f>4.689/(100)</f>
        <v>4.6890000000000001E-2</v>
      </c>
    </row>
    <row r="2818" spans="1:3" x14ac:dyDescent="0.3">
      <c r="A2818" s="2">
        <v>40073</v>
      </c>
      <c r="B2818">
        <f>4.75/(100)</f>
        <v>4.7500000000000001E-2</v>
      </c>
      <c r="C2818">
        <f>4.558/(100)</f>
        <v>4.5579999999999996E-2</v>
      </c>
    </row>
    <row r="2819" spans="1:3" x14ac:dyDescent="0.3">
      <c r="A2819" s="2">
        <v>40074</v>
      </c>
      <c r="B2819">
        <f>4.75/(100)</f>
        <v>4.7500000000000001E-2</v>
      </c>
      <c r="C2819">
        <f>4.458/(100)</f>
        <v>4.4580000000000002E-2</v>
      </c>
    </row>
    <row r="2820" spans="1:3" x14ac:dyDescent="0.3">
      <c r="A2820" s="2">
        <v>40075</v>
      </c>
      <c r="B2820">
        <f>4.75/(100)</f>
        <v>4.7500000000000001E-2</v>
      </c>
      <c r="C2820">
        <f>4.458/(100)</f>
        <v>4.4580000000000002E-2</v>
      </c>
    </row>
    <row r="2821" spans="1:3" x14ac:dyDescent="0.3">
      <c r="A2821" s="2">
        <v>40076</v>
      </c>
      <c r="B2821">
        <f>4.75/(100)</f>
        <v>4.7500000000000001E-2</v>
      </c>
      <c r="C2821">
        <f>4.458/(100)</f>
        <v>4.4580000000000002E-2</v>
      </c>
    </row>
    <row r="2822" spans="1:3" x14ac:dyDescent="0.3">
      <c r="A2822" s="2">
        <v>40077</v>
      </c>
      <c r="B2822">
        <f>4.75/(100)</f>
        <v>4.7500000000000001E-2</v>
      </c>
      <c r="C2822">
        <f>4.458/(100)</f>
        <v>4.4580000000000002E-2</v>
      </c>
    </row>
    <row r="2823" spans="1:3" x14ac:dyDescent="0.3">
      <c r="A2823" s="2">
        <v>40078</v>
      </c>
      <c r="B2823">
        <f>4.75/(100)</f>
        <v>4.7500000000000001E-2</v>
      </c>
      <c r="C2823">
        <f>4.46/(100)</f>
        <v>4.4600000000000001E-2</v>
      </c>
    </row>
    <row r="2824" spans="1:3" x14ac:dyDescent="0.3">
      <c r="A2824" s="2">
        <v>40079</v>
      </c>
      <c r="B2824">
        <f>4.75/(100)</f>
        <v>4.7500000000000001E-2</v>
      </c>
      <c r="C2824">
        <f>4.579/(100)</f>
        <v>4.5789999999999997E-2</v>
      </c>
    </row>
    <row r="2825" spans="1:3" x14ac:dyDescent="0.3">
      <c r="A2825" s="2">
        <v>40080</v>
      </c>
      <c r="B2825">
        <f>4.75/(100)</f>
        <v>4.7500000000000001E-2</v>
      </c>
      <c r="C2825">
        <f>4.431/(100)</f>
        <v>4.4310000000000002E-2</v>
      </c>
    </row>
    <row r="2826" spans="1:3" x14ac:dyDescent="0.3">
      <c r="A2826" s="2">
        <v>40081</v>
      </c>
      <c r="B2826">
        <f>4.75/(100)</f>
        <v>4.7500000000000001E-2</v>
      </c>
      <c r="C2826">
        <f>4.381/(100)</f>
        <v>4.3810000000000002E-2</v>
      </c>
    </row>
    <row r="2827" spans="1:3" x14ac:dyDescent="0.3">
      <c r="A2827" s="2">
        <v>40082</v>
      </c>
      <c r="B2827">
        <f>4.75/(100)</f>
        <v>4.7500000000000001E-2</v>
      </c>
      <c r="C2827">
        <f>4.381/(100)</f>
        <v>4.3810000000000002E-2</v>
      </c>
    </row>
    <row r="2828" spans="1:3" x14ac:dyDescent="0.3">
      <c r="A2828" s="2">
        <v>40083</v>
      </c>
      <c r="B2828">
        <f>4.75/(100)</f>
        <v>4.7500000000000001E-2</v>
      </c>
      <c r="C2828">
        <f>4.381/(100)</f>
        <v>4.3810000000000002E-2</v>
      </c>
    </row>
    <row r="2829" spans="1:3" x14ac:dyDescent="0.3">
      <c r="A2829" s="2">
        <v>40084</v>
      </c>
      <c r="B2829">
        <f>4.75/(100)</f>
        <v>4.7500000000000001E-2</v>
      </c>
      <c r="C2829">
        <f>4.381/(100)</f>
        <v>4.3810000000000002E-2</v>
      </c>
    </row>
    <row r="2830" spans="1:3" x14ac:dyDescent="0.3">
      <c r="A2830" s="2">
        <v>40085</v>
      </c>
      <c r="B2830">
        <f>4.75/(100)</f>
        <v>4.7500000000000001E-2</v>
      </c>
      <c r="C2830">
        <f>4.395/(100)</f>
        <v>4.3949999999999996E-2</v>
      </c>
    </row>
    <row r="2831" spans="1:3" x14ac:dyDescent="0.3">
      <c r="A2831" s="2">
        <v>40086</v>
      </c>
      <c r="B2831">
        <f>4.75/(100)</f>
        <v>4.7500000000000001E-2</v>
      </c>
      <c r="C2831">
        <f>4.395/(100)</f>
        <v>4.3949999999999996E-2</v>
      </c>
    </row>
    <row r="2832" spans="1:3" x14ac:dyDescent="0.3">
      <c r="A2832" s="2">
        <v>40087</v>
      </c>
      <c r="B2832">
        <f>4.75/(100)</f>
        <v>4.7500000000000001E-2</v>
      </c>
      <c r="C2832">
        <f>4.504/(100)</f>
        <v>4.5039999999999997E-2</v>
      </c>
    </row>
    <row r="2833" spans="1:3" x14ac:dyDescent="0.3">
      <c r="A2833" s="2">
        <v>40088</v>
      </c>
      <c r="B2833">
        <f>4.75/(100)</f>
        <v>4.7500000000000001E-2</v>
      </c>
      <c r="C2833">
        <f>4.504/(100)</f>
        <v>4.5039999999999997E-2</v>
      </c>
    </row>
    <row r="2834" spans="1:3" x14ac:dyDescent="0.3">
      <c r="A2834" s="2">
        <v>40089</v>
      </c>
      <c r="B2834">
        <f>4.75/(100)</f>
        <v>4.7500000000000001E-2</v>
      </c>
      <c r="C2834">
        <f>4.504/(100)</f>
        <v>4.5039999999999997E-2</v>
      </c>
    </row>
    <row r="2835" spans="1:3" x14ac:dyDescent="0.3">
      <c r="A2835" s="2">
        <v>40090</v>
      </c>
      <c r="B2835">
        <f>4.75/(100)</f>
        <v>4.7500000000000001E-2</v>
      </c>
      <c r="C2835">
        <f>4.504/(100)</f>
        <v>4.5039999999999997E-2</v>
      </c>
    </row>
    <row r="2836" spans="1:3" x14ac:dyDescent="0.3">
      <c r="A2836" s="2">
        <v>40091</v>
      </c>
      <c r="B2836">
        <f>4.75/(100)</f>
        <v>4.7500000000000001E-2</v>
      </c>
      <c r="C2836">
        <f>4.426/(100)</f>
        <v>4.4260000000000001E-2</v>
      </c>
    </row>
    <row r="2837" spans="1:3" x14ac:dyDescent="0.3">
      <c r="A2837" s="2">
        <v>40092</v>
      </c>
      <c r="B2837">
        <f>4.75/(100)</f>
        <v>4.7500000000000001E-2</v>
      </c>
      <c r="C2837">
        <f>4.411/(100)</f>
        <v>4.4109999999999996E-2</v>
      </c>
    </row>
    <row r="2838" spans="1:3" x14ac:dyDescent="0.3">
      <c r="A2838" s="2">
        <v>40093</v>
      </c>
      <c r="B2838">
        <f>4.75/(100)</f>
        <v>4.7500000000000001E-2</v>
      </c>
      <c r="C2838">
        <f>4.502/(100)</f>
        <v>4.5019999999999998E-2</v>
      </c>
    </row>
    <row r="2839" spans="1:3" x14ac:dyDescent="0.3">
      <c r="A2839" s="2">
        <v>40094</v>
      </c>
      <c r="B2839">
        <f>4.75/(100)</f>
        <v>4.7500000000000001E-2</v>
      </c>
      <c r="C2839">
        <f>4.481/(100)</f>
        <v>4.4809999999999996E-2</v>
      </c>
    </row>
    <row r="2840" spans="1:3" x14ac:dyDescent="0.3">
      <c r="A2840" s="2">
        <v>40095</v>
      </c>
      <c r="B2840">
        <f>4.75/(100)</f>
        <v>4.7500000000000001E-2</v>
      </c>
      <c r="C2840">
        <f>4.379/(100)</f>
        <v>4.3789999999999996E-2</v>
      </c>
    </row>
    <row r="2841" spans="1:3" x14ac:dyDescent="0.3">
      <c r="A2841" s="2">
        <v>40096</v>
      </c>
      <c r="B2841">
        <f>4.75/(100)</f>
        <v>4.7500000000000001E-2</v>
      </c>
      <c r="C2841">
        <f>4.379/(100)</f>
        <v>4.3789999999999996E-2</v>
      </c>
    </row>
    <row r="2842" spans="1:3" x14ac:dyDescent="0.3">
      <c r="A2842" s="2">
        <v>40097</v>
      </c>
      <c r="B2842">
        <f>4.75/(100)</f>
        <v>4.7500000000000001E-2</v>
      </c>
      <c r="C2842">
        <f>4.379/(100)</f>
        <v>4.3789999999999996E-2</v>
      </c>
    </row>
    <row r="2843" spans="1:3" x14ac:dyDescent="0.3">
      <c r="A2843" s="2">
        <v>40098</v>
      </c>
      <c r="B2843">
        <f>4.75/(100)</f>
        <v>4.7500000000000001E-2</v>
      </c>
      <c r="C2843">
        <f>4.479/(100)</f>
        <v>4.4790000000000003E-2</v>
      </c>
    </row>
    <row r="2844" spans="1:3" x14ac:dyDescent="0.3">
      <c r="A2844" s="2">
        <v>40099</v>
      </c>
      <c r="B2844">
        <f>4.75/(100)</f>
        <v>4.7500000000000001E-2</v>
      </c>
      <c r="C2844">
        <f>4.479/(100)</f>
        <v>4.4790000000000003E-2</v>
      </c>
    </row>
    <row r="2845" spans="1:3" x14ac:dyDescent="0.3">
      <c r="A2845" s="2">
        <v>40100</v>
      </c>
      <c r="B2845">
        <f>4.75/(100)</f>
        <v>4.7500000000000001E-2</v>
      </c>
      <c r="C2845">
        <f>4.504/(100)</f>
        <v>4.5039999999999997E-2</v>
      </c>
    </row>
    <row r="2846" spans="1:3" x14ac:dyDescent="0.3">
      <c r="A2846" s="2">
        <v>40101</v>
      </c>
      <c r="B2846">
        <f>4.75/(100)</f>
        <v>4.7500000000000001E-2</v>
      </c>
      <c r="C2846">
        <f>4.555/(100)</f>
        <v>4.555E-2</v>
      </c>
    </row>
    <row r="2847" spans="1:3" x14ac:dyDescent="0.3">
      <c r="A2847" s="2">
        <v>40102</v>
      </c>
      <c r="B2847">
        <f>4.75/(100)</f>
        <v>4.7500000000000001E-2</v>
      </c>
      <c r="C2847">
        <f>4.536/(100)</f>
        <v>4.5359999999999998E-2</v>
      </c>
    </row>
    <row r="2848" spans="1:3" x14ac:dyDescent="0.3">
      <c r="A2848" s="2">
        <v>40103</v>
      </c>
      <c r="B2848">
        <f>4.75/(100)</f>
        <v>4.7500000000000001E-2</v>
      </c>
      <c r="C2848">
        <f>4.536/(100)</f>
        <v>4.5359999999999998E-2</v>
      </c>
    </row>
    <row r="2849" spans="1:3" x14ac:dyDescent="0.3">
      <c r="A2849" s="2">
        <v>40104</v>
      </c>
      <c r="B2849">
        <f>4.75/(100)</f>
        <v>4.7500000000000001E-2</v>
      </c>
      <c r="C2849">
        <f>4.536/(100)</f>
        <v>4.5359999999999998E-2</v>
      </c>
    </row>
    <row r="2850" spans="1:3" x14ac:dyDescent="0.3">
      <c r="A2850" s="2">
        <v>40105</v>
      </c>
      <c r="B2850">
        <f>4.75/(100)</f>
        <v>4.7500000000000001E-2</v>
      </c>
      <c r="C2850">
        <f>4.536/(100)</f>
        <v>4.5359999999999998E-2</v>
      </c>
    </row>
    <row r="2851" spans="1:3" x14ac:dyDescent="0.3">
      <c r="A2851" s="2">
        <v>40106</v>
      </c>
      <c r="B2851">
        <f>4.75/(100)</f>
        <v>4.7500000000000001E-2</v>
      </c>
      <c r="C2851">
        <f>4.485/(100)</f>
        <v>4.4850000000000001E-2</v>
      </c>
    </row>
    <row r="2852" spans="1:3" x14ac:dyDescent="0.3">
      <c r="A2852" s="2">
        <v>40107</v>
      </c>
      <c r="B2852">
        <f>4.75/(100)</f>
        <v>4.7500000000000001E-2</v>
      </c>
      <c r="C2852">
        <f>4.482/(100)</f>
        <v>4.4819999999999999E-2</v>
      </c>
    </row>
    <row r="2853" spans="1:3" x14ac:dyDescent="0.3">
      <c r="A2853" s="2">
        <v>40108</v>
      </c>
      <c r="B2853">
        <f>4.75/(100)</f>
        <v>4.7500000000000001E-2</v>
      </c>
      <c r="C2853">
        <f>4.463/(100)</f>
        <v>4.4630000000000003E-2</v>
      </c>
    </row>
    <row r="2854" spans="1:3" x14ac:dyDescent="0.3">
      <c r="A2854" s="2">
        <v>40109</v>
      </c>
      <c r="B2854">
        <f>4.75/(100)</f>
        <v>4.7500000000000001E-2</v>
      </c>
      <c r="C2854">
        <f>4.509/(100)</f>
        <v>4.5090000000000005E-2</v>
      </c>
    </row>
    <row r="2855" spans="1:3" x14ac:dyDescent="0.3">
      <c r="A2855" s="2">
        <v>40110</v>
      </c>
      <c r="B2855">
        <f>4.75/(100)</f>
        <v>4.7500000000000001E-2</v>
      </c>
      <c r="C2855">
        <f>4.509/(100)</f>
        <v>4.5090000000000005E-2</v>
      </c>
    </row>
    <row r="2856" spans="1:3" x14ac:dyDescent="0.3">
      <c r="A2856" s="2">
        <v>40111</v>
      </c>
      <c r="B2856">
        <f>4.75/(100)</f>
        <v>4.7500000000000001E-2</v>
      </c>
      <c r="C2856">
        <f>4.509/(100)</f>
        <v>4.5090000000000005E-2</v>
      </c>
    </row>
    <row r="2857" spans="1:3" x14ac:dyDescent="0.3">
      <c r="A2857" s="2">
        <v>40112</v>
      </c>
      <c r="B2857">
        <f>4.75/(100)</f>
        <v>4.7500000000000001E-2</v>
      </c>
      <c r="C2857">
        <f>4.487/(100)</f>
        <v>4.487E-2</v>
      </c>
    </row>
    <row r="2858" spans="1:3" x14ac:dyDescent="0.3">
      <c r="A2858" s="2">
        <v>40113</v>
      </c>
      <c r="B2858">
        <f>4.75/(100)</f>
        <v>4.7500000000000001E-2</v>
      </c>
      <c r="C2858">
        <f>4.505/(100)</f>
        <v>4.505E-2</v>
      </c>
    </row>
    <row r="2859" spans="1:3" x14ac:dyDescent="0.3">
      <c r="A2859" s="2">
        <v>40114</v>
      </c>
      <c r="B2859">
        <f>4.75/(100)</f>
        <v>4.7500000000000001E-2</v>
      </c>
      <c r="C2859">
        <f>4.504/(100)</f>
        <v>4.5039999999999997E-2</v>
      </c>
    </row>
    <row r="2860" spans="1:3" x14ac:dyDescent="0.3">
      <c r="A2860" s="2">
        <v>40115</v>
      </c>
      <c r="B2860">
        <f>4.75/(100)</f>
        <v>4.7500000000000001E-2</v>
      </c>
      <c r="C2860">
        <f>4.563/(100)</f>
        <v>4.5629999999999997E-2</v>
      </c>
    </row>
    <row r="2861" spans="1:3" x14ac:dyDescent="0.3">
      <c r="A2861" s="2">
        <v>40116</v>
      </c>
      <c r="B2861">
        <f>4.75/(100)</f>
        <v>4.7500000000000001E-2</v>
      </c>
      <c r="C2861">
        <f>4.539/(100)</f>
        <v>4.539E-2</v>
      </c>
    </row>
    <row r="2862" spans="1:3" x14ac:dyDescent="0.3">
      <c r="A2862" s="2">
        <v>40117</v>
      </c>
      <c r="B2862">
        <f>4.75/(100)</f>
        <v>4.7500000000000001E-2</v>
      </c>
      <c r="C2862">
        <f>4.539/(100)</f>
        <v>4.539E-2</v>
      </c>
    </row>
    <row r="2863" spans="1:3" x14ac:dyDescent="0.3">
      <c r="A2863" s="2">
        <v>40118</v>
      </c>
      <c r="B2863">
        <f>4.75/(100)</f>
        <v>4.7500000000000001E-2</v>
      </c>
      <c r="C2863">
        <f>4.539/(100)</f>
        <v>4.539E-2</v>
      </c>
    </row>
    <row r="2864" spans="1:3" x14ac:dyDescent="0.3">
      <c r="A2864" s="2">
        <v>40119</v>
      </c>
      <c r="B2864">
        <f>4.75/(100)</f>
        <v>4.7500000000000001E-2</v>
      </c>
      <c r="C2864">
        <f>4.539/(100)</f>
        <v>4.539E-2</v>
      </c>
    </row>
    <row r="2865" spans="1:3" x14ac:dyDescent="0.3">
      <c r="A2865" s="2">
        <v>40120</v>
      </c>
      <c r="B2865">
        <f>4.75/(100)</f>
        <v>4.7500000000000001E-2</v>
      </c>
      <c r="C2865">
        <f>4.528/(100)</f>
        <v>4.5279999999999994E-2</v>
      </c>
    </row>
    <row r="2866" spans="1:3" x14ac:dyDescent="0.3">
      <c r="A2866" s="2">
        <v>40121</v>
      </c>
      <c r="B2866">
        <f>4.75/(100)</f>
        <v>4.7500000000000001E-2</v>
      </c>
      <c r="C2866">
        <f>4.491/(100)</f>
        <v>4.4909999999999999E-2</v>
      </c>
    </row>
    <row r="2867" spans="1:3" x14ac:dyDescent="0.3">
      <c r="A2867" s="2">
        <v>40122</v>
      </c>
      <c r="B2867">
        <f>4.75/(100)</f>
        <v>4.7500000000000001E-2</v>
      </c>
      <c r="C2867">
        <f>4.542/(100)</f>
        <v>4.5419999999999995E-2</v>
      </c>
    </row>
    <row r="2868" spans="1:3" x14ac:dyDescent="0.3">
      <c r="A2868" s="2">
        <v>40123</v>
      </c>
      <c r="B2868">
        <f>4.75/(100)</f>
        <v>4.7500000000000001E-2</v>
      </c>
      <c r="C2868">
        <f>4.62/(100)</f>
        <v>4.6199999999999998E-2</v>
      </c>
    </row>
    <row r="2869" spans="1:3" x14ac:dyDescent="0.3">
      <c r="A2869" s="2">
        <v>40124</v>
      </c>
      <c r="B2869">
        <f>4.75/(100)</f>
        <v>4.7500000000000001E-2</v>
      </c>
      <c r="C2869">
        <f>4.62/(100)</f>
        <v>4.6199999999999998E-2</v>
      </c>
    </row>
    <row r="2870" spans="1:3" x14ac:dyDescent="0.3">
      <c r="A2870" s="2">
        <v>40125</v>
      </c>
      <c r="B2870">
        <f>4.75/(100)</f>
        <v>4.7500000000000001E-2</v>
      </c>
      <c r="C2870">
        <f>4.62/(100)</f>
        <v>4.6199999999999998E-2</v>
      </c>
    </row>
    <row r="2871" spans="1:3" x14ac:dyDescent="0.3">
      <c r="A2871" s="2">
        <v>40126</v>
      </c>
      <c r="B2871">
        <f>4.75/(100)</f>
        <v>4.7500000000000001E-2</v>
      </c>
      <c r="C2871">
        <f>4.655/(100)</f>
        <v>4.6550000000000001E-2</v>
      </c>
    </row>
    <row r="2872" spans="1:3" x14ac:dyDescent="0.3">
      <c r="A2872" s="2">
        <v>40127</v>
      </c>
      <c r="B2872">
        <f>4.75/(100)</f>
        <v>4.7500000000000001E-2</v>
      </c>
      <c r="C2872">
        <f>4.6/(100)</f>
        <v>4.5999999999999999E-2</v>
      </c>
    </row>
    <row r="2873" spans="1:3" x14ac:dyDescent="0.3">
      <c r="A2873" s="2">
        <v>40128</v>
      </c>
      <c r="B2873">
        <f>4.75/(100)</f>
        <v>4.7500000000000001E-2</v>
      </c>
      <c r="C2873">
        <f>4.69/(100)</f>
        <v>4.6900000000000004E-2</v>
      </c>
    </row>
    <row r="2874" spans="1:3" x14ac:dyDescent="0.3">
      <c r="A2874" s="2">
        <v>40129</v>
      </c>
      <c r="B2874">
        <f>4.75/(100)</f>
        <v>4.7500000000000001E-2</v>
      </c>
      <c r="C2874">
        <f>4.686/(100)</f>
        <v>4.6859999999999999E-2</v>
      </c>
    </row>
    <row r="2875" spans="1:3" x14ac:dyDescent="0.3">
      <c r="A2875" s="2">
        <v>40130</v>
      </c>
      <c r="B2875">
        <f>4.75/(100)</f>
        <v>4.7500000000000001E-2</v>
      </c>
      <c r="C2875">
        <f>4.618/(100)</f>
        <v>4.6180000000000006E-2</v>
      </c>
    </row>
    <row r="2876" spans="1:3" x14ac:dyDescent="0.3">
      <c r="A2876" s="2">
        <v>40131</v>
      </c>
      <c r="B2876">
        <f>4.75/(100)</f>
        <v>4.7500000000000001E-2</v>
      </c>
      <c r="C2876">
        <f>4.618/(100)</f>
        <v>4.6180000000000006E-2</v>
      </c>
    </row>
    <row r="2877" spans="1:3" x14ac:dyDescent="0.3">
      <c r="A2877" s="2">
        <v>40132</v>
      </c>
      <c r="B2877">
        <f>4.75/(100)</f>
        <v>4.7500000000000001E-2</v>
      </c>
      <c r="C2877">
        <f>4.618/(100)</f>
        <v>4.6180000000000006E-2</v>
      </c>
    </row>
    <row r="2878" spans="1:3" x14ac:dyDescent="0.3">
      <c r="A2878" s="2">
        <v>40133</v>
      </c>
      <c r="B2878">
        <f>4.75/(100)</f>
        <v>4.7500000000000001E-2</v>
      </c>
      <c r="C2878">
        <f>4.269/(100)</f>
        <v>4.2689999999999999E-2</v>
      </c>
    </row>
    <row r="2879" spans="1:3" x14ac:dyDescent="0.3">
      <c r="A2879" s="2">
        <v>40134</v>
      </c>
      <c r="B2879">
        <f>4.75/(100)</f>
        <v>4.7500000000000001E-2</v>
      </c>
      <c r="C2879">
        <f>4.271/(100)</f>
        <v>4.2709999999999998E-2</v>
      </c>
    </row>
    <row r="2880" spans="1:3" x14ac:dyDescent="0.3">
      <c r="A2880" s="2">
        <v>40135</v>
      </c>
      <c r="B2880">
        <f>4.75/(100)</f>
        <v>4.7500000000000001E-2</v>
      </c>
      <c r="C2880">
        <f>4.273/(100)</f>
        <v>4.2729999999999997E-2</v>
      </c>
    </row>
    <row r="2881" spans="1:3" x14ac:dyDescent="0.3">
      <c r="A2881" s="2">
        <v>40136</v>
      </c>
      <c r="B2881">
        <f>4.75/(100)</f>
        <v>4.7500000000000001E-2</v>
      </c>
      <c r="C2881">
        <f>4.317/(100)</f>
        <v>4.317E-2</v>
      </c>
    </row>
    <row r="2882" spans="1:3" x14ac:dyDescent="0.3">
      <c r="A2882" s="2">
        <v>40137</v>
      </c>
      <c r="B2882">
        <f>4.75/(100)</f>
        <v>4.7500000000000001E-2</v>
      </c>
      <c r="C2882">
        <f>4.298/(100)</f>
        <v>4.2979999999999997E-2</v>
      </c>
    </row>
    <row r="2883" spans="1:3" x14ac:dyDescent="0.3">
      <c r="A2883" s="2">
        <v>40138</v>
      </c>
      <c r="B2883">
        <f>4.75/(100)</f>
        <v>4.7500000000000001E-2</v>
      </c>
      <c r="C2883">
        <f>4.298/(100)</f>
        <v>4.2979999999999997E-2</v>
      </c>
    </row>
    <row r="2884" spans="1:3" x14ac:dyDescent="0.3">
      <c r="A2884" s="2">
        <v>40139</v>
      </c>
      <c r="B2884">
        <f>4.75/(100)</f>
        <v>4.7500000000000001E-2</v>
      </c>
      <c r="C2884">
        <f>4.298/(100)</f>
        <v>4.2979999999999997E-2</v>
      </c>
    </row>
    <row r="2885" spans="1:3" x14ac:dyDescent="0.3">
      <c r="A2885" s="2">
        <v>40140</v>
      </c>
      <c r="B2885">
        <f>4.75/(100)</f>
        <v>4.7500000000000001E-2</v>
      </c>
      <c r="C2885">
        <f>4.341/(100)</f>
        <v>4.3410000000000004E-2</v>
      </c>
    </row>
    <row r="2886" spans="1:3" x14ac:dyDescent="0.3">
      <c r="A2886" s="2">
        <v>40141</v>
      </c>
      <c r="B2886">
        <f>4.75/(100)</f>
        <v>4.7500000000000001E-2</v>
      </c>
      <c r="C2886">
        <f>4.346/(100)</f>
        <v>4.3459999999999999E-2</v>
      </c>
    </row>
    <row r="2887" spans="1:3" x14ac:dyDescent="0.3">
      <c r="A2887" s="2">
        <v>40142</v>
      </c>
      <c r="B2887">
        <f>4.75/(100)</f>
        <v>4.7500000000000001E-2</v>
      </c>
      <c r="C2887">
        <f>4.365/(100)</f>
        <v>4.3650000000000001E-2</v>
      </c>
    </row>
    <row r="2888" spans="1:3" x14ac:dyDescent="0.3">
      <c r="A2888" s="2">
        <v>40143</v>
      </c>
      <c r="B2888">
        <f>4.75/(100)</f>
        <v>4.7500000000000001E-2</v>
      </c>
      <c r="C2888">
        <f>4.342/(100)</f>
        <v>4.3419999999999993E-2</v>
      </c>
    </row>
    <row r="2889" spans="1:3" x14ac:dyDescent="0.3">
      <c r="A2889" s="2">
        <v>40144</v>
      </c>
      <c r="B2889">
        <f>4.75/(100)</f>
        <v>4.7500000000000001E-2</v>
      </c>
      <c r="C2889">
        <f>4.37/(100)</f>
        <v>4.3700000000000003E-2</v>
      </c>
    </row>
    <row r="2890" spans="1:3" x14ac:dyDescent="0.3">
      <c r="A2890" s="2">
        <v>40145</v>
      </c>
      <c r="B2890">
        <f>4.75/(100)</f>
        <v>4.7500000000000001E-2</v>
      </c>
      <c r="C2890">
        <f>4.37/(100)</f>
        <v>4.3700000000000003E-2</v>
      </c>
    </row>
    <row r="2891" spans="1:3" x14ac:dyDescent="0.3">
      <c r="A2891" s="2">
        <v>40146</v>
      </c>
      <c r="B2891">
        <f>4.75/(100)</f>
        <v>4.7500000000000001E-2</v>
      </c>
      <c r="C2891">
        <f>4.37/(100)</f>
        <v>4.3700000000000003E-2</v>
      </c>
    </row>
    <row r="2892" spans="1:3" x14ac:dyDescent="0.3">
      <c r="A2892" s="2">
        <v>40147</v>
      </c>
      <c r="B2892">
        <f>4.75/(100)</f>
        <v>4.7500000000000001E-2</v>
      </c>
      <c r="C2892">
        <f>4.496/(100)</f>
        <v>4.4960000000000007E-2</v>
      </c>
    </row>
    <row r="2893" spans="1:3" x14ac:dyDescent="0.3">
      <c r="A2893" s="2">
        <v>40148</v>
      </c>
      <c r="B2893">
        <f>4.75/(100)</f>
        <v>4.7500000000000001E-2</v>
      </c>
      <c r="C2893">
        <f>4.412/(100)</f>
        <v>4.4119999999999999E-2</v>
      </c>
    </row>
    <row r="2894" spans="1:3" x14ac:dyDescent="0.3">
      <c r="A2894" s="2">
        <v>40149</v>
      </c>
      <c r="B2894">
        <f>4.75/(100)</f>
        <v>4.7500000000000001E-2</v>
      </c>
      <c r="C2894">
        <f>4.456/(100)</f>
        <v>4.4560000000000002E-2</v>
      </c>
    </row>
    <row r="2895" spans="1:3" x14ac:dyDescent="0.3">
      <c r="A2895" s="2">
        <v>40150</v>
      </c>
      <c r="B2895">
        <f>4.75/(100)</f>
        <v>4.7500000000000001E-2</v>
      </c>
      <c r="C2895">
        <f>4.454/(100)</f>
        <v>4.4539999999999996E-2</v>
      </c>
    </row>
    <row r="2896" spans="1:3" x14ac:dyDescent="0.3">
      <c r="A2896" s="2">
        <v>40151</v>
      </c>
      <c r="B2896">
        <f>4.75/(100)</f>
        <v>4.7500000000000001E-2</v>
      </c>
      <c r="C2896">
        <f>4.486/(100)</f>
        <v>4.4859999999999997E-2</v>
      </c>
    </row>
    <row r="2897" spans="1:3" x14ac:dyDescent="0.3">
      <c r="A2897" s="2">
        <v>40152</v>
      </c>
      <c r="B2897">
        <f>4.75/(100)</f>
        <v>4.7500000000000001E-2</v>
      </c>
      <c r="C2897">
        <f>4.486/(100)</f>
        <v>4.4859999999999997E-2</v>
      </c>
    </row>
    <row r="2898" spans="1:3" x14ac:dyDescent="0.3">
      <c r="A2898" s="2">
        <v>40153</v>
      </c>
      <c r="B2898">
        <f>4.75/(100)</f>
        <v>4.7500000000000001E-2</v>
      </c>
      <c r="C2898">
        <f>4.486/(100)</f>
        <v>4.4859999999999997E-2</v>
      </c>
    </row>
    <row r="2899" spans="1:3" x14ac:dyDescent="0.3">
      <c r="A2899" s="2">
        <v>40154</v>
      </c>
      <c r="B2899">
        <f>4.75/(100)</f>
        <v>4.7500000000000001E-2</v>
      </c>
      <c r="C2899">
        <f>4.504/(100)</f>
        <v>4.5039999999999997E-2</v>
      </c>
    </row>
    <row r="2900" spans="1:3" x14ac:dyDescent="0.3">
      <c r="A2900" s="2">
        <v>40155</v>
      </c>
      <c r="B2900">
        <f>4.75/(100)</f>
        <v>4.7500000000000001E-2</v>
      </c>
      <c r="C2900">
        <f>4.475/(100)</f>
        <v>4.4749999999999998E-2</v>
      </c>
    </row>
    <row r="2901" spans="1:3" x14ac:dyDescent="0.3">
      <c r="A2901" s="2">
        <v>40156</v>
      </c>
      <c r="B2901">
        <f>4.75/(100)</f>
        <v>4.7500000000000001E-2</v>
      </c>
      <c r="C2901">
        <f>4.57/(100)</f>
        <v>4.5700000000000005E-2</v>
      </c>
    </row>
    <row r="2902" spans="1:3" x14ac:dyDescent="0.3">
      <c r="A2902" s="2">
        <v>40157</v>
      </c>
      <c r="B2902">
        <f>4.75/(100)</f>
        <v>4.7500000000000001E-2</v>
      </c>
      <c r="C2902">
        <f>4.444/(100)</f>
        <v>4.444E-2</v>
      </c>
    </row>
    <row r="2903" spans="1:3" x14ac:dyDescent="0.3">
      <c r="A2903" s="2">
        <v>40158</v>
      </c>
      <c r="B2903">
        <f>4.75/(100)</f>
        <v>4.7500000000000001E-2</v>
      </c>
      <c r="C2903">
        <f>4.13/(100)</f>
        <v>4.1299999999999996E-2</v>
      </c>
    </row>
    <row r="2904" spans="1:3" x14ac:dyDescent="0.3">
      <c r="A2904" s="2">
        <v>40159</v>
      </c>
      <c r="B2904">
        <f>4.75/(100)</f>
        <v>4.7500000000000001E-2</v>
      </c>
      <c r="C2904">
        <f>4.13/(100)</f>
        <v>4.1299999999999996E-2</v>
      </c>
    </row>
    <row r="2905" spans="1:3" x14ac:dyDescent="0.3">
      <c r="A2905" s="2">
        <v>40160</v>
      </c>
      <c r="B2905">
        <f>4.75/(100)</f>
        <v>4.7500000000000001E-2</v>
      </c>
      <c r="C2905">
        <f>4.13/(100)</f>
        <v>4.1299999999999996E-2</v>
      </c>
    </row>
    <row r="2906" spans="1:3" x14ac:dyDescent="0.3">
      <c r="A2906" s="2">
        <v>40161</v>
      </c>
      <c r="B2906">
        <f>4.75/(100)</f>
        <v>4.7500000000000001E-2</v>
      </c>
      <c r="C2906">
        <f>4.456/(100)</f>
        <v>4.4560000000000002E-2</v>
      </c>
    </row>
    <row r="2907" spans="1:3" x14ac:dyDescent="0.3">
      <c r="A2907" s="2">
        <v>40162</v>
      </c>
      <c r="B2907">
        <f>4.75/(100)</f>
        <v>4.7500000000000001E-2</v>
      </c>
      <c r="C2907">
        <f>4.46/(100)</f>
        <v>4.4600000000000001E-2</v>
      </c>
    </row>
    <row r="2908" spans="1:3" x14ac:dyDescent="0.3">
      <c r="A2908" s="2">
        <v>40163</v>
      </c>
      <c r="B2908">
        <f>4.75/(100)</f>
        <v>4.7500000000000001E-2</v>
      </c>
      <c r="C2908">
        <f>4.377/(100)</f>
        <v>4.3769999999999996E-2</v>
      </c>
    </row>
    <row r="2909" spans="1:3" x14ac:dyDescent="0.3">
      <c r="A2909" s="2">
        <v>40164</v>
      </c>
      <c r="B2909">
        <f>4.75/(100)</f>
        <v>4.7500000000000001E-2</v>
      </c>
      <c r="C2909">
        <f>4.352/(100)</f>
        <v>4.3520000000000003E-2</v>
      </c>
    </row>
    <row r="2910" spans="1:3" x14ac:dyDescent="0.3">
      <c r="A2910" s="2">
        <v>40165</v>
      </c>
      <c r="B2910">
        <f>4.75/(100)</f>
        <v>4.7500000000000001E-2</v>
      </c>
      <c r="C2910">
        <f>4.418/(100)</f>
        <v>4.4180000000000004E-2</v>
      </c>
    </row>
    <row r="2911" spans="1:3" x14ac:dyDescent="0.3">
      <c r="A2911" s="2">
        <v>40166</v>
      </c>
      <c r="B2911">
        <f>4.75/(100)</f>
        <v>4.7500000000000001E-2</v>
      </c>
      <c r="C2911">
        <f>4.418/(100)</f>
        <v>4.4180000000000004E-2</v>
      </c>
    </row>
    <row r="2912" spans="1:3" x14ac:dyDescent="0.3">
      <c r="A2912" s="2">
        <v>40167</v>
      </c>
      <c r="B2912">
        <f>4.75/(100)</f>
        <v>4.7500000000000001E-2</v>
      </c>
      <c r="C2912">
        <f>4.418/(100)</f>
        <v>4.4180000000000004E-2</v>
      </c>
    </row>
    <row r="2913" spans="1:3" x14ac:dyDescent="0.3">
      <c r="A2913" s="2">
        <v>40168</v>
      </c>
      <c r="B2913">
        <f>4.75/(100)</f>
        <v>4.7500000000000001E-2</v>
      </c>
      <c r="C2913">
        <f>4.503/(100)</f>
        <v>4.5030000000000001E-2</v>
      </c>
    </row>
    <row r="2914" spans="1:3" x14ac:dyDescent="0.3">
      <c r="A2914" s="2">
        <v>40169</v>
      </c>
      <c r="B2914">
        <f>4.75/(100)</f>
        <v>4.7500000000000001E-2</v>
      </c>
      <c r="C2914">
        <f>4.47/(100)</f>
        <v>4.4699999999999997E-2</v>
      </c>
    </row>
    <row r="2915" spans="1:3" x14ac:dyDescent="0.3">
      <c r="A2915" s="2">
        <v>40170</v>
      </c>
      <c r="B2915">
        <f>4.75/(100)</f>
        <v>4.7500000000000001E-2</v>
      </c>
      <c r="C2915">
        <f>4.429/(100)</f>
        <v>4.4290000000000003E-2</v>
      </c>
    </row>
    <row r="2916" spans="1:3" x14ac:dyDescent="0.3">
      <c r="A2916" s="2">
        <v>40171</v>
      </c>
      <c r="B2916">
        <f>4.75/(100)</f>
        <v>4.7500000000000001E-2</v>
      </c>
      <c r="C2916">
        <f>4.463/(100)</f>
        <v>4.4630000000000003E-2</v>
      </c>
    </row>
    <row r="2917" spans="1:3" x14ac:dyDescent="0.3">
      <c r="A2917" s="2">
        <v>40172</v>
      </c>
      <c r="B2917">
        <f>4.75/(100)</f>
        <v>4.7500000000000001E-2</v>
      </c>
      <c r="C2917">
        <f>4.463/(100)</f>
        <v>4.4630000000000003E-2</v>
      </c>
    </row>
    <row r="2918" spans="1:3" x14ac:dyDescent="0.3">
      <c r="A2918" s="2">
        <v>40173</v>
      </c>
      <c r="B2918">
        <f>4.75/(100)</f>
        <v>4.7500000000000001E-2</v>
      </c>
      <c r="C2918">
        <f>4.463/(100)</f>
        <v>4.4630000000000003E-2</v>
      </c>
    </row>
    <row r="2919" spans="1:3" x14ac:dyDescent="0.3">
      <c r="A2919" s="2">
        <v>40174</v>
      </c>
      <c r="B2919">
        <f>4.75/(100)</f>
        <v>4.7500000000000001E-2</v>
      </c>
      <c r="C2919">
        <f>4.463/(100)</f>
        <v>4.4630000000000003E-2</v>
      </c>
    </row>
    <row r="2920" spans="1:3" x14ac:dyDescent="0.3">
      <c r="A2920" s="2">
        <v>40175</v>
      </c>
      <c r="B2920">
        <f>4.75/(100)</f>
        <v>4.7500000000000001E-2</v>
      </c>
      <c r="C2920">
        <f>4.463/(100)</f>
        <v>4.4630000000000003E-2</v>
      </c>
    </row>
    <row r="2921" spans="1:3" x14ac:dyDescent="0.3">
      <c r="A2921" s="2">
        <v>40176</v>
      </c>
      <c r="B2921">
        <f>4.75/(100)</f>
        <v>4.7500000000000001E-2</v>
      </c>
      <c r="C2921">
        <f>4.461/(100)</f>
        <v>4.4610000000000004E-2</v>
      </c>
    </row>
    <row r="2922" spans="1:3" x14ac:dyDescent="0.3">
      <c r="A2922" s="2">
        <v>40177</v>
      </c>
      <c r="B2922">
        <f>4.75/(100)</f>
        <v>4.7500000000000001E-2</v>
      </c>
      <c r="C2922">
        <f>4.465/(100)</f>
        <v>4.4649999999999995E-2</v>
      </c>
    </row>
    <row r="2923" spans="1:3" x14ac:dyDescent="0.3">
      <c r="A2923" s="2">
        <v>40178</v>
      </c>
      <c r="B2923">
        <f>4.75/(100)</f>
        <v>4.7500000000000001E-2</v>
      </c>
      <c r="C2923">
        <f>4.387/(100)</f>
        <v>4.3869999999999992E-2</v>
      </c>
    </row>
    <row r="2924" spans="1:3" x14ac:dyDescent="0.3">
      <c r="A2924" s="2">
        <v>40179</v>
      </c>
      <c r="B2924">
        <f>4.75/(100)</f>
        <v>4.7500000000000001E-2</v>
      </c>
      <c r="C2924">
        <f>4.311/(100)</f>
        <v>4.3110000000000002E-2</v>
      </c>
    </row>
    <row r="2925" spans="1:3" x14ac:dyDescent="0.3">
      <c r="A2925" s="2">
        <v>40180</v>
      </c>
      <c r="B2925">
        <f>4.75/(100)</f>
        <v>4.7500000000000001E-2</v>
      </c>
      <c r="C2925">
        <f>4.311/(100)</f>
        <v>4.3110000000000002E-2</v>
      </c>
    </row>
    <row r="2926" spans="1:3" x14ac:dyDescent="0.3">
      <c r="A2926" s="2">
        <v>40181</v>
      </c>
      <c r="B2926">
        <f>4.75/(100)</f>
        <v>4.7500000000000001E-2</v>
      </c>
      <c r="C2926">
        <f>4.311/(100)</f>
        <v>4.3110000000000002E-2</v>
      </c>
    </row>
    <row r="2927" spans="1:3" x14ac:dyDescent="0.3">
      <c r="A2927" s="2">
        <v>40182</v>
      </c>
      <c r="B2927">
        <f>4.75/(100)</f>
        <v>4.7500000000000001E-2</v>
      </c>
      <c r="C2927">
        <f>4.425/(100)</f>
        <v>4.4249999999999998E-2</v>
      </c>
    </row>
    <row r="2928" spans="1:3" x14ac:dyDescent="0.3">
      <c r="A2928" s="2">
        <v>40183</v>
      </c>
      <c r="B2928">
        <f>4.75/(100)</f>
        <v>4.7500000000000001E-2</v>
      </c>
      <c r="C2928">
        <f>4.413/(100)</f>
        <v>4.4130000000000003E-2</v>
      </c>
    </row>
    <row r="2929" spans="1:3" x14ac:dyDescent="0.3">
      <c r="A2929" s="2">
        <v>40184</v>
      </c>
      <c r="B2929">
        <f>4.75/(100)</f>
        <v>4.7500000000000001E-2</v>
      </c>
      <c r="C2929">
        <f>4.405/(100)</f>
        <v>4.4050000000000006E-2</v>
      </c>
    </row>
    <row r="2930" spans="1:3" x14ac:dyDescent="0.3">
      <c r="A2930" s="2">
        <v>40185</v>
      </c>
      <c r="B2930">
        <f>4.75/(100)</f>
        <v>4.7500000000000001E-2</v>
      </c>
      <c r="C2930">
        <f>4.316/(100)</f>
        <v>4.3159999999999997E-2</v>
      </c>
    </row>
    <row r="2931" spans="1:3" x14ac:dyDescent="0.3">
      <c r="A2931" s="2">
        <v>40186</v>
      </c>
      <c r="B2931">
        <f>4.75/(100)</f>
        <v>4.7500000000000001E-2</v>
      </c>
      <c r="C2931">
        <f>4.312/(100)</f>
        <v>4.3120000000000006E-2</v>
      </c>
    </row>
    <row r="2932" spans="1:3" x14ac:dyDescent="0.3">
      <c r="A2932" s="2">
        <v>40187</v>
      </c>
      <c r="B2932">
        <f>4.75/(100)</f>
        <v>4.7500000000000001E-2</v>
      </c>
      <c r="C2932">
        <f>4.312/(100)</f>
        <v>4.3120000000000006E-2</v>
      </c>
    </row>
    <row r="2933" spans="1:3" x14ac:dyDescent="0.3">
      <c r="A2933" s="2">
        <v>40188</v>
      </c>
      <c r="B2933">
        <f>4.75/(100)</f>
        <v>4.7500000000000001E-2</v>
      </c>
      <c r="C2933">
        <f>4.312/(100)</f>
        <v>4.3120000000000006E-2</v>
      </c>
    </row>
    <row r="2934" spans="1:3" x14ac:dyDescent="0.3">
      <c r="A2934" s="2">
        <v>40189</v>
      </c>
      <c r="B2934">
        <f>4.75/(100)</f>
        <v>4.7500000000000001E-2</v>
      </c>
      <c r="C2934">
        <f>4.314/(100)</f>
        <v>4.3139999999999998E-2</v>
      </c>
    </row>
    <row r="2935" spans="1:3" x14ac:dyDescent="0.3">
      <c r="A2935" s="2">
        <v>40190</v>
      </c>
      <c r="B2935">
        <f>4.75/(100)</f>
        <v>4.7500000000000001E-2</v>
      </c>
      <c r="C2935">
        <f>4.302/(100)</f>
        <v>4.3019999999999996E-2</v>
      </c>
    </row>
    <row r="2936" spans="1:3" x14ac:dyDescent="0.3">
      <c r="A2936" s="2">
        <v>40191</v>
      </c>
      <c r="B2936">
        <f>4.75/(100)</f>
        <v>4.7500000000000001E-2</v>
      </c>
      <c r="C2936">
        <f>4.323/(100)</f>
        <v>4.3230000000000005E-2</v>
      </c>
    </row>
    <row r="2937" spans="1:3" x14ac:dyDescent="0.3">
      <c r="A2937" s="2">
        <v>40192</v>
      </c>
      <c r="B2937">
        <f>4.75/(100)</f>
        <v>4.7500000000000001E-2</v>
      </c>
      <c r="C2937">
        <f>4.302/(100)</f>
        <v>4.3019999999999996E-2</v>
      </c>
    </row>
    <row r="2938" spans="1:3" x14ac:dyDescent="0.3">
      <c r="A2938" s="2">
        <v>40193</v>
      </c>
      <c r="B2938">
        <f>4.75/(100)</f>
        <v>4.7500000000000001E-2</v>
      </c>
      <c r="C2938">
        <f>4.367/(100)</f>
        <v>4.367E-2</v>
      </c>
    </row>
    <row r="2939" spans="1:3" x14ac:dyDescent="0.3">
      <c r="A2939" s="2">
        <v>40194</v>
      </c>
      <c r="B2939">
        <f>4.75/(100)</f>
        <v>4.7500000000000001E-2</v>
      </c>
      <c r="C2939">
        <f>4.367/(100)</f>
        <v>4.367E-2</v>
      </c>
    </row>
    <row r="2940" spans="1:3" x14ac:dyDescent="0.3">
      <c r="A2940" s="2">
        <v>40195</v>
      </c>
      <c r="B2940">
        <f>4.75/(100)</f>
        <v>4.7500000000000001E-2</v>
      </c>
      <c r="C2940">
        <f>4.367/(100)</f>
        <v>4.367E-2</v>
      </c>
    </row>
    <row r="2941" spans="1:3" x14ac:dyDescent="0.3">
      <c r="A2941" s="2">
        <v>40196</v>
      </c>
      <c r="B2941">
        <f>4.75/(100)</f>
        <v>4.7500000000000001E-2</v>
      </c>
      <c r="C2941">
        <f>4.376/(100)</f>
        <v>4.376E-2</v>
      </c>
    </row>
    <row r="2942" spans="1:3" x14ac:dyDescent="0.3">
      <c r="A2942" s="2">
        <v>40197</v>
      </c>
      <c r="B2942">
        <f>4.75/(100)</f>
        <v>4.7500000000000001E-2</v>
      </c>
      <c r="C2942">
        <f>4.379/(100)</f>
        <v>4.3789999999999996E-2</v>
      </c>
    </row>
    <row r="2943" spans="1:3" x14ac:dyDescent="0.3">
      <c r="A2943" s="2">
        <v>40198</v>
      </c>
      <c r="B2943">
        <f>4.75/(100)</f>
        <v>4.7500000000000001E-2</v>
      </c>
      <c r="C2943">
        <f>4.33/(100)</f>
        <v>4.3299999999999998E-2</v>
      </c>
    </row>
    <row r="2944" spans="1:3" x14ac:dyDescent="0.3">
      <c r="A2944" s="2">
        <v>40199</v>
      </c>
      <c r="B2944">
        <f>4.75/(100)</f>
        <v>4.7500000000000001E-2</v>
      </c>
      <c r="C2944">
        <f>4.438/(100)</f>
        <v>4.4379999999999996E-2</v>
      </c>
    </row>
    <row r="2945" spans="1:3" x14ac:dyDescent="0.3">
      <c r="A2945" s="2">
        <v>40200</v>
      </c>
      <c r="B2945">
        <f>4.75/(100)</f>
        <v>4.7500000000000001E-2</v>
      </c>
      <c r="C2945">
        <f>4.396/(100)</f>
        <v>4.3959999999999999E-2</v>
      </c>
    </row>
    <row r="2946" spans="1:3" x14ac:dyDescent="0.3">
      <c r="A2946" s="2">
        <v>40201</v>
      </c>
      <c r="B2946">
        <f>4.75/(100)</f>
        <v>4.7500000000000001E-2</v>
      </c>
      <c r="C2946">
        <f>4.396/(100)</f>
        <v>4.3959999999999999E-2</v>
      </c>
    </row>
    <row r="2947" spans="1:3" x14ac:dyDescent="0.3">
      <c r="A2947" s="2">
        <v>40202</v>
      </c>
      <c r="B2947">
        <f>4.75/(100)</f>
        <v>4.7500000000000001E-2</v>
      </c>
      <c r="C2947">
        <f>4.396/(100)</f>
        <v>4.3959999999999999E-2</v>
      </c>
    </row>
    <row r="2948" spans="1:3" x14ac:dyDescent="0.3">
      <c r="A2948" s="2">
        <v>40203</v>
      </c>
      <c r="B2948">
        <f>4.75/(100)</f>
        <v>4.7500000000000001E-2</v>
      </c>
      <c r="C2948">
        <f>4.471/(100)</f>
        <v>4.471E-2</v>
      </c>
    </row>
    <row r="2949" spans="1:3" x14ac:dyDescent="0.3">
      <c r="A2949" s="2">
        <v>40204</v>
      </c>
      <c r="B2949">
        <f>4.75/(100)</f>
        <v>4.7500000000000001E-2</v>
      </c>
      <c r="C2949">
        <f>4.471/(100)</f>
        <v>4.471E-2</v>
      </c>
    </row>
    <row r="2950" spans="1:3" x14ac:dyDescent="0.3">
      <c r="A2950" s="2">
        <v>40205</v>
      </c>
      <c r="B2950">
        <f>4.75/(100)</f>
        <v>4.7500000000000001E-2</v>
      </c>
      <c r="C2950">
        <f>4.496/(100)</f>
        <v>4.4960000000000007E-2</v>
      </c>
    </row>
    <row r="2951" spans="1:3" x14ac:dyDescent="0.3">
      <c r="A2951" s="2">
        <v>40206</v>
      </c>
      <c r="B2951">
        <f>4.75/(100)</f>
        <v>4.7500000000000001E-2</v>
      </c>
      <c r="C2951">
        <f>4.583/(100)</f>
        <v>4.5830000000000003E-2</v>
      </c>
    </row>
    <row r="2952" spans="1:3" x14ac:dyDescent="0.3">
      <c r="A2952" s="2">
        <v>40207</v>
      </c>
      <c r="B2952">
        <f>4.75/(100)</f>
        <v>4.7500000000000001E-2</v>
      </c>
      <c r="C2952">
        <f>4.575/(100)</f>
        <v>4.5749999999999999E-2</v>
      </c>
    </row>
    <row r="2953" spans="1:3" x14ac:dyDescent="0.3">
      <c r="A2953" s="2">
        <v>40208</v>
      </c>
      <c r="B2953">
        <f>4.75/(100)</f>
        <v>4.7500000000000001E-2</v>
      </c>
      <c r="C2953">
        <f>4.575/(100)</f>
        <v>4.5749999999999999E-2</v>
      </c>
    </row>
    <row r="2954" spans="1:3" x14ac:dyDescent="0.3">
      <c r="A2954" s="2">
        <v>40209</v>
      </c>
      <c r="B2954">
        <f>4.75/(100)</f>
        <v>4.7500000000000001E-2</v>
      </c>
      <c r="C2954">
        <f>4.575/(100)</f>
        <v>4.5749999999999999E-2</v>
      </c>
    </row>
    <row r="2955" spans="1:3" x14ac:dyDescent="0.3">
      <c r="A2955" s="2">
        <v>40210</v>
      </c>
      <c r="B2955">
        <f>4.75/(100)</f>
        <v>4.7500000000000001E-2</v>
      </c>
      <c r="C2955">
        <f>4.324/(100)</f>
        <v>4.3240000000000001E-2</v>
      </c>
    </row>
    <row r="2956" spans="1:3" x14ac:dyDescent="0.3">
      <c r="A2956" s="2">
        <v>40211</v>
      </c>
      <c r="B2956">
        <f>4.75/(100)</f>
        <v>4.7500000000000001E-2</v>
      </c>
      <c r="C2956">
        <f>5.176/(100)</f>
        <v>5.176E-2</v>
      </c>
    </row>
    <row r="2957" spans="1:3" x14ac:dyDescent="0.3">
      <c r="A2957" s="2">
        <v>40212</v>
      </c>
      <c r="B2957">
        <f>4.75/(100)</f>
        <v>4.7500000000000001E-2</v>
      </c>
      <c r="C2957">
        <f>5.143/(100)</f>
        <v>5.1429999999999997E-2</v>
      </c>
    </row>
    <row r="2958" spans="1:3" x14ac:dyDescent="0.3">
      <c r="A2958" s="2">
        <v>40213</v>
      </c>
      <c r="B2958">
        <f>4.75/(100)</f>
        <v>4.7500000000000001E-2</v>
      </c>
      <c r="C2958">
        <f>5.14/(100)</f>
        <v>5.1399999999999994E-2</v>
      </c>
    </row>
    <row r="2959" spans="1:3" x14ac:dyDescent="0.3">
      <c r="A2959" s="2">
        <v>40214</v>
      </c>
      <c r="B2959">
        <f>4.75/(100)</f>
        <v>4.7500000000000001E-2</v>
      </c>
      <c r="C2959">
        <f>5.16/(100)</f>
        <v>5.16E-2</v>
      </c>
    </row>
    <row r="2960" spans="1:3" x14ac:dyDescent="0.3">
      <c r="A2960" s="2">
        <v>40215</v>
      </c>
      <c r="B2960">
        <f>4.75/(100)</f>
        <v>4.7500000000000001E-2</v>
      </c>
      <c r="C2960">
        <f>5.16/(100)</f>
        <v>5.16E-2</v>
      </c>
    </row>
    <row r="2961" spans="1:3" x14ac:dyDescent="0.3">
      <c r="A2961" s="2">
        <v>40216</v>
      </c>
      <c r="B2961">
        <f>4.75/(100)</f>
        <v>4.7500000000000001E-2</v>
      </c>
      <c r="C2961">
        <f>5.16/(100)</f>
        <v>5.16E-2</v>
      </c>
    </row>
    <row r="2962" spans="1:3" x14ac:dyDescent="0.3">
      <c r="A2962" s="2">
        <v>40217</v>
      </c>
      <c r="B2962">
        <f>4.75/(100)</f>
        <v>4.7500000000000001E-2</v>
      </c>
      <c r="C2962">
        <f>5.157/(100)</f>
        <v>5.1569999999999998E-2</v>
      </c>
    </row>
    <row r="2963" spans="1:3" x14ac:dyDescent="0.3">
      <c r="A2963" s="2">
        <v>40218</v>
      </c>
      <c r="B2963">
        <f>4.75/(100)</f>
        <v>4.7500000000000001E-2</v>
      </c>
      <c r="C2963">
        <f>5.209/(100)</f>
        <v>5.2089999999999997E-2</v>
      </c>
    </row>
    <row r="2964" spans="1:3" x14ac:dyDescent="0.3">
      <c r="A2964" s="2">
        <v>40219</v>
      </c>
      <c r="B2964">
        <f>4.75/(100)</f>
        <v>4.7500000000000001E-2</v>
      </c>
      <c r="C2964">
        <f>5.213/(100)</f>
        <v>5.2130000000000003E-2</v>
      </c>
    </row>
    <row r="2965" spans="1:3" x14ac:dyDescent="0.3">
      <c r="A2965" s="2">
        <v>40220</v>
      </c>
      <c r="B2965">
        <f>4.75/(100)</f>
        <v>4.7500000000000001E-2</v>
      </c>
      <c r="C2965">
        <f>5.225/(100)</f>
        <v>5.2249999999999998E-2</v>
      </c>
    </row>
    <row r="2966" spans="1:3" x14ac:dyDescent="0.3">
      <c r="A2966" s="2">
        <v>40221</v>
      </c>
      <c r="B2966">
        <f>4.75/(100)</f>
        <v>4.7500000000000001E-2</v>
      </c>
      <c r="C2966">
        <f>5.225/(100)</f>
        <v>5.2249999999999998E-2</v>
      </c>
    </row>
    <row r="2967" spans="1:3" x14ac:dyDescent="0.3">
      <c r="A2967" s="2">
        <v>40222</v>
      </c>
      <c r="B2967">
        <f>4.75/(100)</f>
        <v>4.7500000000000001E-2</v>
      </c>
      <c r="C2967">
        <f>5.225/(100)</f>
        <v>5.2249999999999998E-2</v>
      </c>
    </row>
    <row r="2968" spans="1:3" x14ac:dyDescent="0.3">
      <c r="A2968" s="2">
        <v>40223</v>
      </c>
      <c r="B2968">
        <f>4.75/(100)</f>
        <v>4.7500000000000001E-2</v>
      </c>
      <c r="C2968">
        <f>5.225/(100)</f>
        <v>5.2249999999999998E-2</v>
      </c>
    </row>
    <row r="2969" spans="1:3" x14ac:dyDescent="0.3">
      <c r="A2969" s="2">
        <v>40224</v>
      </c>
      <c r="B2969">
        <f>4.75/(100)</f>
        <v>4.7500000000000001E-2</v>
      </c>
      <c r="C2969">
        <f>5.23/(100)</f>
        <v>5.2300000000000006E-2</v>
      </c>
    </row>
    <row r="2970" spans="1:3" x14ac:dyDescent="0.3">
      <c r="A2970" s="2">
        <v>40225</v>
      </c>
      <c r="B2970">
        <f>4.75/(100)</f>
        <v>4.7500000000000001E-2</v>
      </c>
      <c r="C2970">
        <f>5.257/(100)</f>
        <v>5.2569999999999999E-2</v>
      </c>
    </row>
    <row r="2971" spans="1:3" x14ac:dyDescent="0.3">
      <c r="A2971" s="2">
        <v>40226</v>
      </c>
      <c r="B2971">
        <f>4.75/(100)</f>
        <v>4.7500000000000001E-2</v>
      </c>
      <c r="C2971">
        <f>5.255/(100)</f>
        <v>5.2549999999999999E-2</v>
      </c>
    </row>
    <row r="2972" spans="1:3" x14ac:dyDescent="0.3">
      <c r="A2972" s="2">
        <v>40227</v>
      </c>
      <c r="B2972">
        <f>4.75/(100)</f>
        <v>4.7500000000000001E-2</v>
      </c>
      <c r="C2972">
        <f>5.312/(100)</f>
        <v>5.3120000000000001E-2</v>
      </c>
    </row>
    <row r="2973" spans="1:3" x14ac:dyDescent="0.3">
      <c r="A2973" s="2">
        <v>40228</v>
      </c>
      <c r="B2973">
        <f>4.75/(100)</f>
        <v>4.7500000000000001E-2</v>
      </c>
      <c r="C2973">
        <f>5.331/(100)</f>
        <v>5.3310000000000003E-2</v>
      </c>
    </row>
    <row r="2974" spans="1:3" x14ac:dyDescent="0.3">
      <c r="A2974" s="2">
        <v>40229</v>
      </c>
      <c r="B2974">
        <f>4.75/(100)</f>
        <v>4.7500000000000001E-2</v>
      </c>
      <c r="C2974">
        <f>5.331/(100)</f>
        <v>5.3310000000000003E-2</v>
      </c>
    </row>
    <row r="2975" spans="1:3" x14ac:dyDescent="0.3">
      <c r="A2975" s="2">
        <v>40230</v>
      </c>
      <c r="B2975">
        <f>4.75/(100)</f>
        <v>4.7500000000000001E-2</v>
      </c>
      <c r="C2975">
        <f>5.331/(100)</f>
        <v>5.3310000000000003E-2</v>
      </c>
    </row>
    <row r="2976" spans="1:3" x14ac:dyDescent="0.3">
      <c r="A2976" s="2">
        <v>40231</v>
      </c>
      <c r="B2976">
        <f>4.75/(100)</f>
        <v>4.7500000000000001E-2</v>
      </c>
      <c r="C2976">
        <f>5.298/(100)</f>
        <v>5.2979999999999999E-2</v>
      </c>
    </row>
    <row r="2977" spans="1:3" x14ac:dyDescent="0.3">
      <c r="A2977" s="2">
        <v>40232</v>
      </c>
      <c r="B2977">
        <f>4.75/(100)</f>
        <v>4.7500000000000001E-2</v>
      </c>
      <c r="C2977">
        <f>5.331/(100)</f>
        <v>5.3310000000000003E-2</v>
      </c>
    </row>
    <row r="2978" spans="1:3" x14ac:dyDescent="0.3">
      <c r="A2978" s="2">
        <v>40233</v>
      </c>
      <c r="B2978">
        <f>4.75/(100)</f>
        <v>4.7500000000000001E-2</v>
      </c>
      <c r="C2978">
        <f>5.332/(100)</f>
        <v>5.3319999999999999E-2</v>
      </c>
    </row>
    <row r="2979" spans="1:3" x14ac:dyDescent="0.3">
      <c r="A2979" s="2">
        <v>40234</v>
      </c>
      <c r="B2979">
        <f>4.75/(100)</f>
        <v>4.7500000000000001E-2</v>
      </c>
      <c r="C2979">
        <f>5.315/(100)</f>
        <v>5.3150000000000003E-2</v>
      </c>
    </row>
    <row r="2980" spans="1:3" x14ac:dyDescent="0.3">
      <c r="A2980" s="2">
        <v>40235</v>
      </c>
      <c r="B2980">
        <f>4.75/(100)</f>
        <v>4.7500000000000001E-2</v>
      </c>
      <c r="C2980">
        <f>5.338/(100)</f>
        <v>5.3380000000000004E-2</v>
      </c>
    </row>
    <row r="2981" spans="1:3" x14ac:dyDescent="0.3">
      <c r="A2981" s="2">
        <v>40236</v>
      </c>
      <c r="B2981">
        <f>4.75/(100)</f>
        <v>4.7500000000000001E-2</v>
      </c>
      <c r="C2981">
        <f>5.338/(100)</f>
        <v>5.3380000000000004E-2</v>
      </c>
    </row>
    <row r="2982" spans="1:3" x14ac:dyDescent="0.3">
      <c r="A2982" s="2">
        <v>40237</v>
      </c>
      <c r="B2982">
        <f>4.75/(100)</f>
        <v>4.7500000000000001E-2</v>
      </c>
      <c r="C2982">
        <f>5.338/(100)</f>
        <v>5.3380000000000004E-2</v>
      </c>
    </row>
    <row r="2983" spans="1:3" x14ac:dyDescent="0.3">
      <c r="A2983" s="2">
        <v>40238</v>
      </c>
      <c r="B2983">
        <f>4.75/(100)</f>
        <v>4.7500000000000001E-2</v>
      </c>
      <c r="C2983">
        <f>5.338/(100)</f>
        <v>5.3380000000000004E-2</v>
      </c>
    </row>
    <row r="2984" spans="1:3" x14ac:dyDescent="0.3">
      <c r="A2984" s="2">
        <v>40239</v>
      </c>
      <c r="B2984">
        <f>4.75/(100)</f>
        <v>4.7500000000000001E-2</v>
      </c>
      <c r="C2984">
        <f>5.342/(100)</f>
        <v>5.3419999999999995E-2</v>
      </c>
    </row>
    <row r="2985" spans="1:3" x14ac:dyDescent="0.3">
      <c r="A2985" s="2">
        <v>40240</v>
      </c>
      <c r="B2985">
        <f>4.75/(100)</f>
        <v>4.7500000000000001E-2</v>
      </c>
      <c r="C2985">
        <f>5.32/(100)</f>
        <v>5.3200000000000004E-2</v>
      </c>
    </row>
    <row r="2986" spans="1:3" x14ac:dyDescent="0.3">
      <c r="A2986" s="2">
        <v>40241</v>
      </c>
      <c r="B2986">
        <f>4.75/(100)</f>
        <v>4.7500000000000001E-2</v>
      </c>
      <c r="C2986">
        <f>5.337/(100)</f>
        <v>5.3370000000000001E-2</v>
      </c>
    </row>
    <row r="2987" spans="1:3" x14ac:dyDescent="0.3">
      <c r="A2987" s="2">
        <v>40242</v>
      </c>
      <c r="B2987">
        <f>4.75/(100)</f>
        <v>4.7500000000000001E-2</v>
      </c>
      <c r="C2987">
        <f>5.359/(100)</f>
        <v>5.3589999999999999E-2</v>
      </c>
    </row>
    <row r="2988" spans="1:3" x14ac:dyDescent="0.3">
      <c r="A2988" s="2">
        <v>40243</v>
      </c>
      <c r="B2988">
        <f>4.75/(100)</f>
        <v>4.7500000000000001E-2</v>
      </c>
      <c r="C2988">
        <f>5.359/(100)</f>
        <v>5.3589999999999999E-2</v>
      </c>
    </row>
    <row r="2989" spans="1:3" x14ac:dyDescent="0.3">
      <c r="A2989" s="2">
        <v>40244</v>
      </c>
      <c r="B2989">
        <f>4.75/(100)</f>
        <v>4.7500000000000001E-2</v>
      </c>
      <c r="C2989">
        <f>5.359/(100)</f>
        <v>5.3589999999999999E-2</v>
      </c>
    </row>
    <row r="2990" spans="1:3" x14ac:dyDescent="0.3">
      <c r="A2990" s="2">
        <v>40245</v>
      </c>
      <c r="B2990">
        <f>4.75/(100)</f>
        <v>4.7500000000000001E-2</v>
      </c>
      <c r="C2990">
        <f>5.365/(100)</f>
        <v>5.3650000000000003E-2</v>
      </c>
    </row>
    <row r="2991" spans="1:3" x14ac:dyDescent="0.3">
      <c r="A2991" s="2">
        <v>40246</v>
      </c>
      <c r="B2991">
        <f>4.75/(100)</f>
        <v>4.7500000000000001E-2</v>
      </c>
      <c r="C2991">
        <f>5.348/(100)</f>
        <v>5.348E-2</v>
      </c>
    </row>
    <row r="2992" spans="1:3" x14ac:dyDescent="0.3">
      <c r="A2992" s="2">
        <v>40247</v>
      </c>
      <c r="B2992">
        <f>4.75/(100)</f>
        <v>4.7500000000000001E-2</v>
      </c>
      <c r="C2992">
        <f>5.379/(100)</f>
        <v>5.3789999999999998E-2</v>
      </c>
    </row>
    <row r="2993" spans="1:3" x14ac:dyDescent="0.3">
      <c r="A2993" s="2">
        <v>40248</v>
      </c>
      <c r="B2993">
        <f>4.75/(100)</f>
        <v>4.7500000000000001E-2</v>
      </c>
      <c r="C2993">
        <f>5.275/(100)</f>
        <v>5.2750000000000005E-2</v>
      </c>
    </row>
    <row r="2994" spans="1:3" x14ac:dyDescent="0.3">
      <c r="A2994" s="2">
        <v>40249</v>
      </c>
      <c r="B2994">
        <f>4.75/(100)</f>
        <v>4.7500000000000001E-2</v>
      </c>
      <c r="C2994">
        <f>5.417/(100)</f>
        <v>5.4169999999999996E-2</v>
      </c>
    </row>
    <row r="2995" spans="1:3" x14ac:dyDescent="0.3">
      <c r="A2995" s="2">
        <v>40250</v>
      </c>
      <c r="B2995">
        <f>4.75/(100)</f>
        <v>4.7500000000000001E-2</v>
      </c>
      <c r="C2995">
        <f>5.417/(100)</f>
        <v>5.4169999999999996E-2</v>
      </c>
    </row>
    <row r="2996" spans="1:3" x14ac:dyDescent="0.3">
      <c r="A2996" s="2">
        <v>40251</v>
      </c>
      <c r="B2996">
        <f>4.75/(100)</f>
        <v>4.7500000000000001E-2</v>
      </c>
      <c r="C2996">
        <f>5.417/(100)</f>
        <v>5.4169999999999996E-2</v>
      </c>
    </row>
    <row r="2997" spans="1:3" x14ac:dyDescent="0.3">
      <c r="A2997" s="2">
        <v>40252</v>
      </c>
      <c r="B2997">
        <f>4.75/(100)</f>
        <v>4.7500000000000001E-2</v>
      </c>
      <c r="C2997">
        <f>5.42/(100)</f>
        <v>5.4199999999999998E-2</v>
      </c>
    </row>
    <row r="2998" spans="1:3" x14ac:dyDescent="0.3">
      <c r="A2998" s="2">
        <v>40253</v>
      </c>
      <c r="B2998">
        <f>4.75/(100)</f>
        <v>4.7500000000000001E-2</v>
      </c>
      <c r="C2998">
        <f>5.42/(100)</f>
        <v>5.4199999999999998E-2</v>
      </c>
    </row>
    <row r="2999" spans="1:3" x14ac:dyDescent="0.3">
      <c r="A2999" s="2">
        <v>40254</v>
      </c>
      <c r="B2999">
        <f>4.75/(100)</f>
        <v>4.7500000000000001E-2</v>
      </c>
      <c r="C2999">
        <f>5.249/(100)</f>
        <v>5.2489999999999995E-2</v>
      </c>
    </row>
    <row r="3000" spans="1:3" x14ac:dyDescent="0.3">
      <c r="A3000" s="2">
        <v>40255</v>
      </c>
      <c r="B3000">
        <f>4.75/(100)</f>
        <v>4.7500000000000001E-2</v>
      </c>
      <c r="C3000">
        <f>5.231/(100)</f>
        <v>5.2309999999999995E-2</v>
      </c>
    </row>
    <row r="3001" spans="1:3" x14ac:dyDescent="0.3">
      <c r="A3001" s="2">
        <v>40256</v>
      </c>
      <c r="B3001">
        <f>5/(100)</f>
        <v>0.05</v>
      </c>
      <c r="C3001">
        <f>5.257/(100)</f>
        <v>5.2569999999999999E-2</v>
      </c>
    </row>
    <row r="3002" spans="1:3" x14ac:dyDescent="0.3">
      <c r="A3002" s="2">
        <v>40257</v>
      </c>
      <c r="B3002">
        <f>5/(100)</f>
        <v>0.05</v>
      </c>
      <c r="C3002">
        <f>5.257/(100)</f>
        <v>5.2569999999999999E-2</v>
      </c>
    </row>
    <row r="3003" spans="1:3" x14ac:dyDescent="0.3">
      <c r="A3003" s="2">
        <v>40258</v>
      </c>
      <c r="B3003">
        <f>5/(100)</f>
        <v>0.05</v>
      </c>
      <c r="C3003">
        <f>5.257/(100)</f>
        <v>5.2569999999999999E-2</v>
      </c>
    </row>
    <row r="3004" spans="1:3" x14ac:dyDescent="0.3">
      <c r="A3004" s="2">
        <v>40259</v>
      </c>
      <c r="B3004">
        <f>5/(100)</f>
        <v>0.05</v>
      </c>
      <c r="C3004">
        <f>5.313/(100)</f>
        <v>5.3129999999999997E-2</v>
      </c>
    </row>
    <row r="3005" spans="1:3" x14ac:dyDescent="0.3">
      <c r="A3005" s="2">
        <v>40260</v>
      </c>
      <c r="B3005">
        <f>5/(100)</f>
        <v>0.05</v>
      </c>
      <c r="C3005">
        <f>5.364/(100)</f>
        <v>5.364E-2</v>
      </c>
    </row>
    <row r="3006" spans="1:3" x14ac:dyDescent="0.3">
      <c r="A3006" s="2">
        <v>40261</v>
      </c>
      <c r="B3006">
        <f>5/(100)</f>
        <v>0.05</v>
      </c>
      <c r="C3006">
        <f>5.364/(100)</f>
        <v>5.364E-2</v>
      </c>
    </row>
    <row r="3007" spans="1:3" x14ac:dyDescent="0.3">
      <c r="A3007" s="2">
        <v>40262</v>
      </c>
      <c r="B3007">
        <f>5/(100)</f>
        <v>0.05</v>
      </c>
      <c r="C3007">
        <f>5.283/(100)</f>
        <v>5.2830000000000002E-2</v>
      </c>
    </row>
    <row r="3008" spans="1:3" x14ac:dyDescent="0.3">
      <c r="A3008" s="2">
        <v>40263</v>
      </c>
      <c r="B3008">
        <f>5/(100)</f>
        <v>0.05</v>
      </c>
      <c r="C3008">
        <f>5.257/(100)</f>
        <v>5.2569999999999999E-2</v>
      </c>
    </row>
    <row r="3009" spans="1:3" x14ac:dyDescent="0.3">
      <c r="A3009" s="2">
        <v>40264</v>
      </c>
      <c r="B3009">
        <f>5/(100)</f>
        <v>0.05</v>
      </c>
      <c r="C3009">
        <f>5.257/(100)</f>
        <v>5.2569999999999999E-2</v>
      </c>
    </row>
    <row r="3010" spans="1:3" x14ac:dyDescent="0.3">
      <c r="A3010" s="2">
        <v>40265</v>
      </c>
      <c r="B3010">
        <f>5/(100)</f>
        <v>0.05</v>
      </c>
      <c r="C3010">
        <f>5.257/(100)</f>
        <v>5.2569999999999999E-2</v>
      </c>
    </row>
    <row r="3011" spans="1:3" x14ac:dyDescent="0.3">
      <c r="A3011" s="2">
        <v>40266</v>
      </c>
      <c r="B3011">
        <f>5/(100)</f>
        <v>0.05</v>
      </c>
      <c r="C3011">
        <f>5.274/(100)</f>
        <v>5.2740000000000002E-2</v>
      </c>
    </row>
    <row r="3012" spans="1:3" x14ac:dyDescent="0.3">
      <c r="A3012" s="2">
        <v>40267</v>
      </c>
      <c r="B3012">
        <f>5/(100)</f>
        <v>0.05</v>
      </c>
      <c r="C3012">
        <f>5.168/(100)</f>
        <v>5.1680000000000004E-2</v>
      </c>
    </row>
    <row r="3013" spans="1:3" x14ac:dyDescent="0.3">
      <c r="A3013" s="2">
        <v>40268</v>
      </c>
      <c r="B3013">
        <f>5/(100)</f>
        <v>0.05</v>
      </c>
      <c r="C3013">
        <f>5.153/(100)</f>
        <v>5.1529999999999992E-2</v>
      </c>
    </row>
    <row r="3014" spans="1:3" x14ac:dyDescent="0.3">
      <c r="A3014" s="2">
        <v>40269</v>
      </c>
      <c r="B3014">
        <f>5/(100)</f>
        <v>0.05</v>
      </c>
      <c r="C3014">
        <f>5.153/(100)</f>
        <v>5.1529999999999992E-2</v>
      </c>
    </row>
    <row r="3015" spans="1:3" x14ac:dyDescent="0.3">
      <c r="A3015" s="2">
        <v>40270</v>
      </c>
      <c r="B3015">
        <f>5/(100)</f>
        <v>0.05</v>
      </c>
      <c r="C3015">
        <f>5.153/(100)</f>
        <v>5.1529999999999992E-2</v>
      </c>
    </row>
    <row r="3016" spans="1:3" x14ac:dyDescent="0.3">
      <c r="A3016" s="2">
        <v>40271</v>
      </c>
      <c r="B3016">
        <f>5/(100)</f>
        <v>0.05</v>
      </c>
      <c r="C3016">
        <f>5.153/(100)</f>
        <v>5.1529999999999992E-2</v>
      </c>
    </row>
    <row r="3017" spans="1:3" x14ac:dyDescent="0.3">
      <c r="A3017" s="2">
        <v>40272</v>
      </c>
      <c r="B3017">
        <f>5/(100)</f>
        <v>0.05</v>
      </c>
      <c r="C3017">
        <f>5.153/(100)</f>
        <v>5.1529999999999992E-2</v>
      </c>
    </row>
    <row r="3018" spans="1:3" x14ac:dyDescent="0.3">
      <c r="A3018" s="2">
        <v>40273</v>
      </c>
      <c r="B3018">
        <f>5/(100)</f>
        <v>0.05</v>
      </c>
      <c r="C3018">
        <f>5.226/(100)</f>
        <v>5.2260000000000001E-2</v>
      </c>
    </row>
    <row r="3019" spans="1:3" x14ac:dyDescent="0.3">
      <c r="A3019" s="2">
        <v>40274</v>
      </c>
      <c r="B3019">
        <f>5/(100)</f>
        <v>0.05</v>
      </c>
      <c r="C3019">
        <f>5.22/(100)</f>
        <v>5.2199999999999996E-2</v>
      </c>
    </row>
    <row r="3020" spans="1:3" x14ac:dyDescent="0.3">
      <c r="A3020" s="2">
        <v>40275</v>
      </c>
      <c r="B3020">
        <f>5/(100)</f>
        <v>0.05</v>
      </c>
      <c r="C3020">
        <f>5.193/(100)</f>
        <v>5.1929999999999997E-2</v>
      </c>
    </row>
    <row r="3021" spans="1:3" x14ac:dyDescent="0.3">
      <c r="A3021" s="2">
        <v>40276</v>
      </c>
      <c r="B3021">
        <f>5/(100)</f>
        <v>0.05</v>
      </c>
      <c r="C3021">
        <f>5.184/(100)</f>
        <v>5.1840000000000004E-2</v>
      </c>
    </row>
    <row r="3022" spans="1:3" x14ac:dyDescent="0.3">
      <c r="A3022" s="2">
        <v>40277</v>
      </c>
      <c r="B3022">
        <f>5/(100)</f>
        <v>0.05</v>
      </c>
      <c r="C3022">
        <f>5.296/(100)</f>
        <v>5.296E-2</v>
      </c>
    </row>
    <row r="3023" spans="1:3" x14ac:dyDescent="0.3">
      <c r="A3023" s="2">
        <v>40278</v>
      </c>
      <c r="B3023">
        <f>5/(100)</f>
        <v>0.05</v>
      </c>
      <c r="C3023">
        <f>5.296/(100)</f>
        <v>5.296E-2</v>
      </c>
    </row>
    <row r="3024" spans="1:3" x14ac:dyDescent="0.3">
      <c r="A3024" s="2">
        <v>40279</v>
      </c>
      <c r="B3024">
        <f>5/(100)</f>
        <v>0.05</v>
      </c>
      <c r="C3024">
        <f>5.296/(100)</f>
        <v>5.296E-2</v>
      </c>
    </row>
    <row r="3025" spans="1:3" x14ac:dyDescent="0.3">
      <c r="A3025" s="2">
        <v>40280</v>
      </c>
      <c r="B3025">
        <f>5/(100)</f>
        <v>0.05</v>
      </c>
      <c r="C3025">
        <f>5.291/(100)</f>
        <v>5.2910000000000006E-2</v>
      </c>
    </row>
    <row r="3026" spans="1:3" x14ac:dyDescent="0.3">
      <c r="A3026" s="2">
        <v>40281</v>
      </c>
      <c r="B3026">
        <f>5/(100)</f>
        <v>0.05</v>
      </c>
      <c r="C3026">
        <f>5.278/(100)</f>
        <v>5.2779999999999994E-2</v>
      </c>
    </row>
    <row r="3027" spans="1:3" x14ac:dyDescent="0.3">
      <c r="A3027" s="2">
        <v>40282</v>
      </c>
      <c r="B3027">
        <f>5/(100)</f>
        <v>0.05</v>
      </c>
      <c r="C3027">
        <f>5.278/(100)</f>
        <v>5.2779999999999994E-2</v>
      </c>
    </row>
    <row r="3028" spans="1:3" x14ac:dyDescent="0.3">
      <c r="A3028" s="2">
        <v>40283</v>
      </c>
      <c r="B3028">
        <f>5/(100)</f>
        <v>0.05</v>
      </c>
      <c r="C3028">
        <f>5.462/(100)</f>
        <v>5.4619999999999995E-2</v>
      </c>
    </row>
    <row r="3029" spans="1:3" x14ac:dyDescent="0.3">
      <c r="A3029" s="2">
        <v>40284</v>
      </c>
      <c r="B3029">
        <f>5/(100)</f>
        <v>0.05</v>
      </c>
      <c r="C3029">
        <f>5.415/(100)</f>
        <v>5.4150000000000004E-2</v>
      </c>
    </row>
    <row r="3030" spans="1:3" x14ac:dyDescent="0.3">
      <c r="A3030" s="2">
        <v>40285</v>
      </c>
      <c r="B3030">
        <f>5/(100)</f>
        <v>0.05</v>
      </c>
      <c r="C3030">
        <f>5.415/(100)</f>
        <v>5.4150000000000004E-2</v>
      </c>
    </row>
    <row r="3031" spans="1:3" x14ac:dyDescent="0.3">
      <c r="A3031" s="2">
        <v>40286</v>
      </c>
      <c r="B3031">
        <f>5/(100)</f>
        <v>0.05</v>
      </c>
      <c r="C3031">
        <f>5.415/(100)</f>
        <v>5.4150000000000004E-2</v>
      </c>
    </row>
    <row r="3032" spans="1:3" x14ac:dyDescent="0.3">
      <c r="A3032" s="2">
        <v>40287</v>
      </c>
      <c r="B3032">
        <f>5/(100)</f>
        <v>0.05</v>
      </c>
      <c r="C3032">
        <f>5.493/(100)</f>
        <v>5.4930000000000007E-2</v>
      </c>
    </row>
    <row r="3033" spans="1:3" x14ac:dyDescent="0.3">
      <c r="A3033" s="2">
        <v>40288</v>
      </c>
      <c r="B3033">
        <f>5.25/(100)</f>
        <v>5.2499999999999998E-2</v>
      </c>
      <c r="C3033">
        <f>5.351/(100)</f>
        <v>5.3510000000000002E-2</v>
      </c>
    </row>
    <row r="3034" spans="1:3" x14ac:dyDescent="0.3">
      <c r="A3034" s="2">
        <v>40289</v>
      </c>
      <c r="B3034">
        <f>5.25/(100)</f>
        <v>5.2499999999999998E-2</v>
      </c>
      <c r="C3034">
        <f>5.319/(100)</f>
        <v>5.3190000000000001E-2</v>
      </c>
    </row>
    <row r="3035" spans="1:3" x14ac:dyDescent="0.3">
      <c r="A3035" s="2">
        <v>40290</v>
      </c>
      <c r="B3035">
        <f>5.25/(100)</f>
        <v>5.2499999999999998E-2</v>
      </c>
      <c r="C3035">
        <f>5.262/(100)</f>
        <v>5.2619999999999993E-2</v>
      </c>
    </row>
    <row r="3036" spans="1:3" x14ac:dyDescent="0.3">
      <c r="A3036" s="2">
        <v>40291</v>
      </c>
      <c r="B3036">
        <f>5.25/(100)</f>
        <v>5.2499999999999998E-2</v>
      </c>
      <c r="C3036">
        <f>5.286/(100)</f>
        <v>5.2859999999999997E-2</v>
      </c>
    </row>
    <row r="3037" spans="1:3" x14ac:dyDescent="0.3">
      <c r="A3037" s="2">
        <v>40292</v>
      </c>
      <c r="B3037">
        <f>5.25/(100)</f>
        <v>5.2499999999999998E-2</v>
      </c>
      <c r="C3037">
        <f>5.286/(100)</f>
        <v>5.2859999999999997E-2</v>
      </c>
    </row>
    <row r="3038" spans="1:3" x14ac:dyDescent="0.3">
      <c r="A3038" s="2">
        <v>40293</v>
      </c>
      <c r="B3038">
        <f>5.25/(100)</f>
        <v>5.2499999999999998E-2</v>
      </c>
      <c r="C3038">
        <f>5.286/(100)</f>
        <v>5.2859999999999997E-2</v>
      </c>
    </row>
    <row r="3039" spans="1:3" x14ac:dyDescent="0.3">
      <c r="A3039" s="2">
        <v>40294</v>
      </c>
      <c r="B3039">
        <f>5.25/(100)</f>
        <v>5.2499999999999998E-2</v>
      </c>
      <c r="C3039">
        <f>5.288/(100)</f>
        <v>5.2880000000000003E-2</v>
      </c>
    </row>
    <row r="3040" spans="1:3" x14ac:dyDescent="0.3">
      <c r="A3040" s="2">
        <v>40295</v>
      </c>
      <c r="B3040">
        <f>5.25/(100)</f>
        <v>5.2499999999999998E-2</v>
      </c>
      <c r="C3040">
        <f>5.287/(100)</f>
        <v>5.287E-2</v>
      </c>
    </row>
    <row r="3041" spans="1:3" x14ac:dyDescent="0.3">
      <c r="A3041" s="2">
        <v>40296</v>
      </c>
      <c r="B3041">
        <f>5.25/(100)</f>
        <v>5.2499999999999998E-2</v>
      </c>
      <c r="C3041">
        <f>5.255/(100)</f>
        <v>5.2549999999999999E-2</v>
      </c>
    </row>
    <row r="3042" spans="1:3" x14ac:dyDescent="0.3">
      <c r="A3042" s="2">
        <v>40297</v>
      </c>
      <c r="B3042">
        <f>5.25/(100)</f>
        <v>5.2499999999999998E-2</v>
      </c>
      <c r="C3042">
        <f>5.236/(100)</f>
        <v>5.2359999999999997E-2</v>
      </c>
    </row>
    <row r="3043" spans="1:3" x14ac:dyDescent="0.3">
      <c r="A3043" s="2">
        <v>40298</v>
      </c>
      <c r="B3043">
        <f>5.25/(100)</f>
        <v>5.2499999999999998E-2</v>
      </c>
      <c r="C3043">
        <f>5.219/(100)</f>
        <v>5.219E-2</v>
      </c>
    </row>
    <row r="3044" spans="1:3" x14ac:dyDescent="0.3">
      <c r="A3044" s="2">
        <v>40299</v>
      </c>
      <c r="B3044">
        <f>5.25/(100)</f>
        <v>5.2499999999999998E-2</v>
      </c>
      <c r="C3044">
        <f>5.219/(100)</f>
        <v>5.219E-2</v>
      </c>
    </row>
    <row r="3045" spans="1:3" x14ac:dyDescent="0.3">
      <c r="A3045" s="2">
        <v>40300</v>
      </c>
      <c r="B3045">
        <f>5.25/(100)</f>
        <v>5.2499999999999998E-2</v>
      </c>
      <c r="C3045">
        <f>5.219/(100)</f>
        <v>5.219E-2</v>
      </c>
    </row>
    <row r="3046" spans="1:3" x14ac:dyDescent="0.3">
      <c r="A3046" s="2">
        <v>40301</v>
      </c>
      <c r="B3046">
        <f>5.25/(100)</f>
        <v>5.2499999999999998E-2</v>
      </c>
      <c r="C3046">
        <f>5.199/(100)</f>
        <v>5.1990000000000001E-2</v>
      </c>
    </row>
    <row r="3047" spans="1:3" x14ac:dyDescent="0.3">
      <c r="A3047" s="2">
        <v>40302</v>
      </c>
      <c r="B3047">
        <f>5.25/(100)</f>
        <v>5.2499999999999998E-2</v>
      </c>
      <c r="C3047">
        <f>5.105/(100)</f>
        <v>5.1050000000000005E-2</v>
      </c>
    </row>
    <row r="3048" spans="1:3" x14ac:dyDescent="0.3">
      <c r="A3048" s="2">
        <v>40303</v>
      </c>
      <c r="B3048">
        <f>5.25/(100)</f>
        <v>5.2499999999999998E-2</v>
      </c>
      <c r="C3048">
        <f>5.036/(100)</f>
        <v>5.0359999999999995E-2</v>
      </c>
    </row>
    <row r="3049" spans="1:3" x14ac:dyDescent="0.3">
      <c r="A3049" s="2">
        <v>40304</v>
      </c>
      <c r="B3049">
        <f>5.25/(100)</f>
        <v>5.2499999999999998E-2</v>
      </c>
      <c r="C3049">
        <f>4.959/(100)</f>
        <v>4.9589999999999995E-2</v>
      </c>
    </row>
    <row r="3050" spans="1:3" x14ac:dyDescent="0.3">
      <c r="A3050" s="2">
        <v>40305</v>
      </c>
      <c r="B3050">
        <f>5.25/(100)</f>
        <v>5.2499999999999998E-2</v>
      </c>
      <c r="C3050">
        <f>4.932/(100)</f>
        <v>4.9320000000000003E-2</v>
      </c>
    </row>
    <row r="3051" spans="1:3" x14ac:dyDescent="0.3">
      <c r="A3051" s="2">
        <v>40306</v>
      </c>
      <c r="B3051">
        <f>5.25/(100)</f>
        <v>5.2499999999999998E-2</v>
      </c>
      <c r="C3051">
        <f>4.932/(100)</f>
        <v>4.9320000000000003E-2</v>
      </c>
    </row>
    <row r="3052" spans="1:3" x14ac:dyDescent="0.3">
      <c r="A3052" s="2">
        <v>40307</v>
      </c>
      <c r="B3052">
        <f>5.25/(100)</f>
        <v>5.2499999999999998E-2</v>
      </c>
      <c r="C3052">
        <f>4.932/(100)</f>
        <v>4.9320000000000003E-2</v>
      </c>
    </row>
    <row r="3053" spans="1:3" x14ac:dyDescent="0.3">
      <c r="A3053" s="2">
        <v>40308</v>
      </c>
      <c r="B3053">
        <f>5.25/(100)</f>
        <v>5.2499999999999998E-2</v>
      </c>
      <c r="C3053">
        <f>5.122/(100)</f>
        <v>5.1220000000000002E-2</v>
      </c>
    </row>
    <row r="3054" spans="1:3" x14ac:dyDescent="0.3">
      <c r="A3054" s="2">
        <v>40309</v>
      </c>
      <c r="B3054">
        <f>5.25/(100)</f>
        <v>5.2499999999999998E-2</v>
      </c>
      <c r="C3054">
        <f>5.104/(100)</f>
        <v>5.1040000000000002E-2</v>
      </c>
    </row>
    <row r="3055" spans="1:3" x14ac:dyDescent="0.3">
      <c r="A3055" s="2">
        <v>40310</v>
      </c>
      <c r="B3055">
        <f>5.25/(100)</f>
        <v>5.2499999999999998E-2</v>
      </c>
      <c r="C3055">
        <f>5.14/(100)</f>
        <v>5.1399999999999994E-2</v>
      </c>
    </row>
    <row r="3056" spans="1:3" x14ac:dyDescent="0.3">
      <c r="A3056" s="2">
        <v>40311</v>
      </c>
      <c r="B3056">
        <f>5.25/(100)</f>
        <v>5.2499999999999998E-2</v>
      </c>
      <c r="C3056">
        <f>5.12/(100)</f>
        <v>5.1200000000000002E-2</v>
      </c>
    </row>
    <row r="3057" spans="1:3" x14ac:dyDescent="0.3">
      <c r="A3057" s="2">
        <v>40312</v>
      </c>
      <c r="B3057">
        <f>5.25/(100)</f>
        <v>5.2499999999999998E-2</v>
      </c>
      <c r="C3057">
        <f>5.114/(100)</f>
        <v>5.1139999999999998E-2</v>
      </c>
    </row>
    <row r="3058" spans="1:3" x14ac:dyDescent="0.3">
      <c r="A3058" s="2">
        <v>40313</v>
      </c>
      <c r="B3058">
        <f>5.25/(100)</f>
        <v>5.2499999999999998E-2</v>
      </c>
      <c r="C3058">
        <f>5.114/(100)</f>
        <v>5.1139999999999998E-2</v>
      </c>
    </row>
    <row r="3059" spans="1:3" x14ac:dyDescent="0.3">
      <c r="A3059" s="2">
        <v>40314</v>
      </c>
      <c r="B3059">
        <f>5.25/(100)</f>
        <v>5.2499999999999998E-2</v>
      </c>
      <c r="C3059">
        <f>5.114/(100)</f>
        <v>5.1139999999999998E-2</v>
      </c>
    </row>
    <row r="3060" spans="1:3" x14ac:dyDescent="0.3">
      <c r="A3060" s="2">
        <v>40315</v>
      </c>
      <c r="B3060">
        <f>5.25/(100)</f>
        <v>5.2499999999999998E-2</v>
      </c>
      <c r="C3060">
        <f>5.065/(100)</f>
        <v>5.0650000000000001E-2</v>
      </c>
    </row>
    <row r="3061" spans="1:3" x14ac:dyDescent="0.3">
      <c r="A3061" s="2">
        <v>40316</v>
      </c>
      <c r="B3061">
        <f>5.25/(100)</f>
        <v>5.2499999999999998E-2</v>
      </c>
      <c r="C3061">
        <f>5.099/(100)</f>
        <v>5.0990000000000001E-2</v>
      </c>
    </row>
    <row r="3062" spans="1:3" x14ac:dyDescent="0.3">
      <c r="A3062" s="2">
        <v>40317</v>
      </c>
      <c r="B3062">
        <f>5.25/(100)</f>
        <v>5.2499999999999998E-2</v>
      </c>
      <c r="C3062">
        <f>5.106/(100)</f>
        <v>5.1060000000000001E-2</v>
      </c>
    </row>
    <row r="3063" spans="1:3" x14ac:dyDescent="0.3">
      <c r="A3063" s="2">
        <v>40318</v>
      </c>
      <c r="B3063">
        <f>5.25/(100)</f>
        <v>5.2499999999999998E-2</v>
      </c>
      <c r="C3063">
        <f>5.087/(100)</f>
        <v>5.0869999999999999E-2</v>
      </c>
    </row>
    <row r="3064" spans="1:3" x14ac:dyDescent="0.3">
      <c r="A3064" s="2">
        <v>40319</v>
      </c>
      <c r="B3064">
        <f>5.25/(100)</f>
        <v>5.2499999999999998E-2</v>
      </c>
      <c r="C3064">
        <f>5.119/(100)</f>
        <v>5.1189999999999999E-2</v>
      </c>
    </row>
    <row r="3065" spans="1:3" x14ac:dyDescent="0.3">
      <c r="A3065" s="2">
        <v>40320</v>
      </c>
      <c r="B3065">
        <f>5.25/(100)</f>
        <v>5.2499999999999998E-2</v>
      </c>
      <c r="C3065">
        <f>5.119/(100)</f>
        <v>5.1189999999999999E-2</v>
      </c>
    </row>
    <row r="3066" spans="1:3" x14ac:dyDescent="0.3">
      <c r="A3066" s="2">
        <v>40321</v>
      </c>
      <c r="B3066">
        <f>5.25/(100)</f>
        <v>5.2499999999999998E-2</v>
      </c>
      <c r="C3066">
        <f>5.119/(100)</f>
        <v>5.1189999999999999E-2</v>
      </c>
    </row>
    <row r="3067" spans="1:3" x14ac:dyDescent="0.3">
      <c r="A3067" s="2">
        <v>40322</v>
      </c>
      <c r="B3067">
        <f>5.25/(100)</f>
        <v>5.2499999999999998E-2</v>
      </c>
      <c r="C3067">
        <f>5.082/(100)</f>
        <v>5.0819999999999997E-2</v>
      </c>
    </row>
    <row r="3068" spans="1:3" x14ac:dyDescent="0.3">
      <c r="A3068" s="2">
        <v>40323</v>
      </c>
      <c r="B3068">
        <f>5.25/(100)</f>
        <v>5.2499999999999998E-2</v>
      </c>
      <c r="C3068">
        <f>5.111/(100)</f>
        <v>5.1109999999999996E-2</v>
      </c>
    </row>
    <row r="3069" spans="1:3" x14ac:dyDescent="0.3">
      <c r="A3069" s="2">
        <v>40324</v>
      </c>
      <c r="B3069">
        <f>5.25/(100)</f>
        <v>5.2499999999999998E-2</v>
      </c>
      <c r="C3069">
        <f>5.087/(100)</f>
        <v>5.0869999999999999E-2</v>
      </c>
    </row>
    <row r="3070" spans="1:3" x14ac:dyDescent="0.3">
      <c r="A3070" s="2">
        <v>40325</v>
      </c>
      <c r="B3070">
        <f>5.25/(100)</f>
        <v>5.2499999999999998E-2</v>
      </c>
      <c r="C3070">
        <f>5.087/(100)</f>
        <v>5.0869999999999999E-2</v>
      </c>
    </row>
    <row r="3071" spans="1:3" x14ac:dyDescent="0.3">
      <c r="A3071" s="2">
        <v>40326</v>
      </c>
      <c r="B3071">
        <f>5.25/(100)</f>
        <v>5.2499999999999998E-2</v>
      </c>
      <c r="C3071">
        <f>5.095/(100)</f>
        <v>5.0949999999999995E-2</v>
      </c>
    </row>
    <row r="3072" spans="1:3" x14ac:dyDescent="0.3">
      <c r="A3072" s="2">
        <v>40327</v>
      </c>
      <c r="B3072">
        <f>5.25/(100)</f>
        <v>5.2499999999999998E-2</v>
      </c>
      <c r="C3072">
        <f>5.095/(100)</f>
        <v>5.0949999999999995E-2</v>
      </c>
    </row>
    <row r="3073" spans="1:3" x14ac:dyDescent="0.3">
      <c r="A3073" s="2">
        <v>40328</v>
      </c>
      <c r="B3073">
        <f>5.25/(100)</f>
        <v>5.2499999999999998E-2</v>
      </c>
      <c r="C3073">
        <f>5.095/(100)</f>
        <v>5.0949999999999995E-2</v>
      </c>
    </row>
    <row r="3074" spans="1:3" x14ac:dyDescent="0.3">
      <c r="A3074" s="2">
        <v>40329</v>
      </c>
      <c r="B3074">
        <f>5.25/(100)</f>
        <v>5.2499999999999998E-2</v>
      </c>
      <c r="C3074">
        <f>5.105/(100)</f>
        <v>5.1050000000000005E-2</v>
      </c>
    </row>
    <row r="3075" spans="1:3" x14ac:dyDescent="0.3">
      <c r="A3075" s="2">
        <v>40330</v>
      </c>
      <c r="B3075">
        <f>5.25/(100)</f>
        <v>5.2499999999999998E-2</v>
      </c>
      <c r="C3075">
        <f>5.135/(100)</f>
        <v>5.135E-2</v>
      </c>
    </row>
    <row r="3076" spans="1:3" x14ac:dyDescent="0.3">
      <c r="A3076" s="2">
        <v>40331</v>
      </c>
      <c r="B3076">
        <f>5.25/(100)</f>
        <v>5.2499999999999998E-2</v>
      </c>
      <c r="C3076">
        <f>5.087/(100)</f>
        <v>5.0869999999999999E-2</v>
      </c>
    </row>
    <row r="3077" spans="1:3" x14ac:dyDescent="0.3">
      <c r="A3077" s="2">
        <v>40332</v>
      </c>
      <c r="B3077">
        <f>5.25/(100)</f>
        <v>5.2499999999999998E-2</v>
      </c>
      <c r="C3077">
        <f>5.09/(100)</f>
        <v>5.0900000000000001E-2</v>
      </c>
    </row>
    <row r="3078" spans="1:3" x14ac:dyDescent="0.3">
      <c r="A3078" s="2">
        <v>40333</v>
      </c>
      <c r="B3078">
        <f>5.25/(100)</f>
        <v>5.2499999999999998E-2</v>
      </c>
      <c r="C3078">
        <f>5.061/(100)</f>
        <v>5.0610000000000002E-2</v>
      </c>
    </row>
    <row r="3079" spans="1:3" x14ac:dyDescent="0.3">
      <c r="A3079" s="2">
        <v>40334</v>
      </c>
      <c r="B3079">
        <f>5.25/(100)</f>
        <v>5.2499999999999998E-2</v>
      </c>
      <c r="C3079">
        <f>5.061/(100)</f>
        <v>5.0610000000000002E-2</v>
      </c>
    </row>
    <row r="3080" spans="1:3" x14ac:dyDescent="0.3">
      <c r="A3080" s="2">
        <v>40335</v>
      </c>
      <c r="B3080">
        <f>5.25/(100)</f>
        <v>5.2499999999999998E-2</v>
      </c>
      <c r="C3080">
        <f>5.061/(100)</f>
        <v>5.0610000000000002E-2</v>
      </c>
    </row>
    <row r="3081" spans="1:3" x14ac:dyDescent="0.3">
      <c r="A3081" s="2">
        <v>40336</v>
      </c>
      <c r="B3081">
        <f>5.25/(100)</f>
        <v>5.2499999999999998E-2</v>
      </c>
      <c r="C3081">
        <f>5.046/(100)</f>
        <v>5.0460000000000005E-2</v>
      </c>
    </row>
    <row r="3082" spans="1:3" x14ac:dyDescent="0.3">
      <c r="A3082" s="2">
        <v>40337</v>
      </c>
      <c r="B3082">
        <f>5.25/(100)</f>
        <v>5.2499999999999998E-2</v>
      </c>
      <c r="C3082">
        <f>5.121/(100)</f>
        <v>5.1210000000000006E-2</v>
      </c>
    </row>
    <row r="3083" spans="1:3" x14ac:dyDescent="0.3">
      <c r="A3083" s="2">
        <v>40338</v>
      </c>
      <c r="B3083">
        <f>5.25/(100)</f>
        <v>5.2499999999999998E-2</v>
      </c>
      <c r="C3083">
        <f>5.059/(100)</f>
        <v>5.0590000000000003E-2</v>
      </c>
    </row>
    <row r="3084" spans="1:3" x14ac:dyDescent="0.3">
      <c r="A3084" s="2">
        <v>40339</v>
      </c>
      <c r="B3084">
        <f>5.25/(100)</f>
        <v>5.2499999999999998E-2</v>
      </c>
      <c r="C3084">
        <f>5.073/(100)</f>
        <v>5.0730000000000004E-2</v>
      </c>
    </row>
    <row r="3085" spans="1:3" x14ac:dyDescent="0.3">
      <c r="A3085" s="2">
        <v>40340</v>
      </c>
      <c r="B3085">
        <f>5.25/(100)</f>
        <v>5.2499999999999998E-2</v>
      </c>
      <c r="C3085">
        <f>5.115/(100)</f>
        <v>5.1150000000000001E-2</v>
      </c>
    </row>
    <row r="3086" spans="1:3" x14ac:dyDescent="0.3">
      <c r="A3086" s="2">
        <v>40341</v>
      </c>
      <c r="B3086">
        <f>5.25/(100)</f>
        <v>5.2499999999999998E-2</v>
      </c>
      <c r="C3086">
        <f>5.115/(100)</f>
        <v>5.1150000000000001E-2</v>
      </c>
    </row>
    <row r="3087" spans="1:3" x14ac:dyDescent="0.3">
      <c r="A3087" s="2">
        <v>40342</v>
      </c>
      <c r="B3087">
        <f>5.25/(100)</f>
        <v>5.2499999999999998E-2</v>
      </c>
      <c r="C3087">
        <f>5.115/(100)</f>
        <v>5.1150000000000001E-2</v>
      </c>
    </row>
    <row r="3088" spans="1:3" x14ac:dyDescent="0.3">
      <c r="A3088" s="2">
        <v>40343</v>
      </c>
      <c r="B3088">
        <f>5.25/(100)</f>
        <v>5.2499999999999998E-2</v>
      </c>
      <c r="C3088">
        <f>5.277/(100)</f>
        <v>5.2770000000000004E-2</v>
      </c>
    </row>
    <row r="3089" spans="1:3" x14ac:dyDescent="0.3">
      <c r="A3089" s="2">
        <v>40344</v>
      </c>
      <c r="B3089">
        <f>5.25/(100)</f>
        <v>5.2499999999999998E-2</v>
      </c>
      <c r="C3089">
        <f>5.404/(100)</f>
        <v>5.4039999999999998E-2</v>
      </c>
    </row>
    <row r="3090" spans="1:3" x14ac:dyDescent="0.3">
      <c r="A3090" s="2">
        <v>40345</v>
      </c>
      <c r="B3090">
        <f>5.25/(100)</f>
        <v>5.2499999999999998E-2</v>
      </c>
      <c r="C3090">
        <f>5.345/(100)</f>
        <v>5.3449999999999998E-2</v>
      </c>
    </row>
    <row r="3091" spans="1:3" x14ac:dyDescent="0.3">
      <c r="A3091" s="2">
        <v>40346</v>
      </c>
      <c r="B3091">
        <f>5.25/(100)</f>
        <v>5.2499999999999998E-2</v>
      </c>
      <c r="C3091">
        <f>5.322/(100)</f>
        <v>5.3220000000000003E-2</v>
      </c>
    </row>
    <row r="3092" spans="1:3" x14ac:dyDescent="0.3">
      <c r="A3092" s="2">
        <v>40347</v>
      </c>
      <c r="B3092">
        <f>5.25/(100)</f>
        <v>5.2499999999999998E-2</v>
      </c>
      <c r="C3092">
        <f>5.374/(100)</f>
        <v>5.3739999999999996E-2</v>
      </c>
    </row>
    <row r="3093" spans="1:3" x14ac:dyDescent="0.3">
      <c r="A3093" s="2">
        <v>40348</v>
      </c>
      <c r="B3093">
        <f>5.25/(100)</f>
        <v>5.2499999999999998E-2</v>
      </c>
      <c r="C3093">
        <f>5.374/(100)</f>
        <v>5.3739999999999996E-2</v>
      </c>
    </row>
    <row r="3094" spans="1:3" x14ac:dyDescent="0.3">
      <c r="A3094" s="2">
        <v>40349</v>
      </c>
      <c r="B3094">
        <f>5.25/(100)</f>
        <v>5.2499999999999998E-2</v>
      </c>
      <c r="C3094">
        <f>5.374/(100)</f>
        <v>5.3739999999999996E-2</v>
      </c>
    </row>
    <row r="3095" spans="1:3" x14ac:dyDescent="0.3">
      <c r="A3095" s="2">
        <v>40350</v>
      </c>
      <c r="B3095">
        <f>5.25/(100)</f>
        <v>5.2499999999999998E-2</v>
      </c>
      <c r="C3095">
        <f>5.367/(100)</f>
        <v>5.3670000000000002E-2</v>
      </c>
    </row>
    <row r="3096" spans="1:3" x14ac:dyDescent="0.3">
      <c r="A3096" s="2">
        <v>40351</v>
      </c>
      <c r="B3096">
        <f>5.25/(100)</f>
        <v>5.2499999999999998E-2</v>
      </c>
      <c r="C3096">
        <f>5.389/(100)</f>
        <v>5.389E-2</v>
      </c>
    </row>
    <row r="3097" spans="1:3" x14ac:dyDescent="0.3">
      <c r="A3097" s="2">
        <v>40352</v>
      </c>
      <c r="B3097">
        <f>5.25/(100)</f>
        <v>5.2499999999999998E-2</v>
      </c>
      <c r="C3097">
        <f>5.363/(100)</f>
        <v>5.3630000000000004E-2</v>
      </c>
    </row>
    <row r="3098" spans="1:3" x14ac:dyDescent="0.3">
      <c r="A3098" s="2">
        <v>40353</v>
      </c>
      <c r="B3098">
        <f>5.25/(100)</f>
        <v>5.2499999999999998E-2</v>
      </c>
      <c r="C3098">
        <f>5.374/(100)</f>
        <v>5.3739999999999996E-2</v>
      </c>
    </row>
    <row r="3099" spans="1:3" x14ac:dyDescent="0.3">
      <c r="A3099" s="2">
        <v>40354</v>
      </c>
      <c r="B3099">
        <f>5.25/(100)</f>
        <v>5.2499999999999998E-2</v>
      </c>
      <c r="C3099">
        <f>5.319/(100)</f>
        <v>5.3190000000000001E-2</v>
      </c>
    </row>
    <row r="3100" spans="1:3" x14ac:dyDescent="0.3">
      <c r="A3100" s="2">
        <v>40355</v>
      </c>
      <c r="B3100">
        <f>5.25/(100)</f>
        <v>5.2499999999999998E-2</v>
      </c>
      <c r="C3100">
        <f>5.319/(100)</f>
        <v>5.3190000000000001E-2</v>
      </c>
    </row>
    <row r="3101" spans="1:3" x14ac:dyDescent="0.3">
      <c r="A3101" s="2">
        <v>40356</v>
      </c>
      <c r="B3101">
        <f>5.25/(100)</f>
        <v>5.2499999999999998E-2</v>
      </c>
      <c r="C3101">
        <f>5.319/(100)</f>
        <v>5.3190000000000001E-2</v>
      </c>
    </row>
    <row r="3102" spans="1:3" x14ac:dyDescent="0.3">
      <c r="A3102" s="2">
        <v>40357</v>
      </c>
      <c r="B3102">
        <f>5.25/(100)</f>
        <v>5.2499999999999998E-2</v>
      </c>
      <c r="C3102">
        <f>5.425/(100)</f>
        <v>5.425E-2</v>
      </c>
    </row>
    <row r="3103" spans="1:3" x14ac:dyDescent="0.3">
      <c r="A3103" s="2">
        <v>40358</v>
      </c>
      <c r="B3103">
        <f>5.25/(100)</f>
        <v>5.2499999999999998E-2</v>
      </c>
      <c r="C3103">
        <f>5.472/(100)</f>
        <v>5.4720000000000005E-2</v>
      </c>
    </row>
    <row r="3104" spans="1:3" x14ac:dyDescent="0.3">
      <c r="A3104" s="2">
        <v>40359</v>
      </c>
      <c r="B3104">
        <f>5.25/(100)</f>
        <v>5.2499999999999998E-2</v>
      </c>
      <c r="C3104">
        <f>5.418/(100)</f>
        <v>5.4179999999999999E-2</v>
      </c>
    </row>
    <row r="3105" spans="1:3" x14ac:dyDescent="0.3">
      <c r="A3105" s="2">
        <v>40360</v>
      </c>
      <c r="B3105">
        <f>5.25/(100)</f>
        <v>5.2499999999999998E-2</v>
      </c>
      <c r="C3105">
        <f>5.471/(100)</f>
        <v>5.4710000000000002E-2</v>
      </c>
    </row>
    <row r="3106" spans="1:3" x14ac:dyDescent="0.3">
      <c r="A3106" s="2">
        <v>40361</v>
      </c>
      <c r="B3106">
        <f>5.5/(100)</f>
        <v>5.5E-2</v>
      </c>
      <c r="C3106">
        <f>5.364/(100)</f>
        <v>5.364E-2</v>
      </c>
    </row>
    <row r="3107" spans="1:3" x14ac:dyDescent="0.3">
      <c r="A3107" s="2">
        <v>40362</v>
      </c>
      <c r="B3107">
        <f>5.5/(100)</f>
        <v>5.5E-2</v>
      </c>
      <c r="C3107">
        <f>5.364/(100)</f>
        <v>5.364E-2</v>
      </c>
    </row>
    <row r="3108" spans="1:3" x14ac:dyDescent="0.3">
      <c r="A3108" s="2">
        <v>40363</v>
      </c>
      <c r="B3108">
        <f>5.5/(100)</f>
        <v>5.5E-2</v>
      </c>
      <c r="C3108">
        <f>5.364/(100)</f>
        <v>5.364E-2</v>
      </c>
    </row>
    <row r="3109" spans="1:3" x14ac:dyDescent="0.3">
      <c r="A3109" s="2">
        <v>40364</v>
      </c>
      <c r="B3109">
        <f>5.5/(100)</f>
        <v>5.5E-2</v>
      </c>
      <c r="C3109">
        <f>5.717/(100)</f>
        <v>5.7169999999999999E-2</v>
      </c>
    </row>
    <row r="3110" spans="1:3" x14ac:dyDescent="0.3">
      <c r="A3110" s="2">
        <v>40365</v>
      </c>
      <c r="B3110">
        <f>5.5/(100)</f>
        <v>5.5E-2</v>
      </c>
      <c r="C3110">
        <f>5.717/(100)</f>
        <v>5.7169999999999999E-2</v>
      </c>
    </row>
    <row r="3111" spans="1:3" x14ac:dyDescent="0.3">
      <c r="A3111" s="2">
        <v>40366</v>
      </c>
      <c r="B3111">
        <f>5.5/(100)</f>
        <v>5.5E-2</v>
      </c>
      <c r="C3111">
        <f>5.721/(100)</f>
        <v>5.7210000000000004E-2</v>
      </c>
    </row>
    <row r="3112" spans="1:3" x14ac:dyDescent="0.3">
      <c r="A3112" s="2">
        <v>40367</v>
      </c>
      <c r="B3112">
        <f>5.5/(100)</f>
        <v>5.5E-2</v>
      </c>
      <c r="C3112">
        <f>5.758/(100)</f>
        <v>5.7579999999999999E-2</v>
      </c>
    </row>
    <row r="3113" spans="1:3" x14ac:dyDescent="0.3">
      <c r="A3113" s="2">
        <v>40368</v>
      </c>
      <c r="B3113">
        <f>5.5/(100)</f>
        <v>5.5E-2</v>
      </c>
      <c r="C3113">
        <f>5.799/(100)</f>
        <v>5.7990000000000007E-2</v>
      </c>
    </row>
    <row r="3114" spans="1:3" x14ac:dyDescent="0.3">
      <c r="A3114" s="2">
        <v>40369</v>
      </c>
      <c r="B3114">
        <f>5.5/(100)</f>
        <v>5.5E-2</v>
      </c>
      <c r="C3114">
        <f>5.799/(100)</f>
        <v>5.7990000000000007E-2</v>
      </c>
    </row>
    <row r="3115" spans="1:3" x14ac:dyDescent="0.3">
      <c r="A3115" s="2">
        <v>40370</v>
      </c>
      <c r="B3115">
        <f>5.5/(100)</f>
        <v>5.5E-2</v>
      </c>
      <c r="C3115">
        <f>5.799/(100)</f>
        <v>5.7990000000000007E-2</v>
      </c>
    </row>
    <row r="3116" spans="1:3" x14ac:dyDescent="0.3">
      <c r="A3116" s="2">
        <v>40371</v>
      </c>
      <c r="B3116">
        <f>5.5/(100)</f>
        <v>5.5E-2</v>
      </c>
      <c r="C3116">
        <f>5.702/(100)</f>
        <v>5.7020000000000001E-2</v>
      </c>
    </row>
    <row r="3117" spans="1:3" x14ac:dyDescent="0.3">
      <c r="A3117" s="2">
        <v>40372</v>
      </c>
      <c r="B3117">
        <f>5.5/(100)</f>
        <v>5.5E-2</v>
      </c>
      <c r="C3117">
        <f>5.759/(100)</f>
        <v>5.7590000000000002E-2</v>
      </c>
    </row>
    <row r="3118" spans="1:3" x14ac:dyDescent="0.3">
      <c r="A3118" s="2">
        <v>40373</v>
      </c>
      <c r="B3118">
        <f>5.5/(100)</f>
        <v>5.5E-2</v>
      </c>
      <c r="C3118">
        <f>5.759/(100)</f>
        <v>5.7590000000000002E-2</v>
      </c>
    </row>
    <row r="3119" spans="1:3" x14ac:dyDescent="0.3">
      <c r="A3119" s="2">
        <v>40374</v>
      </c>
      <c r="B3119">
        <f>5.5/(100)</f>
        <v>5.5E-2</v>
      </c>
      <c r="C3119">
        <f>5.769/(100)</f>
        <v>5.7689999999999998E-2</v>
      </c>
    </row>
    <row r="3120" spans="1:3" x14ac:dyDescent="0.3">
      <c r="A3120" s="2">
        <v>40375</v>
      </c>
      <c r="B3120">
        <f>5.5/(100)</f>
        <v>5.5E-2</v>
      </c>
      <c r="C3120">
        <f>5.722/(100)</f>
        <v>5.7220000000000007E-2</v>
      </c>
    </row>
    <row r="3121" spans="1:3" x14ac:dyDescent="0.3">
      <c r="A3121" s="2">
        <v>40376</v>
      </c>
      <c r="B3121">
        <f>5.5/(100)</f>
        <v>5.5E-2</v>
      </c>
      <c r="C3121">
        <f>5.722/(100)</f>
        <v>5.7220000000000007E-2</v>
      </c>
    </row>
    <row r="3122" spans="1:3" x14ac:dyDescent="0.3">
      <c r="A3122" s="2">
        <v>40377</v>
      </c>
      <c r="B3122">
        <f>5.5/(100)</f>
        <v>5.5E-2</v>
      </c>
      <c r="C3122">
        <f>5.722/(100)</f>
        <v>5.7220000000000007E-2</v>
      </c>
    </row>
    <row r="3123" spans="1:3" x14ac:dyDescent="0.3">
      <c r="A3123" s="2">
        <v>40378</v>
      </c>
      <c r="B3123">
        <f>5.5/(100)</f>
        <v>5.5E-2</v>
      </c>
      <c r="C3123">
        <f>5.693/(100)</f>
        <v>5.6929999999999994E-2</v>
      </c>
    </row>
    <row r="3124" spans="1:3" x14ac:dyDescent="0.3">
      <c r="A3124" s="2">
        <v>40379</v>
      </c>
      <c r="B3124">
        <f>5.5/(100)</f>
        <v>5.5E-2</v>
      </c>
      <c r="C3124">
        <f>5.716/(100)</f>
        <v>5.7160000000000002E-2</v>
      </c>
    </row>
    <row r="3125" spans="1:3" x14ac:dyDescent="0.3">
      <c r="A3125" s="2">
        <v>40380</v>
      </c>
      <c r="B3125">
        <f>5.5/(100)</f>
        <v>5.5E-2</v>
      </c>
      <c r="C3125">
        <f>5.736/(100)</f>
        <v>5.7359999999999994E-2</v>
      </c>
    </row>
    <row r="3126" spans="1:3" x14ac:dyDescent="0.3">
      <c r="A3126" s="2">
        <v>40381</v>
      </c>
      <c r="B3126">
        <f>5.5/(100)</f>
        <v>5.5E-2</v>
      </c>
      <c r="C3126">
        <f>5.681/(100)</f>
        <v>5.6809999999999999E-2</v>
      </c>
    </row>
    <row r="3127" spans="1:3" x14ac:dyDescent="0.3">
      <c r="A3127" s="2">
        <v>40382</v>
      </c>
      <c r="B3127">
        <f>5.5/(100)</f>
        <v>5.5E-2</v>
      </c>
      <c r="C3127">
        <f>5.916/(100)</f>
        <v>5.9160000000000004E-2</v>
      </c>
    </row>
    <row r="3128" spans="1:3" x14ac:dyDescent="0.3">
      <c r="A3128" s="2">
        <v>40383</v>
      </c>
      <c r="B3128">
        <f>5.5/(100)</f>
        <v>5.5E-2</v>
      </c>
      <c r="C3128">
        <f>5.916/(100)</f>
        <v>5.9160000000000004E-2</v>
      </c>
    </row>
    <row r="3129" spans="1:3" x14ac:dyDescent="0.3">
      <c r="A3129" s="2">
        <v>40384</v>
      </c>
      <c r="B3129">
        <f>5.5/(100)</f>
        <v>5.5E-2</v>
      </c>
      <c r="C3129">
        <f>5.916/(100)</f>
        <v>5.9160000000000004E-2</v>
      </c>
    </row>
    <row r="3130" spans="1:3" x14ac:dyDescent="0.3">
      <c r="A3130" s="2">
        <v>40385</v>
      </c>
      <c r="B3130">
        <f>5.5/(100)</f>
        <v>5.5E-2</v>
      </c>
      <c r="C3130">
        <f>5.84/(100)</f>
        <v>5.8400000000000001E-2</v>
      </c>
    </row>
    <row r="3131" spans="1:3" x14ac:dyDescent="0.3">
      <c r="A3131" s="2">
        <v>40386</v>
      </c>
      <c r="B3131">
        <f>5.75/(100)</f>
        <v>5.7500000000000002E-2</v>
      </c>
      <c r="C3131">
        <f>5.828/(100)</f>
        <v>5.8280000000000005E-2</v>
      </c>
    </row>
    <row r="3132" spans="1:3" x14ac:dyDescent="0.3">
      <c r="A3132" s="2">
        <v>40387</v>
      </c>
      <c r="B3132">
        <f>5.75/(100)</f>
        <v>5.7500000000000002E-2</v>
      </c>
      <c r="C3132">
        <f>5.824/(100)</f>
        <v>5.824E-2</v>
      </c>
    </row>
    <row r="3133" spans="1:3" x14ac:dyDescent="0.3">
      <c r="A3133" s="2">
        <v>40388</v>
      </c>
      <c r="B3133">
        <f>5.75/(100)</f>
        <v>5.7500000000000002E-2</v>
      </c>
      <c r="C3133">
        <f>6.137/(100)</f>
        <v>6.1369999999999994E-2</v>
      </c>
    </row>
    <row r="3134" spans="1:3" x14ac:dyDescent="0.3">
      <c r="A3134" s="2">
        <v>40389</v>
      </c>
      <c r="B3134">
        <f>5.75/(100)</f>
        <v>5.7500000000000002E-2</v>
      </c>
      <c r="C3134">
        <f>6.37/(100)</f>
        <v>6.3700000000000007E-2</v>
      </c>
    </row>
    <row r="3135" spans="1:3" x14ac:dyDescent="0.3">
      <c r="A3135" s="2">
        <v>40390</v>
      </c>
      <c r="B3135">
        <f>5.75/(100)</f>
        <v>5.7500000000000002E-2</v>
      </c>
      <c r="C3135">
        <f>6.37/(100)</f>
        <v>6.3700000000000007E-2</v>
      </c>
    </row>
    <row r="3136" spans="1:3" x14ac:dyDescent="0.3">
      <c r="A3136" s="2">
        <v>40391</v>
      </c>
      <c r="B3136">
        <f>5.75/(100)</f>
        <v>5.7500000000000002E-2</v>
      </c>
      <c r="C3136">
        <f>6.37/(100)</f>
        <v>6.3700000000000007E-2</v>
      </c>
    </row>
    <row r="3137" spans="1:3" x14ac:dyDescent="0.3">
      <c r="A3137" s="2">
        <v>40392</v>
      </c>
      <c r="B3137">
        <f>5.75/(100)</f>
        <v>5.7500000000000002E-2</v>
      </c>
      <c r="C3137">
        <f>5.916/(100)</f>
        <v>5.9160000000000004E-2</v>
      </c>
    </row>
    <row r="3138" spans="1:3" x14ac:dyDescent="0.3">
      <c r="A3138" s="2">
        <v>40393</v>
      </c>
      <c r="B3138">
        <f>5.75/(100)</f>
        <v>5.7500000000000002E-2</v>
      </c>
      <c r="C3138">
        <f>6.22/(100)</f>
        <v>6.2199999999999998E-2</v>
      </c>
    </row>
    <row r="3139" spans="1:3" x14ac:dyDescent="0.3">
      <c r="A3139" s="2">
        <v>40394</v>
      </c>
      <c r="B3139">
        <f>5.75/(100)</f>
        <v>5.7500000000000002E-2</v>
      </c>
      <c r="C3139">
        <f>6.32/(100)</f>
        <v>6.3200000000000006E-2</v>
      </c>
    </row>
    <row r="3140" spans="1:3" x14ac:dyDescent="0.3">
      <c r="A3140" s="2">
        <v>40395</v>
      </c>
      <c r="B3140">
        <f>5.75/(100)</f>
        <v>5.7500000000000002E-2</v>
      </c>
      <c r="C3140">
        <f>6.471/(100)</f>
        <v>6.4710000000000004E-2</v>
      </c>
    </row>
    <row r="3141" spans="1:3" x14ac:dyDescent="0.3">
      <c r="A3141" s="2">
        <v>40396</v>
      </c>
      <c r="B3141">
        <f>5.75/(100)</f>
        <v>5.7500000000000002E-2</v>
      </c>
      <c r="C3141">
        <f>6.468/(100)</f>
        <v>6.4680000000000001E-2</v>
      </c>
    </row>
    <row r="3142" spans="1:3" x14ac:dyDescent="0.3">
      <c r="A3142" s="2">
        <v>40397</v>
      </c>
      <c r="B3142">
        <f>5.75/(100)</f>
        <v>5.7500000000000002E-2</v>
      </c>
      <c r="C3142">
        <f>6.468/(100)</f>
        <v>6.4680000000000001E-2</v>
      </c>
    </row>
    <row r="3143" spans="1:3" x14ac:dyDescent="0.3">
      <c r="A3143" s="2">
        <v>40398</v>
      </c>
      <c r="B3143">
        <f>5.75/(100)</f>
        <v>5.7500000000000002E-2</v>
      </c>
      <c r="C3143">
        <f>6.468/(100)</f>
        <v>6.4680000000000001E-2</v>
      </c>
    </row>
    <row r="3144" spans="1:3" x14ac:dyDescent="0.3">
      <c r="A3144" s="2">
        <v>40399</v>
      </c>
      <c r="B3144">
        <f>5.75/(100)</f>
        <v>5.7500000000000002E-2</v>
      </c>
      <c r="C3144">
        <f>6.49/(100)</f>
        <v>6.4899999999999999E-2</v>
      </c>
    </row>
    <row r="3145" spans="1:3" x14ac:dyDescent="0.3">
      <c r="A3145" s="2">
        <v>40400</v>
      </c>
      <c r="B3145">
        <f>5.75/(100)</f>
        <v>5.7500000000000002E-2</v>
      </c>
      <c r="C3145">
        <f>6.416/(100)</f>
        <v>6.4160000000000009E-2</v>
      </c>
    </row>
    <row r="3146" spans="1:3" x14ac:dyDescent="0.3">
      <c r="A3146" s="2">
        <v>40401</v>
      </c>
      <c r="B3146">
        <f>5.75/(100)</f>
        <v>5.7500000000000002E-2</v>
      </c>
      <c r="C3146">
        <f>6.414/(100)</f>
        <v>6.4140000000000003E-2</v>
      </c>
    </row>
    <row r="3147" spans="1:3" x14ac:dyDescent="0.3">
      <c r="A3147" s="2">
        <v>40402</v>
      </c>
      <c r="B3147">
        <f>5.75/(100)</f>
        <v>5.7500000000000002E-2</v>
      </c>
      <c r="C3147">
        <f>6.404/(100)</f>
        <v>6.404E-2</v>
      </c>
    </row>
    <row r="3148" spans="1:3" x14ac:dyDescent="0.3">
      <c r="A3148" s="2">
        <v>40403</v>
      </c>
      <c r="B3148">
        <f>5.75/(100)</f>
        <v>5.7500000000000002E-2</v>
      </c>
      <c r="C3148">
        <f>6.378/(100)</f>
        <v>6.3780000000000003E-2</v>
      </c>
    </row>
    <row r="3149" spans="1:3" x14ac:dyDescent="0.3">
      <c r="A3149" s="2">
        <v>40404</v>
      </c>
      <c r="B3149">
        <f>5.75/(100)</f>
        <v>5.7500000000000002E-2</v>
      </c>
      <c r="C3149">
        <f>6.378/(100)</f>
        <v>6.3780000000000003E-2</v>
      </c>
    </row>
    <row r="3150" spans="1:3" x14ac:dyDescent="0.3">
      <c r="A3150" s="2">
        <v>40405</v>
      </c>
      <c r="B3150">
        <f>5.75/(100)</f>
        <v>5.7500000000000002E-2</v>
      </c>
      <c r="C3150">
        <f>6.378/(100)</f>
        <v>6.3780000000000003E-2</v>
      </c>
    </row>
    <row r="3151" spans="1:3" x14ac:dyDescent="0.3">
      <c r="A3151" s="2">
        <v>40406</v>
      </c>
      <c r="B3151">
        <f>5.75/(100)</f>
        <v>5.7500000000000002E-2</v>
      </c>
      <c r="C3151">
        <f>6.372/(100)</f>
        <v>6.3719999999999999E-2</v>
      </c>
    </row>
    <row r="3152" spans="1:3" x14ac:dyDescent="0.3">
      <c r="A3152" s="2">
        <v>40407</v>
      </c>
      <c r="B3152">
        <f>5.75/(100)</f>
        <v>5.7500000000000002E-2</v>
      </c>
      <c r="C3152">
        <f>6.358/(100)</f>
        <v>6.3579999999999998E-2</v>
      </c>
    </row>
    <row r="3153" spans="1:3" x14ac:dyDescent="0.3">
      <c r="A3153" s="2">
        <v>40408</v>
      </c>
      <c r="B3153">
        <f>5.75/(100)</f>
        <v>5.7500000000000002E-2</v>
      </c>
      <c r="C3153">
        <f>6.39/(100)</f>
        <v>6.3899999999999998E-2</v>
      </c>
    </row>
    <row r="3154" spans="1:3" x14ac:dyDescent="0.3">
      <c r="A3154" s="2">
        <v>40409</v>
      </c>
      <c r="B3154">
        <f>5.75/(100)</f>
        <v>5.7500000000000002E-2</v>
      </c>
      <c r="C3154">
        <f>6.39/(100)</f>
        <v>6.3899999999999998E-2</v>
      </c>
    </row>
    <row r="3155" spans="1:3" x14ac:dyDescent="0.3">
      <c r="A3155" s="2">
        <v>40410</v>
      </c>
      <c r="B3155">
        <f>5.75/(100)</f>
        <v>5.7500000000000002E-2</v>
      </c>
      <c r="C3155">
        <f>6.43/(100)</f>
        <v>6.4299999999999996E-2</v>
      </c>
    </row>
    <row r="3156" spans="1:3" x14ac:dyDescent="0.3">
      <c r="A3156" s="2">
        <v>40411</v>
      </c>
      <c r="B3156">
        <f>5.75/(100)</f>
        <v>5.7500000000000002E-2</v>
      </c>
      <c r="C3156">
        <f>6.43/(100)</f>
        <v>6.4299999999999996E-2</v>
      </c>
    </row>
    <row r="3157" spans="1:3" x14ac:dyDescent="0.3">
      <c r="A3157" s="2">
        <v>40412</v>
      </c>
      <c r="B3157">
        <f>5.75/(100)</f>
        <v>5.7500000000000002E-2</v>
      </c>
      <c r="C3157">
        <f>6.43/(100)</f>
        <v>6.4299999999999996E-2</v>
      </c>
    </row>
    <row r="3158" spans="1:3" x14ac:dyDescent="0.3">
      <c r="A3158" s="2">
        <v>40413</v>
      </c>
      <c r="B3158">
        <f>5.75/(100)</f>
        <v>5.7500000000000002E-2</v>
      </c>
      <c r="C3158">
        <f>6.458/(100)</f>
        <v>6.4579999999999999E-2</v>
      </c>
    </row>
    <row r="3159" spans="1:3" x14ac:dyDescent="0.3">
      <c r="A3159" s="2">
        <v>40414</v>
      </c>
      <c r="B3159">
        <f>5.75/(100)</f>
        <v>5.7500000000000002E-2</v>
      </c>
      <c r="C3159">
        <f>6.436/(100)</f>
        <v>6.4360000000000001E-2</v>
      </c>
    </row>
    <row r="3160" spans="1:3" x14ac:dyDescent="0.3">
      <c r="A3160" s="2">
        <v>40415</v>
      </c>
      <c r="B3160">
        <f>5.75/(100)</f>
        <v>5.7500000000000002E-2</v>
      </c>
      <c r="C3160">
        <f>6.461/(100)</f>
        <v>6.4610000000000001E-2</v>
      </c>
    </row>
    <row r="3161" spans="1:3" x14ac:dyDescent="0.3">
      <c r="A3161" s="2">
        <v>40416</v>
      </c>
      <c r="B3161">
        <f>5.75/(100)</f>
        <v>5.7500000000000002E-2</v>
      </c>
      <c r="C3161">
        <f>6.551/(100)</f>
        <v>6.5509999999999999E-2</v>
      </c>
    </row>
    <row r="3162" spans="1:3" x14ac:dyDescent="0.3">
      <c r="A3162" s="2">
        <v>40417</v>
      </c>
      <c r="B3162">
        <f>5.75/(100)</f>
        <v>5.7500000000000002E-2</v>
      </c>
      <c r="C3162">
        <f>6.505/(100)</f>
        <v>6.5049999999999997E-2</v>
      </c>
    </row>
    <row r="3163" spans="1:3" x14ac:dyDescent="0.3">
      <c r="A3163" s="2">
        <v>40418</v>
      </c>
      <c r="B3163">
        <f>5.75/(100)</f>
        <v>5.7500000000000002E-2</v>
      </c>
      <c r="C3163">
        <f>6.505/(100)</f>
        <v>6.5049999999999997E-2</v>
      </c>
    </row>
    <row r="3164" spans="1:3" x14ac:dyDescent="0.3">
      <c r="A3164" s="2">
        <v>40419</v>
      </c>
      <c r="B3164">
        <f>5.75/(100)</f>
        <v>5.7500000000000002E-2</v>
      </c>
      <c r="C3164">
        <f>6.505/(100)</f>
        <v>6.5049999999999997E-2</v>
      </c>
    </row>
    <row r="3165" spans="1:3" x14ac:dyDescent="0.3">
      <c r="A3165" s="2">
        <v>40420</v>
      </c>
      <c r="B3165">
        <f>5.75/(100)</f>
        <v>5.7500000000000002E-2</v>
      </c>
      <c r="C3165">
        <f>6.537/(100)</f>
        <v>6.5369999999999998E-2</v>
      </c>
    </row>
    <row r="3166" spans="1:3" x14ac:dyDescent="0.3">
      <c r="A3166" s="2">
        <v>40421</v>
      </c>
      <c r="B3166">
        <f>5.75/(100)</f>
        <v>5.7500000000000002E-2</v>
      </c>
      <c r="C3166">
        <f>6.506/(100)</f>
        <v>6.5060000000000007E-2</v>
      </c>
    </row>
    <row r="3167" spans="1:3" x14ac:dyDescent="0.3">
      <c r="A3167" s="2">
        <v>40422</v>
      </c>
      <c r="B3167">
        <f>5.75/(100)</f>
        <v>5.7500000000000002E-2</v>
      </c>
      <c r="C3167">
        <f>6.446/(100)</f>
        <v>6.4460000000000003E-2</v>
      </c>
    </row>
    <row r="3168" spans="1:3" x14ac:dyDescent="0.3">
      <c r="A3168" s="2">
        <v>40423</v>
      </c>
      <c r="B3168">
        <f>5.75/(100)</f>
        <v>5.7500000000000002E-2</v>
      </c>
      <c r="C3168">
        <f>6.419/(100)</f>
        <v>6.4189999999999997E-2</v>
      </c>
    </row>
    <row r="3169" spans="1:3" x14ac:dyDescent="0.3">
      <c r="A3169" s="2">
        <v>40424</v>
      </c>
      <c r="B3169">
        <f>5.75/(100)</f>
        <v>5.7500000000000002E-2</v>
      </c>
      <c r="C3169">
        <f>6.395/(100)</f>
        <v>6.3949999999999993E-2</v>
      </c>
    </row>
    <row r="3170" spans="1:3" x14ac:dyDescent="0.3">
      <c r="A3170" s="2">
        <v>40425</v>
      </c>
      <c r="B3170">
        <f>5.75/(100)</f>
        <v>5.7500000000000002E-2</v>
      </c>
      <c r="C3170">
        <f>6.395/(100)</f>
        <v>6.3949999999999993E-2</v>
      </c>
    </row>
    <row r="3171" spans="1:3" x14ac:dyDescent="0.3">
      <c r="A3171" s="2">
        <v>40426</v>
      </c>
      <c r="B3171">
        <f>5.75/(100)</f>
        <v>5.7500000000000002E-2</v>
      </c>
      <c r="C3171">
        <f>6.395/(100)</f>
        <v>6.3949999999999993E-2</v>
      </c>
    </row>
    <row r="3172" spans="1:3" x14ac:dyDescent="0.3">
      <c r="A3172" s="2">
        <v>40427</v>
      </c>
      <c r="B3172">
        <f>5.75/(100)</f>
        <v>5.7500000000000002E-2</v>
      </c>
      <c r="C3172">
        <f>6.415/(100)</f>
        <v>6.4149999999999999E-2</v>
      </c>
    </row>
    <row r="3173" spans="1:3" x14ac:dyDescent="0.3">
      <c r="A3173" s="2">
        <v>40428</v>
      </c>
      <c r="B3173">
        <f>5.75/(100)</f>
        <v>5.7500000000000002E-2</v>
      </c>
      <c r="C3173">
        <f>6.41/(100)</f>
        <v>6.4100000000000004E-2</v>
      </c>
    </row>
    <row r="3174" spans="1:3" x14ac:dyDescent="0.3">
      <c r="A3174" s="2">
        <v>40429</v>
      </c>
      <c r="B3174">
        <f>5.75/(100)</f>
        <v>5.7500000000000002E-2</v>
      </c>
      <c r="C3174">
        <f>6.387/(100)</f>
        <v>6.3869999999999996E-2</v>
      </c>
    </row>
    <row r="3175" spans="1:3" x14ac:dyDescent="0.3">
      <c r="A3175" s="2">
        <v>40430</v>
      </c>
      <c r="B3175">
        <f>5.75/(100)</f>
        <v>5.7500000000000002E-2</v>
      </c>
      <c r="C3175">
        <f>6.405/(100)</f>
        <v>6.4049999999999996E-2</v>
      </c>
    </row>
    <row r="3176" spans="1:3" x14ac:dyDescent="0.3">
      <c r="A3176" s="2">
        <v>40431</v>
      </c>
      <c r="B3176">
        <f>5.75/(100)</f>
        <v>5.7500000000000002E-2</v>
      </c>
      <c r="C3176">
        <f>6.405/(100)</f>
        <v>6.4049999999999996E-2</v>
      </c>
    </row>
    <row r="3177" spans="1:3" x14ac:dyDescent="0.3">
      <c r="A3177" s="2">
        <v>40432</v>
      </c>
      <c r="B3177">
        <f>5.75/(100)</f>
        <v>5.7500000000000002E-2</v>
      </c>
      <c r="C3177">
        <f>6.405/(100)</f>
        <v>6.4049999999999996E-2</v>
      </c>
    </row>
    <row r="3178" spans="1:3" x14ac:dyDescent="0.3">
      <c r="A3178" s="2">
        <v>40433</v>
      </c>
      <c r="B3178">
        <f>5.75/(100)</f>
        <v>5.7500000000000002E-2</v>
      </c>
      <c r="C3178">
        <f>6.405/(100)</f>
        <v>6.4049999999999996E-2</v>
      </c>
    </row>
    <row r="3179" spans="1:3" x14ac:dyDescent="0.3">
      <c r="A3179" s="2">
        <v>40434</v>
      </c>
      <c r="B3179">
        <f>5.75/(100)</f>
        <v>5.7500000000000002E-2</v>
      </c>
      <c r="C3179">
        <f>6.386/(100)</f>
        <v>6.386E-2</v>
      </c>
    </row>
    <row r="3180" spans="1:3" x14ac:dyDescent="0.3">
      <c r="A3180" s="2">
        <v>40435</v>
      </c>
      <c r="B3180">
        <f>5.75/(100)</f>
        <v>5.7500000000000002E-2</v>
      </c>
      <c r="C3180">
        <f>6.461/(100)</f>
        <v>6.4610000000000001E-2</v>
      </c>
    </row>
    <row r="3181" spans="1:3" x14ac:dyDescent="0.3">
      <c r="A3181" s="2">
        <v>40436</v>
      </c>
      <c r="B3181">
        <f>5.75/(100)</f>
        <v>5.7500000000000002E-2</v>
      </c>
      <c r="C3181">
        <f>6.388/(100)</f>
        <v>6.3879999999999992E-2</v>
      </c>
    </row>
    <row r="3182" spans="1:3" x14ac:dyDescent="0.3">
      <c r="A3182" s="2">
        <v>40437</v>
      </c>
      <c r="B3182">
        <f>6/(100)</f>
        <v>0.06</v>
      </c>
      <c r="C3182">
        <f>6.502/(100)</f>
        <v>6.5019999999999994E-2</v>
      </c>
    </row>
    <row r="3183" spans="1:3" x14ac:dyDescent="0.3">
      <c r="A3183" s="2">
        <v>40438</v>
      </c>
      <c r="B3183">
        <f>6/(100)</f>
        <v>0.06</v>
      </c>
      <c r="C3183">
        <f>6.513/(100)</f>
        <v>6.5129999999999993E-2</v>
      </c>
    </row>
    <row r="3184" spans="1:3" x14ac:dyDescent="0.3">
      <c r="A3184" s="2">
        <v>40439</v>
      </c>
      <c r="B3184">
        <f>6/(100)</f>
        <v>0.06</v>
      </c>
      <c r="C3184">
        <f>6.513/(100)</f>
        <v>6.5129999999999993E-2</v>
      </c>
    </row>
    <row r="3185" spans="1:3" x14ac:dyDescent="0.3">
      <c r="A3185" s="2">
        <v>40440</v>
      </c>
      <c r="B3185">
        <f>6/(100)</f>
        <v>0.06</v>
      </c>
      <c r="C3185">
        <f>6.513/(100)</f>
        <v>6.5129999999999993E-2</v>
      </c>
    </row>
    <row r="3186" spans="1:3" x14ac:dyDescent="0.3">
      <c r="A3186" s="2">
        <v>40441</v>
      </c>
      <c r="B3186">
        <f>6/(100)</f>
        <v>0.06</v>
      </c>
      <c r="C3186">
        <f>6.441/(100)</f>
        <v>6.4409999999999995E-2</v>
      </c>
    </row>
    <row r="3187" spans="1:3" x14ac:dyDescent="0.3">
      <c r="A3187" s="2">
        <v>40442</v>
      </c>
      <c r="B3187">
        <f>6/(100)</f>
        <v>0.06</v>
      </c>
      <c r="C3187">
        <f>6.436/(100)</f>
        <v>6.4360000000000001E-2</v>
      </c>
    </row>
    <row r="3188" spans="1:3" x14ac:dyDescent="0.3">
      <c r="A3188" s="2">
        <v>40443</v>
      </c>
      <c r="B3188">
        <f>6/(100)</f>
        <v>0.06</v>
      </c>
      <c r="C3188">
        <f>6.573/(100)</f>
        <v>6.5730000000000011E-2</v>
      </c>
    </row>
    <row r="3189" spans="1:3" x14ac:dyDescent="0.3">
      <c r="A3189" s="2">
        <v>40444</v>
      </c>
      <c r="B3189">
        <f>6/(100)</f>
        <v>0.06</v>
      </c>
      <c r="C3189">
        <f>6.672/(100)</f>
        <v>6.6720000000000002E-2</v>
      </c>
    </row>
    <row r="3190" spans="1:3" x14ac:dyDescent="0.3">
      <c r="A3190" s="2">
        <v>40445</v>
      </c>
      <c r="B3190">
        <f>6/(100)</f>
        <v>0.06</v>
      </c>
      <c r="C3190">
        <f>6.597/(100)</f>
        <v>6.5970000000000001E-2</v>
      </c>
    </row>
    <row r="3191" spans="1:3" x14ac:dyDescent="0.3">
      <c r="A3191" s="2">
        <v>40446</v>
      </c>
      <c r="B3191">
        <f>6/(100)</f>
        <v>0.06</v>
      </c>
      <c r="C3191">
        <f>6.597/(100)</f>
        <v>6.5970000000000001E-2</v>
      </c>
    </row>
    <row r="3192" spans="1:3" x14ac:dyDescent="0.3">
      <c r="A3192" s="2">
        <v>40447</v>
      </c>
      <c r="B3192">
        <f>6/(100)</f>
        <v>0.06</v>
      </c>
      <c r="C3192">
        <f>6.597/(100)</f>
        <v>6.5970000000000001E-2</v>
      </c>
    </row>
    <row r="3193" spans="1:3" x14ac:dyDescent="0.3">
      <c r="A3193" s="2">
        <v>40448</v>
      </c>
      <c r="B3193">
        <f>6/(100)</f>
        <v>0.06</v>
      </c>
      <c r="C3193">
        <f>6.568/(100)</f>
        <v>6.5680000000000002E-2</v>
      </c>
    </row>
    <row r="3194" spans="1:3" x14ac:dyDescent="0.3">
      <c r="A3194" s="2">
        <v>40449</v>
      </c>
      <c r="B3194">
        <f>6/(100)</f>
        <v>0.06</v>
      </c>
      <c r="C3194">
        <f>6.536/(100)</f>
        <v>6.5360000000000001E-2</v>
      </c>
    </row>
    <row r="3195" spans="1:3" x14ac:dyDescent="0.3">
      <c r="A3195" s="2">
        <v>40450</v>
      </c>
      <c r="B3195">
        <f>6/(100)</f>
        <v>0.06</v>
      </c>
      <c r="C3195">
        <f>6.557/(100)</f>
        <v>6.5570000000000003E-2</v>
      </c>
    </row>
    <row r="3196" spans="1:3" x14ac:dyDescent="0.3">
      <c r="A3196" s="2">
        <v>40451</v>
      </c>
      <c r="B3196">
        <f>6/(100)</f>
        <v>0.06</v>
      </c>
      <c r="C3196">
        <f>6.557/(100)</f>
        <v>6.5570000000000003E-2</v>
      </c>
    </row>
    <row r="3197" spans="1:3" x14ac:dyDescent="0.3">
      <c r="A3197" s="2">
        <v>40452</v>
      </c>
      <c r="B3197">
        <f>6/(100)</f>
        <v>0.06</v>
      </c>
      <c r="C3197">
        <f>6.511/(100)</f>
        <v>6.5110000000000001E-2</v>
      </c>
    </row>
    <row r="3198" spans="1:3" x14ac:dyDescent="0.3">
      <c r="A3198" s="2">
        <v>40453</v>
      </c>
      <c r="B3198">
        <f>6/(100)</f>
        <v>0.06</v>
      </c>
      <c r="C3198">
        <f>6.511/(100)</f>
        <v>6.5110000000000001E-2</v>
      </c>
    </row>
    <row r="3199" spans="1:3" x14ac:dyDescent="0.3">
      <c r="A3199" s="2">
        <v>40454</v>
      </c>
      <c r="B3199">
        <f>6/(100)</f>
        <v>0.06</v>
      </c>
      <c r="C3199">
        <f>6.511/(100)</f>
        <v>6.5110000000000001E-2</v>
      </c>
    </row>
    <row r="3200" spans="1:3" x14ac:dyDescent="0.3">
      <c r="A3200" s="2">
        <v>40455</v>
      </c>
      <c r="B3200">
        <f>6/(100)</f>
        <v>0.06</v>
      </c>
      <c r="C3200">
        <f>6.499/(100)</f>
        <v>6.4989999999999992E-2</v>
      </c>
    </row>
    <row r="3201" spans="1:3" x14ac:dyDescent="0.3">
      <c r="A3201" s="2">
        <v>40456</v>
      </c>
      <c r="B3201">
        <f>6/(100)</f>
        <v>0.06</v>
      </c>
      <c r="C3201">
        <f>6.514/(100)</f>
        <v>6.5140000000000003E-2</v>
      </c>
    </row>
    <row r="3202" spans="1:3" x14ac:dyDescent="0.3">
      <c r="A3202" s="2">
        <v>40457</v>
      </c>
      <c r="B3202">
        <f>6/(100)</f>
        <v>0.06</v>
      </c>
      <c r="C3202">
        <f>6.527/(100)</f>
        <v>6.5269999999999995E-2</v>
      </c>
    </row>
    <row r="3203" spans="1:3" x14ac:dyDescent="0.3">
      <c r="A3203" s="2">
        <v>40458</v>
      </c>
      <c r="B3203">
        <f>6/(100)</f>
        <v>0.06</v>
      </c>
      <c r="C3203">
        <f>6.683/(100)</f>
        <v>6.6830000000000001E-2</v>
      </c>
    </row>
    <row r="3204" spans="1:3" x14ac:dyDescent="0.3">
      <c r="A3204" s="2">
        <v>40459</v>
      </c>
      <c r="B3204">
        <f>6/(100)</f>
        <v>0.06</v>
      </c>
      <c r="C3204">
        <f>6.62/(100)</f>
        <v>6.6199999999999995E-2</v>
      </c>
    </row>
    <row r="3205" spans="1:3" x14ac:dyDescent="0.3">
      <c r="A3205" s="2">
        <v>40460</v>
      </c>
      <c r="B3205">
        <f>6/(100)</f>
        <v>0.06</v>
      </c>
      <c r="C3205">
        <f>6.62/(100)</f>
        <v>6.6199999999999995E-2</v>
      </c>
    </row>
    <row r="3206" spans="1:3" x14ac:dyDescent="0.3">
      <c r="A3206" s="2">
        <v>40461</v>
      </c>
      <c r="B3206">
        <f>6/(100)</f>
        <v>0.06</v>
      </c>
      <c r="C3206">
        <f>6.62/(100)</f>
        <v>6.6199999999999995E-2</v>
      </c>
    </row>
    <row r="3207" spans="1:3" x14ac:dyDescent="0.3">
      <c r="A3207" s="2">
        <v>40462</v>
      </c>
      <c r="B3207">
        <f>6/(100)</f>
        <v>0.06</v>
      </c>
      <c r="C3207">
        <f>6.635/(100)</f>
        <v>6.6349999999999992E-2</v>
      </c>
    </row>
    <row r="3208" spans="1:3" x14ac:dyDescent="0.3">
      <c r="A3208" s="2">
        <v>40463</v>
      </c>
      <c r="B3208">
        <f>6/(100)</f>
        <v>0.06</v>
      </c>
      <c r="C3208">
        <f>6.671/(100)</f>
        <v>6.6710000000000005E-2</v>
      </c>
    </row>
    <row r="3209" spans="1:3" x14ac:dyDescent="0.3">
      <c r="A3209" s="2">
        <v>40464</v>
      </c>
      <c r="B3209">
        <f>6/(100)</f>
        <v>0.06</v>
      </c>
      <c r="C3209">
        <f>6.713/(100)</f>
        <v>6.7129999999999995E-2</v>
      </c>
    </row>
    <row r="3210" spans="1:3" x14ac:dyDescent="0.3">
      <c r="A3210" s="2">
        <v>40465</v>
      </c>
      <c r="B3210">
        <f>6/(100)</f>
        <v>0.06</v>
      </c>
      <c r="C3210">
        <f>6.732/(100)</f>
        <v>6.7320000000000005E-2</v>
      </c>
    </row>
    <row r="3211" spans="1:3" x14ac:dyDescent="0.3">
      <c r="A3211" s="2">
        <v>40466</v>
      </c>
      <c r="B3211">
        <f>6/(100)</f>
        <v>0.06</v>
      </c>
      <c r="C3211">
        <f>6.715/(100)</f>
        <v>6.7150000000000001E-2</v>
      </c>
    </row>
    <row r="3212" spans="1:3" x14ac:dyDescent="0.3">
      <c r="A3212" s="2">
        <v>40467</v>
      </c>
      <c r="B3212">
        <f>6/(100)</f>
        <v>0.06</v>
      </c>
      <c r="C3212">
        <f>6.715/(100)</f>
        <v>6.7150000000000001E-2</v>
      </c>
    </row>
    <row r="3213" spans="1:3" x14ac:dyDescent="0.3">
      <c r="A3213" s="2">
        <v>40468</v>
      </c>
      <c r="B3213">
        <f>6/(100)</f>
        <v>0.06</v>
      </c>
      <c r="C3213">
        <f>6.715/(100)</f>
        <v>6.7150000000000001E-2</v>
      </c>
    </row>
    <row r="3214" spans="1:3" x14ac:dyDescent="0.3">
      <c r="A3214" s="2">
        <v>40469</v>
      </c>
      <c r="B3214">
        <f>6/(100)</f>
        <v>0.06</v>
      </c>
      <c r="C3214">
        <f>6.739/(100)</f>
        <v>6.7390000000000005E-2</v>
      </c>
    </row>
    <row r="3215" spans="1:3" x14ac:dyDescent="0.3">
      <c r="A3215" s="2">
        <v>40470</v>
      </c>
      <c r="B3215">
        <f>6/(100)</f>
        <v>0.06</v>
      </c>
      <c r="C3215">
        <f>6.761/(100)</f>
        <v>6.7610000000000003E-2</v>
      </c>
    </row>
    <row r="3216" spans="1:3" x14ac:dyDescent="0.3">
      <c r="A3216" s="2">
        <v>40471</v>
      </c>
      <c r="B3216">
        <f>6/(100)</f>
        <v>0.06</v>
      </c>
      <c r="C3216">
        <f>6.814/(100)</f>
        <v>6.8140000000000006E-2</v>
      </c>
    </row>
    <row r="3217" spans="1:3" x14ac:dyDescent="0.3">
      <c r="A3217" s="2">
        <v>40472</v>
      </c>
      <c r="B3217">
        <f>6/(100)</f>
        <v>0.06</v>
      </c>
      <c r="C3217">
        <f>6.848/(100)</f>
        <v>6.8479999999999999E-2</v>
      </c>
    </row>
    <row r="3218" spans="1:3" x14ac:dyDescent="0.3">
      <c r="A3218" s="2">
        <v>40473</v>
      </c>
      <c r="B3218">
        <f>6/(100)</f>
        <v>0.06</v>
      </c>
      <c r="C3218">
        <f>6.907/(100)</f>
        <v>6.9070000000000006E-2</v>
      </c>
    </row>
    <row r="3219" spans="1:3" x14ac:dyDescent="0.3">
      <c r="A3219" s="2">
        <v>40474</v>
      </c>
      <c r="B3219">
        <f>6/(100)</f>
        <v>0.06</v>
      </c>
      <c r="C3219">
        <f>6.907/(100)</f>
        <v>6.9070000000000006E-2</v>
      </c>
    </row>
    <row r="3220" spans="1:3" x14ac:dyDescent="0.3">
      <c r="A3220" s="2">
        <v>40475</v>
      </c>
      <c r="B3220">
        <f>6/(100)</f>
        <v>0.06</v>
      </c>
      <c r="C3220">
        <f>6.907/(100)</f>
        <v>6.9070000000000006E-2</v>
      </c>
    </row>
    <row r="3221" spans="1:3" x14ac:dyDescent="0.3">
      <c r="A3221" s="2">
        <v>40476</v>
      </c>
      <c r="B3221">
        <f>6/(100)</f>
        <v>0.06</v>
      </c>
      <c r="C3221">
        <f>6.857/(100)</f>
        <v>6.8570000000000006E-2</v>
      </c>
    </row>
    <row r="3222" spans="1:3" x14ac:dyDescent="0.3">
      <c r="A3222" s="2">
        <v>40477</v>
      </c>
      <c r="B3222">
        <f>6/(100)</f>
        <v>0.06</v>
      </c>
      <c r="C3222">
        <f>6.873/(100)</f>
        <v>6.8729999999999999E-2</v>
      </c>
    </row>
    <row r="3223" spans="1:3" x14ac:dyDescent="0.3">
      <c r="A3223" s="2">
        <v>40478</v>
      </c>
      <c r="B3223">
        <f>6/(100)</f>
        <v>0.06</v>
      </c>
      <c r="C3223">
        <f>6.905/(100)</f>
        <v>6.905E-2</v>
      </c>
    </row>
    <row r="3224" spans="1:3" x14ac:dyDescent="0.3">
      <c r="A3224" s="2">
        <v>40479</v>
      </c>
      <c r="B3224">
        <f>6/(100)</f>
        <v>0.06</v>
      </c>
      <c r="C3224">
        <f>6.922/(100)</f>
        <v>6.9220000000000004E-2</v>
      </c>
    </row>
    <row r="3225" spans="1:3" x14ac:dyDescent="0.3">
      <c r="A3225" s="2">
        <v>40480</v>
      </c>
      <c r="B3225">
        <f>6/(100)</f>
        <v>0.06</v>
      </c>
      <c r="C3225">
        <f>6.883/(100)</f>
        <v>6.8830000000000002E-2</v>
      </c>
    </row>
    <row r="3226" spans="1:3" x14ac:dyDescent="0.3">
      <c r="A3226" s="2">
        <v>40481</v>
      </c>
      <c r="B3226">
        <f>6/(100)</f>
        <v>0.06</v>
      </c>
      <c r="C3226">
        <f>6.883/(100)</f>
        <v>6.8830000000000002E-2</v>
      </c>
    </row>
    <row r="3227" spans="1:3" x14ac:dyDescent="0.3">
      <c r="A3227" s="2">
        <v>40482</v>
      </c>
      <c r="B3227">
        <f>6/(100)</f>
        <v>0.06</v>
      </c>
      <c r="C3227">
        <f>6.883/(100)</f>
        <v>6.8830000000000002E-2</v>
      </c>
    </row>
    <row r="3228" spans="1:3" x14ac:dyDescent="0.3">
      <c r="A3228" s="2">
        <v>40483</v>
      </c>
      <c r="B3228">
        <f>6/(100)</f>
        <v>0.06</v>
      </c>
      <c r="C3228">
        <f>6.869/(100)</f>
        <v>6.8690000000000001E-2</v>
      </c>
    </row>
    <row r="3229" spans="1:3" x14ac:dyDescent="0.3">
      <c r="A3229" s="2">
        <v>40484</v>
      </c>
      <c r="B3229">
        <f>6.25/(100)</f>
        <v>6.25E-2</v>
      </c>
      <c r="C3229">
        <f>6.8/(100)</f>
        <v>6.8000000000000005E-2</v>
      </c>
    </row>
    <row r="3230" spans="1:3" x14ac:dyDescent="0.3">
      <c r="A3230" s="2">
        <v>40485</v>
      </c>
      <c r="B3230">
        <f>6.25/(100)</f>
        <v>6.25E-2</v>
      </c>
      <c r="C3230">
        <f>6.829/(100)</f>
        <v>6.8290000000000003E-2</v>
      </c>
    </row>
    <row r="3231" spans="1:3" x14ac:dyDescent="0.3">
      <c r="A3231" s="2">
        <v>40486</v>
      </c>
      <c r="B3231">
        <f>6.25/(100)</f>
        <v>6.25E-2</v>
      </c>
      <c r="C3231">
        <f>6.745/(100)</f>
        <v>6.7449999999999996E-2</v>
      </c>
    </row>
    <row r="3232" spans="1:3" x14ac:dyDescent="0.3">
      <c r="A3232" s="2">
        <v>40487</v>
      </c>
      <c r="B3232">
        <f>6.25/(100)</f>
        <v>6.25E-2</v>
      </c>
      <c r="C3232">
        <f>6.745/(100)</f>
        <v>6.7449999999999996E-2</v>
      </c>
    </row>
    <row r="3233" spans="1:3" x14ac:dyDescent="0.3">
      <c r="A3233" s="2">
        <v>40488</v>
      </c>
      <c r="B3233">
        <f>6.25/(100)</f>
        <v>6.25E-2</v>
      </c>
      <c r="C3233">
        <f>6.745/(100)</f>
        <v>6.7449999999999996E-2</v>
      </c>
    </row>
    <row r="3234" spans="1:3" x14ac:dyDescent="0.3">
      <c r="A3234" s="2">
        <v>40489</v>
      </c>
      <c r="B3234">
        <f>6.25/(100)</f>
        <v>6.25E-2</v>
      </c>
      <c r="C3234">
        <f>6.745/(100)</f>
        <v>6.7449999999999996E-2</v>
      </c>
    </row>
    <row r="3235" spans="1:3" x14ac:dyDescent="0.3">
      <c r="A3235" s="2">
        <v>40490</v>
      </c>
      <c r="B3235">
        <f>6.25/(100)</f>
        <v>6.25E-2</v>
      </c>
      <c r="C3235">
        <f>6.738/(100)</f>
        <v>6.7380000000000009E-2</v>
      </c>
    </row>
    <row r="3236" spans="1:3" x14ac:dyDescent="0.3">
      <c r="A3236" s="2">
        <v>40491</v>
      </c>
      <c r="B3236">
        <f>6.25/(100)</f>
        <v>6.25E-2</v>
      </c>
      <c r="C3236">
        <f>6.764/(100)</f>
        <v>6.7640000000000006E-2</v>
      </c>
    </row>
    <row r="3237" spans="1:3" x14ac:dyDescent="0.3">
      <c r="A3237" s="2">
        <v>40492</v>
      </c>
      <c r="B3237">
        <f>6.25/(100)</f>
        <v>6.25E-2</v>
      </c>
      <c r="C3237">
        <f>6.78/(100)</f>
        <v>6.7799999999999999E-2</v>
      </c>
    </row>
    <row r="3238" spans="1:3" x14ac:dyDescent="0.3">
      <c r="A3238" s="2">
        <v>40493</v>
      </c>
      <c r="B3238">
        <f>6.25/(100)</f>
        <v>6.25E-2</v>
      </c>
      <c r="C3238">
        <f>7.073/(100)</f>
        <v>7.0730000000000001E-2</v>
      </c>
    </row>
    <row r="3239" spans="1:3" x14ac:dyDescent="0.3">
      <c r="A3239" s="2">
        <v>40494</v>
      </c>
      <c r="B3239">
        <f>6.25/(100)</f>
        <v>6.25E-2</v>
      </c>
      <c r="C3239">
        <f>7.072/(100)</f>
        <v>7.0720000000000005E-2</v>
      </c>
    </row>
    <row r="3240" spans="1:3" x14ac:dyDescent="0.3">
      <c r="A3240" s="2">
        <v>40495</v>
      </c>
      <c r="B3240">
        <f>6.25/(100)</f>
        <v>6.25E-2</v>
      </c>
      <c r="C3240">
        <f>7.072/(100)</f>
        <v>7.0720000000000005E-2</v>
      </c>
    </row>
    <row r="3241" spans="1:3" x14ac:dyDescent="0.3">
      <c r="A3241" s="2">
        <v>40496</v>
      </c>
      <c r="B3241">
        <f>6.25/(100)</f>
        <v>6.25E-2</v>
      </c>
      <c r="C3241">
        <f>7.072/(100)</f>
        <v>7.0720000000000005E-2</v>
      </c>
    </row>
    <row r="3242" spans="1:3" x14ac:dyDescent="0.3">
      <c r="A3242" s="2">
        <v>40497</v>
      </c>
      <c r="B3242">
        <f>6.25/(100)</f>
        <v>6.25E-2</v>
      </c>
      <c r="C3242">
        <f>7.081/(100)</f>
        <v>7.0809999999999998E-2</v>
      </c>
    </row>
    <row r="3243" spans="1:3" x14ac:dyDescent="0.3">
      <c r="A3243" s="2">
        <v>40498</v>
      </c>
      <c r="B3243">
        <f>6.25/(100)</f>
        <v>6.25E-2</v>
      </c>
      <c r="C3243">
        <f>7.114/(100)</f>
        <v>7.1139999999999995E-2</v>
      </c>
    </row>
    <row r="3244" spans="1:3" x14ac:dyDescent="0.3">
      <c r="A3244" s="2">
        <v>40499</v>
      </c>
      <c r="B3244">
        <f>6.25/(100)</f>
        <v>6.25E-2</v>
      </c>
      <c r="C3244">
        <f>7.114/(100)</f>
        <v>7.1139999999999995E-2</v>
      </c>
    </row>
    <row r="3245" spans="1:3" x14ac:dyDescent="0.3">
      <c r="A3245" s="2">
        <v>40500</v>
      </c>
      <c r="B3245">
        <f>6.25/(100)</f>
        <v>6.25E-2</v>
      </c>
      <c r="C3245">
        <f>7.066/(100)</f>
        <v>7.0660000000000001E-2</v>
      </c>
    </row>
    <row r="3246" spans="1:3" x14ac:dyDescent="0.3">
      <c r="A3246" s="2">
        <v>40501</v>
      </c>
      <c r="B3246">
        <f>6.25/(100)</f>
        <v>6.25E-2</v>
      </c>
      <c r="C3246">
        <f>7.072/(100)</f>
        <v>7.0720000000000005E-2</v>
      </c>
    </row>
    <row r="3247" spans="1:3" x14ac:dyDescent="0.3">
      <c r="A3247" s="2">
        <v>40502</v>
      </c>
      <c r="B3247">
        <f>6.25/(100)</f>
        <v>6.25E-2</v>
      </c>
      <c r="C3247">
        <f>7.072/(100)</f>
        <v>7.0720000000000005E-2</v>
      </c>
    </row>
    <row r="3248" spans="1:3" x14ac:dyDescent="0.3">
      <c r="A3248" s="2">
        <v>40503</v>
      </c>
      <c r="B3248">
        <f>6.25/(100)</f>
        <v>6.25E-2</v>
      </c>
      <c r="C3248">
        <f>7.072/(100)</f>
        <v>7.0720000000000005E-2</v>
      </c>
    </row>
    <row r="3249" spans="1:3" x14ac:dyDescent="0.3">
      <c r="A3249" s="2">
        <v>40504</v>
      </c>
      <c r="B3249">
        <f>6.25/(100)</f>
        <v>6.25E-2</v>
      </c>
      <c r="C3249">
        <f>7.091/(100)</f>
        <v>7.0910000000000001E-2</v>
      </c>
    </row>
    <row r="3250" spans="1:3" x14ac:dyDescent="0.3">
      <c r="A3250" s="2">
        <v>40505</v>
      </c>
      <c r="B3250">
        <f>6.25/(100)</f>
        <v>6.25E-2</v>
      </c>
      <c r="C3250">
        <f>7.046/(100)</f>
        <v>7.0460000000000009E-2</v>
      </c>
    </row>
    <row r="3251" spans="1:3" x14ac:dyDescent="0.3">
      <c r="A3251" s="2">
        <v>40506</v>
      </c>
      <c r="B3251">
        <f>6.25/(100)</f>
        <v>6.25E-2</v>
      </c>
      <c r="C3251">
        <f>7.027/(100)</f>
        <v>7.0269999999999999E-2</v>
      </c>
    </row>
    <row r="3252" spans="1:3" x14ac:dyDescent="0.3">
      <c r="A3252" s="2">
        <v>40507</v>
      </c>
      <c r="B3252">
        <f>6.25/(100)</f>
        <v>6.25E-2</v>
      </c>
      <c r="C3252">
        <f>6.954/(100)</f>
        <v>6.9539999999999991E-2</v>
      </c>
    </row>
    <row r="3253" spans="1:3" x14ac:dyDescent="0.3">
      <c r="A3253" s="2">
        <v>40508</v>
      </c>
      <c r="B3253">
        <f>6.25/(100)</f>
        <v>6.25E-2</v>
      </c>
      <c r="C3253">
        <f>6.92/(100)</f>
        <v>6.9199999999999998E-2</v>
      </c>
    </row>
    <row r="3254" spans="1:3" x14ac:dyDescent="0.3">
      <c r="A3254" s="2">
        <v>40509</v>
      </c>
      <c r="B3254">
        <f>6.25/(100)</f>
        <v>6.25E-2</v>
      </c>
      <c r="C3254">
        <f>6.92/(100)</f>
        <v>6.9199999999999998E-2</v>
      </c>
    </row>
    <row r="3255" spans="1:3" x14ac:dyDescent="0.3">
      <c r="A3255" s="2">
        <v>40510</v>
      </c>
      <c r="B3255">
        <f>6.25/(100)</f>
        <v>6.25E-2</v>
      </c>
      <c r="C3255">
        <f>6.92/(100)</f>
        <v>6.9199999999999998E-2</v>
      </c>
    </row>
    <row r="3256" spans="1:3" x14ac:dyDescent="0.3">
      <c r="A3256" s="2">
        <v>40511</v>
      </c>
      <c r="B3256">
        <f>6.25/(100)</f>
        <v>6.25E-2</v>
      </c>
      <c r="C3256">
        <f>6.849/(100)</f>
        <v>6.8489999999999995E-2</v>
      </c>
    </row>
    <row r="3257" spans="1:3" x14ac:dyDescent="0.3">
      <c r="A3257" s="2">
        <v>40512</v>
      </c>
      <c r="B3257">
        <f>6.25/(100)</f>
        <v>6.25E-2</v>
      </c>
      <c r="C3257">
        <f>6.875/(100)</f>
        <v>6.8750000000000006E-2</v>
      </c>
    </row>
    <row r="3258" spans="1:3" x14ac:dyDescent="0.3">
      <c r="A3258" s="2">
        <v>40513</v>
      </c>
      <c r="B3258">
        <f>6.25/(100)</f>
        <v>6.25E-2</v>
      </c>
      <c r="C3258">
        <f>6.904/(100)</f>
        <v>6.9040000000000004E-2</v>
      </c>
    </row>
    <row r="3259" spans="1:3" x14ac:dyDescent="0.3">
      <c r="A3259" s="2">
        <v>40514</v>
      </c>
      <c r="B3259">
        <f>6.25/(100)</f>
        <v>6.25E-2</v>
      </c>
      <c r="C3259">
        <f>7.095/(100)</f>
        <v>7.0949999999999999E-2</v>
      </c>
    </row>
    <row r="3260" spans="1:3" x14ac:dyDescent="0.3">
      <c r="A3260" s="2">
        <v>40515</v>
      </c>
      <c r="B3260">
        <f>6.25/(100)</f>
        <v>6.25E-2</v>
      </c>
      <c r="C3260">
        <f>7.1/(100)</f>
        <v>7.0999999999999994E-2</v>
      </c>
    </row>
    <row r="3261" spans="1:3" x14ac:dyDescent="0.3">
      <c r="A3261" s="2">
        <v>40516</v>
      </c>
      <c r="B3261">
        <f>6.25/(100)</f>
        <v>6.25E-2</v>
      </c>
      <c r="C3261">
        <f>7.1/(100)</f>
        <v>7.0999999999999994E-2</v>
      </c>
    </row>
    <row r="3262" spans="1:3" x14ac:dyDescent="0.3">
      <c r="A3262" s="2">
        <v>40517</v>
      </c>
      <c r="B3262">
        <f>6.25/(100)</f>
        <v>6.25E-2</v>
      </c>
      <c r="C3262">
        <f>7.1/(100)</f>
        <v>7.0999999999999994E-2</v>
      </c>
    </row>
    <row r="3263" spans="1:3" x14ac:dyDescent="0.3">
      <c r="A3263" s="2">
        <v>40518</v>
      </c>
      <c r="B3263">
        <f>6.25/(100)</f>
        <v>6.25E-2</v>
      </c>
      <c r="C3263">
        <f>7.19/(100)</f>
        <v>7.1900000000000006E-2</v>
      </c>
    </row>
    <row r="3264" spans="1:3" x14ac:dyDescent="0.3">
      <c r="A3264" s="2">
        <v>40519</v>
      </c>
      <c r="B3264">
        <f>6.25/(100)</f>
        <v>6.25E-2</v>
      </c>
      <c r="C3264">
        <f>7.197/(100)</f>
        <v>7.1970000000000006E-2</v>
      </c>
    </row>
    <row r="3265" spans="1:3" x14ac:dyDescent="0.3">
      <c r="A3265" s="2">
        <v>40520</v>
      </c>
      <c r="B3265">
        <f>6.25/(100)</f>
        <v>6.25E-2</v>
      </c>
      <c r="C3265">
        <f>7.148/(100)</f>
        <v>7.1480000000000002E-2</v>
      </c>
    </row>
    <row r="3266" spans="1:3" x14ac:dyDescent="0.3">
      <c r="A3266" s="2">
        <v>40521</v>
      </c>
      <c r="B3266">
        <f>6.25/(100)</f>
        <v>6.25E-2</v>
      </c>
      <c r="C3266">
        <f>7.19/(100)</f>
        <v>7.1900000000000006E-2</v>
      </c>
    </row>
    <row r="3267" spans="1:3" x14ac:dyDescent="0.3">
      <c r="A3267" s="2">
        <v>40522</v>
      </c>
      <c r="B3267">
        <f>6.25/(100)</f>
        <v>6.25E-2</v>
      </c>
      <c r="C3267">
        <f>7.403/(100)</f>
        <v>7.4029999999999999E-2</v>
      </c>
    </row>
    <row r="3268" spans="1:3" x14ac:dyDescent="0.3">
      <c r="A3268" s="2">
        <v>40523</v>
      </c>
      <c r="B3268">
        <f>6.25/(100)</f>
        <v>6.25E-2</v>
      </c>
      <c r="C3268">
        <f>7.403/(100)</f>
        <v>7.4029999999999999E-2</v>
      </c>
    </row>
    <row r="3269" spans="1:3" x14ac:dyDescent="0.3">
      <c r="A3269" s="2">
        <v>40524</v>
      </c>
      <c r="B3269">
        <f>6.25/(100)</f>
        <v>6.25E-2</v>
      </c>
      <c r="C3269">
        <f>7.403/(100)</f>
        <v>7.4029999999999999E-2</v>
      </c>
    </row>
    <row r="3270" spans="1:3" x14ac:dyDescent="0.3">
      <c r="A3270" s="2">
        <v>40525</v>
      </c>
      <c r="B3270">
        <f>6.25/(100)</f>
        <v>6.25E-2</v>
      </c>
      <c r="C3270">
        <f>7.451/(100)</f>
        <v>7.4509999999999993E-2</v>
      </c>
    </row>
    <row r="3271" spans="1:3" x14ac:dyDescent="0.3">
      <c r="A3271" s="2">
        <v>40526</v>
      </c>
      <c r="B3271">
        <f>6.25/(100)</f>
        <v>6.25E-2</v>
      </c>
      <c r="C3271">
        <f>7.447/(100)</f>
        <v>7.4469999999999995E-2</v>
      </c>
    </row>
    <row r="3272" spans="1:3" x14ac:dyDescent="0.3">
      <c r="A3272" s="2">
        <v>40527</v>
      </c>
      <c r="B3272">
        <f>6.25/(100)</f>
        <v>6.25E-2</v>
      </c>
      <c r="C3272">
        <f>7.498/(100)</f>
        <v>7.4980000000000005E-2</v>
      </c>
    </row>
    <row r="3273" spans="1:3" x14ac:dyDescent="0.3">
      <c r="A3273" s="2">
        <v>40528</v>
      </c>
      <c r="B3273">
        <f>6.25/(100)</f>
        <v>6.25E-2</v>
      </c>
      <c r="C3273">
        <f>7.421/(100)</f>
        <v>7.4209999999999998E-2</v>
      </c>
    </row>
    <row r="3274" spans="1:3" x14ac:dyDescent="0.3">
      <c r="A3274" s="2">
        <v>40529</v>
      </c>
      <c r="B3274">
        <f>6.25/(100)</f>
        <v>6.25E-2</v>
      </c>
      <c r="C3274">
        <f>7.421/(100)</f>
        <v>7.4209999999999998E-2</v>
      </c>
    </row>
    <row r="3275" spans="1:3" x14ac:dyDescent="0.3">
      <c r="A3275" s="2">
        <v>40530</v>
      </c>
      <c r="B3275">
        <f>6.25/(100)</f>
        <v>6.25E-2</v>
      </c>
      <c r="C3275">
        <f>7.421/(100)</f>
        <v>7.4209999999999998E-2</v>
      </c>
    </row>
    <row r="3276" spans="1:3" x14ac:dyDescent="0.3">
      <c r="A3276" s="2">
        <v>40531</v>
      </c>
      <c r="B3276">
        <f>6.25/(100)</f>
        <v>6.25E-2</v>
      </c>
      <c r="C3276">
        <f>7.421/(100)</f>
        <v>7.4209999999999998E-2</v>
      </c>
    </row>
    <row r="3277" spans="1:3" x14ac:dyDescent="0.3">
      <c r="A3277" s="2">
        <v>40532</v>
      </c>
      <c r="B3277">
        <f>6.25/(100)</f>
        <v>6.25E-2</v>
      </c>
      <c r="C3277">
        <f>7.432/(100)</f>
        <v>7.4319999999999997E-2</v>
      </c>
    </row>
    <row r="3278" spans="1:3" x14ac:dyDescent="0.3">
      <c r="A3278" s="2">
        <v>40533</v>
      </c>
      <c r="B3278">
        <f>6.25/(100)</f>
        <v>6.25E-2</v>
      </c>
      <c r="C3278">
        <f>7.391/(100)</f>
        <v>7.3910000000000003E-2</v>
      </c>
    </row>
    <row r="3279" spans="1:3" x14ac:dyDescent="0.3">
      <c r="A3279" s="2">
        <v>40534</v>
      </c>
      <c r="B3279">
        <f>6.25/(100)</f>
        <v>6.25E-2</v>
      </c>
      <c r="C3279">
        <f>7.362/(100)</f>
        <v>7.3620000000000005E-2</v>
      </c>
    </row>
    <row r="3280" spans="1:3" x14ac:dyDescent="0.3">
      <c r="A3280" s="2">
        <v>40535</v>
      </c>
      <c r="B3280">
        <f>6.25/(100)</f>
        <v>6.25E-2</v>
      </c>
      <c r="C3280">
        <f>7.431/(100)</f>
        <v>7.4310000000000001E-2</v>
      </c>
    </row>
    <row r="3281" spans="1:3" x14ac:dyDescent="0.3">
      <c r="A3281" s="2">
        <v>40536</v>
      </c>
      <c r="B3281">
        <f>6.25/(100)</f>
        <v>6.25E-2</v>
      </c>
      <c r="C3281">
        <f>7.377/(100)</f>
        <v>7.3770000000000002E-2</v>
      </c>
    </row>
    <row r="3282" spans="1:3" x14ac:dyDescent="0.3">
      <c r="A3282" s="2">
        <v>40537</v>
      </c>
      <c r="B3282">
        <f>6.25/(100)</f>
        <v>6.25E-2</v>
      </c>
      <c r="C3282">
        <f>7.377/(100)</f>
        <v>7.3770000000000002E-2</v>
      </c>
    </row>
    <row r="3283" spans="1:3" x14ac:dyDescent="0.3">
      <c r="A3283" s="2">
        <v>40538</v>
      </c>
      <c r="B3283">
        <f>6.25/(100)</f>
        <v>6.25E-2</v>
      </c>
      <c r="C3283">
        <f>7.377/(100)</f>
        <v>7.3770000000000002E-2</v>
      </c>
    </row>
    <row r="3284" spans="1:3" x14ac:dyDescent="0.3">
      <c r="A3284" s="2">
        <v>40539</v>
      </c>
      <c r="B3284">
        <f>6.25/(100)</f>
        <v>6.25E-2</v>
      </c>
      <c r="C3284">
        <f>7.363/(100)</f>
        <v>7.3630000000000001E-2</v>
      </c>
    </row>
    <row r="3285" spans="1:3" x14ac:dyDescent="0.3">
      <c r="A3285" s="2">
        <v>40540</v>
      </c>
      <c r="B3285">
        <f>6.25/(100)</f>
        <v>6.25E-2</v>
      </c>
      <c r="C3285">
        <f>7.33/(100)</f>
        <v>7.3300000000000004E-2</v>
      </c>
    </row>
    <row r="3286" spans="1:3" x14ac:dyDescent="0.3">
      <c r="A3286" s="2">
        <v>40541</v>
      </c>
      <c r="B3286">
        <f>6.25/(100)</f>
        <v>6.25E-2</v>
      </c>
      <c r="C3286">
        <f>7.408/(100)</f>
        <v>7.4080000000000007E-2</v>
      </c>
    </row>
    <row r="3287" spans="1:3" x14ac:dyDescent="0.3">
      <c r="A3287" s="2">
        <v>40542</v>
      </c>
      <c r="B3287">
        <f>6.25/(100)</f>
        <v>6.25E-2</v>
      </c>
      <c r="C3287">
        <f>7.364/(100)</f>
        <v>7.3639999999999997E-2</v>
      </c>
    </row>
    <row r="3288" spans="1:3" x14ac:dyDescent="0.3">
      <c r="A3288" s="2">
        <v>40543</v>
      </c>
      <c r="B3288">
        <f>6.25/(100)</f>
        <v>6.25E-2</v>
      </c>
      <c r="C3288">
        <f>7.288/(100)</f>
        <v>7.288E-2</v>
      </c>
    </row>
    <row r="3289" spans="1:3" x14ac:dyDescent="0.3">
      <c r="A3289" s="2">
        <v>40544</v>
      </c>
      <c r="B3289">
        <f>6.25/(100)</f>
        <v>6.25E-2</v>
      </c>
      <c r="C3289">
        <f>7.288/(100)</f>
        <v>7.288E-2</v>
      </c>
    </row>
    <row r="3290" spans="1:3" x14ac:dyDescent="0.3">
      <c r="A3290" s="2">
        <v>40545</v>
      </c>
      <c r="B3290">
        <f>6.25/(100)</f>
        <v>6.25E-2</v>
      </c>
      <c r="C3290">
        <f>7.288/(100)</f>
        <v>7.288E-2</v>
      </c>
    </row>
    <row r="3291" spans="1:3" x14ac:dyDescent="0.3">
      <c r="A3291" s="2">
        <v>40546</v>
      </c>
      <c r="B3291">
        <f>6.25/(100)</f>
        <v>6.25E-2</v>
      </c>
      <c r="C3291">
        <f>7.491/(100)</f>
        <v>7.490999999999999E-2</v>
      </c>
    </row>
    <row r="3292" spans="1:3" x14ac:dyDescent="0.3">
      <c r="A3292" s="2">
        <v>40547</v>
      </c>
      <c r="B3292">
        <f>6.25/(100)</f>
        <v>6.25E-2</v>
      </c>
      <c r="C3292">
        <f>7.458/(100)</f>
        <v>7.4580000000000007E-2</v>
      </c>
    </row>
    <row r="3293" spans="1:3" x14ac:dyDescent="0.3">
      <c r="A3293" s="2">
        <v>40548</v>
      </c>
      <c r="B3293">
        <f>6.25/(100)</f>
        <v>6.25E-2</v>
      </c>
      <c r="C3293">
        <f>7.396/(100)</f>
        <v>7.3959999999999998E-2</v>
      </c>
    </row>
    <row r="3294" spans="1:3" x14ac:dyDescent="0.3">
      <c r="A3294" s="2">
        <v>40549</v>
      </c>
      <c r="B3294">
        <f>6.25/(100)</f>
        <v>6.25E-2</v>
      </c>
      <c r="C3294">
        <f>7.409/(100)</f>
        <v>7.4090000000000003E-2</v>
      </c>
    </row>
    <row r="3295" spans="1:3" x14ac:dyDescent="0.3">
      <c r="A3295" s="2">
        <v>40550</v>
      </c>
      <c r="B3295">
        <f>6.25/(100)</f>
        <v>6.25E-2</v>
      </c>
      <c r="C3295">
        <f>7.417/(100)</f>
        <v>7.417E-2</v>
      </c>
    </row>
    <row r="3296" spans="1:3" x14ac:dyDescent="0.3">
      <c r="A3296" s="2">
        <v>40551</v>
      </c>
      <c r="B3296">
        <f>6.25/(100)</f>
        <v>6.25E-2</v>
      </c>
      <c r="C3296">
        <f>7.417/(100)</f>
        <v>7.417E-2</v>
      </c>
    </row>
    <row r="3297" spans="1:3" x14ac:dyDescent="0.3">
      <c r="A3297" s="2">
        <v>40552</v>
      </c>
      <c r="B3297">
        <f>6.25/(100)</f>
        <v>6.25E-2</v>
      </c>
      <c r="C3297">
        <f>7.417/(100)</f>
        <v>7.417E-2</v>
      </c>
    </row>
    <row r="3298" spans="1:3" x14ac:dyDescent="0.3">
      <c r="A3298" s="2">
        <v>40553</v>
      </c>
      <c r="B3298">
        <f>6.25/(100)</f>
        <v>6.25E-2</v>
      </c>
      <c r="C3298">
        <f>7.457/(100)</f>
        <v>7.4569999999999997E-2</v>
      </c>
    </row>
    <row r="3299" spans="1:3" x14ac:dyDescent="0.3">
      <c r="A3299" s="2">
        <v>40554</v>
      </c>
      <c r="B3299">
        <f>6.25/(100)</f>
        <v>6.25E-2</v>
      </c>
      <c r="C3299">
        <f>7.464/(100)</f>
        <v>7.4639999999999998E-2</v>
      </c>
    </row>
    <row r="3300" spans="1:3" x14ac:dyDescent="0.3">
      <c r="A3300" s="2">
        <v>40555</v>
      </c>
      <c r="B3300">
        <f>6.25/(100)</f>
        <v>6.25E-2</v>
      </c>
      <c r="C3300">
        <f>7.493/(100)</f>
        <v>7.4929999999999997E-2</v>
      </c>
    </row>
    <row r="3301" spans="1:3" x14ac:dyDescent="0.3">
      <c r="A3301" s="2">
        <v>40556</v>
      </c>
      <c r="B3301">
        <f>6.25/(100)</f>
        <v>6.25E-2</v>
      </c>
      <c r="C3301">
        <f>7.518/(100)</f>
        <v>7.5179999999999997E-2</v>
      </c>
    </row>
    <row r="3302" spans="1:3" x14ac:dyDescent="0.3">
      <c r="A3302" s="2">
        <v>40557</v>
      </c>
      <c r="B3302">
        <f>6.25/(100)</f>
        <v>6.25E-2</v>
      </c>
      <c r="C3302">
        <f>7.516/(100)</f>
        <v>7.5160000000000005E-2</v>
      </c>
    </row>
    <row r="3303" spans="1:3" x14ac:dyDescent="0.3">
      <c r="A3303" s="2">
        <v>40558</v>
      </c>
      <c r="B3303">
        <f>6.25/(100)</f>
        <v>6.25E-2</v>
      </c>
      <c r="C3303">
        <f>7.516/(100)</f>
        <v>7.5160000000000005E-2</v>
      </c>
    </row>
    <row r="3304" spans="1:3" x14ac:dyDescent="0.3">
      <c r="A3304" s="2">
        <v>40559</v>
      </c>
      <c r="B3304">
        <f>6.25/(100)</f>
        <v>6.25E-2</v>
      </c>
      <c r="C3304">
        <f>7.516/(100)</f>
        <v>7.5160000000000005E-2</v>
      </c>
    </row>
    <row r="3305" spans="1:3" x14ac:dyDescent="0.3">
      <c r="A3305" s="2">
        <v>40560</v>
      </c>
      <c r="B3305">
        <f>6.25/(100)</f>
        <v>6.25E-2</v>
      </c>
      <c r="C3305">
        <f>7.548/(100)</f>
        <v>7.5480000000000005E-2</v>
      </c>
    </row>
    <row r="3306" spans="1:3" x14ac:dyDescent="0.3">
      <c r="A3306" s="2">
        <v>40561</v>
      </c>
      <c r="B3306">
        <f>6.25/(100)</f>
        <v>6.25E-2</v>
      </c>
      <c r="C3306">
        <f>7.626/(100)</f>
        <v>7.6260000000000008E-2</v>
      </c>
    </row>
    <row r="3307" spans="1:3" x14ac:dyDescent="0.3">
      <c r="A3307" s="2">
        <v>40562</v>
      </c>
      <c r="B3307">
        <f>6.25/(100)</f>
        <v>6.25E-2</v>
      </c>
      <c r="C3307">
        <f>7.659/(100)</f>
        <v>7.6589999999999991E-2</v>
      </c>
    </row>
    <row r="3308" spans="1:3" x14ac:dyDescent="0.3">
      <c r="A3308" s="2">
        <v>40563</v>
      </c>
      <c r="B3308">
        <f>6.25/(100)</f>
        <v>6.25E-2</v>
      </c>
      <c r="C3308">
        <f>7.672/(100)</f>
        <v>7.6719999999999997E-2</v>
      </c>
    </row>
    <row r="3309" spans="1:3" x14ac:dyDescent="0.3">
      <c r="A3309" s="2">
        <v>40564</v>
      </c>
      <c r="B3309">
        <f>6.25/(100)</f>
        <v>6.25E-2</v>
      </c>
      <c r="C3309">
        <f>7.615/(100)</f>
        <v>7.6149999999999995E-2</v>
      </c>
    </row>
    <row r="3310" spans="1:3" x14ac:dyDescent="0.3">
      <c r="A3310" s="2">
        <v>40565</v>
      </c>
      <c r="B3310">
        <f>6.25/(100)</f>
        <v>6.25E-2</v>
      </c>
      <c r="C3310">
        <f>7.615/(100)</f>
        <v>7.6149999999999995E-2</v>
      </c>
    </row>
    <row r="3311" spans="1:3" x14ac:dyDescent="0.3">
      <c r="A3311" s="2">
        <v>40566</v>
      </c>
      <c r="B3311">
        <f>6.25/(100)</f>
        <v>6.25E-2</v>
      </c>
      <c r="C3311">
        <f>7.615/(100)</f>
        <v>7.6149999999999995E-2</v>
      </c>
    </row>
    <row r="3312" spans="1:3" x14ac:dyDescent="0.3">
      <c r="A3312" s="2">
        <v>40567</v>
      </c>
      <c r="B3312">
        <f>6.25/(100)</f>
        <v>6.25E-2</v>
      </c>
      <c r="C3312">
        <f>7.709/(100)</f>
        <v>7.7089999999999992E-2</v>
      </c>
    </row>
    <row r="3313" spans="1:3" x14ac:dyDescent="0.3">
      <c r="A3313" s="2">
        <v>40568</v>
      </c>
      <c r="B3313">
        <f>6.5/(100)</f>
        <v>6.5000000000000002E-2</v>
      </c>
      <c r="C3313">
        <f>7.554/(100)</f>
        <v>7.5539999999999996E-2</v>
      </c>
    </row>
    <row r="3314" spans="1:3" x14ac:dyDescent="0.3">
      <c r="A3314" s="2">
        <v>40569</v>
      </c>
      <c r="B3314">
        <f>6.5/(100)</f>
        <v>6.5000000000000002E-2</v>
      </c>
      <c r="C3314">
        <f>7.554/(100)</f>
        <v>7.5539999999999996E-2</v>
      </c>
    </row>
    <row r="3315" spans="1:3" x14ac:dyDescent="0.3">
      <c r="A3315" s="2">
        <v>40570</v>
      </c>
      <c r="B3315">
        <f>6.5/(100)</f>
        <v>6.5000000000000002E-2</v>
      </c>
      <c r="C3315">
        <f>7.553/(100)</f>
        <v>7.553E-2</v>
      </c>
    </row>
    <row r="3316" spans="1:3" x14ac:dyDescent="0.3">
      <c r="A3316" s="2">
        <v>40571</v>
      </c>
      <c r="B3316">
        <f>6.5/(100)</f>
        <v>6.5000000000000002E-2</v>
      </c>
      <c r="C3316">
        <f>7.572/(100)</f>
        <v>7.5719999999999996E-2</v>
      </c>
    </row>
    <row r="3317" spans="1:3" x14ac:dyDescent="0.3">
      <c r="A3317" s="2">
        <v>40572</v>
      </c>
      <c r="B3317">
        <f>6.5/(100)</f>
        <v>6.5000000000000002E-2</v>
      </c>
      <c r="C3317">
        <f>7.572/(100)</f>
        <v>7.5719999999999996E-2</v>
      </c>
    </row>
    <row r="3318" spans="1:3" x14ac:dyDescent="0.3">
      <c r="A3318" s="2">
        <v>40573</v>
      </c>
      <c r="B3318">
        <f>6.5/(100)</f>
        <v>6.5000000000000002E-2</v>
      </c>
      <c r="C3318">
        <f>7.572/(100)</f>
        <v>7.5719999999999996E-2</v>
      </c>
    </row>
    <row r="3319" spans="1:3" x14ac:dyDescent="0.3">
      <c r="A3319" s="2">
        <v>40574</v>
      </c>
      <c r="B3319">
        <f>6.5/(100)</f>
        <v>6.5000000000000002E-2</v>
      </c>
      <c r="C3319">
        <f>7.592/(100)</f>
        <v>7.5920000000000001E-2</v>
      </c>
    </row>
    <row r="3320" spans="1:3" x14ac:dyDescent="0.3">
      <c r="A3320" s="2">
        <v>40575</v>
      </c>
      <c r="B3320">
        <f>6.5/(100)</f>
        <v>6.5000000000000002E-2</v>
      </c>
      <c r="C3320">
        <f>7.627/(100)</f>
        <v>7.6270000000000004E-2</v>
      </c>
    </row>
    <row r="3321" spans="1:3" x14ac:dyDescent="0.3">
      <c r="A3321" s="2">
        <v>40576</v>
      </c>
      <c r="B3321">
        <f>6.5/(100)</f>
        <v>6.5000000000000002E-2</v>
      </c>
      <c r="C3321">
        <f>7.587/(100)</f>
        <v>7.5869999999999993E-2</v>
      </c>
    </row>
    <row r="3322" spans="1:3" x14ac:dyDescent="0.3">
      <c r="A3322" s="2">
        <v>40577</v>
      </c>
      <c r="B3322">
        <f>6.5/(100)</f>
        <v>6.5000000000000002E-2</v>
      </c>
      <c r="C3322">
        <f>7.56/(100)</f>
        <v>7.5600000000000001E-2</v>
      </c>
    </row>
    <row r="3323" spans="1:3" x14ac:dyDescent="0.3">
      <c r="A3323" s="2">
        <v>40578</v>
      </c>
      <c r="B3323">
        <f>6.5/(100)</f>
        <v>6.5000000000000002E-2</v>
      </c>
      <c r="C3323">
        <f>7.609/(100)</f>
        <v>7.6090000000000005E-2</v>
      </c>
    </row>
    <row r="3324" spans="1:3" x14ac:dyDescent="0.3">
      <c r="A3324" s="2">
        <v>40579</v>
      </c>
      <c r="B3324">
        <f>6.5/(100)</f>
        <v>6.5000000000000002E-2</v>
      </c>
      <c r="C3324">
        <f>7.609/(100)</f>
        <v>7.6090000000000005E-2</v>
      </c>
    </row>
    <row r="3325" spans="1:3" x14ac:dyDescent="0.3">
      <c r="A3325" s="2">
        <v>40580</v>
      </c>
      <c r="B3325">
        <f>6.5/(100)</f>
        <v>6.5000000000000002E-2</v>
      </c>
      <c r="C3325">
        <f>7.609/(100)</f>
        <v>7.6090000000000005E-2</v>
      </c>
    </row>
    <row r="3326" spans="1:3" x14ac:dyDescent="0.3">
      <c r="A3326" s="2">
        <v>40581</v>
      </c>
      <c r="B3326">
        <f>6.5/(100)</f>
        <v>6.5000000000000002E-2</v>
      </c>
      <c r="C3326">
        <f>7.643/(100)</f>
        <v>7.6429999999999998E-2</v>
      </c>
    </row>
    <row r="3327" spans="1:3" x14ac:dyDescent="0.3">
      <c r="A3327" s="2">
        <v>40582</v>
      </c>
      <c r="B3327">
        <f>6.5/(100)</f>
        <v>6.5000000000000002E-2</v>
      </c>
      <c r="C3327">
        <f>7.611/(100)</f>
        <v>7.6109999999999997E-2</v>
      </c>
    </row>
    <row r="3328" spans="1:3" x14ac:dyDescent="0.3">
      <c r="A3328" s="2">
        <v>40583</v>
      </c>
      <c r="B3328">
        <f>6.5/(100)</f>
        <v>6.5000000000000002E-2</v>
      </c>
      <c r="C3328">
        <f>7.602/(100)</f>
        <v>7.6020000000000004E-2</v>
      </c>
    </row>
    <row r="3329" spans="1:3" x14ac:dyDescent="0.3">
      <c r="A3329" s="2">
        <v>40584</v>
      </c>
      <c r="B3329">
        <f>6.5/(100)</f>
        <v>6.5000000000000002E-2</v>
      </c>
      <c r="C3329">
        <f>7.573/(100)</f>
        <v>7.5730000000000006E-2</v>
      </c>
    </row>
    <row r="3330" spans="1:3" x14ac:dyDescent="0.3">
      <c r="A3330" s="2">
        <v>40585</v>
      </c>
      <c r="B3330">
        <f>6.5/(100)</f>
        <v>6.5000000000000002E-2</v>
      </c>
      <c r="C3330">
        <f>7.559/(100)</f>
        <v>7.5590000000000004E-2</v>
      </c>
    </row>
    <row r="3331" spans="1:3" x14ac:dyDescent="0.3">
      <c r="A3331" s="2">
        <v>40586</v>
      </c>
      <c r="B3331">
        <f>6.5/(100)</f>
        <v>6.5000000000000002E-2</v>
      </c>
      <c r="C3331">
        <f>7.559/(100)</f>
        <v>7.5590000000000004E-2</v>
      </c>
    </row>
    <row r="3332" spans="1:3" x14ac:dyDescent="0.3">
      <c r="A3332" s="2">
        <v>40587</v>
      </c>
      <c r="B3332">
        <f>6.5/(100)</f>
        <v>6.5000000000000002E-2</v>
      </c>
      <c r="C3332">
        <f>7.559/(100)</f>
        <v>7.5590000000000004E-2</v>
      </c>
    </row>
    <row r="3333" spans="1:3" x14ac:dyDescent="0.3">
      <c r="A3333" s="2">
        <v>40588</v>
      </c>
      <c r="B3333">
        <f>6.5/(100)</f>
        <v>6.5000000000000002E-2</v>
      </c>
      <c r="C3333">
        <f>7.538/(100)</f>
        <v>7.5380000000000003E-2</v>
      </c>
    </row>
    <row r="3334" spans="1:3" x14ac:dyDescent="0.3">
      <c r="A3334" s="2">
        <v>40589</v>
      </c>
      <c r="B3334">
        <f>6.5/(100)</f>
        <v>6.5000000000000002E-2</v>
      </c>
      <c r="C3334">
        <f>7.483/(100)</f>
        <v>7.4829999999999994E-2</v>
      </c>
    </row>
    <row r="3335" spans="1:3" x14ac:dyDescent="0.3">
      <c r="A3335" s="2">
        <v>40590</v>
      </c>
      <c r="B3335">
        <f>6.5/(100)</f>
        <v>6.5000000000000002E-2</v>
      </c>
      <c r="C3335">
        <f>7.483/(100)</f>
        <v>7.4829999999999994E-2</v>
      </c>
    </row>
    <row r="3336" spans="1:3" x14ac:dyDescent="0.3">
      <c r="A3336" s="2">
        <v>40591</v>
      </c>
      <c r="B3336">
        <f>6.5/(100)</f>
        <v>6.5000000000000002E-2</v>
      </c>
      <c r="C3336">
        <f>7.49/(100)</f>
        <v>7.4900000000000008E-2</v>
      </c>
    </row>
    <row r="3337" spans="1:3" x14ac:dyDescent="0.3">
      <c r="A3337" s="2">
        <v>40592</v>
      </c>
      <c r="B3337">
        <f>6.5/(100)</f>
        <v>6.5000000000000002E-2</v>
      </c>
      <c r="C3337">
        <f>7.529/(100)</f>
        <v>7.5289999999999996E-2</v>
      </c>
    </row>
    <row r="3338" spans="1:3" x14ac:dyDescent="0.3">
      <c r="A3338" s="2">
        <v>40593</v>
      </c>
      <c r="B3338">
        <f>6.5/(100)</f>
        <v>6.5000000000000002E-2</v>
      </c>
      <c r="C3338">
        <f>7.529/(100)</f>
        <v>7.5289999999999996E-2</v>
      </c>
    </row>
    <row r="3339" spans="1:3" x14ac:dyDescent="0.3">
      <c r="A3339" s="2">
        <v>40594</v>
      </c>
      <c r="B3339">
        <f>6.5/(100)</f>
        <v>6.5000000000000002E-2</v>
      </c>
      <c r="C3339">
        <f>7.529/(100)</f>
        <v>7.5289999999999996E-2</v>
      </c>
    </row>
    <row r="3340" spans="1:3" x14ac:dyDescent="0.3">
      <c r="A3340" s="2">
        <v>40595</v>
      </c>
      <c r="B3340">
        <f>6.5/(100)</f>
        <v>6.5000000000000002E-2</v>
      </c>
      <c r="C3340">
        <f>7.564/(100)</f>
        <v>7.5639999999999999E-2</v>
      </c>
    </row>
    <row r="3341" spans="1:3" x14ac:dyDescent="0.3">
      <c r="A3341" s="2">
        <v>40596</v>
      </c>
      <c r="B3341">
        <f>6.5/(100)</f>
        <v>6.5000000000000002E-2</v>
      </c>
      <c r="C3341">
        <f>7.558/(100)</f>
        <v>7.5579999999999994E-2</v>
      </c>
    </row>
    <row r="3342" spans="1:3" x14ac:dyDescent="0.3">
      <c r="A3342" s="2">
        <v>40597</v>
      </c>
      <c r="B3342">
        <f>6.5/(100)</f>
        <v>6.5000000000000002E-2</v>
      </c>
      <c r="C3342">
        <f>7.545/(100)</f>
        <v>7.5450000000000003E-2</v>
      </c>
    </row>
    <row r="3343" spans="1:3" x14ac:dyDescent="0.3">
      <c r="A3343" s="2">
        <v>40598</v>
      </c>
      <c r="B3343">
        <f>6.5/(100)</f>
        <v>6.5000000000000002E-2</v>
      </c>
      <c r="C3343">
        <f>7.56/(100)</f>
        <v>7.5600000000000001E-2</v>
      </c>
    </row>
    <row r="3344" spans="1:3" x14ac:dyDescent="0.3">
      <c r="A3344" s="2">
        <v>40599</v>
      </c>
      <c r="B3344">
        <f>6.5/(100)</f>
        <v>6.5000000000000002E-2</v>
      </c>
      <c r="C3344">
        <f>7.595/(100)</f>
        <v>7.5950000000000004E-2</v>
      </c>
    </row>
    <row r="3345" spans="1:3" x14ac:dyDescent="0.3">
      <c r="A3345" s="2">
        <v>40600</v>
      </c>
      <c r="B3345">
        <f>6.5/(100)</f>
        <v>6.5000000000000002E-2</v>
      </c>
      <c r="C3345">
        <f>7.595/(100)</f>
        <v>7.5950000000000004E-2</v>
      </c>
    </row>
    <row r="3346" spans="1:3" x14ac:dyDescent="0.3">
      <c r="A3346" s="2">
        <v>40601</v>
      </c>
      <c r="B3346">
        <f>6.5/(100)</f>
        <v>6.5000000000000002E-2</v>
      </c>
      <c r="C3346">
        <f>7.595/(100)</f>
        <v>7.5950000000000004E-2</v>
      </c>
    </row>
    <row r="3347" spans="1:3" x14ac:dyDescent="0.3">
      <c r="A3347" s="2">
        <v>40602</v>
      </c>
      <c r="B3347">
        <f>6.5/(100)</f>
        <v>6.5000000000000002E-2</v>
      </c>
      <c r="C3347">
        <f>7.522/(100)</f>
        <v>7.5220000000000009E-2</v>
      </c>
    </row>
    <row r="3348" spans="1:3" x14ac:dyDescent="0.3">
      <c r="A3348" s="2">
        <v>40603</v>
      </c>
      <c r="B3348">
        <f>6.5/(100)</f>
        <v>6.5000000000000002E-2</v>
      </c>
      <c r="C3348">
        <f>7.568/(100)</f>
        <v>7.5679999999999997E-2</v>
      </c>
    </row>
    <row r="3349" spans="1:3" x14ac:dyDescent="0.3">
      <c r="A3349" s="2">
        <v>40604</v>
      </c>
      <c r="B3349">
        <f>6.5/(100)</f>
        <v>6.5000000000000002E-2</v>
      </c>
      <c r="C3349">
        <f>7.568/(100)</f>
        <v>7.5679999999999997E-2</v>
      </c>
    </row>
    <row r="3350" spans="1:3" x14ac:dyDescent="0.3">
      <c r="A3350" s="2">
        <v>40605</v>
      </c>
      <c r="B3350">
        <f>6.5/(100)</f>
        <v>6.5000000000000002E-2</v>
      </c>
      <c r="C3350">
        <f>7.472/(100)</f>
        <v>7.4720000000000009E-2</v>
      </c>
    </row>
    <row r="3351" spans="1:3" x14ac:dyDescent="0.3">
      <c r="A3351" s="2">
        <v>40606</v>
      </c>
      <c r="B3351">
        <f>6.5/(100)</f>
        <v>6.5000000000000002E-2</v>
      </c>
      <c r="C3351">
        <f>7.561/(100)</f>
        <v>7.5609999999999997E-2</v>
      </c>
    </row>
    <row r="3352" spans="1:3" x14ac:dyDescent="0.3">
      <c r="A3352" s="2">
        <v>40607</v>
      </c>
      <c r="B3352">
        <f>6.5/(100)</f>
        <v>6.5000000000000002E-2</v>
      </c>
      <c r="C3352">
        <f>7.561/(100)</f>
        <v>7.5609999999999997E-2</v>
      </c>
    </row>
    <row r="3353" spans="1:3" x14ac:dyDescent="0.3">
      <c r="A3353" s="2">
        <v>40608</v>
      </c>
      <c r="B3353">
        <f>6.5/(100)</f>
        <v>6.5000000000000002E-2</v>
      </c>
      <c r="C3353">
        <f>7.561/(100)</f>
        <v>7.5609999999999997E-2</v>
      </c>
    </row>
    <row r="3354" spans="1:3" x14ac:dyDescent="0.3">
      <c r="A3354" s="2">
        <v>40609</v>
      </c>
      <c r="B3354">
        <f>6.5/(100)</f>
        <v>6.5000000000000002E-2</v>
      </c>
      <c r="C3354">
        <f>7.518/(100)</f>
        <v>7.5179999999999997E-2</v>
      </c>
    </row>
    <row r="3355" spans="1:3" x14ac:dyDescent="0.3">
      <c r="A3355" s="2">
        <v>40610</v>
      </c>
      <c r="B3355">
        <f>6.5/(100)</f>
        <v>6.5000000000000002E-2</v>
      </c>
      <c r="C3355">
        <f>7.537/(100)</f>
        <v>7.5369999999999993E-2</v>
      </c>
    </row>
    <row r="3356" spans="1:3" x14ac:dyDescent="0.3">
      <c r="A3356" s="2">
        <v>40611</v>
      </c>
      <c r="B3356">
        <f>6.5/(100)</f>
        <v>6.5000000000000002E-2</v>
      </c>
      <c r="C3356">
        <f>7.558/(100)</f>
        <v>7.5579999999999994E-2</v>
      </c>
    </row>
    <row r="3357" spans="1:3" x14ac:dyDescent="0.3">
      <c r="A3357" s="2">
        <v>40612</v>
      </c>
      <c r="B3357">
        <f>6.5/(100)</f>
        <v>6.5000000000000002E-2</v>
      </c>
      <c r="C3357">
        <f>7.562/(100)</f>
        <v>7.5620000000000007E-2</v>
      </c>
    </row>
    <row r="3358" spans="1:3" x14ac:dyDescent="0.3">
      <c r="A3358" s="2">
        <v>40613</v>
      </c>
      <c r="B3358">
        <f>6.5/(100)</f>
        <v>6.5000000000000002E-2</v>
      </c>
      <c r="C3358">
        <f>7.521/(100)</f>
        <v>7.5209999999999999E-2</v>
      </c>
    </row>
    <row r="3359" spans="1:3" x14ac:dyDescent="0.3">
      <c r="A3359" s="2">
        <v>40614</v>
      </c>
      <c r="B3359">
        <f>6.5/(100)</f>
        <v>6.5000000000000002E-2</v>
      </c>
      <c r="C3359">
        <f>7.521/(100)</f>
        <v>7.5209999999999999E-2</v>
      </c>
    </row>
    <row r="3360" spans="1:3" x14ac:dyDescent="0.3">
      <c r="A3360" s="2">
        <v>40615</v>
      </c>
      <c r="B3360">
        <f>6.5/(100)</f>
        <v>6.5000000000000002E-2</v>
      </c>
      <c r="C3360">
        <f>7.521/(100)</f>
        <v>7.5209999999999999E-2</v>
      </c>
    </row>
    <row r="3361" spans="1:3" x14ac:dyDescent="0.3">
      <c r="A3361" s="2">
        <v>40616</v>
      </c>
      <c r="B3361">
        <f>6.5/(100)</f>
        <v>6.5000000000000002E-2</v>
      </c>
      <c r="C3361">
        <f>7.472/(100)</f>
        <v>7.4720000000000009E-2</v>
      </c>
    </row>
    <row r="3362" spans="1:3" x14ac:dyDescent="0.3">
      <c r="A3362" s="2">
        <v>40617</v>
      </c>
      <c r="B3362">
        <f>6.5/(100)</f>
        <v>6.5000000000000002E-2</v>
      </c>
      <c r="C3362">
        <f>7.485/(100)</f>
        <v>7.485E-2</v>
      </c>
    </row>
    <row r="3363" spans="1:3" x14ac:dyDescent="0.3">
      <c r="A3363" s="2">
        <v>40618</v>
      </c>
      <c r="B3363">
        <f>6.5/(100)</f>
        <v>6.5000000000000002E-2</v>
      </c>
      <c r="C3363">
        <f>7.482/(100)</f>
        <v>7.4819999999999998E-2</v>
      </c>
    </row>
    <row r="3364" spans="1:3" x14ac:dyDescent="0.3">
      <c r="A3364" s="2">
        <v>40619</v>
      </c>
      <c r="B3364">
        <f>6.75/(100)</f>
        <v>6.7500000000000004E-2</v>
      </c>
      <c r="C3364">
        <f>7.493/(100)</f>
        <v>7.4929999999999997E-2</v>
      </c>
    </row>
    <row r="3365" spans="1:3" x14ac:dyDescent="0.3">
      <c r="A3365" s="2">
        <v>40620</v>
      </c>
      <c r="B3365">
        <f>6.75/(100)</f>
        <v>6.7500000000000004E-2</v>
      </c>
      <c r="C3365">
        <f>7.497/(100)</f>
        <v>7.4969999999999995E-2</v>
      </c>
    </row>
    <row r="3366" spans="1:3" x14ac:dyDescent="0.3">
      <c r="A3366" s="2">
        <v>40621</v>
      </c>
      <c r="B3366">
        <f>6.75/(100)</f>
        <v>6.7500000000000004E-2</v>
      </c>
      <c r="C3366">
        <f>7.497/(100)</f>
        <v>7.4969999999999995E-2</v>
      </c>
    </row>
    <row r="3367" spans="1:3" x14ac:dyDescent="0.3">
      <c r="A3367" s="2">
        <v>40622</v>
      </c>
      <c r="B3367">
        <f>6.75/(100)</f>
        <v>6.7500000000000004E-2</v>
      </c>
      <c r="C3367">
        <f>7.497/(100)</f>
        <v>7.4969999999999995E-2</v>
      </c>
    </row>
    <row r="3368" spans="1:3" x14ac:dyDescent="0.3">
      <c r="A3368" s="2">
        <v>40623</v>
      </c>
      <c r="B3368">
        <f>6.75/(100)</f>
        <v>6.7500000000000004E-2</v>
      </c>
      <c r="C3368">
        <f>7.517/(100)</f>
        <v>7.5170000000000001E-2</v>
      </c>
    </row>
    <row r="3369" spans="1:3" x14ac:dyDescent="0.3">
      <c r="A3369" s="2">
        <v>40624</v>
      </c>
      <c r="B3369">
        <f>6.75/(100)</f>
        <v>6.7500000000000004E-2</v>
      </c>
      <c r="C3369">
        <f>7.532/(100)</f>
        <v>7.5319999999999998E-2</v>
      </c>
    </row>
    <row r="3370" spans="1:3" x14ac:dyDescent="0.3">
      <c r="A3370" s="2">
        <v>40625</v>
      </c>
      <c r="B3370">
        <f>6.75/(100)</f>
        <v>6.7500000000000004E-2</v>
      </c>
      <c r="C3370">
        <f>7.537/(100)</f>
        <v>7.5369999999999993E-2</v>
      </c>
    </row>
    <row r="3371" spans="1:3" x14ac:dyDescent="0.3">
      <c r="A3371" s="2">
        <v>40626</v>
      </c>
      <c r="B3371">
        <f>6.75/(100)</f>
        <v>6.7500000000000004E-2</v>
      </c>
      <c r="C3371">
        <f>7.592/(100)</f>
        <v>7.5920000000000001E-2</v>
      </c>
    </row>
    <row r="3372" spans="1:3" x14ac:dyDescent="0.3">
      <c r="A3372" s="2">
        <v>40627</v>
      </c>
      <c r="B3372">
        <f>6.75/(100)</f>
        <v>6.7500000000000004E-2</v>
      </c>
      <c r="C3372">
        <f>7.537/(100)</f>
        <v>7.5369999999999993E-2</v>
      </c>
    </row>
    <row r="3373" spans="1:3" x14ac:dyDescent="0.3">
      <c r="A3373" s="2">
        <v>40628</v>
      </c>
      <c r="B3373">
        <f>6.75/(100)</f>
        <v>6.7500000000000004E-2</v>
      </c>
      <c r="C3373">
        <f>7.537/(100)</f>
        <v>7.5369999999999993E-2</v>
      </c>
    </row>
    <row r="3374" spans="1:3" x14ac:dyDescent="0.3">
      <c r="A3374" s="2">
        <v>40629</v>
      </c>
      <c r="B3374">
        <f>6.75/(100)</f>
        <v>6.7500000000000004E-2</v>
      </c>
      <c r="C3374">
        <f>7.537/(100)</f>
        <v>7.5369999999999993E-2</v>
      </c>
    </row>
    <row r="3375" spans="1:3" x14ac:dyDescent="0.3">
      <c r="A3375" s="2">
        <v>40630</v>
      </c>
      <c r="B3375">
        <f>6.75/(100)</f>
        <v>6.7500000000000004E-2</v>
      </c>
      <c r="C3375">
        <f>7.53/(100)</f>
        <v>7.5300000000000006E-2</v>
      </c>
    </row>
    <row r="3376" spans="1:3" x14ac:dyDescent="0.3">
      <c r="A3376" s="2">
        <v>40631</v>
      </c>
      <c r="B3376">
        <f>6.75/(100)</f>
        <v>6.7500000000000004E-2</v>
      </c>
      <c r="C3376">
        <f>7.539/(100)</f>
        <v>7.5389999999999999E-2</v>
      </c>
    </row>
    <row r="3377" spans="1:3" x14ac:dyDescent="0.3">
      <c r="A3377" s="2">
        <v>40632</v>
      </c>
      <c r="B3377">
        <f>6.75/(100)</f>
        <v>6.7500000000000004E-2</v>
      </c>
      <c r="C3377">
        <f>7.562/(100)</f>
        <v>7.5620000000000007E-2</v>
      </c>
    </row>
    <row r="3378" spans="1:3" x14ac:dyDescent="0.3">
      <c r="A3378" s="2">
        <v>40633</v>
      </c>
      <c r="B3378">
        <f>6.75/(100)</f>
        <v>6.7500000000000004E-2</v>
      </c>
      <c r="C3378">
        <f>7.526/(100)</f>
        <v>7.5259999999999994E-2</v>
      </c>
    </row>
    <row r="3379" spans="1:3" x14ac:dyDescent="0.3">
      <c r="A3379" s="2">
        <v>40634</v>
      </c>
      <c r="B3379">
        <f>6.75/(100)</f>
        <v>6.7500000000000004E-2</v>
      </c>
      <c r="C3379">
        <f>7.526/(100)</f>
        <v>7.5259999999999994E-2</v>
      </c>
    </row>
    <row r="3380" spans="1:3" x14ac:dyDescent="0.3">
      <c r="A3380" s="2">
        <v>40635</v>
      </c>
      <c r="B3380">
        <f>6.75/(100)</f>
        <v>6.7500000000000004E-2</v>
      </c>
      <c r="C3380">
        <f>7.526/(100)</f>
        <v>7.5259999999999994E-2</v>
      </c>
    </row>
    <row r="3381" spans="1:3" x14ac:dyDescent="0.3">
      <c r="A3381" s="2">
        <v>40636</v>
      </c>
      <c r="B3381">
        <f>6.75/(100)</f>
        <v>6.7500000000000004E-2</v>
      </c>
      <c r="C3381">
        <f>7.526/(100)</f>
        <v>7.5259999999999994E-2</v>
      </c>
    </row>
    <row r="3382" spans="1:3" x14ac:dyDescent="0.3">
      <c r="A3382" s="2">
        <v>40637</v>
      </c>
      <c r="B3382">
        <f>6.75/(100)</f>
        <v>6.7500000000000004E-2</v>
      </c>
      <c r="C3382">
        <f>7.526/(100)</f>
        <v>7.5259999999999994E-2</v>
      </c>
    </row>
    <row r="3383" spans="1:3" x14ac:dyDescent="0.3">
      <c r="A3383" s="2">
        <v>40638</v>
      </c>
      <c r="B3383">
        <f>6.75/(100)</f>
        <v>6.7500000000000004E-2</v>
      </c>
      <c r="C3383">
        <f>7.489/(100)</f>
        <v>7.4889999999999998E-2</v>
      </c>
    </row>
    <row r="3384" spans="1:3" x14ac:dyDescent="0.3">
      <c r="A3384" s="2">
        <v>40639</v>
      </c>
      <c r="B3384">
        <f>6.75/(100)</f>
        <v>6.7500000000000004E-2</v>
      </c>
      <c r="C3384">
        <f>7.491/(100)</f>
        <v>7.490999999999999E-2</v>
      </c>
    </row>
    <row r="3385" spans="1:3" x14ac:dyDescent="0.3">
      <c r="A3385" s="2">
        <v>40640</v>
      </c>
      <c r="B3385">
        <f>6.75/(100)</f>
        <v>6.7500000000000004E-2</v>
      </c>
      <c r="C3385">
        <f>7.517/(100)</f>
        <v>7.5170000000000001E-2</v>
      </c>
    </row>
    <row r="3386" spans="1:3" x14ac:dyDescent="0.3">
      <c r="A3386" s="2">
        <v>40641</v>
      </c>
      <c r="B3386">
        <f>6.75/(100)</f>
        <v>6.7500000000000004E-2</v>
      </c>
      <c r="C3386">
        <f>7.523/(100)</f>
        <v>7.5229999999999991E-2</v>
      </c>
    </row>
    <row r="3387" spans="1:3" x14ac:dyDescent="0.3">
      <c r="A3387" s="2">
        <v>40642</v>
      </c>
      <c r="B3387">
        <f>6.75/(100)</f>
        <v>6.7500000000000004E-2</v>
      </c>
      <c r="C3387">
        <f>7.523/(100)</f>
        <v>7.5229999999999991E-2</v>
      </c>
    </row>
    <row r="3388" spans="1:3" x14ac:dyDescent="0.3">
      <c r="A3388" s="2">
        <v>40643</v>
      </c>
      <c r="B3388">
        <f>6.75/(100)</f>
        <v>6.7500000000000004E-2</v>
      </c>
      <c r="C3388">
        <f>7.523/(100)</f>
        <v>7.5229999999999991E-2</v>
      </c>
    </row>
    <row r="3389" spans="1:3" x14ac:dyDescent="0.3">
      <c r="A3389" s="2">
        <v>40644</v>
      </c>
      <c r="B3389">
        <f>6.75/(100)</f>
        <v>6.7500000000000004E-2</v>
      </c>
      <c r="C3389">
        <f>7.605/(100)</f>
        <v>7.6050000000000006E-2</v>
      </c>
    </row>
    <row r="3390" spans="1:3" x14ac:dyDescent="0.3">
      <c r="A3390" s="2">
        <v>40645</v>
      </c>
      <c r="B3390">
        <f>6.75/(100)</f>
        <v>6.7500000000000004E-2</v>
      </c>
      <c r="C3390">
        <f>7.605/(100)</f>
        <v>7.6050000000000006E-2</v>
      </c>
    </row>
    <row r="3391" spans="1:3" x14ac:dyDescent="0.3">
      <c r="A3391" s="2">
        <v>40646</v>
      </c>
      <c r="B3391">
        <f>6.75/(100)</f>
        <v>6.7500000000000004E-2</v>
      </c>
      <c r="C3391">
        <f>7.587/(100)</f>
        <v>7.5869999999999993E-2</v>
      </c>
    </row>
    <row r="3392" spans="1:3" x14ac:dyDescent="0.3">
      <c r="A3392" s="2">
        <v>40647</v>
      </c>
      <c r="B3392">
        <f>6.75/(100)</f>
        <v>6.7500000000000004E-2</v>
      </c>
      <c r="C3392">
        <f>7.587/(100)</f>
        <v>7.5869999999999993E-2</v>
      </c>
    </row>
    <row r="3393" spans="1:3" x14ac:dyDescent="0.3">
      <c r="A3393" s="2">
        <v>40648</v>
      </c>
      <c r="B3393">
        <f>6.75/(100)</f>
        <v>6.7500000000000004E-2</v>
      </c>
      <c r="C3393">
        <f>7.598/(100)</f>
        <v>7.5979999999999992E-2</v>
      </c>
    </row>
    <row r="3394" spans="1:3" x14ac:dyDescent="0.3">
      <c r="A3394" s="2">
        <v>40649</v>
      </c>
      <c r="B3394">
        <f>6.75/(100)</f>
        <v>6.7500000000000004E-2</v>
      </c>
      <c r="C3394">
        <f>7.598/(100)</f>
        <v>7.5979999999999992E-2</v>
      </c>
    </row>
    <row r="3395" spans="1:3" x14ac:dyDescent="0.3">
      <c r="A3395" s="2">
        <v>40650</v>
      </c>
      <c r="B3395">
        <f>6.75/(100)</f>
        <v>6.7500000000000004E-2</v>
      </c>
      <c r="C3395">
        <f>7.598/(100)</f>
        <v>7.5979999999999992E-2</v>
      </c>
    </row>
    <row r="3396" spans="1:3" x14ac:dyDescent="0.3">
      <c r="A3396" s="2">
        <v>40651</v>
      </c>
      <c r="B3396">
        <f>6.75/(100)</f>
        <v>6.7500000000000004E-2</v>
      </c>
      <c r="C3396">
        <f>7.607/(100)</f>
        <v>7.6069999999999999E-2</v>
      </c>
    </row>
    <row r="3397" spans="1:3" x14ac:dyDescent="0.3">
      <c r="A3397" s="2">
        <v>40652</v>
      </c>
      <c r="B3397">
        <f>6.75/(100)</f>
        <v>6.7500000000000004E-2</v>
      </c>
      <c r="C3397">
        <f>7.675/(100)</f>
        <v>7.6749999999999999E-2</v>
      </c>
    </row>
    <row r="3398" spans="1:3" x14ac:dyDescent="0.3">
      <c r="A3398" s="2">
        <v>40653</v>
      </c>
      <c r="B3398">
        <f>6.75/(100)</f>
        <v>6.7500000000000004E-2</v>
      </c>
      <c r="C3398">
        <f>7.722/(100)</f>
        <v>7.7220000000000011E-2</v>
      </c>
    </row>
    <row r="3399" spans="1:3" x14ac:dyDescent="0.3">
      <c r="A3399" s="2">
        <v>40654</v>
      </c>
      <c r="B3399">
        <f>6.75/(100)</f>
        <v>6.7500000000000004E-2</v>
      </c>
      <c r="C3399">
        <f>7.782/(100)</f>
        <v>7.782E-2</v>
      </c>
    </row>
    <row r="3400" spans="1:3" x14ac:dyDescent="0.3">
      <c r="A3400" s="2">
        <v>40655</v>
      </c>
      <c r="B3400">
        <f>6.75/(100)</f>
        <v>6.7500000000000004E-2</v>
      </c>
      <c r="C3400">
        <f>7.782/(100)</f>
        <v>7.782E-2</v>
      </c>
    </row>
    <row r="3401" spans="1:3" x14ac:dyDescent="0.3">
      <c r="A3401" s="2">
        <v>40656</v>
      </c>
      <c r="B3401">
        <f>6.75/(100)</f>
        <v>6.7500000000000004E-2</v>
      </c>
      <c r="C3401">
        <f>7.782/(100)</f>
        <v>7.782E-2</v>
      </c>
    </row>
    <row r="3402" spans="1:3" x14ac:dyDescent="0.3">
      <c r="A3402" s="2">
        <v>40657</v>
      </c>
      <c r="B3402">
        <f>6.75/(100)</f>
        <v>6.7500000000000004E-2</v>
      </c>
      <c r="C3402">
        <f>7.782/(100)</f>
        <v>7.782E-2</v>
      </c>
    </row>
    <row r="3403" spans="1:3" x14ac:dyDescent="0.3">
      <c r="A3403" s="2">
        <v>40658</v>
      </c>
      <c r="B3403">
        <f>6.75/(100)</f>
        <v>6.7500000000000004E-2</v>
      </c>
      <c r="C3403">
        <f>7.775/(100)</f>
        <v>7.775E-2</v>
      </c>
    </row>
    <row r="3404" spans="1:3" x14ac:dyDescent="0.3">
      <c r="A3404" s="2">
        <v>40659</v>
      </c>
      <c r="B3404">
        <f>6.75/(100)</f>
        <v>6.7500000000000004E-2</v>
      </c>
      <c r="C3404">
        <f>7.815/(100)</f>
        <v>7.8149999999999997E-2</v>
      </c>
    </row>
    <row r="3405" spans="1:3" x14ac:dyDescent="0.3">
      <c r="A3405" s="2">
        <v>40660</v>
      </c>
      <c r="B3405">
        <f>6.75/(100)</f>
        <v>6.7500000000000004E-2</v>
      </c>
      <c r="C3405">
        <f>7.818/(100)</f>
        <v>7.8179999999999999E-2</v>
      </c>
    </row>
    <row r="3406" spans="1:3" x14ac:dyDescent="0.3">
      <c r="A3406" s="2">
        <v>40661</v>
      </c>
      <c r="B3406">
        <f>6.75/(100)</f>
        <v>6.7500000000000004E-2</v>
      </c>
      <c r="C3406">
        <f>7.819/(100)</f>
        <v>7.8189999999999996E-2</v>
      </c>
    </row>
    <row r="3407" spans="1:3" x14ac:dyDescent="0.3">
      <c r="A3407" s="2">
        <v>40662</v>
      </c>
      <c r="B3407">
        <f>6.75/(100)</f>
        <v>6.7500000000000004E-2</v>
      </c>
      <c r="C3407">
        <f>7.828/(100)</f>
        <v>7.8280000000000002E-2</v>
      </c>
    </row>
    <row r="3408" spans="1:3" x14ac:dyDescent="0.3">
      <c r="A3408" s="2">
        <v>40663</v>
      </c>
      <c r="B3408">
        <f>6.75/(100)</f>
        <v>6.7500000000000004E-2</v>
      </c>
      <c r="C3408">
        <f>7.828/(100)</f>
        <v>7.8280000000000002E-2</v>
      </c>
    </row>
    <row r="3409" spans="1:3" x14ac:dyDescent="0.3">
      <c r="A3409" s="2">
        <v>40664</v>
      </c>
      <c r="B3409">
        <f>6.75/(100)</f>
        <v>6.7500000000000004E-2</v>
      </c>
      <c r="C3409">
        <f>7.828/(100)</f>
        <v>7.8280000000000002E-2</v>
      </c>
    </row>
    <row r="3410" spans="1:3" x14ac:dyDescent="0.3">
      <c r="A3410" s="2">
        <v>40665</v>
      </c>
      <c r="B3410">
        <f>6.75/(100)</f>
        <v>6.7500000000000004E-2</v>
      </c>
      <c r="C3410">
        <f>7.835/(100)</f>
        <v>7.8350000000000003E-2</v>
      </c>
    </row>
    <row r="3411" spans="1:3" x14ac:dyDescent="0.3">
      <c r="A3411" s="2">
        <v>40666</v>
      </c>
      <c r="B3411">
        <f>7.25/(100)</f>
        <v>7.2499999999999995E-2</v>
      </c>
      <c r="C3411">
        <f>7.887/(100)</f>
        <v>7.8869999999999996E-2</v>
      </c>
    </row>
    <row r="3412" spans="1:3" x14ac:dyDescent="0.3">
      <c r="A3412" s="2">
        <v>40667</v>
      </c>
      <c r="B3412">
        <f>7.25/(100)</f>
        <v>7.2499999999999995E-2</v>
      </c>
      <c r="C3412">
        <f>7.965/(100)</f>
        <v>7.9649999999999999E-2</v>
      </c>
    </row>
    <row r="3413" spans="1:3" x14ac:dyDescent="0.3">
      <c r="A3413" s="2">
        <v>40668</v>
      </c>
      <c r="B3413">
        <f>7.25/(100)</f>
        <v>7.2499999999999995E-2</v>
      </c>
      <c r="C3413">
        <f>8.045/(100)</f>
        <v>8.0449999999999994E-2</v>
      </c>
    </row>
    <row r="3414" spans="1:3" x14ac:dyDescent="0.3">
      <c r="A3414" s="2">
        <v>40669</v>
      </c>
      <c r="B3414">
        <f>7.25/(100)</f>
        <v>7.2499999999999995E-2</v>
      </c>
      <c r="C3414">
        <f>8.044/(100)</f>
        <v>8.0440000000000011E-2</v>
      </c>
    </row>
    <row r="3415" spans="1:3" x14ac:dyDescent="0.3">
      <c r="A3415" s="2">
        <v>40670</v>
      </c>
      <c r="B3415">
        <f>7.25/(100)</f>
        <v>7.2499999999999995E-2</v>
      </c>
      <c r="C3415">
        <f>8.044/(100)</f>
        <v>8.0440000000000011E-2</v>
      </c>
    </row>
    <row r="3416" spans="1:3" x14ac:dyDescent="0.3">
      <c r="A3416" s="2">
        <v>40671</v>
      </c>
      <c r="B3416">
        <f>7.25/(100)</f>
        <v>7.2499999999999995E-2</v>
      </c>
      <c r="C3416">
        <f>8.044/(100)</f>
        <v>8.0440000000000011E-2</v>
      </c>
    </row>
    <row r="3417" spans="1:3" x14ac:dyDescent="0.3">
      <c r="A3417" s="2">
        <v>40672</v>
      </c>
      <c r="B3417">
        <f>7.25/(100)</f>
        <v>7.2499999999999995E-2</v>
      </c>
      <c r="C3417">
        <f>8.041/(100)</f>
        <v>8.0410000000000009E-2</v>
      </c>
    </row>
    <row r="3418" spans="1:3" x14ac:dyDescent="0.3">
      <c r="A3418" s="2">
        <v>40673</v>
      </c>
      <c r="B3418">
        <f>7.25/(100)</f>
        <v>7.2499999999999995E-2</v>
      </c>
      <c r="C3418">
        <f>8.059/(100)</f>
        <v>8.0589999999999995E-2</v>
      </c>
    </row>
    <row r="3419" spans="1:3" x14ac:dyDescent="0.3">
      <c r="A3419" s="2">
        <v>40674</v>
      </c>
      <c r="B3419">
        <f>7.25/(100)</f>
        <v>7.2499999999999995E-2</v>
      </c>
      <c r="C3419">
        <f>8.102/(100)</f>
        <v>8.1020000000000009E-2</v>
      </c>
    </row>
    <row r="3420" spans="1:3" x14ac:dyDescent="0.3">
      <c r="A3420" s="2">
        <v>40675</v>
      </c>
      <c r="B3420">
        <f>7.25/(100)</f>
        <v>7.2499999999999995E-2</v>
      </c>
      <c r="C3420">
        <f>8.101/(100)</f>
        <v>8.1010000000000013E-2</v>
      </c>
    </row>
    <row r="3421" spans="1:3" x14ac:dyDescent="0.3">
      <c r="A3421" s="2">
        <v>40676</v>
      </c>
      <c r="B3421">
        <f>7.25/(100)</f>
        <v>7.2499999999999995E-2</v>
      </c>
      <c r="C3421">
        <f>8.088/(100)</f>
        <v>8.0879999999999994E-2</v>
      </c>
    </row>
    <row r="3422" spans="1:3" x14ac:dyDescent="0.3">
      <c r="A3422" s="2">
        <v>40677</v>
      </c>
      <c r="B3422">
        <f>7.25/(100)</f>
        <v>7.2499999999999995E-2</v>
      </c>
      <c r="C3422">
        <f>8.088/(100)</f>
        <v>8.0879999999999994E-2</v>
      </c>
    </row>
    <row r="3423" spans="1:3" x14ac:dyDescent="0.3">
      <c r="A3423" s="2">
        <v>40678</v>
      </c>
      <c r="B3423">
        <f>7.25/(100)</f>
        <v>7.2499999999999995E-2</v>
      </c>
      <c r="C3423">
        <f>8.088/(100)</f>
        <v>8.0879999999999994E-2</v>
      </c>
    </row>
    <row r="3424" spans="1:3" x14ac:dyDescent="0.3">
      <c r="A3424" s="2">
        <v>40679</v>
      </c>
      <c r="B3424">
        <f>7.25/(100)</f>
        <v>7.2499999999999995E-2</v>
      </c>
      <c r="C3424">
        <f>8.096/(100)</f>
        <v>8.0960000000000004E-2</v>
      </c>
    </row>
    <row r="3425" spans="1:3" x14ac:dyDescent="0.3">
      <c r="A3425" s="2">
        <v>40680</v>
      </c>
      <c r="B3425">
        <f>7.25/(100)</f>
        <v>7.2499999999999995E-2</v>
      </c>
      <c r="C3425">
        <f>8.096/(100)</f>
        <v>8.0960000000000004E-2</v>
      </c>
    </row>
    <row r="3426" spans="1:3" x14ac:dyDescent="0.3">
      <c r="A3426" s="2">
        <v>40681</v>
      </c>
      <c r="B3426">
        <f>7.25/(100)</f>
        <v>7.2499999999999995E-2</v>
      </c>
      <c r="C3426">
        <f>8.125/(100)</f>
        <v>8.1250000000000003E-2</v>
      </c>
    </row>
    <row r="3427" spans="1:3" x14ac:dyDescent="0.3">
      <c r="A3427" s="2">
        <v>40682</v>
      </c>
      <c r="B3427">
        <f>7.25/(100)</f>
        <v>7.2499999999999995E-2</v>
      </c>
      <c r="C3427">
        <f>8.167/(100)</f>
        <v>8.1669999999999993E-2</v>
      </c>
    </row>
    <row r="3428" spans="1:3" x14ac:dyDescent="0.3">
      <c r="A3428" s="2">
        <v>40683</v>
      </c>
      <c r="B3428">
        <f>7.25/(100)</f>
        <v>7.2499999999999995E-2</v>
      </c>
      <c r="C3428">
        <f>8.178/(100)</f>
        <v>8.1780000000000005E-2</v>
      </c>
    </row>
    <row r="3429" spans="1:3" x14ac:dyDescent="0.3">
      <c r="A3429" s="2">
        <v>40684</v>
      </c>
      <c r="B3429">
        <f>7.25/(100)</f>
        <v>7.2499999999999995E-2</v>
      </c>
      <c r="C3429">
        <f>8.178/(100)</f>
        <v>8.1780000000000005E-2</v>
      </c>
    </row>
    <row r="3430" spans="1:3" x14ac:dyDescent="0.3">
      <c r="A3430" s="2">
        <v>40685</v>
      </c>
      <c r="B3430">
        <f>7.25/(100)</f>
        <v>7.2499999999999995E-2</v>
      </c>
      <c r="C3430">
        <f>8.178/(100)</f>
        <v>8.1780000000000005E-2</v>
      </c>
    </row>
    <row r="3431" spans="1:3" x14ac:dyDescent="0.3">
      <c r="A3431" s="2">
        <v>40686</v>
      </c>
      <c r="B3431">
        <f>7.25/(100)</f>
        <v>7.2499999999999995E-2</v>
      </c>
      <c r="C3431">
        <f>8.233/(100)</f>
        <v>8.233E-2</v>
      </c>
    </row>
    <row r="3432" spans="1:3" x14ac:dyDescent="0.3">
      <c r="A3432" s="2">
        <v>40687</v>
      </c>
      <c r="B3432">
        <f>7.25/(100)</f>
        <v>7.2499999999999995E-2</v>
      </c>
      <c r="C3432">
        <f>8.219/(100)</f>
        <v>8.2189999999999999E-2</v>
      </c>
    </row>
    <row r="3433" spans="1:3" x14ac:dyDescent="0.3">
      <c r="A3433" s="2">
        <v>40688</v>
      </c>
      <c r="B3433">
        <f>7.25/(100)</f>
        <v>7.2499999999999995E-2</v>
      </c>
      <c r="C3433">
        <f>8.225/(100)</f>
        <v>8.224999999999999E-2</v>
      </c>
    </row>
    <row r="3434" spans="1:3" x14ac:dyDescent="0.3">
      <c r="A3434" s="2">
        <v>40689</v>
      </c>
      <c r="B3434">
        <f>7.25/(100)</f>
        <v>7.2499999999999995E-2</v>
      </c>
      <c r="C3434">
        <f>8.223/(100)</f>
        <v>8.2230000000000011E-2</v>
      </c>
    </row>
    <row r="3435" spans="1:3" x14ac:dyDescent="0.3">
      <c r="A3435" s="2">
        <v>40690</v>
      </c>
      <c r="B3435">
        <f>7.25/(100)</f>
        <v>7.2499999999999995E-2</v>
      </c>
      <c r="C3435">
        <f>8.229/(100)</f>
        <v>8.2289999999999988E-2</v>
      </c>
    </row>
    <row r="3436" spans="1:3" x14ac:dyDescent="0.3">
      <c r="A3436" s="2">
        <v>40691</v>
      </c>
      <c r="B3436">
        <f>7.25/(100)</f>
        <v>7.2499999999999995E-2</v>
      </c>
      <c r="C3436">
        <f>8.229/(100)</f>
        <v>8.2289999999999988E-2</v>
      </c>
    </row>
    <row r="3437" spans="1:3" x14ac:dyDescent="0.3">
      <c r="A3437" s="2">
        <v>40692</v>
      </c>
      <c r="B3437">
        <f>7.25/(100)</f>
        <v>7.2499999999999995E-2</v>
      </c>
      <c r="C3437">
        <f>8.229/(100)</f>
        <v>8.2289999999999988E-2</v>
      </c>
    </row>
    <row r="3438" spans="1:3" x14ac:dyDescent="0.3">
      <c r="A3438" s="2">
        <v>40693</v>
      </c>
      <c r="B3438">
        <f>7.25/(100)</f>
        <v>7.2499999999999995E-2</v>
      </c>
      <c r="C3438">
        <f>8.257/(100)</f>
        <v>8.2569999999999991E-2</v>
      </c>
    </row>
    <row r="3439" spans="1:3" x14ac:dyDescent="0.3">
      <c r="A3439" s="2">
        <v>40694</v>
      </c>
      <c r="B3439">
        <f>7.25/(100)</f>
        <v>7.2499999999999995E-2</v>
      </c>
      <c r="C3439">
        <f>8.25/(100)</f>
        <v>8.2500000000000004E-2</v>
      </c>
    </row>
    <row r="3440" spans="1:3" x14ac:dyDescent="0.3">
      <c r="A3440" s="2">
        <v>40695</v>
      </c>
      <c r="B3440">
        <f>7.25/(100)</f>
        <v>7.2499999999999995E-2</v>
      </c>
      <c r="C3440">
        <f>8.266/(100)</f>
        <v>8.2659999999999997E-2</v>
      </c>
    </row>
    <row r="3441" spans="1:3" x14ac:dyDescent="0.3">
      <c r="A3441" s="2">
        <v>40696</v>
      </c>
      <c r="B3441">
        <f>7.25/(100)</f>
        <v>7.2499999999999995E-2</v>
      </c>
      <c r="C3441">
        <f>8.232/(100)</f>
        <v>8.231999999999999E-2</v>
      </c>
    </row>
    <row r="3442" spans="1:3" x14ac:dyDescent="0.3">
      <c r="A3442" s="2">
        <v>40697</v>
      </c>
      <c r="B3442">
        <f>7.25/(100)</f>
        <v>7.2499999999999995E-2</v>
      </c>
      <c r="C3442">
        <f>8.226/(100)</f>
        <v>8.2260000000000014E-2</v>
      </c>
    </row>
    <row r="3443" spans="1:3" x14ac:dyDescent="0.3">
      <c r="A3443" s="2">
        <v>40698</v>
      </c>
      <c r="B3443">
        <f>7.25/(100)</f>
        <v>7.2499999999999995E-2</v>
      </c>
      <c r="C3443">
        <f>8.226/(100)</f>
        <v>8.2260000000000014E-2</v>
      </c>
    </row>
    <row r="3444" spans="1:3" x14ac:dyDescent="0.3">
      <c r="A3444" s="2">
        <v>40699</v>
      </c>
      <c r="B3444">
        <f>7.25/(100)</f>
        <v>7.2499999999999995E-2</v>
      </c>
      <c r="C3444">
        <f>8.226/(100)</f>
        <v>8.2260000000000014E-2</v>
      </c>
    </row>
    <row r="3445" spans="1:3" x14ac:dyDescent="0.3">
      <c r="A3445" s="2">
        <v>40700</v>
      </c>
      <c r="B3445">
        <f>7.25/(100)</f>
        <v>7.2499999999999995E-2</v>
      </c>
      <c r="C3445">
        <f>8.212/(100)</f>
        <v>8.2119999999999999E-2</v>
      </c>
    </row>
    <row r="3446" spans="1:3" x14ac:dyDescent="0.3">
      <c r="A3446" s="2">
        <v>40701</v>
      </c>
      <c r="B3446">
        <f>7.25/(100)</f>
        <v>7.2499999999999995E-2</v>
      </c>
      <c r="C3446">
        <f>8.228/(100)</f>
        <v>8.2279999999999992E-2</v>
      </c>
    </row>
    <row r="3447" spans="1:3" x14ac:dyDescent="0.3">
      <c r="A3447" s="2">
        <v>40702</v>
      </c>
      <c r="B3447">
        <f>7.25/(100)</f>
        <v>7.2499999999999995E-2</v>
      </c>
      <c r="C3447">
        <f>8.236/(100)</f>
        <v>8.2360000000000003E-2</v>
      </c>
    </row>
    <row r="3448" spans="1:3" x14ac:dyDescent="0.3">
      <c r="A3448" s="2">
        <v>40703</v>
      </c>
      <c r="B3448">
        <f>7.25/(100)</f>
        <v>7.2499999999999995E-2</v>
      </c>
      <c r="C3448">
        <f>8.19/(100)</f>
        <v>8.1900000000000001E-2</v>
      </c>
    </row>
    <row r="3449" spans="1:3" x14ac:dyDescent="0.3">
      <c r="A3449" s="2">
        <v>40704</v>
      </c>
      <c r="B3449">
        <f>7.25/(100)</f>
        <v>7.2499999999999995E-2</v>
      </c>
      <c r="C3449">
        <f>8.214/(100)</f>
        <v>8.2140000000000005E-2</v>
      </c>
    </row>
    <row r="3450" spans="1:3" x14ac:dyDescent="0.3">
      <c r="A3450" s="2">
        <v>40705</v>
      </c>
      <c r="B3450">
        <f>7.25/(100)</f>
        <v>7.2499999999999995E-2</v>
      </c>
      <c r="C3450">
        <f>8.214/(100)</f>
        <v>8.2140000000000005E-2</v>
      </c>
    </row>
    <row r="3451" spans="1:3" x14ac:dyDescent="0.3">
      <c r="A3451" s="2">
        <v>40706</v>
      </c>
      <c r="B3451">
        <f>7.25/(100)</f>
        <v>7.2499999999999995E-2</v>
      </c>
      <c r="C3451">
        <f>8.214/(100)</f>
        <v>8.2140000000000005E-2</v>
      </c>
    </row>
    <row r="3452" spans="1:3" x14ac:dyDescent="0.3">
      <c r="A3452" s="2">
        <v>40707</v>
      </c>
      <c r="B3452">
        <f>7.25/(100)</f>
        <v>7.2499999999999995E-2</v>
      </c>
      <c r="C3452">
        <f>8.27/(100)</f>
        <v>8.2699999999999996E-2</v>
      </c>
    </row>
    <row r="3453" spans="1:3" x14ac:dyDescent="0.3">
      <c r="A3453" s="2">
        <v>40708</v>
      </c>
      <c r="B3453">
        <f>7.25/(100)</f>
        <v>7.2499999999999995E-2</v>
      </c>
      <c r="C3453">
        <f>8.224/(100)</f>
        <v>8.2240000000000008E-2</v>
      </c>
    </row>
    <row r="3454" spans="1:3" x14ac:dyDescent="0.3">
      <c r="A3454" s="2">
        <v>40709</v>
      </c>
      <c r="B3454">
        <f>7.25/(100)</f>
        <v>7.2499999999999995E-2</v>
      </c>
      <c r="C3454">
        <f>8.245/(100)</f>
        <v>8.2449999999999996E-2</v>
      </c>
    </row>
    <row r="3455" spans="1:3" x14ac:dyDescent="0.3">
      <c r="A3455" s="2">
        <v>40710</v>
      </c>
      <c r="B3455">
        <f>7.5/(100)</f>
        <v>7.4999999999999997E-2</v>
      </c>
      <c r="C3455">
        <f>8.219/(100)</f>
        <v>8.2189999999999999E-2</v>
      </c>
    </row>
    <row r="3456" spans="1:3" x14ac:dyDescent="0.3">
      <c r="A3456" s="2">
        <v>40711</v>
      </c>
      <c r="B3456">
        <f>7.5/(100)</f>
        <v>7.4999999999999997E-2</v>
      </c>
      <c r="C3456">
        <f>8.18/(100)</f>
        <v>8.1799999999999998E-2</v>
      </c>
    </row>
    <row r="3457" spans="1:3" x14ac:dyDescent="0.3">
      <c r="A3457" s="2">
        <v>40712</v>
      </c>
      <c r="B3457">
        <f>7.5/(100)</f>
        <v>7.4999999999999997E-2</v>
      </c>
      <c r="C3457">
        <f>8.18/(100)</f>
        <v>8.1799999999999998E-2</v>
      </c>
    </row>
    <row r="3458" spans="1:3" x14ac:dyDescent="0.3">
      <c r="A3458" s="2">
        <v>40713</v>
      </c>
      <c r="B3458">
        <f>7.5/(100)</f>
        <v>7.4999999999999997E-2</v>
      </c>
      <c r="C3458">
        <f>8.18/(100)</f>
        <v>8.1799999999999998E-2</v>
      </c>
    </row>
    <row r="3459" spans="1:3" x14ac:dyDescent="0.3">
      <c r="A3459" s="2">
        <v>40714</v>
      </c>
      <c r="B3459">
        <f>7.5/(100)</f>
        <v>7.4999999999999997E-2</v>
      </c>
      <c r="C3459">
        <f>8.07/(100)</f>
        <v>8.0700000000000008E-2</v>
      </c>
    </row>
    <row r="3460" spans="1:3" x14ac:dyDescent="0.3">
      <c r="A3460" s="2">
        <v>40715</v>
      </c>
      <c r="B3460">
        <f>7.5/(100)</f>
        <v>7.4999999999999997E-2</v>
      </c>
      <c r="C3460">
        <f>8.065/(100)</f>
        <v>8.0649999999999999E-2</v>
      </c>
    </row>
    <row r="3461" spans="1:3" x14ac:dyDescent="0.3">
      <c r="A3461" s="2">
        <v>40716</v>
      </c>
      <c r="B3461">
        <f>7.5/(100)</f>
        <v>7.4999999999999997E-2</v>
      </c>
      <c r="C3461">
        <f>8.065/(100)</f>
        <v>8.0649999999999999E-2</v>
      </c>
    </row>
    <row r="3462" spans="1:3" x14ac:dyDescent="0.3">
      <c r="A3462" s="2">
        <v>40717</v>
      </c>
      <c r="B3462">
        <f>7.5/(100)</f>
        <v>7.4999999999999997E-2</v>
      </c>
      <c r="C3462">
        <f>8.004/(100)</f>
        <v>8.004E-2</v>
      </c>
    </row>
    <row r="3463" spans="1:3" x14ac:dyDescent="0.3">
      <c r="A3463" s="2">
        <v>40718</v>
      </c>
      <c r="B3463">
        <f>7.5/(100)</f>
        <v>7.4999999999999997E-2</v>
      </c>
      <c r="C3463">
        <f>8.066/(100)</f>
        <v>8.0660000000000009E-2</v>
      </c>
    </row>
    <row r="3464" spans="1:3" x14ac:dyDescent="0.3">
      <c r="A3464" s="2">
        <v>40719</v>
      </c>
      <c r="B3464">
        <f>7.5/(100)</f>
        <v>7.4999999999999997E-2</v>
      </c>
      <c r="C3464">
        <f>8.066/(100)</f>
        <v>8.0660000000000009E-2</v>
      </c>
    </row>
    <row r="3465" spans="1:3" x14ac:dyDescent="0.3">
      <c r="A3465" s="2">
        <v>40720</v>
      </c>
      <c r="B3465">
        <f>7.5/(100)</f>
        <v>7.4999999999999997E-2</v>
      </c>
      <c r="C3465">
        <f>8.066/(100)</f>
        <v>8.0660000000000009E-2</v>
      </c>
    </row>
    <row r="3466" spans="1:3" x14ac:dyDescent="0.3">
      <c r="A3466" s="2">
        <v>40721</v>
      </c>
      <c r="B3466">
        <f>7.5/(100)</f>
        <v>7.4999999999999997E-2</v>
      </c>
      <c r="C3466">
        <f>8.028/(100)</f>
        <v>8.0280000000000004E-2</v>
      </c>
    </row>
    <row r="3467" spans="1:3" x14ac:dyDescent="0.3">
      <c r="A3467" s="2">
        <v>40722</v>
      </c>
      <c r="B3467">
        <f>7.5/(100)</f>
        <v>7.4999999999999997E-2</v>
      </c>
      <c r="C3467">
        <f>8.02/(100)</f>
        <v>8.0199999999999994E-2</v>
      </c>
    </row>
    <row r="3468" spans="1:3" x14ac:dyDescent="0.3">
      <c r="A3468" s="2">
        <v>40723</v>
      </c>
      <c r="B3468">
        <f>7.5/(100)</f>
        <v>7.4999999999999997E-2</v>
      </c>
      <c r="C3468">
        <f>8.118/(100)</f>
        <v>8.1180000000000002E-2</v>
      </c>
    </row>
    <row r="3469" spans="1:3" x14ac:dyDescent="0.3">
      <c r="A3469" s="2">
        <v>40724</v>
      </c>
      <c r="B3469">
        <f>7.5/(100)</f>
        <v>7.4999999999999997E-2</v>
      </c>
      <c r="C3469">
        <f>8.129/(100)</f>
        <v>8.1290000000000001E-2</v>
      </c>
    </row>
    <row r="3470" spans="1:3" x14ac:dyDescent="0.3">
      <c r="A3470" s="2">
        <v>40725</v>
      </c>
      <c r="B3470">
        <f>7.5/(100)</f>
        <v>7.4999999999999997E-2</v>
      </c>
      <c r="C3470">
        <f>8.132/(100)</f>
        <v>8.1320000000000003E-2</v>
      </c>
    </row>
    <row r="3471" spans="1:3" x14ac:dyDescent="0.3">
      <c r="A3471" s="2">
        <v>40726</v>
      </c>
      <c r="B3471">
        <f>7.5/(100)</f>
        <v>7.4999999999999997E-2</v>
      </c>
      <c r="C3471">
        <f>8.132/(100)</f>
        <v>8.1320000000000003E-2</v>
      </c>
    </row>
    <row r="3472" spans="1:3" x14ac:dyDescent="0.3">
      <c r="A3472" s="2">
        <v>40727</v>
      </c>
      <c r="B3472">
        <f>7.5/(100)</f>
        <v>7.4999999999999997E-2</v>
      </c>
      <c r="C3472">
        <f>8.132/(100)</f>
        <v>8.1320000000000003E-2</v>
      </c>
    </row>
    <row r="3473" spans="1:3" x14ac:dyDescent="0.3">
      <c r="A3473" s="2">
        <v>40728</v>
      </c>
      <c r="B3473">
        <f>7.5/(100)</f>
        <v>7.4999999999999997E-2</v>
      </c>
      <c r="C3473">
        <f>8.158/(100)</f>
        <v>8.158E-2</v>
      </c>
    </row>
    <row r="3474" spans="1:3" x14ac:dyDescent="0.3">
      <c r="A3474" s="2">
        <v>40729</v>
      </c>
      <c r="B3474">
        <f>7.5/(100)</f>
        <v>7.4999999999999997E-2</v>
      </c>
      <c r="C3474">
        <f>8.085/(100)</f>
        <v>8.0850000000000005E-2</v>
      </c>
    </row>
    <row r="3475" spans="1:3" x14ac:dyDescent="0.3">
      <c r="A3475" s="2">
        <v>40730</v>
      </c>
      <c r="B3475">
        <f>7.5/(100)</f>
        <v>7.4999999999999997E-2</v>
      </c>
      <c r="C3475">
        <f>8.173/(100)</f>
        <v>8.1729999999999997E-2</v>
      </c>
    </row>
    <row r="3476" spans="1:3" x14ac:dyDescent="0.3">
      <c r="A3476" s="2">
        <v>40731</v>
      </c>
      <c r="B3476">
        <f>7.5/(100)</f>
        <v>7.4999999999999997E-2</v>
      </c>
      <c r="C3476">
        <f>8.133/(100)</f>
        <v>8.1329999999999986E-2</v>
      </c>
    </row>
    <row r="3477" spans="1:3" x14ac:dyDescent="0.3">
      <c r="A3477" s="2">
        <v>40732</v>
      </c>
      <c r="B3477">
        <f>7.5/(100)</f>
        <v>7.4999999999999997E-2</v>
      </c>
      <c r="C3477">
        <f>8.1/(100)</f>
        <v>8.1000000000000003E-2</v>
      </c>
    </row>
    <row r="3478" spans="1:3" x14ac:dyDescent="0.3">
      <c r="A3478" s="2">
        <v>40733</v>
      </c>
      <c r="B3478">
        <f>7.5/(100)</f>
        <v>7.4999999999999997E-2</v>
      </c>
      <c r="C3478">
        <f>8.1/(100)</f>
        <v>8.1000000000000003E-2</v>
      </c>
    </row>
    <row r="3479" spans="1:3" x14ac:dyDescent="0.3">
      <c r="A3479" s="2">
        <v>40734</v>
      </c>
      <c r="B3479">
        <f>7.5/(100)</f>
        <v>7.4999999999999997E-2</v>
      </c>
      <c r="C3479">
        <f>8.1/(100)</f>
        <v>8.1000000000000003E-2</v>
      </c>
    </row>
    <row r="3480" spans="1:3" x14ac:dyDescent="0.3">
      <c r="A3480" s="2">
        <v>40735</v>
      </c>
      <c r="B3480">
        <f>7.5/(100)</f>
        <v>7.4999999999999997E-2</v>
      </c>
      <c r="C3480">
        <f>8.059/(100)</f>
        <v>8.0589999999999995E-2</v>
      </c>
    </row>
    <row r="3481" spans="1:3" x14ac:dyDescent="0.3">
      <c r="A3481" s="2">
        <v>40736</v>
      </c>
      <c r="B3481">
        <f>7.5/(100)</f>
        <v>7.4999999999999997E-2</v>
      </c>
      <c r="C3481">
        <f>8.077/(100)</f>
        <v>8.0769999999999995E-2</v>
      </c>
    </row>
    <row r="3482" spans="1:3" x14ac:dyDescent="0.3">
      <c r="A3482" s="2">
        <v>40737</v>
      </c>
      <c r="B3482">
        <f>7.5/(100)</f>
        <v>7.4999999999999997E-2</v>
      </c>
      <c r="C3482">
        <f>8.106/(100)</f>
        <v>8.1059999999999993E-2</v>
      </c>
    </row>
    <row r="3483" spans="1:3" x14ac:dyDescent="0.3">
      <c r="A3483" s="2">
        <v>40738</v>
      </c>
      <c r="B3483">
        <f>7.5/(100)</f>
        <v>7.4999999999999997E-2</v>
      </c>
      <c r="C3483">
        <f>8.093/(100)</f>
        <v>8.0930000000000002E-2</v>
      </c>
    </row>
    <row r="3484" spans="1:3" x14ac:dyDescent="0.3">
      <c r="A3484" s="2">
        <v>40739</v>
      </c>
      <c r="B3484">
        <f>7.5/(100)</f>
        <v>7.4999999999999997E-2</v>
      </c>
      <c r="C3484">
        <f>8.048/(100)</f>
        <v>8.0479999999999996E-2</v>
      </c>
    </row>
    <row r="3485" spans="1:3" x14ac:dyDescent="0.3">
      <c r="A3485" s="2">
        <v>40740</v>
      </c>
      <c r="B3485">
        <f>7.5/(100)</f>
        <v>7.4999999999999997E-2</v>
      </c>
      <c r="C3485">
        <f>8.048/(100)</f>
        <v>8.0479999999999996E-2</v>
      </c>
    </row>
    <row r="3486" spans="1:3" x14ac:dyDescent="0.3">
      <c r="A3486" s="2">
        <v>40741</v>
      </c>
      <c r="B3486">
        <f>7.5/(100)</f>
        <v>7.4999999999999997E-2</v>
      </c>
      <c r="C3486">
        <f>8.048/(100)</f>
        <v>8.0479999999999996E-2</v>
      </c>
    </row>
    <row r="3487" spans="1:3" x14ac:dyDescent="0.3">
      <c r="A3487" s="2">
        <v>40742</v>
      </c>
      <c r="B3487">
        <f>7.5/(100)</f>
        <v>7.4999999999999997E-2</v>
      </c>
      <c r="C3487">
        <f>8.042/(100)</f>
        <v>8.0419999999999991E-2</v>
      </c>
    </row>
    <row r="3488" spans="1:3" x14ac:dyDescent="0.3">
      <c r="A3488" s="2">
        <v>40743</v>
      </c>
      <c r="B3488">
        <f>7.5/(100)</f>
        <v>7.4999999999999997E-2</v>
      </c>
      <c r="C3488">
        <f>8.009/(100)</f>
        <v>8.0090000000000008E-2</v>
      </c>
    </row>
    <row r="3489" spans="1:3" x14ac:dyDescent="0.3">
      <c r="A3489" s="2">
        <v>40744</v>
      </c>
      <c r="B3489">
        <f>7.5/(100)</f>
        <v>7.4999999999999997E-2</v>
      </c>
      <c r="C3489">
        <f>8.043/(100)</f>
        <v>8.0429999999999988E-2</v>
      </c>
    </row>
    <row r="3490" spans="1:3" x14ac:dyDescent="0.3">
      <c r="A3490" s="2">
        <v>40745</v>
      </c>
      <c r="B3490">
        <f>7.5/(100)</f>
        <v>7.4999999999999997E-2</v>
      </c>
      <c r="C3490">
        <f>8.062/(100)</f>
        <v>8.0619999999999997E-2</v>
      </c>
    </row>
    <row r="3491" spans="1:3" x14ac:dyDescent="0.3">
      <c r="A3491" s="2">
        <v>40746</v>
      </c>
      <c r="B3491">
        <f>7.5/(100)</f>
        <v>7.4999999999999997E-2</v>
      </c>
      <c r="C3491">
        <f>8.168/(100)</f>
        <v>8.1679999999999989E-2</v>
      </c>
    </row>
    <row r="3492" spans="1:3" x14ac:dyDescent="0.3">
      <c r="A3492" s="2">
        <v>40747</v>
      </c>
      <c r="B3492">
        <f>7.5/(100)</f>
        <v>7.4999999999999997E-2</v>
      </c>
      <c r="C3492">
        <f>8.168/(100)</f>
        <v>8.1679999999999989E-2</v>
      </c>
    </row>
    <row r="3493" spans="1:3" x14ac:dyDescent="0.3">
      <c r="A3493" s="2">
        <v>40748</v>
      </c>
      <c r="B3493">
        <f>7.5/(100)</f>
        <v>7.4999999999999997E-2</v>
      </c>
      <c r="C3493">
        <f>8.168/(100)</f>
        <v>8.1679999999999989E-2</v>
      </c>
    </row>
    <row r="3494" spans="1:3" x14ac:dyDescent="0.3">
      <c r="A3494" s="2">
        <v>40749</v>
      </c>
      <c r="B3494">
        <f>7.5/(100)</f>
        <v>7.4999999999999997E-2</v>
      </c>
      <c r="C3494">
        <f>8.224/(100)</f>
        <v>8.2240000000000008E-2</v>
      </c>
    </row>
    <row r="3495" spans="1:3" x14ac:dyDescent="0.3">
      <c r="A3495" s="2">
        <v>40750</v>
      </c>
      <c r="B3495">
        <f>8/(100)</f>
        <v>0.08</v>
      </c>
      <c r="C3495">
        <f>8.238/(100)</f>
        <v>8.2379999999999995E-2</v>
      </c>
    </row>
    <row r="3496" spans="1:3" x14ac:dyDescent="0.3">
      <c r="A3496" s="2">
        <v>40751</v>
      </c>
      <c r="B3496">
        <f>8/(100)</f>
        <v>0.08</v>
      </c>
      <c r="C3496">
        <f>8.328/(100)</f>
        <v>8.3279999999999993E-2</v>
      </c>
    </row>
    <row r="3497" spans="1:3" x14ac:dyDescent="0.3">
      <c r="A3497" s="2">
        <v>40752</v>
      </c>
      <c r="B3497">
        <f>8/(100)</f>
        <v>0.08</v>
      </c>
      <c r="C3497">
        <f>8.374/(100)</f>
        <v>8.3740000000000009E-2</v>
      </c>
    </row>
    <row r="3498" spans="1:3" x14ac:dyDescent="0.3">
      <c r="A3498" s="2">
        <v>40753</v>
      </c>
      <c r="B3498">
        <f>8/(100)</f>
        <v>0.08</v>
      </c>
      <c r="C3498">
        <f>8.378/(100)</f>
        <v>8.3780000000000007E-2</v>
      </c>
    </row>
    <row r="3499" spans="1:3" x14ac:dyDescent="0.3">
      <c r="A3499" s="2">
        <v>40754</v>
      </c>
      <c r="B3499">
        <f>8/(100)</f>
        <v>0.08</v>
      </c>
      <c r="C3499">
        <f>8.378/(100)</f>
        <v>8.3780000000000007E-2</v>
      </c>
    </row>
    <row r="3500" spans="1:3" x14ac:dyDescent="0.3">
      <c r="A3500" s="2">
        <v>40755</v>
      </c>
      <c r="B3500">
        <f>8/(100)</f>
        <v>0.08</v>
      </c>
      <c r="C3500">
        <f>8.378/(100)</f>
        <v>8.3780000000000007E-2</v>
      </c>
    </row>
    <row r="3501" spans="1:3" x14ac:dyDescent="0.3">
      <c r="A3501" s="2">
        <v>40756</v>
      </c>
      <c r="B3501">
        <f>8/(100)</f>
        <v>0.08</v>
      </c>
      <c r="C3501">
        <f>8.355/(100)</f>
        <v>8.3549999999999999E-2</v>
      </c>
    </row>
    <row r="3502" spans="1:3" x14ac:dyDescent="0.3">
      <c r="A3502" s="2">
        <v>40757</v>
      </c>
      <c r="B3502">
        <f>8/(100)</f>
        <v>0.08</v>
      </c>
      <c r="C3502">
        <f>8.401/(100)</f>
        <v>8.4010000000000001E-2</v>
      </c>
    </row>
    <row r="3503" spans="1:3" x14ac:dyDescent="0.3">
      <c r="A3503" s="2">
        <v>40758</v>
      </c>
      <c r="B3503">
        <f>8/(100)</f>
        <v>0.08</v>
      </c>
      <c r="C3503">
        <f>8.392/(100)</f>
        <v>8.3919999999999995E-2</v>
      </c>
    </row>
    <row r="3504" spans="1:3" x14ac:dyDescent="0.3">
      <c r="A3504" s="2">
        <v>40759</v>
      </c>
      <c r="B3504">
        <f>8/(100)</f>
        <v>0.08</v>
      </c>
      <c r="C3504">
        <f>8.368/(100)</f>
        <v>8.3680000000000004E-2</v>
      </c>
    </row>
    <row r="3505" spans="1:3" x14ac:dyDescent="0.3">
      <c r="A3505" s="2">
        <v>40760</v>
      </c>
      <c r="B3505">
        <f>8/(100)</f>
        <v>0.08</v>
      </c>
      <c r="C3505">
        <f>8.322/(100)</f>
        <v>8.3219999999999988E-2</v>
      </c>
    </row>
    <row r="3506" spans="1:3" x14ac:dyDescent="0.3">
      <c r="A3506" s="2">
        <v>40761</v>
      </c>
      <c r="B3506">
        <f>8/(100)</f>
        <v>0.08</v>
      </c>
      <c r="C3506">
        <f>8.322/(100)</f>
        <v>8.3219999999999988E-2</v>
      </c>
    </row>
    <row r="3507" spans="1:3" x14ac:dyDescent="0.3">
      <c r="A3507" s="2">
        <v>40762</v>
      </c>
      <c r="B3507">
        <f>8/(100)</f>
        <v>0.08</v>
      </c>
      <c r="C3507">
        <f>8.322/(100)</f>
        <v>8.3219999999999988E-2</v>
      </c>
    </row>
    <row r="3508" spans="1:3" x14ac:dyDescent="0.3">
      <c r="A3508" s="2">
        <v>40763</v>
      </c>
      <c r="B3508">
        <f>8/(100)</f>
        <v>0.08</v>
      </c>
      <c r="C3508">
        <f>8.19/(100)</f>
        <v>8.1900000000000001E-2</v>
      </c>
    </row>
    <row r="3509" spans="1:3" x14ac:dyDescent="0.3">
      <c r="A3509" s="2">
        <v>40764</v>
      </c>
      <c r="B3509">
        <f>8/(100)</f>
        <v>0.08</v>
      </c>
      <c r="C3509">
        <f>8.189/(100)</f>
        <v>8.1890000000000004E-2</v>
      </c>
    </row>
    <row r="3510" spans="1:3" x14ac:dyDescent="0.3">
      <c r="A3510" s="2">
        <v>40765</v>
      </c>
      <c r="B3510">
        <f>8/(100)</f>
        <v>0.08</v>
      </c>
      <c r="C3510">
        <f>8.154/(100)</f>
        <v>8.1540000000000001E-2</v>
      </c>
    </row>
    <row r="3511" spans="1:3" x14ac:dyDescent="0.3">
      <c r="A3511" s="2">
        <v>40766</v>
      </c>
      <c r="B3511">
        <f>8/(100)</f>
        <v>0.08</v>
      </c>
      <c r="C3511">
        <f>8.164/(100)</f>
        <v>8.163999999999999E-2</v>
      </c>
    </row>
    <row r="3512" spans="1:3" x14ac:dyDescent="0.3">
      <c r="A3512" s="2">
        <v>40767</v>
      </c>
      <c r="B3512">
        <f>8/(100)</f>
        <v>0.08</v>
      </c>
      <c r="C3512">
        <f>8.172/(100)</f>
        <v>8.1720000000000001E-2</v>
      </c>
    </row>
    <row r="3513" spans="1:3" x14ac:dyDescent="0.3">
      <c r="A3513" s="2">
        <v>40768</v>
      </c>
      <c r="B3513">
        <f>8/(100)</f>
        <v>0.08</v>
      </c>
      <c r="C3513">
        <f>8.172/(100)</f>
        <v>8.1720000000000001E-2</v>
      </c>
    </row>
    <row r="3514" spans="1:3" x14ac:dyDescent="0.3">
      <c r="A3514" s="2">
        <v>40769</v>
      </c>
      <c r="B3514">
        <f>8/(100)</f>
        <v>0.08</v>
      </c>
      <c r="C3514">
        <f>8.172/(100)</f>
        <v>8.1720000000000001E-2</v>
      </c>
    </row>
    <row r="3515" spans="1:3" x14ac:dyDescent="0.3">
      <c r="A3515" s="2">
        <v>40770</v>
      </c>
      <c r="B3515">
        <f>8/(100)</f>
        <v>0.08</v>
      </c>
      <c r="C3515">
        <f>8.172/(100)</f>
        <v>8.1720000000000001E-2</v>
      </c>
    </row>
    <row r="3516" spans="1:3" x14ac:dyDescent="0.3">
      <c r="A3516" s="2">
        <v>40771</v>
      </c>
      <c r="B3516">
        <f>8/(100)</f>
        <v>0.08</v>
      </c>
      <c r="C3516">
        <f>8.203/(100)</f>
        <v>8.2029999999999992E-2</v>
      </c>
    </row>
    <row r="3517" spans="1:3" x14ac:dyDescent="0.3">
      <c r="A3517" s="2">
        <v>40772</v>
      </c>
      <c r="B3517">
        <f>8/(100)</f>
        <v>0.08</v>
      </c>
      <c r="C3517">
        <f>8.31/(100)</f>
        <v>8.3100000000000007E-2</v>
      </c>
    </row>
    <row r="3518" spans="1:3" x14ac:dyDescent="0.3">
      <c r="A3518" s="2">
        <v>40773</v>
      </c>
      <c r="B3518">
        <f>8/(100)</f>
        <v>0.08</v>
      </c>
      <c r="C3518">
        <f>8.242/(100)</f>
        <v>8.2420000000000007E-2</v>
      </c>
    </row>
    <row r="3519" spans="1:3" x14ac:dyDescent="0.3">
      <c r="A3519" s="2">
        <v>40774</v>
      </c>
      <c r="B3519">
        <f>8/(100)</f>
        <v>0.08</v>
      </c>
      <c r="C3519">
        <f>8.221/(100)</f>
        <v>8.2210000000000005E-2</v>
      </c>
    </row>
    <row r="3520" spans="1:3" x14ac:dyDescent="0.3">
      <c r="A3520" s="2">
        <v>40775</v>
      </c>
      <c r="B3520">
        <f>8/(100)</f>
        <v>0.08</v>
      </c>
      <c r="C3520">
        <f>8.221/(100)</f>
        <v>8.2210000000000005E-2</v>
      </c>
    </row>
    <row r="3521" spans="1:3" x14ac:dyDescent="0.3">
      <c r="A3521" s="2">
        <v>40776</v>
      </c>
      <c r="B3521">
        <f>8/(100)</f>
        <v>0.08</v>
      </c>
      <c r="C3521">
        <f>8.221/(100)</f>
        <v>8.2210000000000005E-2</v>
      </c>
    </row>
    <row r="3522" spans="1:3" x14ac:dyDescent="0.3">
      <c r="A3522" s="2">
        <v>40777</v>
      </c>
      <c r="B3522">
        <f>8/(100)</f>
        <v>0.08</v>
      </c>
      <c r="C3522">
        <f>8.19/(100)</f>
        <v>8.1900000000000001E-2</v>
      </c>
    </row>
    <row r="3523" spans="1:3" x14ac:dyDescent="0.3">
      <c r="A3523" s="2">
        <v>40778</v>
      </c>
      <c r="B3523">
        <f>8/(100)</f>
        <v>0.08</v>
      </c>
      <c r="C3523">
        <f>8.215/(100)</f>
        <v>8.2150000000000001E-2</v>
      </c>
    </row>
    <row r="3524" spans="1:3" x14ac:dyDescent="0.3">
      <c r="A3524" s="2">
        <v>40779</v>
      </c>
      <c r="B3524">
        <f>8/(100)</f>
        <v>0.08</v>
      </c>
      <c r="C3524">
        <f>8.206/(100)</f>
        <v>8.2059999999999994E-2</v>
      </c>
    </row>
    <row r="3525" spans="1:3" x14ac:dyDescent="0.3">
      <c r="A3525" s="2">
        <v>40780</v>
      </c>
      <c r="B3525">
        <f>8/(100)</f>
        <v>0.08</v>
      </c>
      <c r="C3525">
        <f>8.185/(100)</f>
        <v>8.1850000000000006E-2</v>
      </c>
    </row>
    <row r="3526" spans="1:3" x14ac:dyDescent="0.3">
      <c r="A3526" s="2">
        <v>40781</v>
      </c>
      <c r="B3526">
        <f>8/(100)</f>
        <v>0.08</v>
      </c>
      <c r="C3526">
        <f>8.272/(100)</f>
        <v>8.2720000000000002E-2</v>
      </c>
    </row>
    <row r="3527" spans="1:3" x14ac:dyDescent="0.3">
      <c r="A3527" s="2">
        <v>40782</v>
      </c>
      <c r="B3527">
        <f>8/(100)</f>
        <v>0.08</v>
      </c>
      <c r="C3527">
        <f>8.272/(100)</f>
        <v>8.2720000000000002E-2</v>
      </c>
    </row>
    <row r="3528" spans="1:3" x14ac:dyDescent="0.3">
      <c r="A3528" s="2">
        <v>40783</v>
      </c>
      <c r="B3528">
        <f>8/(100)</f>
        <v>0.08</v>
      </c>
      <c r="C3528">
        <f>8.272/(100)</f>
        <v>8.2720000000000002E-2</v>
      </c>
    </row>
    <row r="3529" spans="1:3" x14ac:dyDescent="0.3">
      <c r="A3529" s="2">
        <v>40784</v>
      </c>
      <c r="B3529">
        <f>8/(100)</f>
        <v>0.08</v>
      </c>
      <c r="C3529">
        <f>8.229/(100)</f>
        <v>8.2289999999999988E-2</v>
      </c>
    </row>
    <row r="3530" spans="1:3" x14ac:dyDescent="0.3">
      <c r="A3530" s="2">
        <v>40785</v>
      </c>
      <c r="B3530">
        <f>8/(100)</f>
        <v>0.08</v>
      </c>
      <c r="C3530">
        <f>8.26/(100)</f>
        <v>8.2599999999999993E-2</v>
      </c>
    </row>
    <row r="3531" spans="1:3" x14ac:dyDescent="0.3">
      <c r="A3531" s="2">
        <v>40786</v>
      </c>
      <c r="B3531">
        <f>8/(100)</f>
        <v>0.08</v>
      </c>
      <c r="C3531">
        <f>8.26/(100)</f>
        <v>8.2599999999999993E-2</v>
      </c>
    </row>
    <row r="3532" spans="1:3" x14ac:dyDescent="0.3">
      <c r="A3532" s="2">
        <v>40787</v>
      </c>
      <c r="B3532">
        <f>8/(100)</f>
        <v>0.08</v>
      </c>
      <c r="C3532">
        <f>8.26/(100)</f>
        <v>8.2599999999999993E-2</v>
      </c>
    </row>
    <row r="3533" spans="1:3" x14ac:dyDescent="0.3">
      <c r="A3533" s="2">
        <v>40788</v>
      </c>
      <c r="B3533">
        <f>8/(100)</f>
        <v>0.08</v>
      </c>
      <c r="C3533">
        <f>8.255/(100)</f>
        <v>8.2550000000000012E-2</v>
      </c>
    </row>
    <row r="3534" spans="1:3" x14ac:dyDescent="0.3">
      <c r="A3534" s="2">
        <v>40789</v>
      </c>
      <c r="B3534">
        <f>8/(100)</f>
        <v>0.08</v>
      </c>
      <c r="C3534">
        <f>8.255/(100)</f>
        <v>8.2550000000000012E-2</v>
      </c>
    </row>
    <row r="3535" spans="1:3" x14ac:dyDescent="0.3">
      <c r="A3535" s="2">
        <v>40790</v>
      </c>
      <c r="B3535">
        <f>8/(100)</f>
        <v>0.08</v>
      </c>
      <c r="C3535">
        <f>8.255/(100)</f>
        <v>8.2550000000000012E-2</v>
      </c>
    </row>
    <row r="3536" spans="1:3" x14ac:dyDescent="0.3">
      <c r="A3536" s="2">
        <v>40791</v>
      </c>
      <c r="B3536">
        <f>8/(100)</f>
        <v>0.08</v>
      </c>
      <c r="C3536">
        <f>8.293/(100)</f>
        <v>8.292999999999999E-2</v>
      </c>
    </row>
    <row r="3537" spans="1:3" x14ac:dyDescent="0.3">
      <c r="A3537" s="2">
        <v>40792</v>
      </c>
      <c r="B3537">
        <f>8/(100)</f>
        <v>0.08</v>
      </c>
      <c r="C3537">
        <f>8.289/(100)</f>
        <v>8.2889999999999991E-2</v>
      </c>
    </row>
    <row r="3538" spans="1:3" x14ac:dyDescent="0.3">
      <c r="A3538" s="2">
        <v>40793</v>
      </c>
      <c r="B3538">
        <f>8/(100)</f>
        <v>0.08</v>
      </c>
      <c r="C3538">
        <f>8.297/(100)</f>
        <v>8.2970000000000002E-2</v>
      </c>
    </row>
    <row r="3539" spans="1:3" x14ac:dyDescent="0.3">
      <c r="A3539" s="2">
        <v>40794</v>
      </c>
      <c r="B3539">
        <f>8/(100)</f>
        <v>0.08</v>
      </c>
      <c r="C3539">
        <f>8.248/(100)</f>
        <v>8.2479999999999998E-2</v>
      </c>
    </row>
    <row r="3540" spans="1:3" x14ac:dyDescent="0.3">
      <c r="A3540" s="2">
        <v>40795</v>
      </c>
      <c r="B3540">
        <f>8/(100)</f>
        <v>0.08</v>
      </c>
      <c r="C3540">
        <f>8.264/(100)</f>
        <v>8.2639999999999991E-2</v>
      </c>
    </row>
    <row r="3541" spans="1:3" x14ac:dyDescent="0.3">
      <c r="A3541" s="2">
        <v>40796</v>
      </c>
      <c r="B3541">
        <f>8/(100)</f>
        <v>0.08</v>
      </c>
      <c r="C3541">
        <f>8.264/(100)</f>
        <v>8.2639999999999991E-2</v>
      </c>
    </row>
    <row r="3542" spans="1:3" x14ac:dyDescent="0.3">
      <c r="A3542" s="2">
        <v>40797</v>
      </c>
      <c r="B3542">
        <f>8/(100)</f>
        <v>0.08</v>
      </c>
      <c r="C3542">
        <f>8.264/(100)</f>
        <v>8.2639999999999991E-2</v>
      </c>
    </row>
    <row r="3543" spans="1:3" x14ac:dyDescent="0.3">
      <c r="A3543" s="2">
        <v>40798</v>
      </c>
      <c r="B3543">
        <f>8/(100)</f>
        <v>0.08</v>
      </c>
      <c r="C3543">
        <f>8.268/(100)</f>
        <v>8.2680000000000003E-2</v>
      </c>
    </row>
    <row r="3544" spans="1:3" x14ac:dyDescent="0.3">
      <c r="A3544" s="2">
        <v>40799</v>
      </c>
      <c r="B3544">
        <f>8/(100)</f>
        <v>0.08</v>
      </c>
      <c r="C3544">
        <f>8.357/(100)</f>
        <v>8.3569999999999992E-2</v>
      </c>
    </row>
    <row r="3545" spans="1:3" x14ac:dyDescent="0.3">
      <c r="A3545" s="2">
        <v>40800</v>
      </c>
      <c r="B3545">
        <f>8/(100)</f>
        <v>0.08</v>
      </c>
      <c r="C3545">
        <f>8.351/(100)</f>
        <v>8.3510000000000015E-2</v>
      </c>
    </row>
    <row r="3546" spans="1:3" x14ac:dyDescent="0.3">
      <c r="A3546" s="2">
        <v>40801</v>
      </c>
      <c r="B3546">
        <f>8/(100)</f>
        <v>0.08</v>
      </c>
      <c r="C3546">
        <f>8.378/(100)</f>
        <v>8.3780000000000007E-2</v>
      </c>
    </row>
    <row r="3547" spans="1:3" x14ac:dyDescent="0.3">
      <c r="A3547" s="2">
        <v>40802</v>
      </c>
      <c r="B3547">
        <f>8.25/(100)</f>
        <v>8.2500000000000004E-2</v>
      </c>
      <c r="C3547">
        <f>8.365/(100)</f>
        <v>8.3650000000000002E-2</v>
      </c>
    </row>
    <row r="3548" spans="1:3" x14ac:dyDescent="0.3">
      <c r="A3548" s="2">
        <v>40803</v>
      </c>
      <c r="B3548">
        <f>8.25/(100)</f>
        <v>8.2500000000000004E-2</v>
      </c>
      <c r="C3548">
        <f>8.365/(100)</f>
        <v>8.3650000000000002E-2</v>
      </c>
    </row>
    <row r="3549" spans="1:3" x14ac:dyDescent="0.3">
      <c r="A3549" s="2">
        <v>40804</v>
      </c>
      <c r="B3549">
        <f>8.25/(100)</f>
        <v>8.2500000000000004E-2</v>
      </c>
      <c r="C3549">
        <f>8.365/(100)</f>
        <v>8.3650000000000002E-2</v>
      </c>
    </row>
    <row r="3550" spans="1:3" x14ac:dyDescent="0.3">
      <c r="A3550" s="2">
        <v>40805</v>
      </c>
      <c r="B3550">
        <f>8.25/(100)</f>
        <v>8.2500000000000004E-2</v>
      </c>
      <c r="C3550">
        <f>8.351/(100)</f>
        <v>8.3510000000000015E-2</v>
      </c>
    </row>
    <row r="3551" spans="1:3" x14ac:dyDescent="0.3">
      <c r="A3551" s="2">
        <v>40806</v>
      </c>
      <c r="B3551">
        <f>8.25/(100)</f>
        <v>8.2500000000000004E-2</v>
      </c>
      <c r="C3551">
        <f>8.385/(100)</f>
        <v>8.3849999999999994E-2</v>
      </c>
    </row>
    <row r="3552" spans="1:3" x14ac:dyDescent="0.3">
      <c r="A3552" s="2">
        <v>40807</v>
      </c>
      <c r="B3552">
        <f>8.25/(100)</f>
        <v>8.2500000000000004E-2</v>
      </c>
      <c r="C3552">
        <f>8.376/(100)</f>
        <v>8.3760000000000001E-2</v>
      </c>
    </row>
    <row r="3553" spans="1:3" x14ac:dyDescent="0.3">
      <c r="A3553" s="2">
        <v>40808</v>
      </c>
      <c r="B3553">
        <f>8.25/(100)</f>
        <v>8.2500000000000004E-2</v>
      </c>
      <c r="C3553">
        <f>8.374/(100)</f>
        <v>8.3740000000000009E-2</v>
      </c>
    </row>
    <row r="3554" spans="1:3" x14ac:dyDescent="0.3">
      <c r="A3554" s="2">
        <v>40809</v>
      </c>
      <c r="B3554">
        <f>8.25/(100)</f>
        <v>8.2500000000000004E-2</v>
      </c>
      <c r="C3554">
        <f>8.392/(100)</f>
        <v>8.3919999999999995E-2</v>
      </c>
    </row>
    <row r="3555" spans="1:3" x14ac:dyDescent="0.3">
      <c r="A3555" s="2">
        <v>40810</v>
      </c>
      <c r="B3555">
        <f>8.25/(100)</f>
        <v>8.2500000000000004E-2</v>
      </c>
      <c r="C3555">
        <f>8.392/(100)</f>
        <v>8.3919999999999995E-2</v>
      </c>
    </row>
    <row r="3556" spans="1:3" x14ac:dyDescent="0.3">
      <c r="A3556" s="2">
        <v>40811</v>
      </c>
      <c r="B3556">
        <f>8.25/(100)</f>
        <v>8.2500000000000004E-2</v>
      </c>
      <c r="C3556">
        <f>8.392/(100)</f>
        <v>8.3919999999999995E-2</v>
      </c>
    </row>
    <row r="3557" spans="1:3" x14ac:dyDescent="0.3">
      <c r="A3557" s="2">
        <v>40812</v>
      </c>
      <c r="B3557">
        <f>8.25/(100)</f>
        <v>8.2500000000000004E-2</v>
      </c>
      <c r="C3557">
        <f>8.404/(100)</f>
        <v>8.4040000000000004E-2</v>
      </c>
    </row>
    <row r="3558" spans="1:3" x14ac:dyDescent="0.3">
      <c r="A3558" s="2">
        <v>40813</v>
      </c>
      <c r="B3558">
        <f>8.25/(100)</f>
        <v>8.2500000000000004E-2</v>
      </c>
      <c r="C3558">
        <f>8.367/(100)</f>
        <v>8.3670000000000008E-2</v>
      </c>
    </row>
    <row r="3559" spans="1:3" x14ac:dyDescent="0.3">
      <c r="A3559" s="2">
        <v>40814</v>
      </c>
      <c r="B3559">
        <f>8.25/(100)</f>
        <v>8.2500000000000004E-2</v>
      </c>
      <c r="C3559">
        <f>8.333/(100)</f>
        <v>8.3330000000000001E-2</v>
      </c>
    </row>
    <row r="3560" spans="1:3" x14ac:dyDescent="0.3">
      <c r="A3560" s="2">
        <v>40815</v>
      </c>
      <c r="B3560">
        <f>8.25/(100)</f>
        <v>8.2500000000000004E-2</v>
      </c>
      <c r="C3560">
        <f>8.334/(100)</f>
        <v>8.3339999999999997E-2</v>
      </c>
    </row>
    <row r="3561" spans="1:3" x14ac:dyDescent="0.3">
      <c r="A3561" s="2">
        <v>40816</v>
      </c>
      <c r="B3561">
        <f>8.25/(100)</f>
        <v>8.2500000000000004E-2</v>
      </c>
      <c r="C3561">
        <f>8.327/(100)</f>
        <v>8.3269999999999997E-2</v>
      </c>
    </row>
    <row r="3562" spans="1:3" x14ac:dyDescent="0.3">
      <c r="A3562" s="2">
        <v>40817</v>
      </c>
      <c r="B3562">
        <f>8.25/(100)</f>
        <v>8.2500000000000004E-2</v>
      </c>
      <c r="C3562">
        <f>8.327/(100)</f>
        <v>8.3269999999999997E-2</v>
      </c>
    </row>
    <row r="3563" spans="1:3" x14ac:dyDescent="0.3">
      <c r="A3563" s="2">
        <v>40818</v>
      </c>
      <c r="B3563">
        <f>8.25/(100)</f>
        <v>8.2500000000000004E-2</v>
      </c>
      <c r="C3563">
        <f>8.327/(100)</f>
        <v>8.3269999999999997E-2</v>
      </c>
    </row>
    <row r="3564" spans="1:3" x14ac:dyDescent="0.3">
      <c r="A3564" s="2">
        <v>40819</v>
      </c>
      <c r="B3564">
        <f>8.25/(100)</f>
        <v>8.2500000000000004E-2</v>
      </c>
      <c r="C3564">
        <f>8.37/(100)</f>
        <v>8.3699999999999997E-2</v>
      </c>
    </row>
    <row r="3565" spans="1:3" x14ac:dyDescent="0.3">
      <c r="A3565" s="2">
        <v>40820</v>
      </c>
      <c r="B3565">
        <f>8.25/(100)</f>
        <v>8.2500000000000004E-2</v>
      </c>
      <c r="C3565">
        <f>8.377/(100)</f>
        <v>8.3770000000000011E-2</v>
      </c>
    </row>
    <row r="3566" spans="1:3" x14ac:dyDescent="0.3">
      <c r="A3566" s="2">
        <v>40821</v>
      </c>
      <c r="B3566">
        <f>8.25/(100)</f>
        <v>8.2500000000000004E-2</v>
      </c>
      <c r="C3566">
        <f>8.429/(100)</f>
        <v>8.4290000000000004E-2</v>
      </c>
    </row>
    <row r="3567" spans="1:3" x14ac:dyDescent="0.3">
      <c r="A3567" s="2">
        <v>40822</v>
      </c>
      <c r="B3567">
        <f>8.25/(100)</f>
        <v>8.2500000000000004E-2</v>
      </c>
      <c r="C3567">
        <f>8.533/(100)</f>
        <v>8.5329999999999989E-2</v>
      </c>
    </row>
    <row r="3568" spans="1:3" x14ac:dyDescent="0.3">
      <c r="A3568" s="2">
        <v>40823</v>
      </c>
      <c r="B3568">
        <f>8.25/(100)</f>
        <v>8.2500000000000004E-2</v>
      </c>
      <c r="C3568">
        <f>8.431/(100)</f>
        <v>8.4309999999999996E-2</v>
      </c>
    </row>
    <row r="3569" spans="1:3" x14ac:dyDescent="0.3">
      <c r="A3569" s="2">
        <v>40824</v>
      </c>
      <c r="B3569">
        <f>8.25/(100)</f>
        <v>8.2500000000000004E-2</v>
      </c>
      <c r="C3569">
        <f>8.431/(100)</f>
        <v>8.4309999999999996E-2</v>
      </c>
    </row>
    <row r="3570" spans="1:3" x14ac:dyDescent="0.3">
      <c r="A3570" s="2">
        <v>40825</v>
      </c>
      <c r="B3570">
        <f>8.25/(100)</f>
        <v>8.2500000000000004E-2</v>
      </c>
      <c r="C3570">
        <f>8.431/(100)</f>
        <v>8.4309999999999996E-2</v>
      </c>
    </row>
    <row r="3571" spans="1:3" x14ac:dyDescent="0.3">
      <c r="A3571" s="2">
        <v>40826</v>
      </c>
      <c r="B3571">
        <f>8.25/(100)</f>
        <v>8.2500000000000004E-2</v>
      </c>
      <c r="C3571">
        <f>8.414/(100)</f>
        <v>8.4139999999999993E-2</v>
      </c>
    </row>
    <row r="3572" spans="1:3" x14ac:dyDescent="0.3">
      <c r="A3572" s="2">
        <v>40827</v>
      </c>
      <c r="B3572">
        <f>8.25/(100)</f>
        <v>8.2500000000000004E-2</v>
      </c>
      <c r="C3572">
        <f>8.506/(100)</f>
        <v>8.5059999999999997E-2</v>
      </c>
    </row>
    <row r="3573" spans="1:3" x14ac:dyDescent="0.3">
      <c r="A3573" s="2">
        <v>40828</v>
      </c>
      <c r="B3573">
        <f>8.25/(100)</f>
        <v>8.2500000000000004E-2</v>
      </c>
      <c r="C3573">
        <f>8.599/(100)</f>
        <v>8.5989999999999997E-2</v>
      </c>
    </row>
    <row r="3574" spans="1:3" x14ac:dyDescent="0.3">
      <c r="A3574" s="2">
        <v>40829</v>
      </c>
      <c r="B3574">
        <f>8.25/(100)</f>
        <v>8.2500000000000004E-2</v>
      </c>
      <c r="C3574">
        <f>8.471/(100)</f>
        <v>8.4710000000000008E-2</v>
      </c>
    </row>
    <row r="3575" spans="1:3" x14ac:dyDescent="0.3">
      <c r="A3575" s="2">
        <v>40830</v>
      </c>
      <c r="B3575">
        <f>8.25/(100)</f>
        <v>8.2500000000000004E-2</v>
      </c>
      <c r="C3575">
        <f>8.493/(100)</f>
        <v>8.4930000000000005E-2</v>
      </c>
    </row>
    <row r="3576" spans="1:3" x14ac:dyDescent="0.3">
      <c r="A3576" s="2">
        <v>40831</v>
      </c>
      <c r="B3576">
        <f>8.25/(100)</f>
        <v>8.2500000000000004E-2</v>
      </c>
      <c r="C3576">
        <f>8.493/(100)</f>
        <v>8.4930000000000005E-2</v>
      </c>
    </row>
    <row r="3577" spans="1:3" x14ac:dyDescent="0.3">
      <c r="A3577" s="2">
        <v>40832</v>
      </c>
      <c r="B3577">
        <f>8.25/(100)</f>
        <v>8.2500000000000004E-2</v>
      </c>
      <c r="C3577">
        <f>8.493/(100)</f>
        <v>8.4930000000000005E-2</v>
      </c>
    </row>
    <row r="3578" spans="1:3" x14ac:dyDescent="0.3">
      <c r="A3578" s="2">
        <v>40833</v>
      </c>
      <c r="B3578">
        <f>8.25/(100)</f>
        <v>8.2500000000000004E-2</v>
      </c>
      <c r="C3578">
        <f>8.532/(100)</f>
        <v>8.5320000000000007E-2</v>
      </c>
    </row>
    <row r="3579" spans="1:3" x14ac:dyDescent="0.3">
      <c r="A3579" s="2">
        <v>40834</v>
      </c>
      <c r="B3579">
        <f>8.25/(100)</f>
        <v>8.2500000000000004E-2</v>
      </c>
      <c r="C3579">
        <f>8.538/(100)</f>
        <v>8.5379999999999998E-2</v>
      </c>
    </row>
    <row r="3580" spans="1:3" x14ac:dyDescent="0.3">
      <c r="A3580" s="2">
        <v>40835</v>
      </c>
      <c r="B3580">
        <f>8.25/(100)</f>
        <v>8.2500000000000004E-2</v>
      </c>
      <c r="C3580">
        <f>8.606/(100)</f>
        <v>8.6059999999999998E-2</v>
      </c>
    </row>
    <row r="3581" spans="1:3" x14ac:dyDescent="0.3">
      <c r="A3581" s="2">
        <v>40836</v>
      </c>
      <c r="B3581">
        <f>8.25/(100)</f>
        <v>8.2500000000000004E-2</v>
      </c>
      <c r="C3581">
        <f>8.589/(100)</f>
        <v>8.5890000000000008E-2</v>
      </c>
    </row>
    <row r="3582" spans="1:3" x14ac:dyDescent="0.3">
      <c r="A3582" s="2">
        <v>40837</v>
      </c>
      <c r="B3582">
        <f>8.25/(100)</f>
        <v>8.2500000000000004E-2</v>
      </c>
      <c r="C3582">
        <f>8.67/(100)</f>
        <v>8.6699999999999999E-2</v>
      </c>
    </row>
    <row r="3583" spans="1:3" x14ac:dyDescent="0.3">
      <c r="A3583" s="2">
        <v>40838</v>
      </c>
      <c r="B3583">
        <f>8.25/(100)</f>
        <v>8.2500000000000004E-2</v>
      </c>
      <c r="C3583">
        <f>8.67/(100)</f>
        <v>8.6699999999999999E-2</v>
      </c>
    </row>
    <row r="3584" spans="1:3" x14ac:dyDescent="0.3">
      <c r="A3584" s="2">
        <v>40839</v>
      </c>
      <c r="B3584">
        <f>8.25/(100)</f>
        <v>8.2500000000000004E-2</v>
      </c>
      <c r="C3584">
        <f>8.67/(100)</f>
        <v>8.6699999999999999E-2</v>
      </c>
    </row>
    <row r="3585" spans="1:3" x14ac:dyDescent="0.3">
      <c r="A3585" s="2">
        <v>40840</v>
      </c>
      <c r="B3585">
        <f>8.25/(100)</f>
        <v>8.2500000000000004E-2</v>
      </c>
      <c r="C3585">
        <f>8.673/(100)</f>
        <v>8.6730000000000002E-2</v>
      </c>
    </row>
    <row r="3586" spans="1:3" x14ac:dyDescent="0.3">
      <c r="A3586" s="2">
        <v>40841</v>
      </c>
      <c r="B3586">
        <f>8.5/(100)</f>
        <v>8.5000000000000006E-2</v>
      </c>
      <c r="C3586">
        <f>8.622/(100)</f>
        <v>8.6220000000000005E-2</v>
      </c>
    </row>
    <row r="3587" spans="1:3" x14ac:dyDescent="0.3">
      <c r="A3587" s="2">
        <v>40842</v>
      </c>
      <c r="B3587">
        <f>8.5/(100)</f>
        <v>8.5000000000000006E-2</v>
      </c>
      <c r="C3587">
        <f>8.641/(100)</f>
        <v>8.6410000000000001E-2</v>
      </c>
    </row>
    <row r="3588" spans="1:3" x14ac:dyDescent="0.3">
      <c r="A3588" s="2">
        <v>40843</v>
      </c>
      <c r="B3588">
        <f>8.5/(100)</f>
        <v>8.5000000000000006E-2</v>
      </c>
      <c r="C3588">
        <f>8.641/(100)</f>
        <v>8.6410000000000001E-2</v>
      </c>
    </row>
    <row r="3589" spans="1:3" x14ac:dyDescent="0.3">
      <c r="A3589" s="2">
        <v>40844</v>
      </c>
      <c r="B3589">
        <f>8.5/(100)</f>
        <v>8.5000000000000006E-2</v>
      </c>
      <c r="C3589">
        <f>8.71/(100)</f>
        <v>8.7100000000000011E-2</v>
      </c>
    </row>
    <row r="3590" spans="1:3" x14ac:dyDescent="0.3">
      <c r="A3590" s="2">
        <v>40845</v>
      </c>
      <c r="B3590">
        <f>8.5/(100)</f>
        <v>8.5000000000000006E-2</v>
      </c>
      <c r="C3590">
        <f>8.71/(100)</f>
        <v>8.7100000000000011E-2</v>
      </c>
    </row>
    <row r="3591" spans="1:3" x14ac:dyDescent="0.3">
      <c r="A3591" s="2">
        <v>40846</v>
      </c>
      <c r="B3591">
        <f>8.5/(100)</f>
        <v>8.5000000000000006E-2</v>
      </c>
      <c r="C3591">
        <f>8.71/(100)</f>
        <v>8.7100000000000011E-2</v>
      </c>
    </row>
    <row r="3592" spans="1:3" x14ac:dyDescent="0.3">
      <c r="A3592" s="2">
        <v>40847</v>
      </c>
      <c r="B3592">
        <f>8.5/(100)</f>
        <v>8.5000000000000006E-2</v>
      </c>
      <c r="C3592">
        <f>8.666/(100)</f>
        <v>8.6660000000000001E-2</v>
      </c>
    </row>
    <row r="3593" spans="1:3" x14ac:dyDescent="0.3">
      <c r="A3593" s="2">
        <v>40848</v>
      </c>
      <c r="B3593">
        <f>8.5/(100)</f>
        <v>8.5000000000000006E-2</v>
      </c>
      <c r="C3593">
        <f>8.688/(100)</f>
        <v>8.6880000000000013E-2</v>
      </c>
    </row>
    <row r="3594" spans="1:3" x14ac:dyDescent="0.3">
      <c r="A3594" s="2">
        <v>40849</v>
      </c>
      <c r="B3594">
        <f>8.5/(100)</f>
        <v>8.5000000000000006E-2</v>
      </c>
      <c r="C3594">
        <f>8.631/(100)</f>
        <v>8.6309999999999998E-2</v>
      </c>
    </row>
    <row r="3595" spans="1:3" x14ac:dyDescent="0.3">
      <c r="A3595" s="2">
        <v>40850</v>
      </c>
      <c r="B3595">
        <f>8.5/(100)</f>
        <v>8.5000000000000006E-2</v>
      </c>
      <c r="C3595">
        <f>8.621/(100)</f>
        <v>8.6210000000000009E-2</v>
      </c>
    </row>
    <row r="3596" spans="1:3" x14ac:dyDescent="0.3">
      <c r="A3596" s="2">
        <v>40851</v>
      </c>
      <c r="B3596">
        <f>8.5/(100)</f>
        <v>8.5000000000000006E-2</v>
      </c>
      <c r="C3596">
        <f>8.662/(100)</f>
        <v>8.6620000000000003E-2</v>
      </c>
    </row>
    <row r="3597" spans="1:3" x14ac:dyDescent="0.3">
      <c r="A3597" s="2">
        <v>40852</v>
      </c>
      <c r="B3597">
        <f>8.5/(100)</f>
        <v>8.5000000000000006E-2</v>
      </c>
      <c r="C3597">
        <f>8.662/(100)</f>
        <v>8.6620000000000003E-2</v>
      </c>
    </row>
    <row r="3598" spans="1:3" x14ac:dyDescent="0.3">
      <c r="A3598" s="2">
        <v>40853</v>
      </c>
      <c r="B3598">
        <f>8.5/(100)</f>
        <v>8.5000000000000006E-2</v>
      </c>
      <c r="C3598">
        <f>8.662/(100)</f>
        <v>8.6620000000000003E-2</v>
      </c>
    </row>
    <row r="3599" spans="1:3" x14ac:dyDescent="0.3">
      <c r="A3599" s="2">
        <v>40854</v>
      </c>
      <c r="B3599">
        <f>8.5/(100)</f>
        <v>8.5000000000000006E-2</v>
      </c>
      <c r="C3599">
        <f>8.662/(100)</f>
        <v>8.6620000000000003E-2</v>
      </c>
    </row>
    <row r="3600" spans="1:3" x14ac:dyDescent="0.3">
      <c r="A3600" s="2">
        <v>40855</v>
      </c>
      <c r="B3600">
        <f>8.5/(100)</f>
        <v>8.5000000000000006E-2</v>
      </c>
      <c r="C3600">
        <f>8.672/(100)</f>
        <v>8.6720000000000005E-2</v>
      </c>
    </row>
    <row r="3601" spans="1:3" x14ac:dyDescent="0.3">
      <c r="A3601" s="2">
        <v>40856</v>
      </c>
      <c r="B3601">
        <f>8.5/(100)</f>
        <v>8.5000000000000006E-2</v>
      </c>
      <c r="C3601">
        <f>8.79/(100)</f>
        <v>8.7899999999999992E-2</v>
      </c>
    </row>
    <row r="3602" spans="1:3" x14ac:dyDescent="0.3">
      <c r="A3602" s="2">
        <v>40857</v>
      </c>
      <c r="B3602">
        <f>8.5/(100)</f>
        <v>8.5000000000000006E-2</v>
      </c>
      <c r="C3602">
        <f>8.789/(100)</f>
        <v>8.7889999999999996E-2</v>
      </c>
    </row>
    <row r="3603" spans="1:3" x14ac:dyDescent="0.3">
      <c r="A3603" s="2">
        <v>40858</v>
      </c>
      <c r="B3603">
        <f>8.5/(100)</f>
        <v>8.5000000000000006E-2</v>
      </c>
      <c r="C3603">
        <f>8.744/(100)</f>
        <v>8.7440000000000004E-2</v>
      </c>
    </row>
    <row r="3604" spans="1:3" x14ac:dyDescent="0.3">
      <c r="A3604" s="2">
        <v>40859</v>
      </c>
      <c r="B3604">
        <f>8.5/(100)</f>
        <v>8.5000000000000006E-2</v>
      </c>
      <c r="C3604">
        <f>8.744/(100)</f>
        <v>8.7440000000000004E-2</v>
      </c>
    </row>
    <row r="3605" spans="1:3" x14ac:dyDescent="0.3">
      <c r="A3605" s="2">
        <v>40860</v>
      </c>
      <c r="B3605">
        <f>8.5/(100)</f>
        <v>8.5000000000000006E-2</v>
      </c>
      <c r="C3605">
        <f>8.744/(100)</f>
        <v>8.7440000000000004E-2</v>
      </c>
    </row>
    <row r="3606" spans="1:3" x14ac:dyDescent="0.3">
      <c r="A3606" s="2">
        <v>40861</v>
      </c>
      <c r="B3606">
        <f>8.5/(100)</f>
        <v>8.5000000000000006E-2</v>
      </c>
      <c r="C3606">
        <f>8.784/(100)</f>
        <v>8.7840000000000001E-2</v>
      </c>
    </row>
    <row r="3607" spans="1:3" x14ac:dyDescent="0.3">
      <c r="A3607" s="2">
        <v>40862</v>
      </c>
      <c r="B3607">
        <f>8.5/(100)</f>
        <v>8.5000000000000006E-2</v>
      </c>
      <c r="C3607">
        <f>8.734/(100)</f>
        <v>8.7340000000000001E-2</v>
      </c>
    </row>
    <row r="3608" spans="1:3" x14ac:dyDescent="0.3">
      <c r="A3608" s="2">
        <v>40863</v>
      </c>
      <c r="B3608">
        <f>8.5/(100)</f>
        <v>8.5000000000000006E-2</v>
      </c>
      <c r="C3608">
        <f>8.787/(100)</f>
        <v>8.7870000000000004E-2</v>
      </c>
    </row>
    <row r="3609" spans="1:3" x14ac:dyDescent="0.3">
      <c r="A3609" s="2">
        <v>40864</v>
      </c>
      <c r="B3609">
        <f>8.5/(100)</f>
        <v>8.5000000000000006E-2</v>
      </c>
      <c r="C3609">
        <f>8.769/(100)</f>
        <v>8.7690000000000004E-2</v>
      </c>
    </row>
    <row r="3610" spans="1:3" x14ac:dyDescent="0.3">
      <c r="A3610" s="2">
        <v>40865</v>
      </c>
      <c r="B3610">
        <f>8.5/(100)</f>
        <v>8.5000000000000006E-2</v>
      </c>
      <c r="C3610">
        <f>8.772/(100)</f>
        <v>8.7720000000000006E-2</v>
      </c>
    </row>
    <row r="3611" spans="1:3" x14ac:dyDescent="0.3">
      <c r="A3611" s="2">
        <v>40866</v>
      </c>
      <c r="B3611">
        <f>8.5/(100)</f>
        <v>8.5000000000000006E-2</v>
      </c>
      <c r="C3611">
        <f>8.772/(100)</f>
        <v>8.7720000000000006E-2</v>
      </c>
    </row>
    <row r="3612" spans="1:3" x14ac:dyDescent="0.3">
      <c r="A3612" s="2">
        <v>40867</v>
      </c>
      <c r="B3612">
        <f>8.5/(100)</f>
        <v>8.5000000000000006E-2</v>
      </c>
      <c r="C3612">
        <f>8.772/(100)</f>
        <v>8.7720000000000006E-2</v>
      </c>
    </row>
    <row r="3613" spans="1:3" x14ac:dyDescent="0.3">
      <c r="A3613" s="2">
        <v>40868</v>
      </c>
      <c r="B3613">
        <f>8.5/(100)</f>
        <v>8.5000000000000006E-2</v>
      </c>
      <c r="C3613">
        <f>8.746/(100)</f>
        <v>8.746000000000001E-2</v>
      </c>
    </row>
    <row r="3614" spans="1:3" x14ac:dyDescent="0.3">
      <c r="A3614" s="2">
        <v>40869</v>
      </c>
      <c r="B3614">
        <f>8.5/(100)</f>
        <v>8.5000000000000006E-2</v>
      </c>
      <c r="C3614">
        <f>8.706/(100)</f>
        <v>8.7059999999999998E-2</v>
      </c>
    </row>
    <row r="3615" spans="1:3" x14ac:dyDescent="0.3">
      <c r="A3615" s="2">
        <v>40870</v>
      </c>
      <c r="B3615">
        <f>8.5/(100)</f>
        <v>8.5000000000000006E-2</v>
      </c>
      <c r="C3615">
        <f>8.696/(100)</f>
        <v>8.6959999999999996E-2</v>
      </c>
    </row>
    <row r="3616" spans="1:3" x14ac:dyDescent="0.3">
      <c r="A3616" s="2">
        <v>40871</v>
      </c>
      <c r="B3616">
        <f>8.5/(100)</f>
        <v>8.5000000000000006E-2</v>
      </c>
      <c r="C3616">
        <f>8.697/(100)</f>
        <v>8.6969999999999992E-2</v>
      </c>
    </row>
    <row r="3617" spans="1:3" x14ac:dyDescent="0.3">
      <c r="A3617" s="2">
        <v>40872</v>
      </c>
      <c r="B3617">
        <f>8.5/(100)</f>
        <v>8.5000000000000006E-2</v>
      </c>
      <c r="C3617">
        <f>8.84/(100)</f>
        <v>8.8399999999999992E-2</v>
      </c>
    </row>
    <row r="3618" spans="1:3" x14ac:dyDescent="0.3">
      <c r="A3618" s="2">
        <v>40873</v>
      </c>
      <c r="B3618">
        <f>8.5/(100)</f>
        <v>8.5000000000000006E-2</v>
      </c>
      <c r="C3618">
        <f>8.84/(100)</f>
        <v>8.8399999999999992E-2</v>
      </c>
    </row>
    <row r="3619" spans="1:3" x14ac:dyDescent="0.3">
      <c r="A3619" s="2">
        <v>40874</v>
      </c>
      <c r="B3619">
        <f>8.5/(100)</f>
        <v>8.5000000000000006E-2</v>
      </c>
      <c r="C3619">
        <f>8.84/(100)</f>
        <v>8.8399999999999992E-2</v>
      </c>
    </row>
    <row r="3620" spans="1:3" x14ac:dyDescent="0.3">
      <c r="A3620" s="2">
        <v>40875</v>
      </c>
      <c r="B3620">
        <f>8.5/(100)</f>
        <v>8.5000000000000006E-2</v>
      </c>
      <c r="C3620">
        <f>8.857/(100)</f>
        <v>8.8569999999999996E-2</v>
      </c>
    </row>
    <row r="3621" spans="1:3" x14ac:dyDescent="0.3">
      <c r="A3621" s="2">
        <v>40876</v>
      </c>
      <c r="B3621">
        <f>8.5/(100)</f>
        <v>8.5000000000000006E-2</v>
      </c>
      <c r="C3621">
        <f>8.867/(100)</f>
        <v>8.8670000000000013E-2</v>
      </c>
    </row>
    <row r="3622" spans="1:3" x14ac:dyDescent="0.3">
      <c r="A3622" s="2">
        <v>40877</v>
      </c>
      <c r="B3622">
        <f>8.5/(100)</f>
        <v>8.5000000000000006E-2</v>
      </c>
      <c r="C3622">
        <f>8.762/(100)</f>
        <v>8.7620000000000003E-2</v>
      </c>
    </row>
    <row r="3623" spans="1:3" x14ac:dyDescent="0.3">
      <c r="A3623" s="2">
        <v>40878</v>
      </c>
      <c r="B3623">
        <f>8.5/(100)</f>
        <v>8.5000000000000006E-2</v>
      </c>
      <c r="C3623">
        <f>8.712/(100)</f>
        <v>8.7120000000000003E-2</v>
      </c>
    </row>
    <row r="3624" spans="1:3" x14ac:dyDescent="0.3">
      <c r="A3624" s="2">
        <v>40879</v>
      </c>
      <c r="B3624">
        <f>8.5/(100)</f>
        <v>8.5000000000000006E-2</v>
      </c>
      <c r="C3624">
        <f>8.676/(100)</f>
        <v>8.6760000000000004E-2</v>
      </c>
    </row>
    <row r="3625" spans="1:3" x14ac:dyDescent="0.3">
      <c r="A3625" s="2">
        <v>40880</v>
      </c>
      <c r="B3625">
        <f>8.5/(100)</f>
        <v>8.5000000000000006E-2</v>
      </c>
      <c r="C3625">
        <f>8.676/(100)</f>
        <v>8.6760000000000004E-2</v>
      </c>
    </row>
    <row r="3626" spans="1:3" x14ac:dyDescent="0.3">
      <c r="A3626" s="2">
        <v>40881</v>
      </c>
      <c r="B3626">
        <f>8.5/(100)</f>
        <v>8.5000000000000006E-2</v>
      </c>
      <c r="C3626">
        <f>8.676/(100)</f>
        <v>8.6760000000000004E-2</v>
      </c>
    </row>
    <row r="3627" spans="1:3" x14ac:dyDescent="0.3">
      <c r="A3627" s="2">
        <v>40882</v>
      </c>
      <c r="B3627">
        <f>8.5/(100)</f>
        <v>8.5000000000000006E-2</v>
      </c>
      <c r="C3627">
        <f>8.631/(100)</f>
        <v>8.6309999999999998E-2</v>
      </c>
    </row>
    <row r="3628" spans="1:3" x14ac:dyDescent="0.3">
      <c r="A3628" s="2">
        <v>40883</v>
      </c>
      <c r="B3628">
        <f>8.5/(100)</f>
        <v>8.5000000000000006E-2</v>
      </c>
      <c r="C3628">
        <f>8.593/(100)</f>
        <v>8.5930000000000006E-2</v>
      </c>
    </row>
    <row r="3629" spans="1:3" x14ac:dyDescent="0.3">
      <c r="A3629" s="2">
        <v>40884</v>
      </c>
      <c r="B3629">
        <f>8.5/(100)</f>
        <v>8.5000000000000006E-2</v>
      </c>
      <c r="C3629">
        <f>8.564/(100)</f>
        <v>8.5639999999999994E-2</v>
      </c>
    </row>
    <row r="3630" spans="1:3" x14ac:dyDescent="0.3">
      <c r="A3630" s="2">
        <v>40885</v>
      </c>
      <c r="B3630">
        <f>8.5/(100)</f>
        <v>8.5000000000000006E-2</v>
      </c>
      <c r="C3630">
        <f>8.547/(100)</f>
        <v>8.5470000000000004E-2</v>
      </c>
    </row>
    <row r="3631" spans="1:3" x14ac:dyDescent="0.3">
      <c r="A3631" s="2">
        <v>40886</v>
      </c>
      <c r="B3631">
        <f>8.5/(100)</f>
        <v>8.5000000000000006E-2</v>
      </c>
      <c r="C3631">
        <f>8.53/(100)</f>
        <v>8.5299999999999987E-2</v>
      </c>
    </row>
    <row r="3632" spans="1:3" x14ac:dyDescent="0.3">
      <c r="A3632" s="2">
        <v>40887</v>
      </c>
      <c r="B3632">
        <f>8.5/(100)</f>
        <v>8.5000000000000006E-2</v>
      </c>
      <c r="C3632">
        <f>8.53/(100)</f>
        <v>8.5299999999999987E-2</v>
      </c>
    </row>
    <row r="3633" spans="1:3" x14ac:dyDescent="0.3">
      <c r="A3633" s="2">
        <v>40888</v>
      </c>
      <c r="B3633">
        <f>8.5/(100)</f>
        <v>8.5000000000000006E-2</v>
      </c>
      <c r="C3633">
        <f>8.53/(100)</f>
        <v>8.5299999999999987E-2</v>
      </c>
    </row>
    <row r="3634" spans="1:3" x14ac:dyDescent="0.3">
      <c r="A3634" s="2">
        <v>40889</v>
      </c>
      <c r="B3634">
        <f>8.5/(100)</f>
        <v>8.5000000000000006E-2</v>
      </c>
      <c r="C3634">
        <f>8.536/(100)</f>
        <v>8.5359999999999991E-2</v>
      </c>
    </row>
    <row r="3635" spans="1:3" x14ac:dyDescent="0.3">
      <c r="A3635" s="2">
        <v>40890</v>
      </c>
      <c r="B3635">
        <f>8.5/(100)</f>
        <v>8.5000000000000006E-2</v>
      </c>
      <c r="C3635">
        <f>8.596/(100)</f>
        <v>8.5959999999999995E-2</v>
      </c>
    </row>
    <row r="3636" spans="1:3" x14ac:dyDescent="0.3">
      <c r="A3636" s="2">
        <v>40891</v>
      </c>
      <c r="B3636">
        <f>8.5/(100)</f>
        <v>8.5000000000000006E-2</v>
      </c>
      <c r="C3636">
        <f>8.547/(100)</f>
        <v>8.5470000000000004E-2</v>
      </c>
    </row>
    <row r="3637" spans="1:3" x14ac:dyDescent="0.3">
      <c r="A3637" s="2">
        <v>40892</v>
      </c>
      <c r="B3637">
        <f>8.5/(100)</f>
        <v>8.5000000000000006E-2</v>
      </c>
      <c r="C3637">
        <f>8.648/(100)</f>
        <v>8.6480000000000001E-2</v>
      </c>
    </row>
    <row r="3638" spans="1:3" x14ac:dyDescent="0.3">
      <c r="A3638" s="2">
        <v>40893</v>
      </c>
      <c r="B3638">
        <f>8.5/(100)</f>
        <v>8.5000000000000006E-2</v>
      </c>
      <c r="C3638">
        <f>8.597/(100)</f>
        <v>8.5969999999999991E-2</v>
      </c>
    </row>
    <row r="3639" spans="1:3" x14ac:dyDescent="0.3">
      <c r="A3639" s="2">
        <v>40894</v>
      </c>
      <c r="B3639">
        <f>8.5/(100)</f>
        <v>8.5000000000000006E-2</v>
      </c>
      <c r="C3639">
        <f>8.597/(100)</f>
        <v>8.5969999999999991E-2</v>
      </c>
    </row>
    <row r="3640" spans="1:3" x14ac:dyDescent="0.3">
      <c r="A3640" s="2">
        <v>40895</v>
      </c>
      <c r="B3640">
        <f>8.5/(100)</f>
        <v>8.5000000000000006E-2</v>
      </c>
      <c r="C3640">
        <f>8.597/(100)</f>
        <v>8.5969999999999991E-2</v>
      </c>
    </row>
    <row r="3641" spans="1:3" x14ac:dyDescent="0.3">
      <c r="A3641" s="2">
        <v>40896</v>
      </c>
      <c r="B3641">
        <f>8.5/(100)</f>
        <v>8.5000000000000006E-2</v>
      </c>
      <c r="C3641">
        <f>8.588/(100)</f>
        <v>8.5879999999999998E-2</v>
      </c>
    </row>
    <row r="3642" spans="1:3" x14ac:dyDescent="0.3">
      <c r="A3642" s="2">
        <v>40897</v>
      </c>
      <c r="B3642">
        <f>8.5/(100)</f>
        <v>8.5000000000000006E-2</v>
      </c>
      <c r="C3642">
        <f>8.584/(100)</f>
        <v>8.584E-2</v>
      </c>
    </row>
    <row r="3643" spans="1:3" x14ac:dyDescent="0.3">
      <c r="A3643" s="2">
        <v>40898</v>
      </c>
      <c r="B3643">
        <f>8.5/(100)</f>
        <v>8.5000000000000006E-2</v>
      </c>
      <c r="C3643">
        <f>8.51/(100)</f>
        <v>8.5099999999999995E-2</v>
      </c>
    </row>
    <row r="3644" spans="1:3" x14ac:dyDescent="0.3">
      <c r="A3644" s="2">
        <v>40899</v>
      </c>
      <c r="B3644">
        <f>8.5/(100)</f>
        <v>8.5000000000000006E-2</v>
      </c>
      <c r="C3644">
        <f>8.489/(100)</f>
        <v>8.4890000000000007E-2</v>
      </c>
    </row>
    <row r="3645" spans="1:3" x14ac:dyDescent="0.3">
      <c r="A3645" s="2">
        <v>40900</v>
      </c>
      <c r="B3645">
        <f>8.5/(100)</f>
        <v>8.5000000000000006E-2</v>
      </c>
      <c r="C3645">
        <f>8.435/(100)</f>
        <v>8.4350000000000008E-2</v>
      </c>
    </row>
    <row r="3646" spans="1:3" x14ac:dyDescent="0.3">
      <c r="A3646" s="2">
        <v>40901</v>
      </c>
      <c r="B3646">
        <f>8.5/(100)</f>
        <v>8.5000000000000006E-2</v>
      </c>
      <c r="C3646">
        <f>8.435/(100)</f>
        <v>8.4350000000000008E-2</v>
      </c>
    </row>
    <row r="3647" spans="1:3" x14ac:dyDescent="0.3">
      <c r="A3647" s="2">
        <v>40902</v>
      </c>
      <c r="B3647">
        <f>8.5/(100)</f>
        <v>8.5000000000000006E-2</v>
      </c>
      <c r="C3647">
        <f>8.435/(100)</f>
        <v>8.4350000000000008E-2</v>
      </c>
    </row>
    <row r="3648" spans="1:3" x14ac:dyDescent="0.3">
      <c r="A3648" s="2">
        <v>40903</v>
      </c>
      <c r="B3648">
        <f>8.5/(100)</f>
        <v>8.5000000000000006E-2</v>
      </c>
      <c r="C3648">
        <f>8.5/(100)</f>
        <v>8.5000000000000006E-2</v>
      </c>
    </row>
    <row r="3649" spans="1:3" x14ac:dyDescent="0.3">
      <c r="A3649" s="2">
        <v>40904</v>
      </c>
      <c r="B3649">
        <f>8.5/(100)</f>
        <v>8.5000000000000006E-2</v>
      </c>
      <c r="C3649">
        <f>8.425/(100)</f>
        <v>8.4250000000000005E-2</v>
      </c>
    </row>
    <row r="3650" spans="1:3" x14ac:dyDescent="0.3">
      <c r="A3650" s="2">
        <v>40905</v>
      </c>
      <c r="B3650">
        <f>8.5/(100)</f>
        <v>8.5000000000000006E-2</v>
      </c>
      <c r="C3650">
        <f>8.432/(100)</f>
        <v>8.4320000000000006E-2</v>
      </c>
    </row>
    <row r="3651" spans="1:3" x14ac:dyDescent="0.3">
      <c r="A3651" s="2">
        <v>40906</v>
      </c>
      <c r="B3651">
        <f>8.5/(100)</f>
        <v>8.5000000000000006E-2</v>
      </c>
      <c r="C3651">
        <f>8.511/(100)</f>
        <v>8.5109999999999991E-2</v>
      </c>
    </row>
    <row r="3652" spans="1:3" x14ac:dyDescent="0.3">
      <c r="A3652" s="2">
        <v>40907</v>
      </c>
      <c r="B3652">
        <f>8.5/(100)</f>
        <v>8.5000000000000006E-2</v>
      </c>
      <c r="C3652">
        <f>8.466/(100)</f>
        <v>8.4659999999999999E-2</v>
      </c>
    </row>
    <row r="3653" spans="1:3" x14ac:dyDescent="0.3">
      <c r="A3653" s="2">
        <v>40908</v>
      </c>
      <c r="B3653">
        <f>8.5/(100)</f>
        <v>8.5000000000000006E-2</v>
      </c>
      <c r="C3653">
        <f>8.466/(100)</f>
        <v>8.4659999999999999E-2</v>
      </c>
    </row>
    <row r="3654" spans="1:3" x14ac:dyDescent="0.3">
      <c r="A3654" s="2">
        <v>40909</v>
      </c>
      <c r="B3654">
        <f>8.5/(100)</f>
        <v>8.5000000000000006E-2</v>
      </c>
      <c r="C3654">
        <f>8.466/(100)</f>
        <v>8.4659999999999999E-2</v>
      </c>
    </row>
    <row r="3655" spans="1:3" x14ac:dyDescent="0.3">
      <c r="A3655" s="2">
        <v>40910</v>
      </c>
      <c r="B3655">
        <f>8.5/(100)</f>
        <v>8.5000000000000006E-2</v>
      </c>
      <c r="C3655">
        <f>8.449/(100)</f>
        <v>8.4489999999999996E-2</v>
      </c>
    </row>
    <row r="3656" spans="1:3" x14ac:dyDescent="0.3">
      <c r="A3656" s="2">
        <v>40911</v>
      </c>
      <c r="B3656">
        <f>8.5/(100)</f>
        <v>8.5000000000000006E-2</v>
      </c>
      <c r="C3656">
        <f>8.039/(100)</f>
        <v>8.0390000000000003E-2</v>
      </c>
    </row>
    <row r="3657" spans="1:3" x14ac:dyDescent="0.3">
      <c r="A3657" s="2">
        <v>40912</v>
      </c>
      <c r="B3657">
        <f>8.5/(100)</f>
        <v>8.5000000000000006E-2</v>
      </c>
      <c r="C3657">
        <f>8.071/(100)</f>
        <v>8.0710000000000004E-2</v>
      </c>
    </row>
    <row r="3658" spans="1:3" x14ac:dyDescent="0.3">
      <c r="A3658" s="2">
        <v>40913</v>
      </c>
      <c r="B3658">
        <f>8.5/(100)</f>
        <v>8.5000000000000006E-2</v>
      </c>
      <c r="C3658">
        <f>8.073/(100)</f>
        <v>8.073000000000001E-2</v>
      </c>
    </row>
    <row r="3659" spans="1:3" x14ac:dyDescent="0.3">
      <c r="A3659" s="2">
        <v>40914</v>
      </c>
      <c r="B3659">
        <f>8.5/(100)</f>
        <v>8.5000000000000006E-2</v>
      </c>
      <c r="C3659">
        <f>8.073/(100)</f>
        <v>8.073000000000001E-2</v>
      </c>
    </row>
    <row r="3660" spans="1:3" x14ac:dyDescent="0.3">
      <c r="A3660" s="2">
        <v>40915</v>
      </c>
      <c r="B3660">
        <f>8.5/(100)</f>
        <v>8.5000000000000006E-2</v>
      </c>
      <c r="C3660">
        <f>8.073/(100)</f>
        <v>8.073000000000001E-2</v>
      </c>
    </row>
    <row r="3661" spans="1:3" x14ac:dyDescent="0.3">
      <c r="A3661" s="2">
        <v>40916</v>
      </c>
      <c r="B3661">
        <f>8.5/(100)</f>
        <v>8.5000000000000006E-2</v>
      </c>
      <c r="C3661">
        <f>8.073/(100)</f>
        <v>8.073000000000001E-2</v>
      </c>
    </row>
    <row r="3662" spans="1:3" x14ac:dyDescent="0.3">
      <c r="A3662" s="2">
        <v>40917</v>
      </c>
      <c r="B3662">
        <f>8.5/(100)</f>
        <v>8.5000000000000006E-2</v>
      </c>
      <c r="C3662">
        <f>8.012/(100)</f>
        <v>8.0120000000000011E-2</v>
      </c>
    </row>
    <row r="3663" spans="1:3" x14ac:dyDescent="0.3">
      <c r="A3663" s="2">
        <v>40918</v>
      </c>
      <c r="B3663">
        <f>8.5/(100)</f>
        <v>8.5000000000000006E-2</v>
      </c>
      <c r="C3663">
        <f>7.886/(100)</f>
        <v>7.886E-2</v>
      </c>
    </row>
    <row r="3664" spans="1:3" x14ac:dyDescent="0.3">
      <c r="A3664" s="2">
        <v>40919</v>
      </c>
      <c r="B3664">
        <f>8.5/(100)</f>
        <v>8.5000000000000006E-2</v>
      </c>
      <c r="C3664">
        <f>7.926/(100)</f>
        <v>7.9259999999999997E-2</v>
      </c>
    </row>
    <row r="3665" spans="1:3" x14ac:dyDescent="0.3">
      <c r="A3665" s="2">
        <v>40920</v>
      </c>
      <c r="B3665">
        <f>8.5/(100)</f>
        <v>8.5000000000000006E-2</v>
      </c>
      <c r="C3665">
        <f>8.076/(100)</f>
        <v>8.0759999999999998E-2</v>
      </c>
    </row>
    <row r="3666" spans="1:3" x14ac:dyDescent="0.3">
      <c r="A3666" s="2">
        <v>40921</v>
      </c>
      <c r="B3666">
        <f>8.5/(100)</f>
        <v>8.5000000000000006E-2</v>
      </c>
      <c r="C3666">
        <f>7.998/(100)</f>
        <v>7.9979999999999996E-2</v>
      </c>
    </row>
    <row r="3667" spans="1:3" x14ac:dyDescent="0.3">
      <c r="A3667" s="2">
        <v>40922</v>
      </c>
      <c r="B3667">
        <f>8.5/(100)</f>
        <v>8.5000000000000006E-2</v>
      </c>
      <c r="C3667">
        <f>7.998/(100)</f>
        <v>7.9979999999999996E-2</v>
      </c>
    </row>
    <row r="3668" spans="1:3" x14ac:dyDescent="0.3">
      <c r="A3668" s="2">
        <v>40923</v>
      </c>
      <c r="B3668">
        <f>8.5/(100)</f>
        <v>8.5000000000000006E-2</v>
      </c>
      <c r="C3668">
        <f>7.998/(100)</f>
        <v>7.9979999999999996E-2</v>
      </c>
    </row>
    <row r="3669" spans="1:3" x14ac:dyDescent="0.3">
      <c r="A3669" s="2">
        <v>40924</v>
      </c>
      <c r="B3669">
        <f>8.5/(100)</f>
        <v>8.5000000000000006E-2</v>
      </c>
      <c r="C3669">
        <f>8/(100)</f>
        <v>0.08</v>
      </c>
    </row>
    <row r="3670" spans="1:3" x14ac:dyDescent="0.3">
      <c r="A3670" s="2">
        <v>40925</v>
      </c>
      <c r="B3670">
        <f>8.5/(100)</f>
        <v>8.5000000000000006E-2</v>
      </c>
      <c r="C3670">
        <f>8.003/(100)</f>
        <v>8.0030000000000004E-2</v>
      </c>
    </row>
    <row r="3671" spans="1:3" x14ac:dyDescent="0.3">
      <c r="A3671" s="2">
        <v>40926</v>
      </c>
      <c r="B3671">
        <f>8.5/(100)</f>
        <v>8.5000000000000006E-2</v>
      </c>
      <c r="C3671">
        <f>8.041/(100)</f>
        <v>8.0410000000000009E-2</v>
      </c>
    </row>
    <row r="3672" spans="1:3" x14ac:dyDescent="0.3">
      <c r="A3672" s="2">
        <v>40927</v>
      </c>
      <c r="B3672">
        <f>8.5/(100)</f>
        <v>8.5000000000000006E-2</v>
      </c>
      <c r="C3672">
        <f>7.998/(100)</f>
        <v>7.9979999999999996E-2</v>
      </c>
    </row>
    <row r="3673" spans="1:3" x14ac:dyDescent="0.3">
      <c r="A3673" s="2">
        <v>40928</v>
      </c>
      <c r="B3673">
        <f>8.5/(100)</f>
        <v>8.5000000000000006E-2</v>
      </c>
      <c r="C3673">
        <f>8.044/(100)</f>
        <v>8.0440000000000011E-2</v>
      </c>
    </row>
    <row r="3674" spans="1:3" x14ac:dyDescent="0.3">
      <c r="A3674" s="2">
        <v>40929</v>
      </c>
      <c r="B3674">
        <f>8.5/(100)</f>
        <v>8.5000000000000006E-2</v>
      </c>
      <c r="C3674">
        <f>8.044/(100)</f>
        <v>8.0440000000000011E-2</v>
      </c>
    </row>
    <row r="3675" spans="1:3" x14ac:dyDescent="0.3">
      <c r="A3675" s="2">
        <v>40930</v>
      </c>
      <c r="B3675">
        <f>8.5/(100)</f>
        <v>8.5000000000000006E-2</v>
      </c>
      <c r="C3675">
        <f>8.044/(100)</f>
        <v>8.0440000000000011E-2</v>
      </c>
    </row>
    <row r="3676" spans="1:3" x14ac:dyDescent="0.3">
      <c r="A3676" s="2">
        <v>40931</v>
      </c>
      <c r="B3676">
        <f>8.5/(100)</f>
        <v>8.5000000000000006E-2</v>
      </c>
      <c r="C3676">
        <f>8.047/(100)</f>
        <v>8.047E-2</v>
      </c>
    </row>
    <row r="3677" spans="1:3" x14ac:dyDescent="0.3">
      <c r="A3677" s="2">
        <v>40932</v>
      </c>
      <c r="B3677">
        <f>8.5/(100)</f>
        <v>8.5000000000000006E-2</v>
      </c>
      <c r="C3677">
        <f>8.091/(100)</f>
        <v>8.0909999999999996E-2</v>
      </c>
    </row>
    <row r="3678" spans="1:3" x14ac:dyDescent="0.3">
      <c r="A3678" s="2">
        <v>40933</v>
      </c>
      <c r="B3678">
        <f>8.5/(100)</f>
        <v>8.5000000000000006E-2</v>
      </c>
      <c r="C3678">
        <f>8.202/(100)</f>
        <v>8.2019999999999996E-2</v>
      </c>
    </row>
    <row r="3679" spans="1:3" x14ac:dyDescent="0.3">
      <c r="A3679" s="2">
        <v>40934</v>
      </c>
      <c r="B3679">
        <f>8.5/(100)</f>
        <v>8.5000000000000006E-2</v>
      </c>
      <c r="C3679">
        <f>8.201/(100)</f>
        <v>8.201E-2</v>
      </c>
    </row>
    <row r="3680" spans="1:3" x14ac:dyDescent="0.3">
      <c r="A3680" s="2">
        <v>40935</v>
      </c>
      <c r="B3680">
        <f>8.5/(100)</f>
        <v>8.5000000000000006E-2</v>
      </c>
      <c r="C3680">
        <f>8.215/(100)</f>
        <v>8.2150000000000001E-2</v>
      </c>
    </row>
    <row r="3681" spans="1:3" x14ac:dyDescent="0.3">
      <c r="A3681" s="2">
        <v>40936</v>
      </c>
      <c r="B3681">
        <f>8.5/(100)</f>
        <v>8.5000000000000006E-2</v>
      </c>
      <c r="C3681">
        <f>8.215/(100)</f>
        <v>8.2150000000000001E-2</v>
      </c>
    </row>
    <row r="3682" spans="1:3" x14ac:dyDescent="0.3">
      <c r="A3682" s="2">
        <v>40937</v>
      </c>
      <c r="B3682">
        <f>8.5/(100)</f>
        <v>8.5000000000000006E-2</v>
      </c>
      <c r="C3682">
        <f>8.215/(100)</f>
        <v>8.2150000000000001E-2</v>
      </c>
    </row>
    <row r="3683" spans="1:3" x14ac:dyDescent="0.3">
      <c r="A3683" s="2">
        <v>40938</v>
      </c>
      <c r="B3683">
        <f>8.5/(100)</f>
        <v>8.5000000000000006E-2</v>
      </c>
      <c r="C3683">
        <f>8.116/(100)</f>
        <v>8.1159999999999996E-2</v>
      </c>
    </row>
    <row r="3684" spans="1:3" x14ac:dyDescent="0.3">
      <c r="A3684" s="2">
        <v>40939</v>
      </c>
      <c r="B3684">
        <f>8.5/(100)</f>
        <v>8.5000000000000006E-2</v>
      </c>
      <c r="C3684">
        <f>8.051/(100)</f>
        <v>8.0509999999999998E-2</v>
      </c>
    </row>
    <row r="3685" spans="1:3" x14ac:dyDescent="0.3">
      <c r="A3685" s="2">
        <v>40940</v>
      </c>
      <c r="B3685">
        <f>8.5/(100)</f>
        <v>8.5000000000000006E-2</v>
      </c>
      <c r="C3685">
        <f>8.053/(100)</f>
        <v>8.0530000000000004E-2</v>
      </c>
    </row>
    <row r="3686" spans="1:3" x14ac:dyDescent="0.3">
      <c r="A3686" s="2">
        <v>40941</v>
      </c>
      <c r="B3686">
        <f>8.5/(100)</f>
        <v>8.5000000000000006E-2</v>
      </c>
      <c r="C3686">
        <f>8.076/(100)</f>
        <v>8.0759999999999998E-2</v>
      </c>
    </row>
    <row r="3687" spans="1:3" x14ac:dyDescent="0.3">
      <c r="A3687" s="2">
        <v>40942</v>
      </c>
      <c r="B3687">
        <f>8.5/(100)</f>
        <v>8.5000000000000006E-2</v>
      </c>
      <c r="C3687">
        <f>8.079/(100)</f>
        <v>8.0790000000000001E-2</v>
      </c>
    </row>
    <row r="3688" spans="1:3" x14ac:dyDescent="0.3">
      <c r="A3688" s="2">
        <v>40943</v>
      </c>
      <c r="B3688">
        <f>8.5/(100)</f>
        <v>8.5000000000000006E-2</v>
      </c>
      <c r="C3688">
        <f>8.079/(100)</f>
        <v>8.0790000000000001E-2</v>
      </c>
    </row>
    <row r="3689" spans="1:3" x14ac:dyDescent="0.3">
      <c r="A3689" s="2">
        <v>40944</v>
      </c>
      <c r="B3689">
        <f>8.5/(100)</f>
        <v>8.5000000000000006E-2</v>
      </c>
      <c r="C3689">
        <f>8.079/(100)</f>
        <v>8.0790000000000001E-2</v>
      </c>
    </row>
    <row r="3690" spans="1:3" x14ac:dyDescent="0.3">
      <c r="A3690" s="2">
        <v>40945</v>
      </c>
      <c r="B3690">
        <f>8.5/(100)</f>
        <v>8.5000000000000006E-2</v>
      </c>
      <c r="C3690">
        <f>8.08/(100)</f>
        <v>8.0799999999999997E-2</v>
      </c>
    </row>
    <row r="3691" spans="1:3" x14ac:dyDescent="0.3">
      <c r="A3691" s="2">
        <v>40946</v>
      </c>
      <c r="B3691">
        <f>8.5/(100)</f>
        <v>8.5000000000000006E-2</v>
      </c>
      <c r="C3691">
        <f>8.067/(100)</f>
        <v>8.0670000000000006E-2</v>
      </c>
    </row>
    <row r="3692" spans="1:3" x14ac:dyDescent="0.3">
      <c r="A3692" s="2">
        <v>40947</v>
      </c>
      <c r="B3692">
        <f>8.5/(100)</f>
        <v>8.5000000000000006E-2</v>
      </c>
      <c r="C3692">
        <f>8.183/(100)</f>
        <v>8.183E-2</v>
      </c>
    </row>
    <row r="3693" spans="1:3" x14ac:dyDescent="0.3">
      <c r="A3693" s="2">
        <v>40948</v>
      </c>
      <c r="B3693">
        <f>8.5/(100)</f>
        <v>8.5000000000000006E-2</v>
      </c>
      <c r="C3693">
        <f>8.186/(100)</f>
        <v>8.1860000000000002E-2</v>
      </c>
    </row>
    <row r="3694" spans="1:3" x14ac:dyDescent="0.3">
      <c r="A3694" s="2">
        <v>40949</v>
      </c>
      <c r="B3694">
        <f>8.5/(100)</f>
        <v>8.5000000000000006E-2</v>
      </c>
      <c r="C3694">
        <f>8.146/(100)</f>
        <v>8.1460000000000005E-2</v>
      </c>
    </row>
    <row r="3695" spans="1:3" x14ac:dyDescent="0.3">
      <c r="A3695" s="2">
        <v>40950</v>
      </c>
      <c r="B3695">
        <f>8.5/(100)</f>
        <v>8.5000000000000006E-2</v>
      </c>
      <c r="C3695">
        <f>8.146/(100)</f>
        <v>8.1460000000000005E-2</v>
      </c>
    </row>
    <row r="3696" spans="1:3" x14ac:dyDescent="0.3">
      <c r="A3696" s="2">
        <v>40951</v>
      </c>
      <c r="B3696">
        <f>8.5/(100)</f>
        <v>8.5000000000000006E-2</v>
      </c>
      <c r="C3696">
        <f>8.146/(100)</f>
        <v>8.1460000000000005E-2</v>
      </c>
    </row>
    <row r="3697" spans="1:3" x14ac:dyDescent="0.3">
      <c r="A3697" s="2">
        <v>40952</v>
      </c>
      <c r="B3697">
        <f>8.5/(100)</f>
        <v>8.5000000000000006E-2</v>
      </c>
      <c r="C3697">
        <f>8.143/(100)</f>
        <v>8.1430000000000002E-2</v>
      </c>
    </row>
    <row r="3698" spans="1:3" x14ac:dyDescent="0.3">
      <c r="A3698" s="2">
        <v>40953</v>
      </c>
      <c r="B3698">
        <f>8.5/(100)</f>
        <v>8.5000000000000006E-2</v>
      </c>
      <c r="C3698">
        <f>8.128/(100)</f>
        <v>8.1280000000000005E-2</v>
      </c>
    </row>
    <row r="3699" spans="1:3" x14ac:dyDescent="0.3">
      <c r="A3699" s="2">
        <v>40954</v>
      </c>
      <c r="B3699">
        <f>8.5/(100)</f>
        <v>8.5000000000000006E-2</v>
      </c>
      <c r="C3699">
        <f>8.104/(100)</f>
        <v>8.1039999999999987E-2</v>
      </c>
    </row>
    <row r="3700" spans="1:3" x14ac:dyDescent="0.3">
      <c r="A3700" s="2">
        <v>40955</v>
      </c>
      <c r="B3700">
        <f>8.5/(100)</f>
        <v>8.5000000000000006E-2</v>
      </c>
      <c r="C3700">
        <f>8.141/(100)</f>
        <v>8.1409999999999996E-2</v>
      </c>
    </row>
    <row r="3701" spans="1:3" x14ac:dyDescent="0.3">
      <c r="A3701" s="2">
        <v>40956</v>
      </c>
      <c r="B3701">
        <f>8.5/(100)</f>
        <v>8.5000000000000006E-2</v>
      </c>
      <c r="C3701">
        <f>8.148/(100)</f>
        <v>8.1479999999999997E-2</v>
      </c>
    </row>
    <row r="3702" spans="1:3" x14ac:dyDescent="0.3">
      <c r="A3702" s="2">
        <v>40957</v>
      </c>
      <c r="B3702">
        <f>8.5/(100)</f>
        <v>8.5000000000000006E-2</v>
      </c>
      <c r="C3702">
        <f>8.148/(100)</f>
        <v>8.1479999999999997E-2</v>
      </c>
    </row>
    <row r="3703" spans="1:3" x14ac:dyDescent="0.3">
      <c r="A3703" s="2">
        <v>40958</v>
      </c>
      <c r="B3703">
        <f>8.5/(100)</f>
        <v>8.5000000000000006E-2</v>
      </c>
      <c r="C3703">
        <f>8.148/(100)</f>
        <v>8.1479999999999997E-2</v>
      </c>
    </row>
    <row r="3704" spans="1:3" x14ac:dyDescent="0.3">
      <c r="A3704" s="2">
        <v>40959</v>
      </c>
      <c r="B3704">
        <f>8.5/(100)</f>
        <v>8.5000000000000006E-2</v>
      </c>
      <c r="C3704">
        <f>8.148/(100)</f>
        <v>8.1479999999999997E-2</v>
      </c>
    </row>
    <row r="3705" spans="1:3" x14ac:dyDescent="0.3">
      <c r="A3705" s="2">
        <v>40960</v>
      </c>
      <c r="B3705">
        <f>8.5/(100)</f>
        <v>8.5000000000000006E-2</v>
      </c>
      <c r="C3705">
        <f>8.177/(100)</f>
        <v>8.1769999999999995E-2</v>
      </c>
    </row>
    <row r="3706" spans="1:3" x14ac:dyDescent="0.3">
      <c r="A3706" s="2">
        <v>40961</v>
      </c>
      <c r="B3706">
        <f>8.5/(100)</f>
        <v>8.5000000000000006E-2</v>
      </c>
      <c r="C3706">
        <f>8.156/(100)</f>
        <v>8.1560000000000007E-2</v>
      </c>
    </row>
    <row r="3707" spans="1:3" x14ac:dyDescent="0.3">
      <c r="A3707" s="2">
        <v>40962</v>
      </c>
      <c r="B3707">
        <f>8.5/(100)</f>
        <v>8.5000000000000006E-2</v>
      </c>
      <c r="C3707">
        <f>8.187/(100)</f>
        <v>8.1869999999999998E-2</v>
      </c>
    </row>
    <row r="3708" spans="1:3" x14ac:dyDescent="0.3">
      <c r="A3708" s="2">
        <v>40963</v>
      </c>
      <c r="B3708">
        <f>8.5/(100)</f>
        <v>8.5000000000000006E-2</v>
      </c>
      <c r="C3708">
        <f>8.189/(100)</f>
        <v>8.1890000000000004E-2</v>
      </c>
    </row>
    <row r="3709" spans="1:3" x14ac:dyDescent="0.3">
      <c r="A3709" s="2">
        <v>40964</v>
      </c>
      <c r="B3709">
        <f>8.5/(100)</f>
        <v>8.5000000000000006E-2</v>
      </c>
      <c r="C3709">
        <f>8.189/(100)</f>
        <v>8.1890000000000004E-2</v>
      </c>
    </row>
    <row r="3710" spans="1:3" x14ac:dyDescent="0.3">
      <c r="A3710" s="2">
        <v>40965</v>
      </c>
      <c r="B3710">
        <f>8.5/(100)</f>
        <v>8.5000000000000006E-2</v>
      </c>
      <c r="C3710">
        <f>8.189/(100)</f>
        <v>8.1890000000000004E-2</v>
      </c>
    </row>
    <row r="3711" spans="1:3" x14ac:dyDescent="0.3">
      <c r="A3711" s="2">
        <v>40966</v>
      </c>
      <c r="B3711">
        <f>8.5/(100)</f>
        <v>8.5000000000000006E-2</v>
      </c>
      <c r="C3711">
        <f>8.162/(100)</f>
        <v>8.1620000000000012E-2</v>
      </c>
    </row>
    <row r="3712" spans="1:3" x14ac:dyDescent="0.3">
      <c r="A3712" s="2">
        <v>40967</v>
      </c>
      <c r="B3712">
        <f>8.5/(100)</f>
        <v>8.5000000000000006E-2</v>
      </c>
      <c r="C3712">
        <f>8.167/(100)</f>
        <v>8.1669999999999993E-2</v>
      </c>
    </row>
    <row r="3713" spans="1:3" x14ac:dyDescent="0.3">
      <c r="A3713" s="2">
        <v>40968</v>
      </c>
      <c r="B3713">
        <f>8.5/(100)</f>
        <v>8.5000000000000006E-2</v>
      </c>
      <c r="C3713">
        <f>8.171/(100)</f>
        <v>8.1709999999999991E-2</v>
      </c>
    </row>
    <row r="3714" spans="1:3" x14ac:dyDescent="0.3">
      <c r="A3714" s="2">
        <v>40969</v>
      </c>
      <c r="B3714">
        <f>8.5/(100)</f>
        <v>8.5000000000000006E-2</v>
      </c>
      <c r="C3714">
        <f>8.171/(100)</f>
        <v>8.1709999999999991E-2</v>
      </c>
    </row>
    <row r="3715" spans="1:3" x14ac:dyDescent="0.3">
      <c r="A3715" s="2">
        <v>40970</v>
      </c>
      <c r="B3715">
        <f>8.5/(100)</f>
        <v>8.5000000000000006E-2</v>
      </c>
      <c r="C3715">
        <f>8.231/(100)</f>
        <v>8.2309999999999994E-2</v>
      </c>
    </row>
    <row r="3716" spans="1:3" x14ac:dyDescent="0.3">
      <c r="A3716" s="2">
        <v>40971</v>
      </c>
      <c r="B3716">
        <f>8.5/(100)</f>
        <v>8.5000000000000006E-2</v>
      </c>
      <c r="C3716">
        <f>8.231/(100)</f>
        <v>8.2309999999999994E-2</v>
      </c>
    </row>
    <row r="3717" spans="1:3" x14ac:dyDescent="0.3">
      <c r="A3717" s="2">
        <v>40972</v>
      </c>
      <c r="B3717">
        <f>8.5/(100)</f>
        <v>8.5000000000000006E-2</v>
      </c>
      <c r="C3717">
        <f>8.231/(100)</f>
        <v>8.2309999999999994E-2</v>
      </c>
    </row>
    <row r="3718" spans="1:3" x14ac:dyDescent="0.3">
      <c r="A3718" s="2">
        <v>40973</v>
      </c>
      <c r="B3718">
        <f>8.5/(100)</f>
        <v>8.5000000000000006E-2</v>
      </c>
      <c r="C3718">
        <f>8.273/(100)</f>
        <v>8.2729999999999998E-2</v>
      </c>
    </row>
    <row r="3719" spans="1:3" x14ac:dyDescent="0.3">
      <c r="A3719" s="2">
        <v>40974</v>
      </c>
      <c r="B3719">
        <f>8.5/(100)</f>
        <v>8.5000000000000006E-2</v>
      </c>
      <c r="C3719">
        <f>8.23/(100)</f>
        <v>8.2299999999999998E-2</v>
      </c>
    </row>
    <row r="3720" spans="1:3" x14ac:dyDescent="0.3">
      <c r="A3720" s="2">
        <v>40975</v>
      </c>
      <c r="B3720">
        <f>8.5/(100)</f>
        <v>8.5000000000000006E-2</v>
      </c>
      <c r="C3720">
        <f>8.208/(100)</f>
        <v>8.208E-2</v>
      </c>
    </row>
    <row r="3721" spans="1:3" x14ac:dyDescent="0.3">
      <c r="A3721" s="2">
        <v>40976</v>
      </c>
      <c r="B3721">
        <f>8.5/(100)</f>
        <v>8.5000000000000006E-2</v>
      </c>
      <c r="C3721">
        <f>8.208/(100)</f>
        <v>8.208E-2</v>
      </c>
    </row>
    <row r="3722" spans="1:3" x14ac:dyDescent="0.3">
      <c r="A3722" s="2">
        <v>40977</v>
      </c>
      <c r="B3722">
        <f>8.5/(100)</f>
        <v>8.5000000000000006E-2</v>
      </c>
      <c r="C3722">
        <f>8.208/(100)</f>
        <v>8.208E-2</v>
      </c>
    </row>
    <row r="3723" spans="1:3" x14ac:dyDescent="0.3">
      <c r="A3723" s="2">
        <v>40978</v>
      </c>
      <c r="B3723">
        <f>8.5/(100)</f>
        <v>8.5000000000000006E-2</v>
      </c>
      <c r="C3723">
        <f>8.208/(100)</f>
        <v>8.208E-2</v>
      </c>
    </row>
    <row r="3724" spans="1:3" x14ac:dyDescent="0.3">
      <c r="A3724" s="2">
        <v>40979</v>
      </c>
      <c r="B3724">
        <f>8.5/(100)</f>
        <v>8.5000000000000006E-2</v>
      </c>
      <c r="C3724">
        <f>8.208/(100)</f>
        <v>8.208E-2</v>
      </c>
    </row>
    <row r="3725" spans="1:3" x14ac:dyDescent="0.3">
      <c r="A3725" s="2">
        <v>40980</v>
      </c>
      <c r="B3725">
        <f>8.5/(100)</f>
        <v>8.5000000000000006E-2</v>
      </c>
      <c r="C3725">
        <f>8.186/(100)</f>
        <v>8.1860000000000002E-2</v>
      </c>
    </row>
    <row r="3726" spans="1:3" x14ac:dyDescent="0.3">
      <c r="A3726" s="2">
        <v>40981</v>
      </c>
      <c r="B3726">
        <f>8.5/(100)</f>
        <v>8.5000000000000006E-2</v>
      </c>
      <c r="C3726">
        <f>8.146/(100)</f>
        <v>8.1460000000000005E-2</v>
      </c>
    </row>
    <row r="3727" spans="1:3" x14ac:dyDescent="0.3">
      <c r="A3727" s="2">
        <v>40982</v>
      </c>
      <c r="B3727">
        <f>8.5/(100)</f>
        <v>8.5000000000000006E-2</v>
      </c>
      <c r="C3727">
        <f>8.158/(100)</f>
        <v>8.158E-2</v>
      </c>
    </row>
    <row r="3728" spans="1:3" x14ac:dyDescent="0.3">
      <c r="A3728" s="2">
        <v>40983</v>
      </c>
      <c r="B3728">
        <f>8.5/(100)</f>
        <v>8.5000000000000006E-2</v>
      </c>
      <c r="C3728">
        <f>8.153/(100)</f>
        <v>8.1530000000000005E-2</v>
      </c>
    </row>
    <row r="3729" spans="1:3" x14ac:dyDescent="0.3">
      <c r="A3729" s="2">
        <v>40984</v>
      </c>
      <c r="B3729">
        <f>8.5/(100)</f>
        <v>8.5000000000000006E-2</v>
      </c>
      <c r="C3729">
        <f>8.202/(100)</f>
        <v>8.2019999999999996E-2</v>
      </c>
    </row>
    <row r="3730" spans="1:3" x14ac:dyDescent="0.3">
      <c r="A3730" s="2">
        <v>40985</v>
      </c>
      <c r="B3730">
        <f>8.5/(100)</f>
        <v>8.5000000000000006E-2</v>
      </c>
      <c r="C3730">
        <f>8.202/(100)</f>
        <v>8.2019999999999996E-2</v>
      </c>
    </row>
    <row r="3731" spans="1:3" x14ac:dyDescent="0.3">
      <c r="A3731" s="2">
        <v>40986</v>
      </c>
      <c r="B3731">
        <f>8.5/(100)</f>
        <v>8.5000000000000006E-2</v>
      </c>
      <c r="C3731">
        <f>8.202/(100)</f>
        <v>8.2019999999999996E-2</v>
      </c>
    </row>
    <row r="3732" spans="1:3" x14ac:dyDescent="0.3">
      <c r="A3732" s="2">
        <v>40987</v>
      </c>
      <c r="B3732">
        <f>8.5/(100)</f>
        <v>8.5000000000000006E-2</v>
      </c>
      <c r="C3732">
        <f>8.196/(100)</f>
        <v>8.1959999999999991E-2</v>
      </c>
    </row>
    <row r="3733" spans="1:3" x14ac:dyDescent="0.3">
      <c r="A3733" s="2">
        <v>40988</v>
      </c>
      <c r="B3733">
        <f>8.5/(100)</f>
        <v>8.5000000000000006E-2</v>
      </c>
      <c r="C3733">
        <f>8.164/(100)</f>
        <v>8.163999999999999E-2</v>
      </c>
    </row>
    <row r="3734" spans="1:3" x14ac:dyDescent="0.3">
      <c r="A3734" s="2">
        <v>40989</v>
      </c>
      <c r="B3734">
        <f>8.5/(100)</f>
        <v>8.5000000000000006E-2</v>
      </c>
      <c r="C3734">
        <f>8.2/(100)</f>
        <v>8.199999999999999E-2</v>
      </c>
    </row>
    <row r="3735" spans="1:3" x14ac:dyDescent="0.3">
      <c r="A3735" s="2">
        <v>40990</v>
      </c>
      <c r="B3735">
        <f>8.5/(100)</f>
        <v>8.5000000000000006E-2</v>
      </c>
      <c r="C3735">
        <f>8.149/(100)</f>
        <v>8.1489999999999993E-2</v>
      </c>
    </row>
    <row r="3736" spans="1:3" x14ac:dyDescent="0.3">
      <c r="A3736" s="2">
        <v>40991</v>
      </c>
      <c r="B3736">
        <f>8.5/(100)</f>
        <v>8.5000000000000006E-2</v>
      </c>
      <c r="C3736">
        <f>8.149/(100)</f>
        <v>8.1489999999999993E-2</v>
      </c>
    </row>
    <row r="3737" spans="1:3" x14ac:dyDescent="0.3">
      <c r="A3737" s="2">
        <v>40992</v>
      </c>
      <c r="B3737">
        <f>8.5/(100)</f>
        <v>8.5000000000000006E-2</v>
      </c>
      <c r="C3737">
        <f>8.149/(100)</f>
        <v>8.1489999999999993E-2</v>
      </c>
    </row>
    <row r="3738" spans="1:3" x14ac:dyDescent="0.3">
      <c r="A3738" s="2">
        <v>40993</v>
      </c>
      <c r="B3738">
        <f>8.5/(100)</f>
        <v>8.5000000000000006E-2</v>
      </c>
      <c r="C3738">
        <f>8.149/(100)</f>
        <v>8.1489999999999993E-2</v>
      </c>
    </row>
    <row r="3739" spans="1:3" x14ac:dyDescent="0.3">
      <c r="A3739" s="2">
        <v>40994</v>
      </c>
      <c r="B3739">
        <f>8.5/(100)</f>
        <v>8.5000000000000006E-2</v>
      </c>
      <c r="C3739">
        <f>8.16/(100)</f>
        <v>8.1600000000000006E-2</v>
      </c>
    </row>
    <row r="3740" spans="1:3" x14ac:dyDescent="0.3">
      <c r="A3740" s="2">
        <v>40995</v>
      </c>
      <c r="B3740">
        <f>8.5/(100)</f>
        <v>8.5000000000000006E-2</v>
      </c>
      <c r="C3740">
        <f>8.099/(100)</f>
        <v>8.0990000000000006E-2</v>
      </c>
    </row>
    <row r="3741" spans="1:3" x14ac:dyDescent="0.3">
      <c r="A3741" s="2">
        <v>40996</v>
      </c>
      <c r="B3741">
        <f>8.5/(100)</f>
        <v>8.5000000000000006E-2</v>
      </c>
      <c r="C3741">
        <f>8.219/(100)</f>
        <v>8.2189999999999999E-2</v>
      </c>
    </row>
    <row r="3742" spans="1:3" x14ac:dyDescent="0.3">
      <c r="A3742" s="2">
        <v>40997</v>
      </c>
      <c r="B3742">
        <f>8.5/(100)</f>
        <v>8.5000000000000006E-2</v>
      </c>
      <c r="C3742">
        <f>8.312/(100)</f>
        <v>8.3119999999999999E-2</v>
      </c>
    </row>
    <row r="3743" spans="1:3" x14ac:dyDescent="0.3">
      <c r="A3743" s="2">
        <v>40998</v>
      </c>
      <c r="B3743">
        <f>8.5/(100)</f>
        <v>8.5000000000000006E-2</v>
      </c>
      <c r="C3743">
        <f>8.203/(100)</f>
        <v>8.2029999999999992E-2</v>
      </c>
    </row>
    <row r="3744" spans="1:3" x14ac:dyDescent="0.3">
      <c r="A3744" s="2">
        <v>40999</v>
      </c>
      <c r="B3744">
        <f>8.5/(100)</f>
        <v>8.5000000000000006E-2</v>
      </c>
      <c r="C3744">
        <f>8.203/(100)</f>
        <v>8.2029999999999992E-2</v>
      </c>
    </row>
    <row r="3745" spans="1:3" x14ac:dyDescent="0.3">
      <c r="A3745" s="2">
        <v>41000</v>
      </c>
      <c r="B3745">
        <f>8.5/(100)</f>
        <v>8.5000000000000006E-2</v>
      </c>
      <c r="C3745">
        <f>8.203/(100)</f>
        <v>8.2029999999999992E-2</v>
      </c>
    </row>
    <row r="3746" spans="1:3" x14ac:dyDescent="0.3">
      <c r="A3746" s="2">
        <v>41001</v>
      </c>
      <c r="B3746">
        <f>8.5/(100)</f>
        <v>8.5000000000000006E-2</v>
      </c>
      <c r="C3746">
        <f>8.203/(100)</f>
        <v>8.2029999999999992E-2</v>
      </c>
    </row>
    <row r="3747" spans="1:3" x14ac:dyDescent="0.3">
      <c r="A3747" s="2">
        <v>41002</v>
      </c>
      <c r="B3747">
        <f>8.5/(100)</f>
        <v>8.5000000000000006E-2</v>
      </c>
      <c r="C3747">
        <f>8.301/(100)</f>
        <v>8.301E-2</v>
      </c>
    </row>
    <row r="3748" spans="1:3" x14ac:dyDescent="0.3">
      <c r="A3748" s="2">
        <v>41003</v>
      </c>
      <c r="B3748">
        <f>8.5/(100)</f>
        <v>8.5000000000000006E-2</v>
      </c>
      <c r="C3748">
        <f>8.261/(100)</f>
        <v>8.2609999999999989E-2</v>
      </c>
    </row>
    <row r="3749" spans="1:3" x14ac:dyDescent="0.3">
      <c r="A3749" s="2">
        <v>41004</v>
      </c>
      <c r="B3749">
        <f>8.5/(100)</f>
        <v>8.5000000000000006E-2</v>
      </c>
      <c r="C3749">
        <f>8.208/(100)</f>
        <v>8.208E-2</v>
      </c>
    </row>
    <row r="3750" spans="1:3" x14ac:dyDescent="0.3">
      <c r="A3750" s="2">
        <v>41005</v>
      </c>
      <c r="B3750">
        <f>8.5/(100)</f>
        <v>8.5000000000000006E-2</v>
      </c>
      <c r="C3750">
        <f>8.208/(100)</f>
        <v>8.208E-2</v>
      </c>
    </row>
    <row r="3751" spans="1:3" x14ac:dyDescent="0.3">
      <c r="A3751" s="2">
        <v>41006</v>
      </c>
      <c r="B3751">
        <f>8.5/(100)</f>
        <v>8.5000000000000006E-2</v>
      </c>
      <c r="C3751">
        <f>8.208/(100)</f>
        <v>8.208E-2</v>
      </c>
    </row>
    <row r="3752" spans="1:3" x14ac:dyDescent="0.3">
      <c r="A3752" s="2">
        <v>41007</v>
      </c>
      <c r="B3752">
        <f>8.5/(100)</f>
        <v>8.5000000000000006E-2</v>
      </c>
      <c r="C3752">
        <f>8.208/(100)</f>
        <v>8.208E-2</v>
      </c>
    </row>
    <row r="3753" spans="1:3" x14ac:dyDescent="0.3">
      <c r="A3753" s="2">
        <v>41008</v>
      </c>
      <c r="B3753">
        <f>8.5/(100)</f>
        <v>8.5000000000000006E-2</v>
      </c>
      <c r="C3753">
        <f>8.318/(100)</f>
        <v>8.317999999999999E-2</v>
      </c>
    </row>
    <row r="3754" spans="1:3" x14ac:dyDescent="0.3">
      <c r="A3754" s="2">
        <v>41009</v>
      </c>
      <c r="B3754">
        <f>8.5/(100)</f>
        <v>8.5000000000000006E-2</v>
      </c>
      <c r="C3754">
        <f>8.169/(100)</f>
        <v>8.1689999999999999E-2</v>
      </c>
    </row>
    <row r="3755" spans="1:3" x14ac:dyDescent="0.3">
      <c r="A3755" s="2">
        <v>41010</v>
      </c>
      <c r="B3755">
        <f>8.5/(100)</f>
        <v>8.5000000000000006E-2</v>
      </c>
      <c r="C3755">
        <f>8.178/(100)</f>
        <v>8.1780000000000005E-2</v>
      </c>
    </row>
    <row r="3756" spans="1:3" x14ac:dyDescent="0.3">
      <c r="A3756" s="2">
        <v>41011</v>
      </c>
      <c r="B3756">
        <f>8.5/(100)</f>
        <v>8.5000000000000006E-2</v>
      </c>
      <c r="C3756">
        <f>8.095/(100)</f>
        <v>8.0950000000000008E-2</v>
      </c>
    </row>
    <row r="3757" spans="1:3" x14ac:dyDescent="0.3">
      <c r="A3757" s="2">
        <v>41012</v>
      </c>
      <c r="B3757">
        <f>8.5/(100)</f>
        <v>8.5000000000000006E-2</v>
      </c>
      <c r="C3757">
        <f>8.226/(100)</f>
        <v>8.2260000000000014E-2</v>
      </c>
    </row>
    <row r="3758" spans="1:3" x14ac:dyDescent="0.3">
      <c r="A3758" s="2">
        <v>41013</v>
      </c>
      <c r="B3758">
        <f>8.5/(100)</f>
        <v>8.5000000000000006E-2</v>
      </c>
      <c r="C3758">
        <f>8.226/(100)</f>
        <v>8.2260000000000014E-2</v>
      </c>
    </row>
    <row r="3759" spans="1:3" x14ac:dyDescent="0.3">
      <c r="A3759" s="2">
        <v>41014</v>
      </c>
      <c r="B3759">
        <f>8.5/(100)</f>
        <v>8.5000000000000006E-2</v>
      </c>
      <c r="C3759">
        <f>8.226/(100)</f>
        <v>8.2260000000000014E-2</v>
      </c>
    </row>
    <row r="3760" spans="1:3" x14ac:dyDescent="0.3">
      <c r="A3760" s="2">
        <v>41015</v>
      </c>
      <c r="B3760">
        <f>8.5/(100)</f>
        <v>8.5000000000000006E-2</v>
      </c>
      <c r="C3760">
        <f>8.105/(100)</f>
        <v>8.1050000000000011E-2</v>
      </c>
    </row>
    <row r="3761" spans="1:3" x14ac:dyDescent="0.3">
      <c r="A3761" s="2">
        <v>41016</v>
      </c>
      <c r="B3761">
        <f>8/(100)</f>
        <v>0.08</v>
      </c>
      <c r="C3761">
        <f>7.997/(100)</f>
        <v>7.9969999999999999E-2</v>
      </c>
    </row>
    <row r="3762" spans="1:3" x14ac:dyDescent="0.3">
      <c r="A3762" s="2">
        <v>41017</v>
      </c>
      <c r="B3762">
        <f>8/(100)</f>
        <v>0.08</v>
      </c>
      <c r="C3762">
        <f>7.987/(100)</f>
        <v>7.9869999999999997E-2</v>
      </c>
    </row>
    <row r="3763" spans="1:3" x14ac:dyDescent="0.3">
      <c r="A3763" s="2">
        <v>41018</v>
      </c>
      <c r="B3763">
        <f>8/(100)</f>
        <v>0.08</v>
      </c>
      <c r="C3763">
        <f>8.099/(100)</f>
        <v>8.0990000000000006E-2</v>
      </c>
    </row>
    <row r="3764" spans="1:3" x14ac:dyDescent="0.3">
      <c r="A3764" s="2">
        <v>41019</v>
      </c>
      <c r="B3764">
        <f>8/(100)</f>
        <v>0.08</v>
      </c>
      <c r="C3764">
        <f>8.106/(100)</f>
        <v>8.1059999999999993E-2</v>
      </c>
    </row>
    <row r="3765" spans="1:3" x14ac:dyDescent="0.3">
      <c r="A3765" s="2">
        <v>41020</v>
      </c>
      <c r="B3765">
        <f>8/(100)</f>
        <v>0.08</v>
      </c>
      <c r="C3765">
        <f>8.106/(100)</f>
        <v>8.1059999999999993E-2</v>
      </c>
    </row>
    <row r="3766" spans="1:3" x14ac:dyDescent="0.3">
      <c r="A3766" s="2">
        <v>41021</v>
      </c>
      <c r="B3766">
        <f>8/(100)</f>
        <v>0.08</v>
      </c>
      <c r="C3766">
        <f>8.106/(100)</f>
        <v>8.1059999999999993E-2</v>
      </c>
    </row>
    <row r="3767" spans="1:3" x14ac:dyDescent="0.3">
      <c r="A3767" s="2">
        <v>41022</v>
      </c>
      <c r="B3767">
        <f>8/(100)</f>
        <v>0.08</v>
      </c>
      <c r="C3767">
        <f>8.194/(100)</f>
        <v>8.1940000000000013E-2</v>
      </c>
    </row>
    <row r="3768" spans="1:3" x14ac:dyDescent="0.3">
      <c r="A3768" s="2">
        <v>41023</v>
      </c>
      <c r="B3768">
        <f>8/(100)</f>
        <v>0.08</v>
      </c>
      <c r="C3768">
        <f>8.218/(100)</f>
        <v>8.2180000000000003E-2</v>
      </c>
    </row>
    <row r="3769" spans="1:3" x14ac:dyDescent="0.3">
      <c r="A3769" s="2">
        <v>41024</v>
      </c>
      <c r="B3769">
        <f>8/(100)</f>
        <v>0.08</v>
      </c>
      <c r="C3769">
        <f>8.265/(100)</f>
        <v>8.2650000000000001E-2</v>
      </c>
    </row>
    <row r="3770" spans="1:3" x14ac:dyDescent="0.3">
      <c r="A3770" s="2">
        <v>41025</v>
      </c>
      <c r="B3770">
        <f>8/(100)</f>
        <v>0.08</v>
      </c>
      <c r="C3770">
        <f>8.239/(100)</f>
        <v>8.2390000000000005E-2</v>
      </c>
    </row>
    <row r="3771" spans="1:3" x14ac:dyDescent="0.3">
      <c r="A3771" s="2">
        <v>41026</v>
      </c>
      <c r="B3771">
        <f>8/(100)</f>
        <v>0.08</v>
      </c>
      <c r="C3771">
        <f>8.229/(100)</f>
        <v>8.2289999999999988E-2</v>
      </c>
    </row>
    <row r="3772" spans="1:3" x14ac:dyDescent="0.3">
      <c r="A3772" s="2">
        <v>41027</v>
      </c>
      <c r="B3772">
        <f>8/(100)</f>
        <v>0.08</v>
      </c>
      <c r="C3772">
        <f>8.229/(100)</f>
        <v>8.2289999999999988E-2</v>
      </c>
    </row>
    <row r="3773" spans="1:3" x14ac:dyDescent="0.3">
      <c r="A3773" s="2">
        <v>41028</v>
      </c>
      <c r="B3773">
        <f>8/(100)</f>
        <v>0.08</v>
      </c>
      <c r="C3773">
        <f>8.229/(100)</f>
        <v>8.2289999999999988E-2</v>
      </c>
    </row>
    <row r="3774" spans="1:3" x14ac:dyDescent="0.3">
      <c r="A3774" s="2">
        <v>41029</v>
      </c>
      <c r="B3774">
        <f>8/(100)</f>
        <v>0.08</v>
      </c>
      <c r="C3774">
        <f>8.088/(100)</f>
        <v>8.0879999999999994E-2</v>
      </c>
    </row>
    <row r="3775" spans="1:3" x14ac:dyDescent="0.3">
      <c r="A3775" s="2">
        <v>41030</v>
      </c>
      <c r="B3775">
        <f>8/(100)</f>
        <v>0.08</v>
      </c>
      <c r="C3775">
        <f>8.063/(100)</f>
        <v>8.0630000000000007E-2</v>
      </c>
    </row>
    <row r="3776" spans="1:3" x14ac:dyDescent="0.3">
      <c r="A3776" s="2">
        <v>41031</v>
      </c>
      <c r="B3776">
        <f>8/(100)</f>
        <v>0.08</v>
      </c>
      <c r="C3776">
        <f>8.037/(100)</f>
        <v>8.0370000000000011E-2</v>
      </c>
    </row>
    <row r="3777" spans="1:3" x14ac:dyDescent="0.3">
      <c r="A3777" s="2">
        <v>41032</v>
      </c>
      <c r="B3777">
        <f>8/(100)</f>
        <v>0.08</v>
      </c>
      <c r="C3777">
        <f>8.035/(100)</f>
        <v>8.0350000000000005E-2</v>
      </c>
    </row>
    <row r="3778" spans="1:3" x14ac:dyDescent="0.3">
      <c r="A3778" s="2">
        <v>41033</v>
      </c>
      <c r="B3778">
        <f>8/(100)</f>
        <v>0.08</v>
      </c>
      <c r="C3778">
        <f>8.113/(100)</f>
        <v>8.1129999999999994E-2</v>
      </c>
    </row>
    <row r="3779" spans="1:3" x14ac:dyDescent="0.3">
      <c r="A3779" s="2">
        <v>41034</v>
      </c>
      <c r="B3779">
        <f>8/(100)</f>
        <v>0.08</v>
      </c>
      <c r="C3779">
        <f>8.113/(100)</f>
        <v>8.1129999999999994E-2</v>
      </c>
    </row>
    <row r="3780" spans="1:3" x14ac:dyDescent="0.3">
      <c r="A3780" s="2">
        <v>41035</v>
      </c>
      <c r="B3780">
        <f>8/(100)</f>
        <v>0.08</v>
      </c>
      <c r="C3780">
        <f>8.113/(100)</f>
        <v>8.1129999999999994E-2</v>
      </c>
    </row>
    <row r="3781" spans="1:3" x14ac:dyDescent="0.3">
      <c r="A3781" s="2">
        <v>41036</v>
      </c>
      <c r="B3781">
        <f>8/(100)</f>
        <v>0.08</v>
      </c>
      <c r="C3781">
        <f>8.114/(100)</f>
        <v>8.1140000000000004E-2</v>
      </c>
    </row>
    <row r="3782" spans="1:3" x14ac:dyDescent="0.3">
      <c r="A3782" s="2">
        <v>41037</v>
      </c>
      <c r="B3782">
        <f>8/(100)</f>
        <v>0.08</v>
      </c>
      <c r="C3782">
        <f>8.085/(100)</f>
        <v>8.0850000000000005E-2</v>
      </c>
    </row>
    <row r="3783" spans="1:3" x14ac:dyDescent="0.3">
      <c r="A3783" s="2">
        <v>41038</v>
      </c>
      <c r="B3783">
        <f>8/(100)</f>
        <v>0.08</v>
      </c>
      <c r="C3783">
        <f>8.064/(100)</f>
        <v>8.0640000000000003E-2</v>
      </c>
    </row>
    <row r="3784" spans="1:3" x14ac:dyDescent="0.3">
      <c r="A3784" s="2">
        <v>41039</v>
      </c>
      <c r="B3784">
        <f>8/(100)</f>
        <v>0.08</v>
      </c>
      <c r="C3784">
        <f>8.095/(100)</f>
        <v>8.0950000000000008E-2</v>
      </c>
    </row>
    <row r="3785" spans="1:3" x14ac:dyDescent="0.3">
      <c r="A3785" s="2">
        <v>41040</v>
      </c>
      <c r="B3785">
        <f>8/(100)</f>
        <v>0.08</v>
      </c>
      <c r="C3785">
        <f>8.102/(100)</f>
        <v>8.1020000000000009E-2</v>
      </c>
    </row>
    <row r="3786" spans="1:3" x14ac:dyDescent="0.3">
      <c r="A3786" s="2">
        <v>41041</v>
      </c>
      <c r="B3786">
        <f>8/(100)</f>
        <v>0.08</v>
      </c>
      <c r="C3786">
        <f>8.102/(100)</f>
        <v>8.1020000000000009E-2</v>
      </c>
    </row>
    <row r="3787" spans="1:3" x14ac:dyDescent="0.3">
      <c r="A3787" s="2">
        <v>41042</v>
      </c>
      <c r="B3787">
        <f>8/(100)</f>
        <v>0.08</v>
      </c>
      <c r="C3787">
        <f>8.102/(100)</f>
        <v>8.1020000000000009E-2</v>
      </c>
    </row>
    <row r="3788" spans="1:3" x14ac:dyDescent="0.3">
      <c r="A3788" s="2">
        <v>41043</v>
      </c>
      <c r="B3788">
        <f>8/(100)</f>
        <v>0.08</v>
      </c>
      <c r="C3788">
        <f>8.104/(100)</f>
        <v>8.1039999999999987E-2</v>
      </c>
    </row>
    <row r="3789" spans="1:3" x14ac:dyDescent="0.3">
      <c r="A3789" s="2">
        <v>41044</v>
      </c>
      <c r="B3789">
        <f>8/(100)</f>
        <v>0.08</v>
      </c>
      <c r="C3789">
        <f>8.109/(100)</f>
        <v>8.1089999999999995E-2</v>
      </c>
    </row>
    <row r="3790" spans="1:3" x14ac:dyDescent="0.3">
      <c r="A3790" s="2">
        <v>41045</v>
      </c>
      <c r="B3790">
        <f>8/(100)</f>
        <v>0.08</v>
      </c>
      <c r="C3790">
        <f>8.09/(100)</f>
        <v>8.09E-2</v>
      </c>
    </row>
    <row r="3791" spans="1:3" x14ac:dyDescent="0.3">
      <c r="A3791" s="2">
        <v>41046</v>
      </c>
      <c r="B3791">
        <f>8/(100)</f>
        <v>0.08</v>
      </c>
      <c r="C3791">
        <f>8.132/(100)</f>
        <v>8.1320000000000003E-2</v>
      </c>
    </row>
    <row r="3792" spans="1:3" x14ac:dyDescent="0.3">
      <c r="A3792" s="2">
        <v>41047</v>
      </c>
      <c r="B3792">
        <f>8/(100)</f>
        <v>0.08</v>
      </c>
      <c r="C3792">
        <f>8.161/(100)</f>
        <v>8.1610000000000002E-2</v>
      </c>
    </row>
    <row r="3793" spans="1:3" x14ac:dyDescent="0.3">
      <c r="A3793" s="2">
        <v>41048</v>
      </c>
      <c r="B3793">
        <f>8/(100)</f>
        <v>0.08</v>
      </c>
      <c r="C3793">
        <f>8.161/(100)</f>
        <v>8.1610000000000002E-2</v>
      </c>
    </row>
    <row r="3794" spans="1:3" x14ac:dyDescent="0.3">
      <c r="A3794" s="2">
        <v>41049</v>
      </c>
      <c r="B3794">
        <f>8/(100)</f>
        <v>0.08</v>
      </c>
      <c r="C3794">
        <f>8.161/(100)</f>
        <v>8.1610000000000002E-2</v>
      </c>
    </row>
    <row r="3795" spans="1:3" x14ac:dyDescent="0.3">
      <c r="A3795" s="2">
        <v>41050</v>
      </c>
      <c r="B3795">
        <f>8/(100)</f>
        <v>0.08</v>
      </c>
      <c r="C3795">
        <f>8.107/(100)</f>
        <v>8.1069999999999989E-2</v>
      </c>
    </row>
    <row r="3796" spans="1:3" x14ac:dyDescent="0.3">
      <c r="A3796" s="2">
        <v>41051</v>
      </c>
      <c r="B3796">
        <f>8/(100)</f>
        <v>0.08</v>
      </c>
      <c r="C3796">
        <f>8.115/(100)</f>
        <v>8.115E-2</v>
      </c>
    </row>
    <row r="3797" spans="1:3" x14ac:dyDescent="0.3">
      <c r="A3797" s="2">
        <v>41052</v>
      </c>
      <c r="B3797">
        <f>8/(100)</f>
        <v>0.08</v>
      </c>
      <c r="C3797">
        <f>8.09/(100)</f>
        <v>8.09E-2</v>
      </c>
    </row>
    <row r="3798" spans="1:3" x14ac:dyDescent="0.3">
      <c r="A3798" s="2">
        <v>41053</v>
      </c>
      <c r="B3798">
        <f>8/(100)</f>
        <v>0.08</v>
      </c>
      <c r="C3798">
        <f>8.117/(100)</f>
        <v>8.1170000000000006E-2</v>
      </c>
    </row>
    <row r="3799" spans="1:3" x14ac:dyDescent="0.3">
      <c r="A3799" s="2">
        <v>41054</v>
      </c>
      <c r="B3799">
        <f>8/(100)</f>
        <v>0.08</v>
      </c>
      <c r="C3799">
        <f>8.123/(100)</f>
        <v>8.1229999999999997E-2</v>
      </c>
    </row>
    <row r="3800" spans="1:3" x14ac:dyDescent="0.3">
      <c r="A3800" s="2">
        <v>41055</v>
      </c>
      <c r="B3800">
        <f>8/(100)</f>
        <v>0.08</v>
      </c>
      <c r="C3800">
        <f>8.123/(100)</f>
        <v>8.1229999999999997E-2</v>
      </c>
    </row>
    <row r="3801" spans="1:3" x14ac:dyDescent="0.3">
      <c r="A3801" s="2">
        <v>41056</v>
      </c>
      <c r="B3801">
        <f>8/(100)</f>
        <v>0.08</v>
      </c>
      <c r="C3801">
        <f>8.123/(100)</f>
        <v>8.1229999999999997E-2</v>
      </c>
    </row>
    <row r="3802" spans="1:3" x14ac:dyDescent="0.3">
      <c r="A3802" s="2">
        <v>41057</v>
      </c>
      <c r="B3802">
        <f>8/(100)</f>
        <v>0.08</v>
      </c>
      <c r="C3802">
        <f>8.124/(100)</f>
        <v>8.1240000000000007E-2</v>
      </c>
    </row>
    <row r="3803" spans="1:3" x14ac:dyDescent="0.3">
      <c r="A3803" s="2">
        <v>41058</v>
      </c>
      <c r="B3803">
        <f>8/(100)</f>
        <v>0.08</v>
      </c>
      <c r="C3803">
        <f>8.141/(100)</f>
        <v>8.1409999999999996E-2</v>
      </c>
    </row>
    <row r="3804" spans="1:3" x14ac:dyDescent="0.3">
      <c r="A3804" s="2">
        <v>41059</v>
      </c>
      <c r="B3804">
        <f>8/(100)</f>
        <v>0.08</v>
      </c>
      <c r="C3804">
        <f>8.124/(100)</f>
        <v>8.1240000000000007E-2</v>
      </c>
    </row>
    <row r="3805" spans="1:3" x14ac:dyDescent="0.3">
      <c r="A3805" s="2">
        <v>41060</v>
      </c>
      <c r="B3805">
        <f>8/(100)</f>
        <v>0.08</v>
      </c>
      <c r="C3805">
        <f>8.126/(100)</f>
        <v>8.1259999999999999E-2</v>
      </c>
    </row>
    <row r="3806" spans="1:3" x14ac:dyDescent="0.3">
      <c r="A3806" s="2">
        <v>41061</v>
      </c>
      <c r="B3806">
        <f>8/(100)</f>
        <v>0.08</v>
      </c>
      <c r="C3806">
        <f>8.084/(100)</f>
        <v>8.0839999999999995E-2</v>
      </c>
    </row>
    <row r="3807" spans="1:3" x14ac:dyDescent="0.3">
      <c r="A3807" s="2">
        <v>41062</v>
      </c>
      <c r="B3807">
        <f>8/(100)</f>
        <v>0.08</v>
      </c>
      <c r="C3807">
        <f>8.084/(100)</f>
        <v>8.0839999999999995E-2</v>
      </c>
    </row>
    <row r="3808" spans="1:3" x14ac:dyDescent="0.3">
      <c r="A3808" s="2">
        <v>41063</v>
      </c>
      <c r="B3808">
        <f>8/(100)</f>
        <v>0.08</v>
      </c>
      <c r="C3808">
        <f>8.084/(100)</f>
        <v>8.0839999999999995E-2</v>
      </c>
    </row>
    <row r="3809" spans="1:3" x14ac:dyDescent="0.3">
      <c r="A3809" s="2">
        <v>41064</v>
      </c>
      <c r="B3809">
        <f>8/(100)</f>
        <v>0.08</v>
      </c>
      <c r="C3809">
        <f>8.086/(100)</f>
        <v>8.0860000000000001E-2</v>
      </c>
    </row>
    <row r="3810" spans="1:3" x14ac:dyDescent="0.3">
      <c r="A3810" s="2">
        <v>41065</v>
      </c>
      <c r="B3810">
        <f>8/(100)</f>
        <v>0.08</v>
      </c>
      <c r="C3810">
        <f>8.025/(100)</f>
        <v>8.0250000000000002E-2</v>
      </c>
    </row>
    <row r="3811" spans="1:3" x14ac:dyDescent="0.3">
      <c r="A3811" s="2">
        <v>41066</v>
      </c>
      <c r="B3811">
        <f>8/(100)</f>
        <v>0.08</v>
      </c>
      <c r="C3811">
        <f>7.998/(100)</f>
        <v>7.9979999999999996E-2</v>
      </c>
    </row>
    <row r="3812" spans="1:3" x14ac:dyDescent="0.3">
      <c r="A3812" s="2">
        <v>41067</v>
      </c>
      <c r="B3812">
        <f>8/(100)</f>
        <v>0.08</v>
      </c>
      <c r="C3812">
        <f>7.998/(100)</f>
        <v>7.9979999999999996E-2</v>
      </c>
    </row>
    <row r="3813" spans="1:3" x14ac:dyDescent="0.3">
      <c r="A3813" s="2">
        <v>41068</v>
      </c>
      <c r="B3813">
        <f>8/(100)</f>
        <v>0.08</v>
      </c>
      <c r="C3813">
        <f>7.998/(100)</f>
        <v>7.9979999999999996E-2</v>
      </c>
    </row>
    <row r="3814" spans="1:3" x14ac:dyDescent="0.3">
      <c r="A3814" s="2">
        <v>41069</v>
      </c>
      <c r="B3814">
        <f>8/(100)</f>
        <v>0.08</v>
      </c>
      <c r="C3814">
        <f>7.998/(100)</f>
        <v>7.9979999999999996E-2</v>
      </c>
    </row>
    <row r="3815" spans="1:3" x14ac:dyDescent="0.3">
      <c r="A3815" s="2">
        <v>41070</v>
      </c>
      <c r="B3815">
        <f>8/(100)</f>
        <v>0.08</v>
      </c>
      <c r="C3815">
        <f>7.998/(100)</f>
        <v>7.9979999999999996E-2</v>
      </c>
    </row>
    <row r="3816" spans="1:3" x14ac:dyDescent="0.3">
      <c r="A3816" s="2">
        <v>41071</v>
      </c>
      <c r="B3816">
        <f>8/(100)</f>
        <v>0.08</v>
      </c>
      <c r="C3816">
        <f>7.999/(100)</f>
        <v>7.9989999999999992E-2</v>
      </c>
    </row>
    <row r="3817" spans="1:3" x14ac:dyDescent="0.3">
      <c r="A3817" s="2">
        <v>41072</v>
      </c>
      <c r="B3817">
        <f>8/(100)</f>
        <v>0.08</v>
      </c>
      <c r="C3817">
        <f>7.907/(100)</f>
        <v>7.9070000000000001E-2</v>
      </c>
    </row>
    <row r="3818" spans="1:3" x14ac:dyDescent="0.3">
      <c r="A3818" s="2">
        <v>41073</v>
      </c>
      <c r="B3818">
        <f>8/(100)</f>
        <v>0.08</v>
      </c>
      <c r="C3818">
        <f>7.932/(100)</f>
        <v>7.9320000000000002E-2</v>
      </c>
    </row>
    <row r="3819" spans="1:3" x14ac:dyDescent="0.3">
      <c r="A3819" s="2">
        <v>41074</v>
      </c>
      <c r="B3819">
        <f>8/(100)</f>
        <v>0.08</v>
      </c>
      <c r="C3819">
        <f>7.934/(100)</f>
        <v>7.9340000000000008E-2</v>
      </c>
    </row>
    <row r="3820" spans="1:3" x14ac:dyDescent="0.3">
      <c r="A3820" s="2">
        <v>41075</v>
      </c>
      <c r="B3820">
        <f>8/(100)</f>
        <v>0.08</v>
      </c>
      <c r="C3820">
        <f>7.934/(100)</f>
        <v>7.9340000000000008E-2</v>
      </c>
    </row>
    <row r="3821" spans="1:3" x14ac:dyDescent="0.3">
      <c r="A3821" s="2">
        <v>41076</v>
      </c>
      <c r="B3821">
        <f>8/(100)</f>
        <v>0.08</v>
      </c>
      <c r="C3821">
        <f>7.934/(100)</f>
        <v>7.9340000000000008E-2</v>
      </c>
    </row>
    <row r="3822" spans="1:3" x14ac:dyDescent="0.3">
      <c r="A3822" s="2">
        <v>41077</v>
      </c>
      <c r="B3822">
        <f>8/(100)</f>
        <v>0.08</v>
      </c>
      <c r="C3822">
        <f>7.934/(100)</f>
        <v>7.9340000000000008E-2</v>
      </c>
    </row>
    <row r="3823" spans="1:3" x14ac:dyDescent="0.3">
      <c r="A3823" s="2">
        <v>41078</v>
      </c>
      <c r="B3823">
        <f>8/(100)</f>
        <v>0.08</v>
      </c>
      <c r="C3823">
        <f>7.934/(100)</f>
        <v>7.9340000000000008E-2</v>
      </c>
    </row>
    <row r="3824" spans="1:3" x14ac:dyDescent="0.3">
      <c r="A3824" s="2">
        <v>41079</v>
      </c>
      <c r="B3824">
        <f>8/(100)</f>
        <v>0.08</v>
      </c>
      <c r="C3824">
        <f>7.934/(100)</f>
        <v>7.9340000000000008E-2</v>
      </c>
    </row>
    <row r="3825" spans="1:3" x14ac:dyDescent="0.3">
      <c r="A3825" s="2">
        <v>41080</v>
      </c>
      <c r="B3825">
        <f>8/(100)</f>
        <v>0.08</v>
      </c>
      <c r="C3825">
        <f>8.038/(100)</f>
        <v>8.0380000000000007E-2</v>
      </c>
    </row>
    <row r="3826" spans="1:3" x14ac:dyDescent="0.3">
      <c r="A3826" s="2">
        <v>41081</v>
      </c>
      <c r="B3826">
        <f>8/(100)</f>
        <v>0.08</v>
      </c>
      <c r="C3826">
        <f>8.08/(100)</f>
        <v>8.0799999999999997E-2</v>
      </c>
    </row>
    <row r="3827" spans="1:3" x14ac:dyDescent="0.3">
      <c r="A3827" s="2">
        <v>41082</v>
      </c>
      <c r="B3827">
        <f>8/(100)</f>
        <v>0.08</v>
      </c>
      <c r="C3827">
        <f>8.021/(100)</f>
        <v>8.0210000000000004E-2</v>
      </c>
    </row>
    <row r="3828" spans="1:3" x14ac:dyDescent="0.3">
      <c r="A3828" s="2">
        <v>41083</v>
      </c>
      <c r="B3828">
        <f>8/(100)</f>
        <v>0.08</v>
      </c>
      <c r="C3828">
        <f>8.021/(100)</f>
        <v>8.0210000000000004E-2</v>
      </c>
    </row>
    <row r="3829" spans="1:3" x14ac:dyDescent="0.3">
      <c r="A3829" s="2">
        <v>41084</v>
      </c>
      <c r="B3829">
        <f>8/(100)</f>
        <v>0.08</v>
      </c>
      <c r="C3829">
        <f>8.021/(100)</f>
        <v>8.0210000000000004E-2</v>
      </c>
    </row>
    <row r="3830" spans="1:3" x14ac:dyDescent="0.3">
      <c r="A3830" s="2">
        <v>41085</v>
      </c>
      <c r="B3830">
        <f>8/(100)</f>
        <v>0.08</v>
      </c>
      <c r="C3830">
        <f>8.022/(100)</f>
        <v>8.022E-2</v>
      </c>
    </row>
    <row r="3831" spans="1:3" x14ac:dyDescent="0.3">
      <c r="A3831" s="2">
        <v>41086</v>
      </c>
      <c r="B3831">
        <f>8/(100)</f>
        <v>0.08</v>
      </c>
      <c r="C3831">
        <f>8.06/(100)</f>
        <v>8.0600000000000005E-2</v>
      </c>
    </row>
    <row r="3832" spans="1:3" x14ac:dyDescent="0.3">
      <c r="A3832" s="2">
        <v>41087</v>
      </c>
      <c r="B3832">
        <f>8/(100)</f>
        <v>0.08</v>
      </c>
      <c r="C3832">
        <f>7.98/(100)</f>
        <v>7.980000000000001E-2</v>
      </c>
    </row>
    <row r="3833" spans="1:3" x14ac:dyDescent="0.3">
      <c r="A3833" s="2">
        <v>41088</v>
      </c>
      <c r="B3833">
        <f>8/(100)</f>
        <v>0.08</v>
      </c>
      <c r="C3833">
        <f>7.979/(100)</f>
        <v>7.979E-2</v>
      </c>
    </row>
    <row r="3834" spans="1:3" x14ac:dyDescent="0.3">
      <c r="A3834" s="2">
        <v>41089</v>
      </c>
      <c r="B3834">
        <f>8/(100)</f>
        <v>0.08</v>
      </c>
      <c r="C3834">
        <f>7.985/(100)</f>
        <v>7.9850000000000004E-2</v>
      </c>
    </row>
    <row r="3835" spans="1:3" x14ac:dyDescent="0.3">
      <c r="A3835" s="2">
        <v>41090</v>
      </c>
      <c r="B3835">
        <f>8/(100)</f>
        <v>0.08</v>
      </c>
      <c r="C3835">
        <f>7.985/(100)</f>
        <v>7.9850000000000004E-2</v>
      </c>
    </row>
    <row r="3836" spans="1:3" x14ac:dyDescent="0.3">
      <c r="A3836" s="2">
        <v>41091</v>
      </c>
      <c r="B3836">
        <f>8/(100)</f>
        <v>0.08</v>
      </c>
      <c r="C3836">
        <f>7.985/(100)</f>
        <v>7.9850000000000004E-2</v>
      </c>
    </row>
    <row r="3837" spans="1:3" x14ac:dyDescent="0.3">
      <c r="A3837" s="2">
        <v>41092</v>
      </c>
      <c r="B3837">
        <f>8/(100)</f>
        <v>0.08</v>
      </c>
      <c r="C3837">
        <f>7.985/(100)</f>
        <v>7.9850000000000004E-2</v>
      </c>
    </row>
    <row r="3838" spans="1:3" x14ac:dyDescent="0.3">
      <c r="A3838" s="2">
        <v>41093</v>
      </c>
      <c r="B3838">
        <f>8/(100)</f>
        <v>0.08</v>
      </c>
      <c r="C3838">
        <f>7.989/(100)</f>
        <v>7.9890000000000003E-2</v>
      </c>
    </row>
    <row r="3839" spans="1:3" x14ac:dyDescent="0.3">
      <c r="A3839" s="2">
        <v>41094</v>
      </c>
      <c r="B3839">
        <f>8/(100)</f>
        <v>0.08</v>
      </c>
      <c r="C3839">
        <f>7.987/(100)</f>
        <v>7.9869999999999997E-2</v>
      </c>
    </row>
    <row r="3840" spans="1:3" x14ac:dyDescent="0.3">
      <c r="A3840" s="2">
        <v>41095</v>
      </c>
      <c r="B3840">
        <f>8/(100)</f>
        <v>0.08</v>
      </c>
      <c r="C3840">
        <f>7.987/(100)</f>
        <v>7.9869999999999997E-2</v>
      </c>
    </row>
    <row r="3841" spans="1:3" x14ac:dyDescent="0.3">
      <c r="A3841" s="2">
        <v>41096</v>
      </c>
      <c r="B3841">
        <f>8/(100)</f>
        <v>0.08</v>
      </c>
      <c r="C3841">
        <f>7.993/(100)</f>
        <v>7.9930000000000001E-2</v>
      </c>
    </row>
    <row r="3842" spans="1:3" x14ac:dyDescent="0.3">
      <c r="A3842" s="2">
        <v>41097</v>
      </c>
      <c r="B3842">
        <f>8/(100)</f>
        <v>0.08</v>
      </c>
      <c r="C3842">
        <f>7.993/(100)</f>
        <v>7.9930000000000001E-2</v>
      </c>
    </row>
    <row r="3843" spans="1:3" x14ac:dyDescent="0.3">
      <c r="A3843" s="2">
        <v>41098</v>
      </c>
      <c r="B3843">
        <f>8/(100)</f>
        <v>0.08</v>
      </c>
      <c r="C3843">
        <f>7.993/(100)</f>
        <v>7.9930000000000001E-2</v>
      </c>
    </row>
    <row r="3844" spans="1:3" x14ac:dyDescent="0.3">
      <c r="A3844" s="2">
        <v>41099</v>
      </c>
      <c r="B3844">
        <f>8/(100)</f>
        <v>0.08</v>
      </c>
      <c r="C3844">
        <f>7.995/(100)</f>
        <v>7.9950000000000007E-2</v>
      </c>
    </row>
    <row r="3845" spans="1:3" x14ac:dyDescent="0.3">
      <c r="A3845" s="2">
        <v>41100</v>
      </c>
      <c r="B3845">
        <f>8/(100)</f>
        <v>0.08</v>
      </c>
      <c r="C3845">
        <f>7.993/(100)</f>
        <v>7.9930000000000001E-2</v>
      </c>
    </row>
    <row r="3846" spans="1:3" x14ac:dyDescent="0.3">
      <c r="A3846" s="2">
        <v>41101</v>
      </c>
      <c r="B3846">
        <f>8/(100)</f>
        <v>0.08</v>
      </c>
      <c r="C3846">
        <f>7.955/(100)</f>
        <v>7.9549999999999996E-2</v>
      </c>
    </row>
    <row r="3847" spans="1:3" x14ac:dyDescent="0.3">
      <c r="A3847" s="2">
        <v>41102</v>
      </c>
      <c r="B3847">
        <f>8/(100)</f>
        <v>0.08</v>
      </c>
      <c r="C3847">
        <f>7.915/(100)</f>
        <v>7.9149999999999998E-2</v>
      </c>
    </row>
    <row r="3848" spans="1:3" x14ac:dyDescent="0.3">
      <c r="A3848" s="2">
        <v>41103</v>
      </c>
      <c r="B3848">
        <f>8/(100)</f>
        <v>0.08</v>
      </c>
      <c r="C3848">
        <f>8.008/(100)</f>
        <v>8.0079999999999985E-2</v>
      </c>
    </row>
    <row r="3849" spans="1:3" x14ac:dyDescent="0.3">
      <c r="A3849" s="2">
        <v>41104</v>
      </c>
      <c r="B3849">
        <f>8/(100)</f>
        <v>0.08</v>
      </c>
      <c r="C3849">
        <f>8.008/(100)</f>
        <v>8.0079999999999985E-2</v>
      </c>
    </row>
    <row r="3850" spans="1:3" x14ac:dyDescent="0.3">
      <c r="A3850" s="2">
        <v>41105</v>
      </c>
      <c r="B3850">
        <f>8/(100)</f>
        <v>0.08</v>
      </c>
      <c r="C3850">
        <f>8.008/(100)</f>
        <v>8.0079999999999985E-2</v>
      </c>
    </row>
    <row r="3851" spans="1:3" x14ac:dyDescent="0.3">
      <c r="A3851" s="2">
        <v>41106</v>
      </c>
      <c r="B3851">
        <f>8/(100)</f>
        <v>0.08</v>
      </c>
      <c r="C3851">
        <f>8.01/(100)</f>
        <v>8.0100000000000005E-2</v>
      </c>
    </row>
    <row r="3852" spans="1:3" x14ac:dyDescent="0.3">
      <c r="A3852" s="2">
        <v>41107</v>
      </c>
      <c r="B3852">
        <f>8/(100)</f>
        <v>0.08</v>
      </c>
      <c r="C3852">
        <f>7.993/(100)</f>
        <v>7.9930000000000001E-2</v>
      </c>
    </row>
    <row r="3853" spans="1:3" x14ac:dyDescent="0.3">
      <c r="A3853" s="2">
        <v>41108</v>
      </c>
      <c r="B3853">
        <f>8/(100)</f>
        <v>0.08</v>
      </c>
      <c r="C3853">
        <f>7.944/(100)</f>
        <v>7.9439999999999997E-2</v>
      </c>
    </row>
    <row r="3854" spans="1:3" x14ac:dyDescent="0.3">
      <c r="A3854" s="2">
        <v>41109</v>
      </c>
      <c r="B3854">
        <f>8/(100)</f>
        <v>0.08</v>
      </c>
      <c r="C3854">
        <f>7.967/(100)</f>
        <v>7.9669999999999991E-2</v>
      </c>
    </row>
    <row r="3855" spans="1:3" x14ac:dyDescent="0.3">
      <c r="A3855" s="2">
        <v>41110</v>
      </c>
      <c r="B3855">
        <f>8/(100)</f>
        <v>0.08</v>
      </c>
      <c r="C3855">
        <f>7.96/(100)</f>
        <v>7.9600000000000004E-2</v>
      </c>
    </row>
    <row r="3856" spans="1:3" x14ac:dyDescent="0.3">
      <c r="A3856" s="2">
        <v>41111</v>
      </c>
      <c r="B3856">
        <f>8/(100)</f>
        <v>0.08</v>
      </c>
      <c r="C3856">
        <f>7.96/(100)</f>
        <v>7.9600000000000004E-2</v>
      </c>
    </row>
    <row r="3857" spans="1:3" x14ac:dyDescent="0.3">
      <c r="A3857" s="2">
        <v>41112</v>
      </c>
      <c r="B3857">
        <f>8/(100)</f>
        <v>0.08</v>
      </c>
      <c r="C3857">
        <f>7.96/(100)</f>
        <v>7.9600000000000004E-2</v>
      </c>
    </row>
    <row r="3858" spans="1:3" x14ac:dyDescent="0.3">
      <c r="A3858" s="2">
        <v>41113</v>
      </c>
      <c r="B3858">
        <f>8/(100)</f>
        <v>0.08</v>
      </c>
      <c r="C3858">
        <f>7.88/(100)</f>
        <v>7.8799999999999995E-2</v>
      </c>
    </row>
    <row r="3859" spans="1:3" x14ac:dyDescent="0.3">
      <c r="A3859" s="2">
        <v>41114</v>
      </c>
      <c r="B3859">
        <f>8/(100)</f>
        <v>0.08</v>
      </c>
      <c r="C3859">
        <f>7.881/(100)</f>
        <v>7.8810000000000005E-2</v>
      </c>
    </row>
    <row r="3860" spans="1:3" x14ac:dyDescent="0.3">
      <c r="A3860" s="2">
        <v>41115</v>
      </c>
      <c r="B3860">
        <f>8/(100)</f>
        <v>0.08</v>
      </c>
      <c r="C3860">
        <f>7.886/(100)</f>
        <v>7.886E-2</v>
      </c>
    </row>
    <row r="3861" spans="1:3" x14ac:dyDescent="0.3">
      <c r="A3861" s="2">
        <v>41116</v>
      </c>
      <c r="B3861">
        <f>8/(100)</f>
        <v>0.08</v>
      </c>
      <c r="C3861">
        <f>7.932/(100)</f>
        <v>7.9320000000000002E-2</v>
      </c>
    </row>
    <row r="3862" spans="1:3" x14ac:dyDescent="0.3">
      <c r="A3862" s="2">
        <v>41117</v>
      </c>
      <c r="B3862">
        <f>8/(100)</f>
        <v>0.08</v>
      </c>
      <c r="C3862">
        <f>7.956/(100)</f>
        <v>7.9560000000000006E-2</v>
      </c>
    </row>
    <row r="3863" spans="1:3" x14ac:dyDescent="0.3">
      <c r="A3863" s="2">
        <v>41118</v>
      </c>
      <c r="B3863">
        <f>8/(100)</f>
        <v>0.08</v>
      </c>
      <c r="C3863">
        <f>7.956/(100)</f>
        <v>7.9560000000000006E-2</v>
      </c>
    </row>
    <row r="3864" spans="1:3" x14ac:dyDescent="0.3">
      <c r="A3864" s="2">
        <v>41119</v>
      </c>
      <c r="B3864">
        <f>8/(100)</f>
        <v>0.08</v>
      </c>
      <c r="C3864">
        <f>7.956/(100)</f>
        <v>7.9560000000000006E-2</v>
      </c>
    </row>
    <row r="3865" spans="1:3" x14ac:dyDescent="0.3">
      <c r="A3865" s="2">
        <v>41120</v>
      </c>
      <c r="B3865">
        <f>8/(100)</f>
        <v>0.08</v>
      </c>
      <c r="C3865">
        <f>7.964/(100)</f>
        <v>7.9640000000000002E-2</v>
      </c>
    </row>
    <row r="3866" spans="1:3" x14ac:dyDescent="0.3">
      <c r="A3866" s="2">
        <v>41121</v>
      </c>
      <c r="B3866">
        <f>8/(100)</f>
        <v>0.08</v>
      </c>
      <c r="C3866">
        <f>8.082/(100)</f>
        <v>8.0820000000000003E-2</v>
      </c>
    </row>
    <row r="3867" spans="1:3" x14ac:dyDescent="0.3">
      <c r="A3867" s="2">
        <v>41122</v>
      </c>
      <c r="B3867">
        <f>8/(100)</f>
        <v>0.08</v>
      </c>
      <c r="C3867">
        <f>8.237/(100)</f>
        <v>8.2369999999999999E-2</v>
      </c>
    </row>
    <row r="3868" spans="1:3" x14ac:dyDescent="0.3">
      <c r="A3868" s="2">
        <v>41123</v>
      </c>
      <c r="B3868">
        <f>8/(100)</f>
        <v>0.08</v>
      </c>
      <c r="C3868">
        <f>8.045/(100)</f>
        <v>8.0449999999999994E-2</v>
      </c>
    </row>
    <row r="3869" spans="1:3" x14ac:dyDescent="0.3">
      <c r="A3869" s="2">
        <v>41124</v>
      </c>
      <c r="B3869">
        <f>8/(100)</f>
        <v>0.08</v>
      </c>
      <c r="C3869">
        <f>8.003/(100)</f>
        <v>8.0030000000000004E-2</v>
      </c>
    </row>
    <row r="3870" spans="1:3" x14ac:dyDescent="0.3">
      <c r="A3870" s="2">
        <v>41125</v>
      </c>
      <c r="B3870">
        <f>8/(100)</f>
        <v>0.08</v>
      </c>
      <c r="C3870">
        <f>8.003/(100)</f>
        <v>8.0030000000000004E-2</v>
      </c>
    </row>
    <row r="3871" spans="1:3" x14ac:dyDescent="0.3">
      <c r="A3871" s="2">
        <v>41126</v>
      </c>
      <c r="B3871">
        <f>8/(100)</f>
        <v>0.08</v>
      </c>
      <c r="C3871">
        <f>8.003/(100)</f>
        <v>8.0030000000000004E-2</v>
      </c>
    </row>
    <row r="3872" spans="1:3" x14ac:dyDescent="0.3">
      <c r="A3872" s="2">
        <v>41127</v>
      </c>
      <c r="B3872">
        <f>8/(100)</f>
        <v>0.08</v>
      </c>
      <c r="C3872">
        <f>8.005/(100)</f>
        <v>8.005000000000001E-2</v>
      </c>
    </row>
    <row r="3873" spans="1:3" x14ac:dyDescent="0.3">
      <c r="A3873" s="2">
        <v>41128</v>
      </c>
      <c r="B3873">
        <f>8/(100)</f>
        <v>0.08</v>
      </c>
      <c r="C3873">
        <f>8.006/(100)</f>
        <v>8.0060000000000006E-2</v>
      </c>
    </row>
    <row r="3874" spans="1:3" x14ac:dyDescent="0.3">
      <c r="A3874" s="2">
        <v>41129</v>
      </c>
      <c r="B3874">
        <f>8/(100)</f>
        <v>0.08</v>
      </c>
      <c r="C3874">
        <f>7.998/(100)</f>
        <v>7.9979999999999996E-2</v>
      </c>
    </row>
    <row r="3875" spans="1:3" x14ac:dyDescent="0.3">
      <c r="A3875" s="2">
        <v>41130</v>
      </c>
      <c r="B3875">
        <f>8/(100)</f>
        <v>0.08</v>
      </c>
      <c r="C3875">
        <f>8.011/(100)</f>
        <v>8.0109999999999987E-2</v>
      </c>
    </row>
    <row r="3876" spans="1:3" x14ac:dyDescent="0.3">
      <c r="A3876" s="2">
        <v>41131</v>
      </c>
      <c r="B3876">
        <f>8/(100)</f>
        <v>0.08</v>
      </c>
      <c r="C3876">
        <f>8.017/(100)</f>
        <v>8.0169999999999991E-2</v>
      </c>
    </row>
    <row r="3877" spans="1:3" x14ac:dyDescent="0.3">
      <c r="A3877" s="2">
        <v>41132</v>
      </c>
      <c r="B3877">
        <f>8/(100)</f>
        <v>0.08</v>
      </c>
      <c r="C3877">
        <f>8.017/(100)</f>
        <v>8.0169999999999991E-2</v>
      </c>
    </row>
    <row r="3878" spans="1:3" x14ac:dyDescent="0.3">
      <c r="A3878" s="2">
        <v>41133</v>
      </c>
      <c r="B3878">
        <f>8/(100)</f>
        <v>0.08</v>
      </c>
      <c r="C3878">
        <f>8.017/(100)</f>
        <v>8.0169999999999991E-2</v>
      </c>
    </row>
    <row r="3879" spans="1:3" x14ac:dyDescent="0.3">
      <c r="A3879" s="2">
        <v>41134</v>
      </c>
      <c r="B3879">
        <f>8/(100)</f>
        <v>0.08</v>
      </c>
      <c r="C3879">
        <f>8.019/(100)</f>
        <v>8.0189999999999997E-2</v>
      </c>
    </row>
    <row r="3880" spans="1:3" x14ac:dyDescent="0.3">
      <c r="A3880" s="2">
        <v>41135</v>
      </c>
      <c r="B3880">
        <f>8/(100)</f>
        <v>0.08</v>
      </c>
      <c r="C3880">
        <f>8.023/(100)</f>
        <v>8.0229999999999996E-2</v>
      </c>
    </row>
    <row r="3881" spans="1:3" x14ac:dyDescent="0.3">
      <c r="A3881" s="2">
        <v>41136</v>
      </c>
      <c r="B3881">
        <f>8/(100)</f>
        <v>0.08</v>
      </c>
      <c r="C3881">
        <f>8.021/(100)</f>
        <v>8.0210000000000004E-2</v>
      </c>
    </row>
    <row r="3882" spans="1:3" x14ac:dyDescent="0.3">
      <c r="A3882" s="2">
        <v>41137</v>
      </c>
      <c r="B3882">
        <f>8/(100)</f>
        <v>0.08</v>
      </c>
      <c r="C3882">
        <f>8.027/(100)</f>
        <v>8.0269999999999994E-2</v>
      </c>
    </row>
    <row r="3883" spans="1:3" x14ac:dyDescent="0.3">
      <c r="A3883" s="2">
        <v>41138</v>
      </c>
      <c r="B3883">
        <f>8/(100)</f>
        <v>0.08</v>
      </c>
      <c r="C3883">
        <f>8.035/(100)</f>
        <v>8.0350000000000005E-2</v>
      </c>
    </row>
    <row r="3884" spans="1:3" x14ac:dyDescent="0.3">
      <c r="A3884" s="2">
        <v>41139</v>
      </c>
      <c r="B3884">
        <f>8/(100)</f>
        <v>0.08</v>
      </c>
      <c r="C3884">
        <f>8.035/(100)</f>
        <v>8.0350000000000005E-2</v>
      </c>
    </row>
    <row r="3885" spans="1:3" x14ac:dyDescent="0.3">
      <c r="A3885" s="2">
        <v>41140</v>
      </c>
      <c r="B3885">
        <f>8/(100)</f>
        <v>0.08</v>
      </c>
      <c r="C3885">
        <f>8.035/(100)</f>
        <v>8.0350000000000005E-2</v>
      </c>
    </row>
    <row r="3886" spans="1:3" x14ac:dyDescent="0.3">
      <c r="A3886" s="2">
        <v>41141</v>
      </c>
      <c r="B3886">
        <f>8/(100)</f>
        <v>0.08</v>
      </c>
      <c r="C3886">
        <f>8.035/(100)</f>
        <v>8.0350000000000005E-2</v>
      </c>
    </row>
    <row r="3887" spans="1:3" x14ac:dyDescent="0.3">
      <c r="A3887" s="2">
        <v>41142</v>
      </c>
      <c r="B3887">
        <f>8/(100)</f>
        <v>0.08</v>
      </c>
      <c r="C3887">
        <f>8.059/(100)</f>
        <v>8.0589999999999995E-2</v>
      </c>
    </row>
    <row r="3888" spans="1:3" x14ac:dyDescent="0.3">
      <c r="A3888" s="2">
        <v>41143</v>
      </c>
      <c r="B3888">
        <f>8/(100)</f>
        <v>0.08</v>
      </c>
      <c r="C3888">
        <f>8.041/(100)</f>
        <v>8.0410000000000009E-2</v>
      </c>
    </row>
    <row r="3889" spans="1:3" x14ac:dyDescent="0.3">
      <c r="A3889" s="2">
        <v>41144</v>
      </c>
      <c r="B3889">
        <f>8/(100)</f>
        <v>0.08</v>
      </c>
      <c r="C3889">
        <f>8.033/(100)</f>
        <v>8.0329999999999999E-2</v>
      </c>
    </row>
    <row r="3890" spans="1:3" x14ac:dyDescent="0.3">
      <c r="A3890" s="2">
        <v>41145</v>
      </c>
      <c r="B3890">
        <f>8/(100)</f>
        <v>0.08</v>
      </c>
      <c r="C3890">
        <f>8.037/(100)</f>
        <v>8.0370000000000011E-2</v>
      </c>
    </row>
    <row r="3891" spans="1:3" x14ac:dyDescent="0.3">
      <c r="A3891" s="2">
        <v>41146</v>
      </c>
      <c r="B3891">
        <f>8/(100)</f>
        <v>0.08</v>
      </c>
      <c r="C3891">
        <f>8.037/(100)</f>
        <v>8.0370000000000011E-2</v>
      </c>
    </row>
    <row r="3892" spans="1:3" x14ac:dyDescent="0.3">
      <c r="A3892" s="2">
        <v>41147</v>
      </c>
      <c r="B3892">
        <f>8/(100)</f>
        <v>0.08</v>
      </c>
      <c r="C3892">
        <f>8.037/(100)</f>
        <v>8.0370000000000011E-2</v>
      </c>
    </row>
    <row r="3893" spans="1:3" x14ac:dyDescent="0.3">
      <c r="A3893" s="2">
        <v>41148</v>
      </c>
      <c r="B3893">
        <f>8/(100)</f>
        <v>0.08</v>
      </c>
      <c r="C3893">
        <f>8.053/(100)</f>
        <v>8.0530000000000004E-2</v>
      </c>
    </row>
    <row r="3894" spans="1:3" x14ac:dyDescent="0.3">
      <c r="A3894" s="2">
        <v>41149</v>
      </c>
      <c r="B3894">
        <f>8/(100)</f>
        <v>0.08</v>
      </c>
      <c r="C3894">
        <f>8.044/(100)</f>
        <v>8.0440000000000011E-2</v>
      </c>
    </row>
    <row r="3895" spans="1:3" x14ac:dyDescent="0.3">
      <c r="A3895" s="2">
        <v>41150</v>
      </c>
      <c r="B3895">
        <f>8/(100)</f>
        <v>0.08</v>
      </c>
      <c r="C3895">
        <f>8.033/(100)</f>
        <v>8.0329999999999999E-2</v>
      </c>
    </row>
    <row r="3896" spans="1:3" x14ac:dyDescent="0.3">
      <c r="A3896" s="2">
        <v>41151</v>
      </c>
      <c r="B3896">
        <f>8/(100)</f>
        <v>0.08</v>
      </c>
      <c r="C3896">
        <f>7.954/(100)</f>
        <v>7.954E-2</v>
      </c>
    </row>
    <row r="3897" spans="1:3" x14ac:dyDescent="0.3">
      <c r="A3897" s="2">
        <v>41152</v>
      </c>
      <c r="B3897">
        <f>8/(100)</f>
        <v>0.08</v>
      </c>
      <c r="C3897">
        <f>7.96/(100)</f>
        <v>7.9600000000000004E-2</v>
      </c>
    </row>
    <row r="3898" spans="1:3" x14ac:dyDescent="0.3">
      <c r="A3898" s="2">
        <v>41153</v>
      </c>
      <c r="B3898">
        <f>8/(100)</f>
        <v>0.08</v>
      </c>
      <c r="C3898">
        <f>7.96/(100)</f>
        <v>7.9600000000000004E-2</v>
      </c>
    </row>
    <row r="3899" spans="1:3" x14ac:dyDescent="0.3">
      <c r="A3899" s="2">
        <v>41154</v>
      </c>
      <c r="B3899">
        <f>8/(100)</f>
        <v>0.08</v>
      </c>
      <c r="C3899">
        <f>7.96/(100)</f>
        <v>7.9600000000000004E-2</v>
      </c>
    </row>
    <row r="3900" spans="1:3" x14ac:dyDescent="0.3">
      <c r="A3900" s="2">
        <v>41155</v>
      </c>
      <c r="B3900">
        <f>8/(100)</f>
        <v>0.08</v>
      </c>
      <c r="C3900">
        <f>7.962/(100)</f>
        <v>7.9619999999999996E-2</v>
      </c>
    </row>
    <row r="3901" spans="1:3" x14ac:dyDescent="0.3">
      <c r="A3901" s="2">
        <v>41156</v>
      </c>
      <c r="B3901">
        <f>8/(100)</f>
        <v>0.08</v>
      </c>
      <c r="C3901">
        <f>7.951/(100)</f>
        <v>7.9509999999999997E-2</v>
      </c>
    </row>
    <row r="3902" spans="1:3" x14ac:dyDescent="0.3">
      <c r="A3902" s="2">
        <v>41157</v>
      </c>
      <c r="B3902">
        <f>8/(100)</f>
        <v>0.08</v>
      </c>
      <c r="C3902">
        <f>7.997/(100)</f>
        <v>7.9969999999999999E-2</v>
      </c>
    </row>
    <row r="3903" spans="1:3" x14ac:dyDescent="0.3">
      <c r="A3903" s="2">
        <v>41158</v>
      </c>
      <c r="B3903">
        <f>8/(100)</f>
        <v>0.08</v>
      </c>
      <c r="C3903">
        <f>8.008/(100)</f>
        <v>8.0079999999999985E-2</v>
      </c>
    </row>
    <row r="3904" spans="1:3" x14ac:dyDescent="0.3">
      <c r="A3904" s="2">
        <v>41159</v>
      </c>
      <c r="B3904">
        <f>8/(100)</f>
        <v>0.08</v>
      </c>
      <c r="C3904">
        <f>8.022/(100)</f>
        <v>8.022E-2</v>
      </c>
    </row>
    <row r="3905" spans="1:3" x14ac:dyDescent="0.3">
      <c r="A3905" s="2">
        <v>41160</v>
      </c>
      <c r="B3905">
        <f>8/(100)</f>
        <v>0.08</v>
      </c>
      <c r="C3905">
        <f>8.022/(100)</f>
        <v>8.022E-2</v>
      </c>
    </row>
    <row r="3906" spans="1:3" x14ac:dyDescent="0.3">
      <c r="A3906" s="2">
        <v>41161</v>
      </c>
      <c r="B3906">
        <f>8/(100)</f>
        <v>0.08</v>
      </c>
      <c r="C3906">
        <f>8.022/(100)</f>
        <v>8.022E-2</v>
      </c>
    </row>
    <row r="3907" spans="1:3" x14ac:dyDescent="0.3">
      <c r="A3907" s="2">
        <v>41162</v>
      </c>
      <c r="B3907">
        <f>8/(100)</f>
        <v>0.08</v>
      </c>
      <c r="C3907">
        <f>8.005/(100)</f>
        <v>8.005000000000001E-2</v>
      </c>
    </row>
    <row r="3908" spans="1:3" x14ac:dyDescent="0.3">
      <c r="A3908" s="2">
        <v>41163</v>
      </c>
      <c r="B3908">
        <f>8/(100)</f>
        <v>0.08</v>
      </c>
      <c r="C3908">
        <f>8.015/(100)</f>
        <v>8.0149999999999999E-2</v>
      </c>
    </row>
    <row r="3909" spans="1:3" x14ac:dyDescent="0.3">
      <c r="A3909" s="2">
        <v>41164</v>
      </c>
      <c r="B3909">
        <f>8/(100)</f>
        <v>0.08</v>
      </c>
      <c r="C3909">
        <f>8.016/(100)</f>
        <v>8.0159999999999995E-2</v>
      </c>
    </row>
    <row r="3910" spans="1:3" x14ac:dyDescent="0.3">
      <c r="A3910" s="2">
        <v>41165</v>
      </c>
      <c r="B3910">
        <f>8/(100)</f>
        <v>0.08</v>
      </c>
      <c r="C3910">
        <f>8.017/(100)</f>
        <v>8.0169999999999991E-2</v>
      </c>
    </row>
    <row r="3911" spans="1:3" x14ac:dyDescent="0.3">
      <c r="A3911" s="2">
        <v>41166</v>
      </c>
      <c r="B3911">
        <f>8/(100)</f>
        <v>0.08</v>
      </c>
      <c r="C3911">
        <f>8.019/(100)</f>
        <v>8.0189999999999997E-2</v>
      </c>
    </row>
    <row r="3912" spans="1:3" x14ac:dyDescent="0.3">
      <c r="A3912" s="2">
        <v>41167</v>
      </c>
      <c r="B3912">
        <f>8/(100)</f>
        <v>0.08</v>
      </c>
      <c r="C3912">
        <f>8.019/(100)</f>
        <v>8.0189999999999997E-2</v>
      </c>
    </row>
    <row r="3913" spans="1:3" x14ac:dyDescent="0.3">
      <c r="A3913" s="2">
        <v>41168</v>
      </c>
      <c r="B3913">
        <f>8/(100)</f>
        <v>0.08</v>
      </c>
      <c r="C3913">
        <f>8.019/(100)</f>
        <v>8.0189999999999997E-2</v>
      </c>
    </row>
    <row r="3914" spans="1:3" x14ac:dyDescent="0.3">
      <c r="A3914" s="2">
        <v>41169</v>
      </c>
      <c r="B3914">
        <f>8/(100)</f>
        <v>0.08</v>
      </c>
      <c r="C3914">
        <f>8.021/(100)</f>
        <v>8.0210000000000004E-2</v>
      </c>
    </row>
    <row r="3915" spans="1:3" x14ac:dyDescent="0.3">
      <c r="A3915" s="2">
        <v>41170</v>
      </c>
      <c r="B3915">
        <f>8/(100)</f>
        <v>0.08</v>
      </c>
      <c r="C3915">
        <f>8.021/(100)</f>
        <v>8.0210000000000004E-2</v>
      </c>
    </row>
    <row r="3916" spans="1:3" x14ac:dyDescent="0.3">
      <c r="A3916" s="2">
        <v>41171</v>
      </c>
      <c r="B3916">
        <f>8/(100)</f>
        <v>0.08</v>
      </c>
      <c r="C3916">
        <f>8.021/(100)</f>
        <v>8.0210000000000004E-2</v>
      </c>
    </row>
    <row r="3917" spans="1:3" x14ac:dyDescent="0.3">
      <c r="A3917" s="2">
        <v>41172</v>
      </c>
      <c r="B3917">
        <f>8/(100)</f>
        <v>0.08</v>
      </c>
      <c r="C3917">
        <f>8.009/(100)</f>
        <v>8.0090000000000008E-2</v>
      </c>
    </row>
    <row r="3918" spans="1:3" x14ac:dyDescent="0.3">
      <c r="A3918" s="2">
        <v>41173</v>
      </c>
      <c r="B3918">
        <f>8/(100)</f>
        <v>0.08</v>
      </c>
      <c r="C3918">
        <f>8.033/(100)</f>
        <v>8.0329999999999999E-2</v>
      </c>
    </row>
    <row r="3919" spans="1:3" x14ac:dyDescent="0.3">
      <c r="A3919" s="2">
        <v>41174</v>
      </c>
      <c r="B3919">
        <f>8/(100)</f>
        <v>0.08</v>
      </c>
      <c r="C3919">
        <f>8.033/(100)</f>
        <v>8.0329999999999999E-2</v>
      </c>
    </row>
    <row r="3920" spans="1:3" x14ac:dyDescent="0.3">
      <c r="A3920" s="2">
        <v>41175</v>
      </c>
      <c r="B3920">
        <f>8/(100)</f>
        <v>0.08</v>
      </c>
      <c r="C3920">
        <f>8.033/(100)</f>
        <v>8.0329999999999999E-2</v>
      </c>
    </row>
    <row r="3921" spans="1:3" x14ac:dyDescent="0.3">
      <c r="A3921" s="2">
        <v>41176</v>
      </c>
      <c r="B3921">
        <f>8/(100)</f>
        <v>0.08</v>
      </c>
      <c r="C3921">
        <f>8.034/(100)</f>
        <v>8.0340000000000009E-2</v>
      </c>
    </row>
    <row r="3922" spans="1:3" x14ac:dyDescent="0.3">
      <c r="A3922" s="2">
        <v>41177</v>
      </c>
      <c r="B3922">
        <f>8/(100)</f>
        <v>0.08</v>
      </c>
      <c r="C3922">
        <f>8.05/(100)</f>
        <v>8.0500000000000002E-2</v>
      </c>
    </row>
    <row r="3923" spans="1:3" x14ac:dyDescent="0.3">
      <c r="A3923" s="2">
        <v>41178</v>
      </c>
      <c r="B3923">
        <f>8/(100)</f>
        <v>0.08</v>
      </c>
      <c r="C3923">
        <f>8.053/(100)</f>
        <v>8.0530000000000004E-2</v>
      </c>
    </row>
    <row r="3924" spans="1:3" x14ac:dyDescent="0.3">
      <c r="A3924" s="2">
        <v>41179</v>
      </c>
      <c r="B3924">
        <f>8/(100)</f>
        <v>0.08</v>
      </c>
      <c r="C3924">
        <f>8.033/(100)</f>
        <v>8.0329999999999999E-2</v>
      </c>
    </row>
    <row r="3925" spans="1:3" x14ac:dyDescent="0.3">
      <c r="A3925" s="2">
        <v>41180</v>
      </c>
      <c r="B3925">
        <f>8/(100)</f>
        <v>0.08</v>
      </c>
      <c r="C3925">
        <f>8.01/(100)</f>
        <v>8.0100000000000005E-2</v>
      </c>
    </row>
    <row r="3926" spans="1:3" x14ac:dyDescent="0.3">
      <c r="A3926" s="2">
        <v>41181</v>
      </c>
      <c r="B3926">
        <f>8/(100)</f>
        <v>0.08</v>
      </c>
      <c r="C3926">
        <f>8.01/(100)</f>
        <v>8.0100000000000005E-2</v>
      </c>
    </row>
    <row r="3927" spans="1:3" x14ac:dyDescent="0.3">
      <c r="A3927" s="2">
        <v>41182</v>
      </c>
      <c r="B3927">
        <f>8/(100)</f>
        <v>0.08</v>
      </c>
      <c r="C3927">
        <f>8.01/(100)</f>
        <v>8.0100000000000005E-2</v>
      </c>
    </row>
    <row r="3928" spans="1:3" x14ac:dyDescent="0.3">
      <c r="A3928" s="2">
        <v>41183</v>
      </c>
      <c r="B3928">
        <f>8/(100)</f>
        <v>0.08</v>
      </c>
      <c r="C3928">
        <f>8.014/(100)</f>
        <v>8.0139999999999989E-2</v>
      </c>
    </row>
    <row r="3929" spans="1:3" x14ac:dyDescent="0.3">
      <c r="A3929" s="2">
        <v>41184</v>
      </c>
      <c r="B3929">
        <f>8/(100)</f>
        <v>0.08</v>
      </c>
      <c r="C3929">
        <f>8.014/(100)</f>
        <v>8.0139999999999989E-2</v>
      </c>
    </row>
    <row r="3930" spans="1:3" x14ac:dyDescent="0.3">
      <c r="A3930" s="2">
        <v>41185</v>
      </c>
      <c r="B3930">
        <f>8/(100)</f>
        <v>0.08</v>
      </c>
      <c r="C3930">
        <f>8.001/(100)</f>
        <v>8.0009999999999998E-2</v>
      </c>
    </row>
    <row r="3931" spans="1:3" x14ac:dyDescent="0.3">
      <c r="A3931" s="2">
        <v>41186</v>
      </c>
      <c r="B3931">
        <f>8/(100)</f>
        <v>0.08</v>
      </c>
      <c r="C3931">
        <f>7.999/(100)</f>
        <v>7.9989999999999992E-2</v>
      </c>
    </row>
    <row r="3932" spans="1:3" x14ac:dyDescent="0.3">
      <c r="A3932" s="2">
        <v>41187</v>
      </c>
      <c r="B3932">
        <f>8/(100)</f>
        <v>0.08</v>
      </c>
      <c r="C3932">
        <f>8.005/(100)</f>
        <v>8.005000000000001E-2</v>
      </c>
    </row>
    <row r="3933" spans="1:3" x14ac:dyDescent="0.3">
      <c r="A3933" s="2">
        <v>41188</v>
      </c>
      <c r="B3933">
        <f>8/(100)</f>
        <v>0.08</v>
      </c>
      <c r="C3933">
        <f>8.005/(100)</f>
        <v>8.005000000000001E-2</v>
      </c>
    </row>
    <row r="3934" spans="1:3" x14ac:dyDescent="0.3">
      <c r="A3934" s="2">
        <v>41189</v>
      </c>
      <c r="B3934">
        <f>8/(100)</f>
        <v>0.08</v>
      </c>
      <c r="C3934">
        <f>8.005/(100)</f>
        <v>8.005000000000001E-2</v>
      </c>
    </row>
    <row r="3935" spans="1:3" x14ac:dyDescent="0.3">
      <c r="A3935" s="2">
        <v>41190</v>
      </c>
      <c r="B3935">
        <f>8/(100)</f>
        <v>0.08</v>
      </c>
      <c r="C3935">
        <f>8.016/(100)</f>
        <v>8.0159999999999995E-2</v>
      </c>
    </row>
    <row r="3936" spans="1:3" x14ac:dyDescent="0.3">
      <c r="A3936" s="2">
        <v>41191</v>
      </c>
      <c r="B3936">
        <f>8/(100)</f>
        <v>0.08</v>
      </c>
      <c r="C3936">
        <f>7.967/(100)</f>
        <v>7.9669999999999991E-2</v>
      </c>
    </row>
    <row r="3937" spans="1:3" x14ac:dyDescent="0.3">
      <c r="A3937" s="2">
        <v>41192</v>
      </c>
      <c r="B3937">
        <f>8/(100)</f>
        <v>0.08</v>
      </c>
      <c r="C3937">
        <f>8.092/(100)</f>
        <v>8.0920000000000006E-2</v>
      </c>
    </row>
    <row r="3938" spans="1:3" x14ac:dyDescent="0.3">
      <c r="A3938" s="2">
        <v>41193</v>
      </c>
      <c r="B3938">
        <f>8/(100)</f>
        <v>0.08</v>
      </c>
      <c r="C3938">
        <f>8.005/(100)</f>
        <v>8.005000000000001E-2</v>
      </c>
    </row>
    <row r="3939" spans="1:3" x14ac:dyDescent="0.3">
      <c r="A3939" s="2">
        <v>41194</v>
      </c>
      <c r="B3939">
        <f>8/(100)</f>
        <v>0.08</v>
      </c>
      <c r="C3939">
        <f>8.007/(100)</f>
        <v>8.0070000000000002E-2</v>
      </c>
    </row>
    <row r="3940" spans="1:3" x14ac:dyDescent="0.3">
      <c r="A3940" s="2">
        <v>41195</v>
      </c>
      <c r="B3940">
        <f>8/(100)</f>
        <v>0.08</v>
      </c>
      <c r="C3940">
        <f>8.007/(100)</f>
        <v>8.0070000000000002E-2</v>
      </c>
    </row>
    <row r="3941" spans="1:3" x14ac:dyDescent="0.3">
      <c r="A3941" s="2">
        <v>41196</v>
      </c>
      <c r="B3941">
        <f>8/(100)</f>
        <v>0.08</v>
      </c>
      <c r="C3941">
        <f>8.007/(100)</f>
        <v>8.0070000000000002E-2</v>
      </c>
    </row>
    <row r="3942" spans="1:3" x14ac:dyDescent="0.3">
      <c r="A3942" s="2">
        <v>41197</v>
      </c>
      <c r="B3942">
        <f>8/(100)</f>
        <v>0.08</v>
      </c>
      <c r="C3942">
        <f>8.009/(100)</f>
        <v>8.0090000000000008E-2</v>
      </c>
    </row>
    <row r="3943" spans="1:3" x14ac:dyDescent="0.3">
      <c r="A3943" s="2">
        <v>41198</v>
      </c>
      <c r="B3943">
        <f>8/(100)</f>
        <v>0.08</v>
      </c>
      <c r="C3943">
        <f>8.021/(100)</f>
        <v>8.0210000000000004E-2</v>
      </c>
    </row>
    <row r="3944" spans="1:3" x14ac:dyDescent="0.3">
      <c r="A3944" s="2">
        <v>41199</v>
      </c>
      <c r="B3944">
        <f>8/(100)</f>
        <v>0.08</v>
      </c>
      <c r="C3944">
        <f>8.011/(100)</f>
        <v>8.0109999999999987E-2</v>
      </c>
    </row>
    <row r="3945" spans="1:3" x14ac:dyDescent="0.3">
      <c r="A3945" s="2">
        <v>41200</v>
      </c>
      <c r="B3945">
        <f>8/(100)</f>
        <v>0.08</v>
      </c>
      <c r="C3945">
        <f>7.966/(100)</f>
        <v>7.9660000000000009E-2</v>
      </c>
    </row>
    <row r="3946" spans="1:3" x14ac:dyDescent="0.3">
      <c r="A3946" s="2">
        <v>41201</v>
      </c>
      <c r="B3946">
        <f>8/(100)</f>
        <v>0.08</v>
      </c>
      <c r="C3946">
        <f>7.967/(100)</f>
        <v>7.9669999999999991E-2</v>
      </c>
    </row>
    <row r="3947" spans="1:3" x14ac:dyDescent="0.3">
      <c r="A3947" s="2">
        <v>41202</v>
      </c>
      <c r="B3947">
        <f>8/(100)</f>
        <v>0.08</v>
      </c>
      <c r="C3947">
        <f>7.967/(100)</f>
        <v>7.9669999999999991E-2</v>
      </c>
    </row>
    <row r="3948" spans="1:3" x14ac:dyDescent="0.3">
      <c r="A3948" s="2">
        <v>41203</v>
      </c>
      <c r="B3948">
        <f>8/(100)</f>
        <v>0.08</v>
      </c>
      <c r="C3948">
        <f>7.967/(100)</f>
        <v>7.9669999999999991E-2</v>
      </c>
    </row>
    <row r="3949" spans="1:3" x14ac:dyDescent="0.3">
      <c r="A3949" s="2">
        <v>41204</v>
      </c>
      <c r="B3949">
        <f>8/(100)</f>
        <v>0.08</v>
      </c>
      <c r="C3949">
        <f>7.969/(100)</f>
        <v>7.9689999999999997E-2</v>
      </c>
    </row>
    <row r="3950" spans="1:3" x14ac:dyDescent="0.3">
      <c r="A3950" s="2">
        <v>41205</v>
      </c>
      <c r="B3950">
        <f>8/(100)</f>
        <v>0.08</v>
      </c>
      <c r="C3950">
        <f>7.969/(100)</f>
        <v>7.9689999999999997E-2</v>
      </c>
    </row>
    <row r="3951" spans="1:3" x14ac:dyDescent="0.3">
      <c r="A3951" s="2">
        <v>41206</v>
      </c>
      <c r="B3951">
        <f>8/(100)</f>
        <v>0.08</v>
      </c>
      <c r="C3951">
        <f>7.969/(100)</f>
        <v>7.9689999999999997E-2</v>
      </c>
    </row>
    <row r="3952" spans="1:3" x14ac:dyDescent="0.3">
      <c r="A3952" s="2">
        <v>41207</v>
      </c>
      <c r="B3952">
        <f>8/(100)</f>
        <v>0.08</v>
      </c>
      <c r="C3952">
        <f>7.969/(100)</f>
        <v>7.9689999999999997E-2</v>
      </c>
    </row>
    <row r="3953" spans="1:3" x14ac:dyDescent="0.3">
      <c r="A3953" s="2">
        <v>41208</v>
      </c>
      <c r="B3953">
        <f>8/(100)</f>
        <v>0.08</v>
      </c>
      <c r="C3953">
        <f>7.969/(100)</f>
        <v>7.9689999999999997E-2</v>
      </c>
    </row>
    <row r="3954" spans="1:3" x14ac:dyDescent="0.3">
      <c r="A3954" s="2">
        <v>41209</v>
      </c>
      <c r="B3954">
        <f>8/(100)</f>
        <v>0.08</v>
      </c>
      <c r="C3954">
        <f>7.969/(100)</f>
        <v>7.9689999999999997E-2</v>
      </c>
    </row>
    <row r="3955" spans="1:3" x14ac:dyDescent="0.3">
      <c r="A3955" s="2">
        <v>41210</v>
      </c>
      <c r="B3955">
        <f>8/(100)</f>
        <v>0.08</v>
      </c>
      <c r="C3955">
        <f>7.969/(100)</f>
        <v>7.9689999999999997E-2</v>
      </c>
    </row>
    <row r="3956" spans="1:3" x14ac:dyDescent="0.3">
      <c r="A3956" s="2">
        <v>41211</v>
      </c>
      <c r="B3956">
        <f>8/(100)</f>
        <v>0.08</v>
      </c>
      <c r="C3956">
        <f>7.968/(100)</f>
        <v>7.9680000000000001E-2</v>
      </c>
    </row>
    <row r="3957" spans="1:3" x14ac:dyDescent="0.3">
      <c r="A3957" s="2">
        <v>41212</v>
      </c>
      <c r="B3957">
        <f>8/(100)</f>
        <v>0.08</v>
      </c>
      <c r="C3957">
        <f>7.939/(100)</f>
        <v>7.9390000000000002E-2</v>
      </c>
    </row>
    <row r="3958" spans="1:3" x14ac:dyDescent="0.3">
      <c r="A3958" s="2">
        <v>41213</v>
      </c>
      <c r="B3958">
        <f>8/(100)</f>
        <v>0.08</v>
      </c>
      <c r="C3958">
        <f>8.071/(100)</f>
        <v>8.0710000000000004E-2</v>
      </c>
    </row>
    <row r="3959" spans="1:3" x14ac:dyDescent="0.3">
      <c r="A3959" s="2">
        <v>41214</v>
      </c>
      <c r="B3959">
        <f>8/(100)</f>
        <v>0.08</v>
      </c>
      <c r="C3959">
        <f>8.057/(100)</f>
        <v>8.0570000000000003E-2</v>
      </c>
    </row>
    <row r="3960" spans="1:3" x14ac:dyDescent="0.3">
      <c r="A3960" s="2">
        <v>41215</v>
      </c>
      <c r="B3960">
        <f>8/(100)</f>
        <v>0.08</v>
      </c>
      <c r="C3960">
        <f>7.979/(100)</f>
        <v>7.979E-2</v>
      </c>
    </row>
    <row r="3961" spans="1:3" x14ac:dyDescent="0.3">
      <c r="A3961" s="2">
        <v>41216</v>
      </c>
      <c r="B3961">
        <f>8/(100)</f>
        <v>0.08</v>
      </c>
      <c r="C3961">
        <f>7.979/(100)</f>
        <v>7.979E-2</v>
      </c>
    </row>
    <row r="3962" spans="1:3" x14ac:dyDescent="0.3">
      <c r="A3962" s="2">
        <v>41217</v>
      </c>
      <c r="B3962">
        <f>8/(100)</f>
        <v>0.08</v>
      </c>
      <c r="C3962">
        <f>7.979/(100)</f>
        <v>7.979E-2</v>
      </c>
    </row>
    <row r="3963" spans="1:3" x14ac:dyDescent="0.3">
      <c r="A3963" s="2">
        <v>41218</v>
      </c>
      <c r="B3963">
        <f>8/(100)</f>
        <v>0.08</v>
      </c>
      <c r="C3963">
        <f>7.981/(100)</f>
        <v>7.9809999999999992E-2</v>
      </c>
    </row>
    <row r="3964" spans="1:3" x14ac:dyDescent="0.3">
      <c r="A3964" s="2">
        <v>41219</v>
      </c>
      <c r="B3964">
        <f>8/(100)</f>
        <v>0.08</v>
      </c>
      <c r="C3964">
        <f>8.043/(100)</f>
        <v>8.0429999999999988E-2</v>
      </c>
    </row>
    <row r="3965" spans="1:3" x14ac:dyDescent="0.3">
      <c r="A3965" s="2">
        <v>41220</v>
      </c>
      <c r="B3965">
        <f>8/(100)</f>
        <v>0.08</v>
      </c>
      <c r="C3965">
        <f>8.046/(100)</f>
        <v>8.045999999999999E-2</v>
      </c>
    </row>
    <row r="3966" spans="1:3" x14ac:dyDescent="0.3">
      <c r="A3966" s="2">
        <v>41221</v>
      </c>
      <c r="B3966">
        <f>8/(100)</f>
        <v>0.08</v>
      </c>
      <c r="C3966">
        <f>8.048/(100)</f>
        <v>8.0479999999999996E-2</v>
      </c>
    </row>
    <row r="3967" spans="1:3" x14ac:dyDescent="0.3">
      <c r="A3967" s="2">
        <v>41222</v>
      </c>
      <c r="B3967">
        <f>8/(100)</f>
        <v>0.08</v>
      </c>
      <c r="C3967">
        <f>8.048/(100)</f>
        <v>8.0479999999999996E-2</v>
      </c>
    </row>
    <row r="3968" spans="1:3" x14ac:dyDescent="0.3">
      <c r="A3968" s="2">
        <v>41223</v>
      </c>
      <c r="B3968">
        <f>8/(100)</f>
        <v>0.08</v>
      </c>
      <c r="C3968">
        <f>8.048/(100)</f>
        <v>8.0479999999999996E-2</v>
      </c>
    </row>
    <row r="3969" spans="1:3" x14ac:dyDescent="0.3">
      <c r="A3969" s="2">
        <v>41224</v>
      </c>
      <c r="B3969">
        <f>8/(100)</f>
        <v>0.08</v>
      </c>
      <c r="C3969">
        <f>8.048/(100)</f>
        <v>8.0479999999999996E-2</v>
      </c>
    </row>
    <row r="3970" spans="1:3" x14ac:dyDescent="0.3">
      <c r="A3970" s="2">
        <v>41225</v>
      </c>
      <c r="B3970">
        <f>8/(100)</f>
        <v>0.08</v>
      </c>
      <c r="C3970">
        <f>8.048/(100)</f>
        <v>8.0479999999999996E-2</v>
      </c>
    </row>
    <row r="3971" spans="1:3" x14ac:dyDescent="0.3">
      <c r="A3971" s="2">
        <v>41226</v>
      </c>
      <c r="B3971">
        <f>8/(100)</f>
        <v>0.08</v>
      </c>
      <c r="C3971">
        <f>8.048/(100)</f>
        <v>8.0479999999999996E-2</v>
      </c>
    </row>
    <row r="3972" spans="1:3" x14ac:dyDescent="0.3">
      <c r="A3972" s="2">
        <v>41227</v>
      </c>
      <c r="B3972">
        <f>8/(100)</f>
        <v>0.08</v>
      </c>
      <c r="C3972">
        <f>8.048/(100)</f>
        <v>8.0479999999999996E-2</v>
      </c>
    </row>
    <row r="3973" spans="1:3" x14ac:dyDescent="0.3">
      <c r="A3973" s="2">
        <v>41228</v>
      </c>
      <c r="B3973">
        <f>8/(100)</f>
        <v>0.08</v>
      </c>
      <c r="C3973">
        <f>8.048/(100)</f>
        <v>8.0479999999999996E-2</v>
      </c>
    </row>
    <row r="3974" spans="1:3" x14ac:dyDescent="0.3">
      <c r="A3974" s="2">
        <v>41229</v>
      </c>
      <c r="B3974">
        <f>8/(100)</f>
        <v>0.08</v>
      </c>
      <c r="C3974">
        <f>8.048/(100)</f>
        <v>8.0479999999999996E-2</v>
      </c>
    </row>
    <row r="3975" spans="1:3" x14ac:dyDescent="0.3">
      <c r="A3975" s="2">
        <v>41230</v>
      </c>
      <c r="B3975">
        <f>8/(100)</f>
        <v>0.08</v>
      </c>
      <c r="C3975">
        <f>8.048/(100)</f>
        <v>8.0479999999999996E-2</v>
      </c>
    </row>
    <row r="3976" spans="1:3" x14ac:dyDescent="0.3">
      <c r="A3976" s="2">
        <v>41231</v>
      </c>
      <c r="B3976">
        <f>8/(100)</f>
        <v>0.08</v>
      </c>
      <c r="C3976">
        <f>8.048/(100)</f>
        <v>8.0479999999999996E-2</v>
      </c>
    </row>
    <row r="3977" spans="1:3" x14ac:dyDescent="0.3">
      <c r="A3977" s="2">
        <v>41232</v>
      </c>
      <c r="B3977">
        <f>8/(100)</f>
        <v>0.08</v>
      </c>
      <c r="C3977">
        <f>8.048/(100)</f>
        <v>8.0479999999999996E-2</v>
      </c>
    </row>
    <row r="3978" spans="1:3" x14ac:dyDescent="0.3">
      <c r="A3978" s="2">
        <v>41233</v>
      </c>
      <c r="B3978">
        <f>8/(100)</f>
        <v>0.08</v>
      </c>
      <c r="C3978">
        <f>8.048/(100)</f>
        <v>8.0479999999999996E-2</v>
      </c>
    </row>
    <row r="3979" spans="1:3" x14ac:dyDescent="0.3">
      <c r="A3979" s="2">
        <v>41234</v>
      </c>
      <c r="B3979">
        <f>8/(100)</f>
        <v>0.08</v>
      </c>
      <c r="C3979">
        <f>8.048/(100)</f>
        <v>8.0479999999999996E-2</v>
      </c>
    </row>
    <row r="3980" spans="1:3" x14ac:dyDescent="0.3">
      <c r="A3980" s="2">
        <v>41235</v>
      </c>
      <c r="B3980">
        <f>8/(100)</f>
        <v>0.08</v>
      </c>
      <c r="C3980">
        <f>8.048/(100)</f>
        <v>8.0479999999999996E-2</v>
      </c>
    </row>
    <row r="3981" spans="1:3" x14ac:dyDescent="0.3">
      <c r="A3981" s="2">
        <v>41236</v>
      </c>
      <c r="B3981">
        <f>8/(100)</f>
        <v>0.08</v>
      </c>
      <c r="C3981">
        <f>8.048/(100)</f>
        <v>8.0479999999999996E-2</v>
      </c>
    </row>
    <row r="3982" spans="1:3" x14ac:dyDescent="0.3">
      <c r="A3982" s="2">
        <v>41237</v>
      </c>
      <c r="B3982">
        <f>8/(100)</f>
        <v>0.08</v>
      </c>
      <c r="C3982">
        <f>8.048/(100)</f>
        <v>8.0479999999999996E-2</v>
      </c>
    </row>
    <row r="3983" spans="1:3" x14ac:dyDescent="0.3">
      <c r="A3983" s="2">
        <v>41238</v>
      </c>
      <c r="B3983">
        <f>8/(100)</f>
        <v>0.08</v>
      </c>
      <c r="C3983">
        <f>8.048/(100)</f>
        <v>8.0479999999999996E-2</v>
      </c>
    </row>
    <row r="3984" spans="1:3" x14ac:dyDescent="0.3">
      <c r="A3984" s="2">
        <v>41239</v>
      </c>
      <c r="B3984">
        <f>8/(100)</f>
        <v>0.08</v>
      </c>
      <c r="C3984">
        <f>8.042/(100)</f>
        <v>8.0419999999999991E-2</v>
      </c>
    </row>
    <row r="3985" spans="1:3" x14ac:dyDescent="0.3">
      <c r="A3985" s="2">
        <v>41240</v>
      </c>
      <c r="B3985">
        <f>8/(100)</f>
        <v>0.08</v>
      </c>
      <c r="C3985">
        <f>8.046/(100)</f>
        <v>8.045999999999999E-2</v>
      </c>
    </row>
    <row r="3986" spans="1:3" x14ac:dyDescent="0.3">
      <c r="A3986" s="2">
        <v>41241</v>
      </c>
      <c r="B3986">
        <f>8/(100)</f>
        <v>0.08</v>
      </c>
      <c r="C3986">
        <f>8.046/(100)</f>
        <v>8.045999999999999E-2</v>
      </c>
    </row>
    <row r="3987" spans="1:3" x14ac:dyDescent="0.3">
      <c r="A3987" s="2">
        <v>41242</v>
      </c>
      <c r="B3987">
        <f>8/(100)</f>
        <v>0.08</v>
      </c>
      <c r="C3987">
        <f>8.046/(100)</f>
        <v>8.045999999999999E-2</v>
      </c>
    </row>
    <row r="3988" spans="1:3" x14ac:dyDescent="0.3">
      <c r="A3988" s="2">
        <v>41243</v>
      </c>
      <c r="B3988">
        <f>8/(100)</f>
        <v>0.08</v>
      </c>
      <c r="C3988">
        <f>8.046/(100)</f>
        <v>8.045999999999999E-2</v>
      </c>
    </row>
    <row r="3989" spans="1:3" x14ac:dyDescent="0.3">
      <c r="A3989" s="2">
        <v>41244</v>
      </c>
      <c r="B3989">
        <f>8/(100)</f>
        <v>0.08</v>
      </c>
      <c r="C3989">
        <f>8.046/(100)</f>
        <v>8.045999999999999E-2</v>
      </c>
    </row>
    <row r="3990" spans="1:3" x14ac:dyDescent="0.3">
      <c r="A3990" s="2">
        <v>41245</v>
      </c>
      <c r="B3990">
        <f>8/(100)</f>
        <v>0.08</v>
      </c>
      <c r="C3990">
        <f>8.046/(100)</f>
        <v>8.045999999999999E-2</v>
      </c>
    </row>
    <row r="3991" spans="1:3" x14ac:dyDescent="0.3">
      <c r="A3991" s="2">
        <v>41246</v>
      </c>
      <c r="B3991">
        <f>8/(100)</f>
        <v>0.08</v>
      </c>
      <c r="C3991">
        <f>8.046/(100)</f>
        <v>8.045999999999999E-2</v>
      </c>
    </row>
    <row r="3992" spans="1:3" x14ac:dyDescent="0.3">
      <c r="A3992" s="2">
        <v>41247</v>
      </c>
      <c r="B3992">
        <f>8/(100)</f>
        <v>0.08</v>
      </c>
      <c r="C3992">
        <f>8.046/(100)</f>
        <v>8.045999999999999E-2</v>
      </c>
    </row>
    <row r="3993" spans="1:3" x14ac:dyDescent="0.3">
      <c r="A3993" s="2">
        <v>41248</v>
      </c>
      <c r="B3993">
        <f>8/(100)</f>
        <v>0.08</v>
      </c>
      <c r="C3993">
        <f>8.074/(100)</f>
        <v>8.0739999999999992E-2</v>
      </c>
    </row>
    <row r="3994" spans="1:3" x14ac:dyDescent="0.3">
      <c r="A3994" s="2">
        <v>41249</v>
      </c>
      <c r="B3994">
        <f>8/(100)</f>
        <v>0.08</v>
      </c>
      <c r="C3994">
        <f>8.043/(100)</f>
        <v>8.0429999999999988E-2</v>
      </c>
    </row>
    <row r="3995" spans="1:3" x14ac:dyDescent="0.3">
      <c r="A3995" s="2">
        <v>41250</v>
      </c>
      <c r="B3995">
        <f>8/(100)</f>
        <v>0.08</v>
      </c>
      <c r="C3995">
        <f>8.052/(100)</f>
        <v>8.0519999999999994E-2</v>
      </c>
    </row>
    <row r="3996" spans="1:3" x14ac:dyDescent="0.3">
      <c r="A3996" s="2">
        <v>41251</v>
      </c>
      <c r="B3996">
        <f>8/(100)</f>
        <v>0.08</v>
      </c>
      <c r="C3996">
        <f>8.052/(100)</f>
        <v>8.0519999999999994E-2</v>
      </c>
    </row>
    <row r="3997" spans="1:3" x14ac:dyDescent="0.3">
      <c r="A3997" s="2">
        <v>41252</v>
      </c>
      <c r="B3997">
        <f>8/(100)</f>
        <v>0.08</v>
      </c>
      <c r="C3997">
        <f>8.052/(100)</f>
        <v>8.0519999999999994E-2</v>
      </c>
    </row>
    <row r="3998" spans="1:3" x14ac:dyDescent="0.3">
      <c r="A3998" s="2">
        <v>41253</v>
      </c>
      <c r="B3998">
        <f>8/(100)</f>
        <v>0.08</v>
      </c>
      <c r="C3998">
        <f>8.052/(100)</f>
        <v>8.0519999999999994E-2</v>
      </c>
    </row>
    <row r="3999" spans="1:3" x14ac:dyDescent="0.3">
      <c r="A3999" s="2">
        <v>41254</v>
      </c>
      <c r="B3999">
        <f>8/(100)</f>
        <v>0.08</v>
      </c>
      <c r="C3999">
        <f>8.083/(100)</f>
        <v>8.0829999999999999E-2</v>
      </c>
    </row>
    <row r="4000" spans="1:3" x14ac:dyDescent="0.3">
      <c r="A4000" s="2">
        <v>41255</v>
      </c>
      <c r="B4000">
        <f>8/(100)</f>
        <v>0.08</v>
      </c>
      <c r="C4000">
        <f>8.086/(100)</f>
        <v>8.0860000000000001E-2</v>
      </c>
    </row>
    <row r="4001" spans="1:3" x14ac:dyDescent="0.3">
      <c r="A4001" s="2">
        <v>41256</v>
      </c>
      <c r="B4001">
        <f>8/(100)</f>
        <v>0.08</v>
      </c>
      <c r="C4001">
        <f>8.073/(100)</f>
        <v>8.073000000000001E-2</v>
      </c>
    </row>
    <row r="4002" spans="1:3" x14ac:dyDescent="0.3">
      <c r="A4002" s="2">
        <v>41257</v>
      </c>
      <c r="B4002">
        <f>8/(100)</f>
        <v>0.08</v>
      </c>
      <c r="C4002">
        <f>7.986/(100)</f>
        <v>7.986E-2</v>
      </c>
    </row>
    <row r="4003" spans="1:3" x14ac:dyDescent="0.3">
      <c r="A4003" s="2">
        <v>41258</v>
      </c>
      <c r="B4003">
        <f>8/(100)</f>
        <v>0.08</v>
      </c>
      <c r="C4003">
        <f>7.986/(100)</f>
        <v>7.986E-2</v>
      </c>
    </row>
    <row r="4004" spans="1:3" x14ac:dyDescent="0.3">
      <c r="A4004" s="2">
        <v>41259</v>
      </c>
      <c r="B4004">
        <f>8/(100)</f>
        <v>0.08</v>
      </c>
      <c r="C4004">
        <f>7.986/(100)</f>
        <v>7.986E-2</v>
      </c>
    </row>
    <row r="4005" spans="1:3" x14ac:dyDescent="0.3">
      <c r="A4005" s="2">
        <v>41260</v>
      </c>
      <c r="B4005">
        <f>8/(100)</f>
        <v>0.08</v>
      </c>
      <c r="C4005">
        <f>8.102/(100)</f>
        <v>8.1020000000000009E-2</v>
      </c>
    </row>
    <row r="4006" spans="1:3" x14ac:dyDescent="0.3">
      <c r="A4006" s="2">
        <v>41261</v>
      </c>
      <c r="B4006">
        <f>8/(100)</f>
        <v>0.08</v>
      </c>
      <c r="C4006">
        <f>8.066/(100)</f>
        <v>8.0660000000000009E-2</v>
      </c>
    </row>
    <row r="4007" spans="1:3" x14ac:dyDescent="0.3">
      <c r="A4007" s="2">
        <v>41262</v>
      </c>
      <c r="B4007">
        <f>8/(100)</f>
        <v>0.08</v>
      </c>
      <c r="C4007">
        <f>8.069/(100)</f>
        <v>8.0690000000000012E-2</v>
      </c>
    </row>
    <row r="4008" spans="1:3" x14ac:dyDescent="0.3">
      <c r="A4008" s="2">
        <v>41263</v>
      </c>
      <c r="B4008">
        <f>8/(100)</f>
        <v>0.08</v>
      </c>
      <c r="C4008">
        <f>8.011/(100)</f>
        <v>8.0109999999999987E-2</v>
      </c>
    </row>
    <row r="4009" spans="1:3" x14ac:dyDescent="0.3">
      <c r="A4009" s="2">
        <v>41264</v>
      </c>
      <c r="B4009">
        <f>8/(100)</f>
        <v>0.08</v>
      </c>
      <c r="C4009">
        <f>8.017/(100)</f>
        <v>8.0169999999999991E-2</v>
      </c>
    </row>
    <row r="4010" spans="1:3" x14ac:dyDescent="0.3">
      <c r="A4010" s="2">
        <v>41265</v>
      </c>
      <c r="B4010">
        <f>8/(100)</f>
        <v>0.08</v>
      </c>
      <c r="C4010">
        <f>8.017/(100)</f>
        <v>8.0169999999999991E-2</v>
      </c>
    </row>
    <row r="4011" spans="1:3" x14ac:dyDescent="0.3">
      <c r="A4011" s="2">
        <v>41266</v>
      </c>
      <c r="B4011">
        <f>8/(100)</f>
        <v>0.08</v>
      </c>
      <c r="C4011">
        <f>8.017/(100)</f>
        <v>8.0169999999999991E-2</v>
      </c>
    </row>
    <row r="4012" spans="1:3" x14ac:dyDescent="0.3">
      <c r="A4012" s="2">
        <v>41267</v>
      </c>
      <c r="B4012">
        <f>8/(100)</f>
        <v>0.08</v>
      </c>
      <c r="C4012">
        <f>8.023/(100)</f>
        <v>8.0229999999999996E-2</v>
      </c>
    </row>
    <row r="4013" spans="1:3" x14ac:dyDescent="0.3">
      <c r="A4013" s="2">
        <v>41268</v>
      </c>
      <c r="B4013">
        <f>8/(100)</f>
        <v>0.08</v>
      </c>
      <c r="C4013">
        <f>8.023/(100)</f>
        <v>8.0229999999999996E-2</v>
      </c>
    </row>
    <row r="4014" spans="1:3" x14ac:dyDescent="0.3">
      <c r="A4014" s="2">
        <v>41269</v>
      </c>
      <c r="B4014">
        <f>8/(100)</f>
        <v>0.08</v>
      </c>
      <c r="C4014">
        <f>8.014/(100)</f>
        <v>8.0139999999999989E-2</v>
      </c>
    </row>
    <row r="4015" spans="1:3" x14ac:dyDescent="0.3">
      <c r="A4015" s="2">
        <v>41270</v>
      </c>
      <c r="B4015">
        <f>8/(100)</f>
        <v>0.08</v>
      </c>
      <c r="C4015">
        <f>8.006/(100)</f>
        <v>8.0060000000000006E-2</v>
      </c>
    </row>
    <row r="4016" spans="1:3" x14ac:dyDescent="0.3">
      <c r="A4016" s="2">
        <v>41271</v>
      </c>
      <c r="B4016">
        <f>8/(100)</f>
        <v>0.08</v>
      </c>
      <c r="C4016">
        <f>8.005/(100)</f>
        <v>8.005000000000001E-2</v>
      </c>
    </row>
    <row r="4017" spans="1:3" x14ac:dyDescent="0.3">
      <c r="A4017" s="2">
        <v>41272</v>
      </c>
      <c r="B4017">
        <f>8/(100)</f>
        <v>0.08</v>
      </c>
      <c r="C4017">
        <f>8.005/(100)</f>
        <v>8.005000000000001E-2</v>
      </c>
    </row>
    <row r="4018" spans="1:3" x14ac:dyDescent="0.3">
      <c r="A4018" s="2">
        <v>41273</v>
      </c>
      <c r="B4018">
        <f>8/(100)</f>
        <v>0.08</v>
      </c>
      <c r="C4018">
        <f>8.005/(100)</f>
        <v>8.005000000000001E-2</v>
      </c>
    </row>
    <row r="4019" spans="1:3" x14ac:dyDescent="0.3">
      <c r="A4019" s="2">
        <v>41274</v>
      </c>
      <c r="B4019">
        <f>8/(100)</f>
        <v>0.08</v>
      </c>
      <c r="C4019">
        <f>7.993/(100)</f>
        <v>7.9930000000000001E-2</v>
      </c>
    </row>
    <row r="4020" spans="1:3" x14ac:dyDescent="0.3">
      <c r="A4020" s="2">
        <v>41275</v>
      </c>
      <c r="B4020">
        <f>8/(100)</f>
        <v>0.08</v>
      </c>
      <c r="C4020">
        <f>7.975/(100)</f>
        <v>7.9750000000000001E-2</v>
      </c>
    </row>
    <row r="4021" spans="1:3" x14ac:dyDescent="0.3">
      <c r="A4021" s="2">
        <v>41276</v>
      </c>
      <c r="B4021">
        <f>8/(100)</f>
        <v>0.08</v>
      </c>
      <c r="C4021">
        <f>7.936/(100)</f>
        <v>7.936E-2</v>
      </c>
    </row>
    <row r="4022" spans="1:3" x14ac:dyDescent="0.3">
      <c r="A4022" s="2">
        <v>41277</v>
      </c>
      <c r="B4022">
        <f>8/(100)</f>
        <v>0.08</v>
      </c>
      <c r="C4022">
        <f>7.936/(100)</f>
        <v>7.936E-2</v>
      </c>
    </row>
    <row r="4023" spans="1:3" x14ac:dyDescent="0.3">
      <c r="A4023" s="2">
        <v>41278</v>
      </c>
      <c r="B4023">
        <f>8/(100)</f>
        <v>0.08</v>
      </c>
      <c r="C4023">
        <f>7.936/(100)</f>
        <v>7.936E-2</v>
      </c>
    </row>
    <row r="4024" spans="1:3" x14ac:dyDescent="0.3">
      <c r="A4024" s="2">
        <v>41279</v>
      </c>
      <c r="B4024">
        <f>8/(100)</f>
        <v>0.08</v>
      </c>
      <c r="C4024">
        <f>7.936/(100)</f>
        <v>7.936E-2</v>
      </c>
    </row>
    <row r="4025" spans="1:3" x14ac:dyDescent="0.3">
      <c r="A4025" s="2">
        <v>41280</v>
      </c>
      <c r="B4025">
        <f>8/(100)</f>
        <v>0.08</v>
      </c>
      <c r="C4025">
        <f>7.936/(100)</f>
        <v>7.936E-2</v>
      </c>
    </row>
    <row r="4026" spans="1:3" x14ac:dyDescent="0.3">
      <c r="A4026" s="2">
        <v>41281</v>
      </c>
      <c r="B4026">
        <f>8/(100)</f>
        <v>0.08</v>
      </c>
      <c r="C4026">
        <f>7.936/(100)</f>
        <v>7.936E-2</v>
      </c>
    </row>
    <row r="4027" spans="1:3" x14ac:dyDescent="0.3">
      <c r="A4027" s="2">
        <v>41282</v>
      </c>
      <c r="B4027">
        <f>8/(100)</f>
        <v>0.08</v>
      </c>
      <c r="C4027">
        <f>7.936/(100)</f>
        <v>7.936E-2</v>
      </c>
    </row>
    <row r="4028" spans="1:3" x14ac:dyDescent="0.3">
      <c r="A4028" s="2">
        <v>41283</v>
      </c>
      <c r="B4028">
        <f>8/(100)</f>
        <v>0.08</v>
      </c>
      <c r="C4028">
        <f>7.936/(100)</f>
        <v>7.936E-2</v>
      </c>
    </row>
    <row r="4029" spans="1:3" x14ac:dyDescent="0.3">
      <c r="A4029" s="2">
        <v>41284</v>
      </c>
      <c r="B4029">
        <f>8/(100)</f>
        <v>0.08</v>
      </c>
      <c r="C4029">
        <f>7.936/(100)</f>
        <v>7.936E-2</v>
      </c>
    </row>
    <row r="4030" spans="1:3" x14ac:dyDescent="0.3">
      <c r="A4030" s="2">
        <v>41285</v>
      </c>
      <c r="B4030">
        <f>8/(100)</f>
        <v>0.08</v>
      </c>
      <c r="C4030">
        <f>7.936/(100)</f>
        <v>7.936E-2</v>
      </c>
    </row>
    <row r="4031" spans="1:3" x14ac:dyDescent="0.3">
      <c r="A4031" s="2">
        <v>41286</v>
      </c>
      <c r="B4031">
        <f>8/(100)</f>
        <v>0.08</v>
      </c>
      <c r="C4031">
        <f>7.936/(100)</f>
        <v>7.936E-2</v>
      </c>
    </row>
    <row r="4032" spans="1:3" x14ac:dyDescent="0.3">
      <c r="A4032" s="2">
        <v>41287</v>
      </c>
      <c r="B4032">
        <f>8/(100)</f>
        <v>0.08</v>
      </c>
      <c r="C4032">
        <f>7.936/(100)</f>
        <v>7.936E-2</v>
      </c>
    </row>
    <row r="4033" spans="1:3" x14ac:dyDescent="0.3">
      <c r="A4033" s="2">
        <v>41288</v>
      </c>
      <c r="B4033">
        <f>8/(100)</f>
        <v>0.08</v>
      </c>
      <c r="C4033">
        <f>7.936/(100)</f>
        <v>7.936E-2</v>
      </c>
    </row>
    <row r="4034" spans="1:3" x14ac:dyDescent="0.3">
      <c r="A4034" s="2">
        <v>41289</v>
      </c>
      <c r="B4034">
        <f>8/(100)</f>
        <v>0.08</v>
      </c>
      <c r="C4034">
        <f>7.831/(100)</f>
        <v>7.8310000000000005E-2</v>
      </c>
    </row>
    <row r="4035" spans="1:3" x14ac:dyDescent="0.3">
      <c r="A4035" s="2">
        <v>41290</v>
      </c>
      <c r="B4035">
        <f>8/(100)</f>
        <v>0.08</v>
      </c>
      <c r="C4035">
        <f>7.835/(100)</f>
        <v>7.8350000000000003E-2</v>
      </c>
    </row>
    <row r="4036" spans="1:3" x14ac:dyDescent="0.3">
      <c r="A4036" s="2">
        <v>41291</v>
      </c>
      <c r="B4036">
        <f>8/(100)</f>
        <v>0.08</v>
      </c>
      <c r="C4036">
        <f>7.835/(100)</f>
        <v>7.8350000000000003E-2</v>
      </c>
    </row>
    <row r="4037" spans="1:3" x14ac:dyDescent="0.3">
      <c r="A4037" s="2">
        <v>41292</v>
      </c>
      <c r="B4037">
        <f>8/(100)</f>
        <v>0.08</v>
      </c>
      <c r="C4037">
        <f>7.835/(100)</f>
        <v>7.8350000000000003E-2</v>
      </c>
    </row>
    <row r="4038" spans="1:3" x14ac:dyDescent="0.3">
      <c r="A4038" s="2">
        <v>41293</v>
      </c>
      <c r="B4038">
        <f>8/(100)</f>
        <v>0.08</v>
      </c>
      <c r="C4038">
        <f>7.835/(100)</f>
        <v>7.8350000000000003E-2</v>
      </c>
    </row>
    <row r="4039" spans="1:3" x14ac:dyDescent="0.3">
      <c r="A4039" s="2">
        <v>41294</v>
      </c>
      <c r="B4039">
        <f>8/(100)</f>
        <v>0.08</v>
      </c>
      <c r="C4039">
        <f>7.835/(100)</f>
        <v>7.8350000000000003E-2</v>
      </c>
    </row>
    <row r="4040" spans="1:3" x14ac:dyDescent="0.3">
      <c r="A4040" s="2">
        <v>41295</v>
      </c>
      <c r="B4040">
        <f>8/(100)</f>
        <v>0.08</v>
      </c>
      <c r="C4040">
        <f>7.835/(100)</f>
        <v>7.8350000000000003E-2</v>
      </c>
    </row>
    <row r="4041" spans="1:3" x14ac:dyDescent="0.3">
      <c r="A4041" s="2">
        <v>41296</v>
      </c>
      <c r="B4041">
        <f>8/(100)</f>
        <v>0.08</v>
      </c>
      <c r="C4041">
        <f>7.857/(100)</f>
        <v>7.8570000000000001E-2</v>
      </c>
    </row>
    <row r="4042" spans="1:3" x14ac:dyDescent="0.3">
      <c r="A4042" s="2">
        <v>41297</v>
      </c>
      <c r="B4042">
        <f>8/(100)</f>
        <v>0.08</v>
      </c>
      <c r="C4042">
        <f>7.857/(100)</f>
        <v>7.8570000000000001E-2</v>
      </c>
    </row>
    <row r="4043" spans="1:3" x14ac:dyDescent="0.3">
      <c r="A4043" s="2">
        <v>41298</v>
      </c>
      <c r="B4043">
        <f>8/(100)</f>
        <v>0.08</v>
      </c>
      <c r="C4043">
        <f>7.857/(100)</f>
        <v>7.8570000000000001E-2</v>
      </c>
    </row>
    <row r="4044" spans="1:3" x14ac:dyDescent="0.3">
      <c r="A4044" s="2">
        <v>41299</v>
      </c>
      <c r="B4044">
        <f>8/(100)</f>
        <v>0.08</v>
      </c>
      <c r="C4044">
        <f>7.857/(100)</f>
        <v>7.8570000000000001E-2</v>
      </c>
    </row>
    <row r="4045" spans="1:3" x14ac:dyDescent="0.3">
      <c r="A4045" s="2">
        <v>41300</v>
      </c>
      <c r="B4045">
        <f>8/(100)</f>
        <v>0.08</v>
      </c>
      <c r="C4045">
        <f>7.857/(100)</f>
        <v>7.8570000000000001E-2</v>
      </c>
    </row>
    <row r="4046" spans="1:3" x14ac:dyDescent="0.3">
      <c r="A4046" s="2">
        <v>41301</v>
      </c>
      <c r="B4046">
        <f>8/(100)</f>
        <v>0.08</v>
      </c>
      <c r="C4046">
        <f>7.857/(100)</f>
        <v>7.8570000000000001E-2</v>
      </c>
    </row>
    <row r="4047" spans="1:3" x14ac:dyDescent="0.3">
      <c r="A4047" s="2">
        <v>41302</v>
      </c>
      <c r="B4047">
        <f>8/(100)</f>
        <v>0.08</v>
      </c>
      <c r="C4047">
        <f>7.921/(100)</f>
        <v>7.9210000000000003E-2</v>
      </c>
    </row>
    <row r="4048" spans="1:3" x14ac:dyDescent="0.3">
      <c r="A4048" s="2">
        <v>41303</v>
      </c>
      <c r="B4048">
        <f>7.75/(100)</f>
        <v>7.7499999999999999E-2</v>
      </c>
      <c r="C4048">
        <f>7.875/(100)</f>
        <v>7.8750000000000001E-2</v>
      </c>
    </row>
    <row r="4049" spans="1:3" x14ac:dyDescent="0.3">
      <c r="A4049" s="2">
        <v>41304</v>
      </c>
      <c r="B4049">
        <f>7.75/(100)</f>
        <v>7.7499999999999999E-2</v>
      </c>
      <c r="C4049">
        <f>7.87/(100)</f>
        <v>7.8700000000000006E-2</v>
      </c>
    </row>
    <row r="4050" spans="1:3" x14ac:dyDescent="0.3">
      <c r="A4050" s="2">
        <v>41305</v>
      </c>
      <c r="B4050">
        <f>7.75/(100)</f>
        <v>7.7499999999999999E-2</v>
      </c>
      <c r="C4050">
        <f>7.819/(100)</f>
        <v>7.8189999999999996E-2</v>
      </c>
    </row>
    <row r="4051" spans="1:3" x14ac:dyDescent="0.3">
      <c r="A4051" s="2">
        <v>41306</v>
      </c>
      <c r="B4051">
        <f>7.75/(100)</f>
        <v>7.7499999999999999E-2</v>
      </c>
      <c r="C4051">
        <f>7.828/(100)</f>
        <v>7.8280000000000002E-2</v>
      </c>
    </row>
    <row r="4052" spans="1:3" x14ac:dyDescent="0.3">
      <c r="A4052" s="2">
        <v>41307</v>
      </c>
      <c r="B4052">
        <f>7.75/(100)</f>
        <v>7.7499999999999999E-2</v>
      </c>
      <c r="C4052">
        <f>7.828/(100)</f>
        <v>7.8280000000000002E-2</v>
      </c>
    </row>
    <row r="4053" spans="1:3" x14ac:dyDescent="0.3">
      <c r="A4053" s="2">
        <v>41308</v>
      </c>
      <c r="B4053">
        <f>7.75/(100)</f>
        <v>7.7499999999999999E-2</v>
      </c>
      <c r="C4053">
        <f>7.828/(100)</f>
        <v>7.8280000000000002E-2</v>
      </c>
    </row>
    <row r="4054" spans="1:3" x14ac:dyDescent="0.3">
      <c r="A4054" s="2">
        <v>41309</v>
      </c>
      <c r="B4054">
        <f>7.75/(100)</f>
        <v>7.7499999999999999E-2</v>
      </c>
      <c r="C4054">
        <f>7.852/(100)</f>
        <v>7.8520000000000006E-2</v>
      </c>
    </row>
    <row r="4055" spans="1:3" x14ac:dyDescent="0.3">
      <c r="A4055" s="2">
        <v>41310</v>
      </c>
      <c r="B4055">
        <f>7.75/(100)</f>
        <v>7.7499999999999999E-2</v>
      </c>
      <c r="C4055">
        <f>7.815/(100)</f>
        <v>7.8149999999999997E-2</v>
      </c>
    </row>
    <row r="4056" spans="1:3" x14ac:dyDescent="0.3">
      <c r="A4056" s="2">
        <v>41311</v>
      </c>
      <c r="B4056">
        <f>7.75/(100)</f>
        <v>7.7499999999999999E-2</v>
      </c>
      <c r="C4056">
        <f>7.833/(100)</f>
        <v>7.8329999999999997E-2</v>
      </c>
    </row>
    <row r="4057" spans="1:3" x14ac:dyDescent="0.3">
      <c r="A4057" s="2">
        <v>41312</v>
      </c>
      <c r="B4057">
        <f>7.75/(100)</f>
        <v>7.7499999999999999E-2</v>
      </c>
      <c r="C4057">
        <f>7.826/(100)</f>
        <v>7.8259999999999996E-2</v>
      </c>
    </row>
    <row r="4058" spans="1:3" x14ac:dyDescent="0.3">
      <c r="A4058" s="2">
        <v>41313</v>
      </c>
      <c r="B4058">
        <f>7.75/(100)</f>
        <v>7.7499999999999999E-2</v>
      </c>
      <c r="C4058">
        <f>7.809/(100)</f>
        <v>7.8090000000000007E-2</v>
      </c>
    </row>
    <row r="4059" spans="1:3" x14ac:dyDescent="0.3">
      <c r="A4059" s="2">
        <v>41314</v>
      </c>
      <c r="B4059">
        <f>7.75/(100)</f>
        <v>7.7499999999999999E-2</v>
      </c>
      <c r="C4059">
        <f>7.809/(100)</f>
        <v>7.8090000000000007E-2</v>
      </c>
    </row>
    <row r="4060" spans="1:3" x14ac:dyDescent="0.3">
      <c r="A4060" s="2">
        <v>41315</v>
      </c>
      <c r="B4060">
        <f>7.75/(100)</f>
        <v>7.7499999999999999E-2</v>
      </c>
      <c r="C4060">
        <f>7.809/(100)</f>
        <v>7.8090000000000007E-2</v>
      </c>
    </row>
    <row r="4061" spans="1:3" x14ac:dyDescent="0.3">
      <c r="A4061" s="2">
        <v>41316</v>
      </c>
      <c r="B4061">
        <f>7.75/(100)</f>
        <v>7.7499999999999999E-2</v>
      </c>
      <c r="C4061">
        <f>7.82/(100)</f>
        <v>7.8200000000000006E-2</v>
      </c>
    </row>
    <row r="4062" spans="1:3" x14ac:dyDescent="0.3">
      <c r="A4062" s="2">
        <v>41317</v>
      </c>
      <c r="B4062">
        <f>7.75/(100)</f>
        <v>7.7499999999999999E-2</v>
      </c>
      <c r="C4062">
        <f>7.828/(100)</f>
        <v>7.8280000000000002E-2</v>
      </c>
    </row>
    <row r="4063" spans="1:3" x14ac:dyDescent="0.3">
      <c r="A4063" s="2">
        <v>41318</v>
      </c>
      <c r="B4063">
        <f>7.75/(100)</f>
        <v>7.7499999999999999E-2</v>
      </c>
      <c r="C4063">
        <f>7.824/(100)</f>
        <v>7.8240000000000004E-2</v>
      </c>
    </row>
    <row r="4064" spans="1:3" x14ac:dyDescent="0.3">
      <c r="A4064" s="2">
        <v>41319</v>
      </c>
      <c r="B4064">
        <f>7.75/(100)</f>
        <v>7.7499999999999999E-2</v>
      </c>
      <c r="C4064">
        <f>7.81/(100)</f>
        <v>7.8100000000000003E-2</v>
      </c>
    </row>
    <row r="4065" spans="1:3" x14ac:dyDescent="0.3">
      <c r="A4065" s="2">
        <v>41320</v>
      </c>
      <c r="B4065">
        <f>7.75/(100)</f>
        <v>7.7499999999999999E-2</v>
      </c>
      <c r="C4065">
        <f>7.8/(100)</f>
        <v>7.8E-2</v>
      </c>
    </row>
    <row r="4066" spans="1:3" x14ac:dyDescent="0.3">
      <c r="A4066" s="2">
        <v>41321</v>
      </c>
      <c r="B4066">
        <f>7.75/(100)</f>
        <v>7.7499999999999999E-2</v>
      </c>
      <c r="C4066">
        <f>7.8/(100)</f>
        <v>7.8E-2</v>
      </c>
    </row>
    <row r="4067" spans="1:3" x14ac:dyDescent="0.3">
      <c r="A4067" s="2">
        <v>41322</v>
      </c>
      <c r="B4067">
        <f>7.75/(100)</f>
        <v>7.7499999999999999E-2</v>
      </c>
      <c r="C4067">
        <f>7.8/(100)</f>
        <v>7.8E-2</v>
      </c>
    </row>
    <row r="4068" spans="1:3" x14ac:dyDescent="0.3">
      <c r="A4068" s="2">
        <v>41323</v>
      </c>
      <c r="B4068">
        <f>7.75/(100)</f>
        <v>7.7499999999999999E-2</v>
      </c>
      <c r="C4068">
        <f>7.802/(100)</f>
        <v>7.8019999999999992E-2</v>
      </c>
    </row>
    <row r="4069" spans="1:3" x14ac:dyDescent="0.3">
      <c r="A4069" s="2">
        <v>41324</v>
      </c>
      <c r="B4069">
        <f>7.75/(100)</f>
        <v>7.7499999999999999E-2</v>
      </c>
      <c r="C4069">
        <f>7.802/(100)</f>
        <v>7.8019999999999992E-2</v>
      </c>
    </row>
    <row r="4070" spans="1:3" x14ac:dyDescent="0.3">
      <c r="A4070" s="2">
        <v>41325</v>
      </c>
      <c r="B4070">
        <f>7.75/(100)</f>
        <v>7.7499999999999999E-2</v>
      </c>
      <c r="C4070">
        <f>7.789/(100)</f>
        <v>7.7890000000000001E-2</v>
      </c>
    </row>
    <row r="4071" spans="1:3" x14ac:dyDescent="0.3">
      <c r="A4071" s="2">
        <v>41326</v>
      </c>
      <c r="B4071">
        <f>7.75/(100)</f>
        <v>7.7499999999999999E-2</v>
      </c>
      <c r="C4071">
        <f>7.793/(100)</f>
        <v>7.7929999999999999E-2</v>
      </c>
    </row>
    <row r="4072" spans="1:3" x14ac:dyDescent="0.3">
      <c r="A4072" s="2">
        <v>41327</v>
      </c>
      <c r="B4072">
        <f>7.75/(100)</f>
        <v>7.7499999999999999E-2</v>
      </c>
      <c r="C4072">
        <f>7.805/(100)</f>
        <v>7.8049999999999994E-2</v>
      </c>
    </row>
    <row r="4073" spans="1:3" x14ac:dyDescent="0.3">
      <c r="A4073" s="2">
        <v>41328</v>
      </c>
      <c r="B4073">
        <f>7.75/(100)</f>
        <v>7.7499999999999999E-2</v>
      </c>
      <c r="C4073">
        <f>7.805/(100)</f>
        <v>7.8049999999999994E-2</v>
      </c>
    </row>
    <row r="4074" spans="1:3" x14ac:dyDescent="0.3">
      <c r="A4074" s="2">
        <v>41329</v>
      </c>
      <c r="B4074">
        <f>7.75/(100)</f>
        <v>7.7499999999999999E-2</v>
      </c>
      <c r="C4074">
        <f>7.805/(100)</f>
        <v>7.8049999999999994E-2</v>
      </c>
    </row>
    <row r="4075" spans="1:3" x14ac:dyDescent="0.3">
      <c r="A4075" s="2">
        <v>41330</v>
      </c>
      <c r="B4075">
        <f>7.75/(100)</f>
        <v>7.7499999999999999E-2</v>
      </c>
      <c r="C4075">
        <f>7.8/(100)</f>
        <v>7.8E-2</v>
      </c>
    </row>
    <row r="4076" spans="1:3" x14ac:dyDescent="0.3">
      <c r="A4076" s="2">
        <v>41331</v>
      </c>
      <c r="B4076">
        <f>7.75/(100)</f>
        <v>7.7499999999999999E-2</v>
      </c>
      <c r="C4076">
        <f>7.81/(100)</f>
        <v>7.8100000000000003E-2</v>
      </c>
    </row>
    <row r="4077" spans="1:3" x14ac:dyDescent="0.3">
      <c r="A4077" s="2">
        <v>41332</v>
      </c>
      <c r="B4077">
        <f>7.75/(100)</f>
        <v>7.7499999999999999E-2</v>
      </c>
      <c r="C4077">
        <f>7.796/(100)</f>
        <v>7.7960000000000002E-2</v>
      </c>
    </row>
    <row r="4078" spans="1:3" x14ac:dyDescent="0.3">
      <c r="A4078" s="2">
        <v>41333</v>
      </c>
      <c r="B4078">
        <f>7.75/(100)</f>
        <v>7.7499999999999999E-2</v>
      </c>
      <c r="C4078">
        <f>7.825/(100)</f>
        <v>7.825E-2</v>
      </c>
    </row>
    <row r="4079" spans="1:3" x14ac:dyDescent="0.3">
      <c r="A4079" s="2">
        <v>41334</v>
      </c>
      <c r="B4079">
        <f>7.75/(100)</f>
        <v>7.7499999999999999E-2</v>
      </c>
      <c r="C4079">
        <f>7.838/(100)</f>
        <v>7.8380000000000005E-2</v>
      </c>
    </row>
    <row r="4080" spans="1:3" x14ac:dyDescent="0.3">
      <c r="A4080" s="2">
        <v>41335</v>
      </c>
      <c r="B4080">
        <f>7.75/(100)</f>
        <v>7.7499999999999999E-2</v>
      </c>
      <c r="C4080">
        <f>7.838/(100)</f>
        <v>7.8380000000000005E-2</v>
      </c>
    </row>
    <row r="4081" spans="1:3" x14ac:dyDescent="0.3">
      <c r="A4081" s="2">
        <v>41336</v>
      </c>
      <c r="B4081">
        <f>7.75/(100)</f>
        <v>7.7499999999999999E-2</v>
      </c>
      <c r="C4081">
        <f>7.838/(100)</f>
        <v>7.8380000000000005E-2</v>
      </c>
    </row>
    <row r="4082" spans="1:3" x14ac:dyDescent="0.3">
      <c r="A4082" s="2">
        <v>41337</v>
      </c>
      <c r="B4082">
        <f>7.75/(100)</f>
        <v>7.7499999999999999E-2</v>
      </c>
      <c r="C4082">
        <f>7.829/(100)</f>
        <v>7.8289999999999998E-2</v>
      </c>
    </row>
    <row r="4083" spans="1:3" x14ac:dyDescent="0.3">
      <c r="A4083" s="2">
        <v>41338</v>
      </c>
      <c r="B4083">
        <f>7.75/(100)</f>
        <v>7.7499999999999999E-2</v>
      </c>
      <c r="C4083">
        <f>7.827/(100)</f>
        <v>7.8270000000000006E-2</v>
      </c>
    </row>
    <row r="4084" spans="1:3" x14ac:dyDescent="0.3">
      <c r="A4084" s="2">
        <v>41339</v>
      </c>
      <c r="B4084">
        <f>7.75/(100)</f>
        <v>7.7499999999999999E-2</v>
      </c>
      <c r="C4084">
        <f>7.831/(100)</f>
        <v>7.8310000000000005E-2</v>
      </c>
    </row>
    <row r="4085" spans="1:3" x14ac:dyDescent="0.3">
      <c r="A4085" s="2">
        <v>41340</v>
      </c>
      <c r="B4085">
        <f>7.75/(100)</f>
        <v>7.7499999999999999E-2</v>
      </c>
      <c r="C4085">
        <f>7.813/(100)</f>
        <v>7.8129999999999991E-2</v>
      </c>
    </row>
    <row r="4086" spans="1:3" x14ac:dyDescent="0.3">
      <c r="A4086" s="2">
        <v>41341</v>
      </c>
      <c r="B4086">
        <f>7.75/(100)</f>
        <v>7.7499999999999999E-2</v>
      </c>
      <c r="C4086">
        <f>7.798/(100)</f>
        <v>7.7979999999999994E-2</v>
      </c>
    </row>
    <row r="4087" spans="1:3" x14ac:dyDescent="0.3">
      <c r="A4087" s="2">
        <v>41342</v>
      </c>
      <c r="B4087">
        <f>7.75/(100)</f>
        <v>7.7499999999999999E-2</v>
      </c>
      <c r="C4087">
        <f>7.798/(100)</f>
        <v>7.7979999999999994E-2</v>
      </c>
    </row>
    <row r="4088" spans="1:3" x14ac:dyDescent="0.3">
      <c r="A4088" s="2">
        <v>41343</v>
      </c>
      <c r="B4088">
        <f>7.75/(100)</f>
        <v>7.7499999999999999E-2</v>
      </c>
      <c r="C4088">
        <f>7.798/(100)</f>
        <v>7.7979999999999994E-2</v>
      </c>
    </row>
    <row r="4089" spans="1:3" x14ac:dyDescent="0.3">
      <c r="A4089" s="2">
        <v>41344</v>
      </c>
      <c r="B4089">
        <f>7.75/(100)</f>
        <v>7.7499999999999999E-2</v>
      </c>
      <c r="C4089">
        <f>7.802/(100)</f>
        <v>7.8019999999999992E-2</v>
      </c>
    </row>
    <row r="4090" spans="1:3" x14ac:dyDescent="0.3">
      <c r="A4090" s="2">
        <v>41345</v>
      </c>
      <c r="B4090">
        <f>7.75/(100)</f>
        <v>7.7499999999999999E-2</v>
      </c>
      <c r="C4090">
        <f>7.812/(100)</f>
        <v>7.8120000000000009E-2</v>
      </c>
    </row>
    <row r="4091" spans="1:3" x14ac:dyDescent="0.3">
      <c r="A4091" s="2">
        <v>41346</v>
      </c>
      <c r="B4091">
        <f>7.75/(100)</f>
        <v>7.7499999999999999E-2</v>
      </c>
      <c r="C4091">
        <f>7.824/(100)</f>
        <v>7.8240000000000004E-2</v>
      </c>
    </row>
    <row r="4092" spans="1:3" x14ac:dyDescent="0.3">
      <c r="A4092" s="2">
        <v>41347</v>
      </c>
      <c r="B4092">
        <f>7.75/(100)</f>
        <v>7.7499999999999999E-2</v>
      </c>
      <c r="C4092">
        <f>7.803/(100)</f>
        <v>7.8030000000000002E-2</v>
      </c>
    </row>
    <row r="4093" spans="1:3" x14ac:dyDescent="0.3">
      <c r="A4093" s="2">
        <v>41348</v>
      </c>
      <c r="B4093">
        <f>7.75/(100)</f>
        <v>7.7499999999999999E-2</v>
      </c>
      <c r="C4093">
        <f>7.804/(100)</f>
        <v>7.8039999999999998E-2</v>
      </c>
    </row>
    <row r="4094" spans="1:3" x14ac:dyDescent="0.3">
      <c r="A4094" s="2">
        <v>41349</v>
      </c>
      <c r="B4094">
        <f>7.75/(100)</f>
        <v>7.7499999999999999E-2</v>
      </c>
      <c r="C4094">
        <f>7.804/(100)</f>
        <v>7.8039999999999998E-2</v>
      </c>
    </row>
    <row r="4095" spans="1:3" x14ac:dyDescent="0.3">
      <c r="A4095" s="2">
        <v>41350</v>
      </c>
      <c r="B4095">
        <f>7.75/(100)</f>
        <v>7.7499999999999999E-2</v>
      </c>
      <c r="C4095">
        <f>7.804/(100)</f>
        <v>7.8039999999999998E-2</v>
      </c>
    </row>
    <row r="4096" spans="1:3" x14ac:dyDescent="0.3">
      <c r="A4096" s="2">
        <v>41351</v>
      </c>
      <c r="B4096">
        <f>7.75/(100)</f>
        <v>7.7499999999999999E-2</v>
      </c>
      <c r="C4096">
        <f>7.808/(100)</f>
        <v>7.8079999999999997E-2</v>
      </c>
    </row>
    <row r="4097" spans="1:3" x14ac:dyDescent="0.3">
      <c r="A4097" s="2">
        <v>41352</v>
      </c>
      <c r="B4097">
        <f>7.5/(100)</f>
        <v>7.4999999999999997E-2</v>
      </c>
      <c r="C4097">
        <f>7.804/(100)</f>
        <v>7.8039999999999998E-2</v>
      </c>
    </row>
    <row r="4098" spans="1:3" x14ac:dyDescent="0.3">
      <c r="A4098" s="2">
        <v>41353</v>
      </c>
      <c r="B4098">
        <f>7.5/(100)</f>
        <v>7.4999999999999997E-2</v>
      </c>
      <c r="C4098">
        <f>7.8/(100)</f>
        <v>7.8E-2</v>
      </c>
    </row>
    <row r="4099" spans="1:3" x14ac:dyDescent="0.3">
      <c r="A4099" s="2">
        <v>41354</v>
      </c>
      <c r="B4099">
        <f>7.5/(100)</f>
        <v>7.4999999999999997E-2</v>
      </c>
      <c r="C4099">
        <f>7.806/(100)</f>
        <v>7.8060000000000004E-2</v>
      </c>
    </row>
    <row r="4100" spans="1:3" x14ac:dyDescent="0.3">
      <c r="A4100" s="2">
        <v>41355</v>
      </c>
      <c r="B4100">
        <f>7.5/(100)</f>
        <v>7.4999999999999997E-2</v>
      </c>
      <c r="C4100">
        <f>7.819/(100)</f>
        <v>7.8189999999999996E-2</v>
      </c>
    </row>
    <row r="4101" spans="1:3" x14ac:dyDescent="0.3">
      <c r="A4101" s="2">
        <v>41356</v>
      </c>
      <c r="B4101">
        <f>7.5/(100)</f>
        <v>7.4999999999999997E-2</v>
      </c>
      <c r="C4101">
        <f>7.819/(100)</f>
        <v>7.8189999999999996E-2</v>
      </c>
    </row>
    <row r="4102" spans="1:3" x14ac:dyDescent="0.3">
      <c r="A4102" s="2">
        <v>41357</v>
      </c>
      <c r="B4102">
        <f>7.5/(100)</f>
        <v>7.4999999999999997E-2</v>
      </c>
      <c r="C4102">
        <f>7.819/(100)</f>
        <v>7.8189999999999996E-2</v>
      </c>
    </row>
    <row r="4103" spans="1:3" x14ac:dyDescent="0.3">
      <c r="A4103" s="2">
        <v>41358</v>
      </c>
      <c r="B4103">
        <f>7.5/(100)</f>
        <v>7.4999999999999997E-2</v>
      </c>
      <c r="C4103">
        <f>7.819/(100)</f>
        <v>7.8189999999999996E-2</v>
      </c>
    </row>
    <row r="4104" spans="1:3" x14ac:dyDescent="0.3">
      <c r="A4104" s="2">
        <v>41359</v>
      </c>
      <c r="B4104">
        <f>7.5/(100)</f>
        <v>7.4999999999999997E-2</v>
      </c>
      <c r="C4104">
        <f>7.819/(100)</f>
        <v>7.8189999999999996E-2</v>
      </c>
    </row>
    <row r="4105" spans="1:3" x14ac:dyDescent="0.3">
      <c r="A4105" s="2">
        <v>41360</v>
      </c>
      <c r="B4105">
        <f>7.5/(100)</f>
        <v>7.4999999999999997E-2</v>
      </c>
      <c r="C4105">
        <f>7.819/(100)</f>
        <v>7.8189999999999996E-2</v>
      </c>
    </row>
    <row r="4106" spans="1:3" x14ac:dyDescent="0.3">
      <c r="A4106" s="2">
        <v>41361</v>
      </c>
      <c r="B4106">
        <f>7.5/(100)</f>
        <v>7.4999999999999997E-2</v>
      </c>
      <c r="C4106">
        <f>7.819/(100)</f>
        <v>7.8189999999999996E-2</v>
      </c>
    </row>
    <row r="4107" spans="1:3" x14ac:dyDescent="0.3">
      <c r="A4107" s="2">
        <v>41362</v>
      </c>
      <c r="B4107">
        <f>7.5/(100)</f>
        <v>7.4999999999999997E-2</v>
      </c>
      <c r="C4107">
        <f>7.819/(100)</f>
        <v>7.8189999999999996E-2</v>
      </c>
    </row>
    <row r="4108" spans="1:3" x14ac:dyDescent="0.3">
      <c r="A4108" s="2">
        <v>41363</v>
      </c>
      <c r="B4108">
        <f>7.5/(100)</f>
        <v>7.4999999999999997E-2</v>
      </c>
      <c r="C4108">
        <f>7.819/(100)</f>
        <v>7.8189999999999996E-2</v>
      </c>
    </row>
    <row r="4109" spans="1:3" x14ac:dyDescent="0.3">
      <c r="A4109" s="2">
        <v>41364</v>
      </c>
      <c r="B4109">
        <f>7.5/(100)</f>
        <v>7.4999999999999997E-2</v>
      </c>
      <c r="C4109">
        <f>7.819/(100)</f>
        <v>7.8189999999999996E-2</v>
      </c>
    </row>
    <row r="4110" spans="1:3" x14ac:dyDescent="0.3">
      <c r="A4110" s="2">
        <v>41365</v>
      </c>
      <c r="B4110">
        <f>7.5/(100)</f>
        <v>7.4999999999999997E-2</v>
      </c>
      <c r="C4110">
        <f>7.819/(100)</f>
        <v>7.8189999999999996E-2</v>
      </c>
    </row>
    <row r="4111" spans="1:3" x14ac:dyDescent="0.3">
      <c r="A4111" s="2">
        <v>41366</v>
      </c>
      <c r="B4111">
        <f>7.5/(100)</f>
        <v>7.4999999999999997E-2</v>
      </c>
      <c r="C4111">
        <f>7.819/(100)</f>
        <v>7.8189999999999996E-2</v>
      </c>
    </row>
    <row r="4112" spans="1:3" x14ac:dyDescent="0.3">
      <c r="A4112" s="2">
        <v>41367</v>
      </c>
      <c r="B4112">
        <f>7.5/(100)</f>
        <v>7.4999999999999997E-2</v>
      </c>
      <c r="C4112">
        <f>7.702/(100)</f>
        <v>7.7020000000000005E-2</v>
      </c>
    </row>
    <row r="4113" spans="1:3" x14ac:dyDescent="0.3">
      <c r="A4113" s="2">
        <v>41368</v>
      </c>
      <c r="B4113">
        <f>7.5/(100)</f>
        <v>7.4999999999999997E-2</v>
      </c>
      <c r="C4113">
        <f>7.708/(100)</f>
        <v>7.7079999999999996E-2</v>
      </c>
    </row>
    <row r="4114" spans="1:3" x14ac:dyDescent="0.3">
      <c r="A4114" s="2">
        <v>41369</v>
      </c>
      <c r="B4114">
        <f>7.5/(100)</f>
        <v>7.4999999999999997E-2</v>
      </c>
      <c r="C4114">
        <f>7.745/(100)</f>
        <v>7.7450000000000005E-2</v>
      </c>
    </row>
    <row r="4115" spans="1:3" x14ac:dyDescent="0.3">
      <c r="A4115" s="2">
        <v>41370</v>
      </c>
      <c r="B4115">
        <f>7.5/(100)</f>
        <v>7.4999999999999997E-2</v>
      </c>
      <c r="C4115">
        <f>7.745/(100)</f>
        <v>7.7450000000000005E-2</v>
      </c>
    </row>
    <row r="4116" spans="1:3" x14ac:dyDescent="0.3">
      <c r="A4116" s="2">
        <v>41371</v>
      </c>
      <c r="B4116">
        <f>7.5/(100)</f>
        <v>7.4999999999999997E-2</v>
      </c>
      <c r="C4116">
        <f>7.745/(100)</f>
        <v>7.7450000000000005E-2</v>
      </c>
    </row>
    <row r="4117" spans="1:3" x14ac:dyDescent="0.3">
      <c r="A4117" s="2">
        <v>41372</v>
      </c>
      <c r="B4117">
        <f>7.5/(100)</f>
        <v>7.4999999999999997E-2</v>
      </c>
      <c r="C4117">
        <f>7.749/(100)</f>
        <v>7.7490000000000003E-2</v>
      </c>
    </row>
    <row r="4118" spans="1:3" x14ac:dyDescent="0.3">
      <c r="A4118" s="2">
        <v>41373</v>
      </c>
      <c r="B4118">
        <f>7.5/(100)</f>
        <v>7.4999999999999997E-2</v>
      </c>
      <c r="C4118">
        <f>7.707/(100)</f>
        <v>7.707E-2</v>
      </c>
    </row>
    <row r="4119" spans="1:3" x14ac:dyDescent="0.3">
      <c r="A4119" s="2">
        <v>41374</v>
      </c>
      <c r="B4119">
        <f>7.5/(100)</f>
        <v>7.4999999999999997E-2</v>
      </c>
      <c r="C4119">
        <f>7.699/(100)</f>
        <v>7.6990000000000003E-2</v>
      </c>
    </row>
    <row r="4120" spans="1:3" x14ac:dyDescent="0.3">
      <c r="A4120" s="2">
        <v>41375</v>
      </c>
      <c r="B4120">
        <f>7.5/(100)</f>
        <v>7.4999999999999997E-2</v>
      </c>
      <c r="C4120">
        <f>7.699/(100)</f>
        <v>7.6990000000000003E-2</v>
      </c>
    </row>
    <row r="4121" spans="1:3" x14ac:dyDescent="0.3">
      <c r="A4121" s="2">
        <v>41376</v>
      </c>
      <c r="B4121">
        <f>7.5/(100)</f>
        <v>7.4999999999999997E-2</v>
      </c>
      <c r="C4121">
        <f>7.679/(100)</f>
        <v>7.6789999999999997E-2</v>
      </c>
    </row>
    <row r="4122" spans="1:3" x14ac:dyDescent="0.3">
      <c r="A4122" s="2">
        <v>41377</v>
      </c>
      <c r="B4122">
        <f>7.5/(100)</f>
        <v>7.4999999999999997E-2</v>
      </c>
      <c r="C4122">
        <f>7.679/(100)</f>
        <v>7.6789999999999997E-2</v>
      </c>
    </row>
    <row r="4123" spans="1:3" x14ac:dyDescent="0.3">
      <c r="A4123" s="2">
        <v>41378</v>
      </c>
      <c r="B4123">
        <f>7.5/(100)</f>
        <v>7.4999999999999997E-2</v>
      </c>
      <c r="C4123">
        <f>7.679/(100)</f>
        <v>7.6789999999999997E-2</v>
      </c>
    </row>
    <row r="4124" spans="1:3" x14ac:dyDescent="0.3">
      <c r="A4124" s="2">
        <v>41379</v>
      </c>
      <c r="B4124">
        <f>7.5/(100)</f>
        <v>7.4999999999999997E-2</v>
      </c>
      <c r="C4124">
        <f>7.653/(100)</f>
        <v>7.6530000000000001E-2</v>
      </c>
    </row>
    <row r="4125" spans="1:3" x14ac:dyDescent="0.3">
      <c r="A4125" s="2">
        <v>41380</v>
      </c>
      <c r="B4125">
        <f>7.5/(100)</f>
        <v>7.4999999999999997E-2</v>
      </c>
      <c r="C4125">
        <f>7.633/(100)</f>
        <v>7.6329999999999995E-2</v>
      </c>
    </row>
    <row r="4126" spans="1:3" x14ac:dyDescent="0.3">
      <c r="A4126" s="2">
        <v>41381</v>
      </c>
      <c r="B4126">
        <f>7.5/(100)</f>
        <v>7.4999999999999997E-2</v>
      </c>
      <c r="C4126">
        <f>7.59/(100)</f>
        <v>7.5899999999999995E-2</v>
      </c>
    </row>
    <row r="4127" spans="1:3" x14ac:dyDescent="0.3">
      <c r="A4127" s="2">
        <v>41382</v>
      </c>
      <c r="B4127">
        <f>7.5/(100)</f>
        <v>7.4999999999999997E-2</v>
      </c>
      <c r="C4127">
        <f>7.594/(100)</f>
        <v>7.5940000000000007E-2</v>
      </c>
    </row>
    <row r="4128" spans="1:3" x14ac:dyDescent="0.3">
      <c r="A4128" s="2">
        <v>41383</v>
      </c>
      <c r="B4128">
        <f>7.5/(100)</f>
        <v>7.4999999999999997E-2</v>
      </c>
      <c r="C4128">
        <f>7.594/(100)</f>
        <v>7.5940000000000007E-2</v>
      </c>
    </row>
    <row r="4129" spans="1:3" x14ac:dyDescent="0.3">
      <c r="A4129" s="2">
        <v>41384</v>
      </c>
      <c r="B4129">
        <f>7.5/(100)</f>
        <v>7.4999999999999997E-2</v>
      </c>
      <c r="C4129">
        <f>7.594/(100)</f>
        <v>7.5940000000000007E-2</v>
      </c>
    </row>
    <row r="4130" spans="1:3" x14ac:dyDescent="0.3">
      <c r="A4130" s="2">
        <v>41385</v>
      </c>
      <c r="B4130">
        <f>7.5/(100)</f>
        <v>7.4999999999999997E-2</v>
      </c>
      <c r="C4130">
        <f>7.594/(100)</f>
        <v>7.5940000000000007E-2</v>
      </c>
    </row>
    <row r="4131" spans="1:3" x14ac:dyDescent="0.3">
      <c r="A4131" s="2">
        <v>41386</v>
      </c>
      <c r="B4131">
        <f>7.5/(100)</f>
        <v>7.4999999999999997E-2</v>
      </c>
      <c r="C4131">
        <f>7.561/(100)</f>
        <v>7.5609999999999997E-2</v>
      </c>
    </row>
    <row r="4132" spans="1:3" x14ac:dyDescent="0.3">
      <c r="A4132" s="2">
        <v>41387</v>
      </c>
      <c r="B4132">
        <f>7.5/(100)</f>
        <v>7.4999999999999997E-2</v>
      </c>
      <c r="C4132">
        <f>7.572/(100)</f>
        <v>7.5719999999999996E-2</v>
      </c>
    </row>
    <row r="4133" spans="1:3" x14ac:dyDescent="0.3">
      <c r="A4133" s="2">
        <v>41388</v>
      </c>
      <c r="B4133">
        <f>7.5/(100)</f>
        <v>7.4999999999999997E-2</v>
      </c>
      <c r="C4133">
        <f>7.572/(100)</f>
        <v>7.5719999999999996E-2</v>
      </c>
    </row>
    <row r="4134" spans="1:3" x14ac:dyDescent="0.3">
      <c r="A4134" s="2">
        <v>41389</v>
      </c>
      <c r="B4134">
        <f>7.5/(100)</f>
        <v>7.4999999999999997E-2</v>
      </c>
      <c r="C4134">
        <f>7.503/(100)</f>
        <v>7.5029999999999999E-2</v>
      </c>
    </row>
    <row r="4135" spans="1:3" x14ac:dyDescent="0.3">
      <c r="A4135" s="2">
        <v>41390</v>
      </c>
      <c r="B4135">
        <f>7.5/(100)</f>
        <v>7.4999999999999997E-2</v>
      </c>
      <c r="C4135">
        <f>7.517/(100)</f>
        <v>7.5170000000000001E-2</v>
      </c>
    </row>
    <row r="4136" spans="1:3" x14ac:dyDescent="0.3">
      <c r="A4136" s="2">
        <v>41391</v>
      </c>
      <c r="B4136">
        <f>7.5/(100)</f>
        <v>7.4999999999999997E-2</v>
      </c>
      <c r="C4136">
        <f>7.517/(100)</f>
        <v>7.5170000000000001E-2</v>
      </c>
    </row>
    <row r="4137" spans="1:3" x14ac:dyDescent="0.3">
      <c r="A4137" s="2">
        <v>41392</v>
      </c>
      <c r="B4137">
        <f>7.5/(100)</f>
        <v>7.4999999999999997E-2</v>
      </c>
      <c r="C4137">
        <f>7.517/(100)</f>
        <v>7.5170000000000001E-2</v>
      </c>
    </row>
    <row r="4138" spans="1:3" x14ac:dyDescent="0.3">
      <c r="A4138" s="2">
        <v>41393</v>
      </c>
      <c r="B4138">
        <f>7.5/(100)</f>
        <v>7.4999999999999997E-2</v>
      </c>
      <c r="C4138">
        <f>7.521/(100)</f>
        <v>7.5209999999999999E-2</v>
      </c>
    </row>
    <row r="4139" spans="1:3" x14ac:dyDescent="0.3">
      <c r="A4139" s="2">
        <v>41394</v>
      </c>
      <c r="B4139">
        <f>7.5/(100)</f>
        <v>7.4999999999999997E-2</v>
      </c>
      <c r="C4139">
        <f>7.487/(100)</f>
        <v>7.4870000000000006E-2</v>
      </c>
    </row>
    <row r="4140" spans="1:3" x14ac:dyDescent="0.3">
      <c r="A4140" s="2">
        <v>41395</v>
      </c>
      <c r="B4140">
        <f>7.5/(100)</f>
        <v>7.4999999999999997E-2</v>
      </c>
      <c r="C4140">
        <f>7.487/(100)</f>
        <v>7.4870000000000006E-2</v>
      </c>
    </row>
    <row r="4141" spans="1:3" x14ac:dyDescent="0.3">
      <c r="A4141" s="2">
        <v>41396</v>
      </c>
      <c r="B4141">
        <f>7.5/(100)</f>
        <v>7.4999999999999997E-2</v>
      </c>
      <c r="C4141">
        <f>7.487/(100)</f>
        <v>7.4870000000000006E-2</v>
      </c>
    </row>
    <row r="4142" spans="1:3" x14ac:dyDescent="0.3">
      <c r="A4142" s="2">
        <v>41397</v>
      </c>
      <c r="B4142">
        <f>7.25/(100)</f>
        <v>7.2499999999999995E-2</v>
      </c>
      <c r="C4142">
        <f>7.494/(100)</f>
        <v>7.4939999999999993E-2</v>
      </c>
    </row>
    <row r="4143" spans="1:3" x14ac:dyDescent="0.3">
      <c r="A4143" s="2">
        <v>41398</v>
      </c>
      <c r="B4143">
        <f>7.25/(100)</f>
        <v>7.2499999999999995E-2</v>
      </c>
      <c r="C4143">
        <f>7.494/(100)</f>
        <v>7.4939999999999993E-2</v>
      </c>
    </row>
    <row r="4144" spans="1:3" x14ac:dyDescent="0.3">
      <c r="A4144" s="2">
        <v>41399</v>
      </c>
      <c r="B4144">
        <f>7.25/(100)</f>
        <v>7.2499999999999995E-2</v>
      </c>
      <c r="C4144">
        <f>7.494/(100)</f>
        <v>7.4939999999999993E-2</v>
      </c>
    </row>
    <row r="4145" spans="1:3" x14ac:dyDescent="0.3">
      <c r="A4145" s="2">
        <v>41400</v>
      </c>
      <c r="B4145">
        <f>7.25/(100)</f>
        <v>7.2499999999999995E-2</v>
      </c>
      <c r="C4145">
        <f>7.498/(100)</f>
        <v>7.4980000000000005E-2</v>
      </c>
    </row>
    <row r="4146" spans="1:3" x14ac:dyDescent="0.3">
      <c r="A4146" s="2">
        <v>41401</v>
      </c>
      <c r="B4146">
        <f>7.25/(100)</f>
        <v>7.2499999999999995E-2</v>
      </c>
      <c r="C4146">
        <f>7.491/(100)</f>
        <v>7.490999999999999E-2</v>
      </c>
    </row>
    <row r="4147" spans="1:3" x14ac:dyDescent="0.3">
      <c r="A4147" s="2">
        <v>41402</v>
      </c>
      <c r="B4147">
        <f>7.25/(100)</f>
        <v>7.2499999999999995E-2</v>
      </c>
      <c r="C4147">
        <f>7.495/(100)</f>
        <v>7.4950000000000003E-2</v>
      </c>
    </row>
    <row r="4148" spans="1:3" x14ac:dyDescent="0.3">
      <c r="A4148" s="2">
        <v>41403</v>
      </c>
      <c r="B4148">
        <f>7.25/(100)</f>
        <v>7.2499999999999995E-2</v>
      </c>
      <c r="C4148">
        <f>7.318/(100)</f>
        <v>7.3179999999999995E-2</v>
      </c>
    </row>
    <row r="4149" spans="1:3" x14ac:dyDescent="0.3">
      <c r="A4149" s="2">
        <v>41404</v>
      </c>
      <c r="B4149">
        <f>7.25/(100)</f>
        <v>7.2499999999999995E-2</v>
      </c>
      <c r="C4149">
        <f>7.414/(100)</f>
        <v>7.4139999999999998E-2</v>
      </c>
    </row>
    <row r="4150" spans="1:3" x14ac:dyDescent="0.3">
      <c r="A4150" s="2">
        <v>41405</v>
      </c>
      <c r="B4150">
        <f>7.25/(100)</f>
        <v>7.2499999999999995E-2</v>
      </c>
      <c r="C4150">
        <f>7.414/(100)</f>
        <v>7.4139999999999998E-2</v>
      </c>
    </row>
    <row r="4151" spans="1:3" x14ac:dyDescent="0.3">
      <c r="A4151" s="2">
        <v>41406</v>
      </c>
      <c r="B4151">
        <f>7.25/(100)</f>
        <v>7.2499999999999995E-2</v>
      </c>
      <c r="C4151">
        <f>7.414/(100)</f>
        <v>7.4139999999999998E-2</v>
      </c>
    </row>
    <row r="4152" spans="1:3" x14ac:dyDescent="0.3">
      <c r="A4152" s="2">
        <v>41407</v>
      </c>
      <c r="B4152">
        <f>7.25/(100)</f>
        <v>7.2499999999999995E-2</v>
      </c>
      <c r="C4152">
        <f>7.418/(100)</f>
        <v>7.4179999999999996E-2</v>
      </c>
    </row>
    <row r="4153" spans="1:3" x14ac:dyDescent="0.3">
      <c r="A4153" s="2">
        <v>41408</v>
      </c>
      <c r="B4153">
        <f>7.25/(100)</f>
        <v>7.2499999999999995E-2</v>
      </c>
      <c r="C4153">
        <f>7.395/(100)</f>
        <v>7.3950000000000002E-2</v>
      </c>
    </row>
    <row r="4154" spans="1:3" x14ac:dyDescent="0.3">
      <c r="A4154" s="2">
        <v>41409</v>
      </c>
      <c r="B4154">
        <f>7.25/(100)</f>
        <v>7.2499999999999995E-2</v>
      </c>
      <c r="C4154">
        <f>7.234/(100)</f>
        <v>7.2340000000000002E-2</v>
      </c>
    </row>
    <row r="4155" spans="1:3" x14ac:dyDescent="0.3">
      <c r="A4155" s="2">
        <v>41410</v>
      </c>
      <c r="B4155">
        <f>7.25/(100)</f>
        <v>7.2499999999999995E-2</v>
      </c>
      <c r="C4155">
        <f>7.267/(100)</f>
        <v>7.2669999999999998E-2</v>
      </c>
    </row>
    <row r="4156" spans="1:3" x14ac:dyDescent="0.3">
      <c r="A4156" s="2">
        <v>41411</v>
      </c>
      <c r="B4156">
        <f>7.25/(100)</f>
        <v>7.2499999999999995E-2</v>
      </c>
      <c r="C4156">
        <f>7.276/(100)</f>
        <v>7.2759999999999991E-2</v>
      </c>
    </row>
    <row r="4157" spans="1:3" x14ac:dyDescent="0.3">
      <c r="A4157" s="2">
        <v>41412</v>
      </c>
      <c r="B4157">
        <f>7.25/(100)</f>
        <v>7.2499999999999995E-2</v>
      </c>
      <c r="C4157">
        <f>7.276/(100)</f>
        <v>7.2759999999999991E-2</v>
      </c>
    </row>
    <row r="4158" spans="1:3" x14ac:dyDescent="0.3">
      <c r="A4158" s="2">
        <v>41413</v>
      </c>
      <c r="B4158">
        <f>7.25/(100)</f>
        <v>7.2499999999999995E-2</v>
      </c>
      <c r="C4158">
        <f>7.276/(100)</f>
        <v>7.2759999999999991E-2</v>
      </c>
    </row>
    <row r="4159" spans="1:3" x14ac:dyDescent="0.3">
      <c r="A4159" s="2">
        <v>41414</v>
      </c>
      <c r="B4159">
        <f>7.25/(100)</f>
        <v>7.2499999999999995E-2</v>
      </c>
      <c r="C4159">
        <f>7.276/(100)</f>
        <v>7.2759999999999991E-2</v>
      </c>
    </row>
    <row r="4160" spans="1:3" x14ac:dyDescent="0.3">
      <c r="A4160" s="2">
        <v>41415</v>
      </c>
      <c r="B4160">
        <f>7.25/(100)</f>
        <v>7.2499999999999995E-2</v>
      </c>
      <c r="C4160">
        <f>7.258/(100)</f>
        <v>7.2580000000000006E-2</v>
      </c>
    </row>
    <row r="4161" spans="1:3" x14ac:dyDescent="0.3">
      <c r="A4161" s="2">
        <v>41416</v>
      </c>
      <c r="B4161">
        <f>7.25/(100)</f>
        <v>7.2499999999999995E-2</v>
      </c>
      <c r="C4161">
        <f>7.276/(100)</f>
        <v>7.2759999999999991E-2</v>
      </c>
    </row>
    <row r="4162" spans="1:3" x14ac:dyDescent="0.3">
      <c r="A4162" s="2">
        <v>41417</v>
      </c>
      <c r="B4162">
        <f>7.25/(100)</f>
        <v>7.2499999999999995E-2</v>
      </c>
      <c r="C4162">
        <f>7.268/(100)</f>
        <v>7.2679999999999995E-2</v>
      </c>
    </row>
    <row r="4163" spans="1:3" x14ac:dyDescent="0.3">
      <c r="A4163" s="2">
        <v>41418</v>
      </c>
      <c r="B4163">
        <f>7.25/(100)</f>
        <v>7.2499999999999995E-2</v>
      </c>
      <c r="C4163">
        <f>7.264/(100)</f>
        <v>7.2639999999999996E-2</v>
      </c>
    </row>
    <row r="4164" spans="1:3" x14ac:dyDescent="0.3">
      <c r="A4164" s="2">
        <v>41419</v>
      </c>
      <c r="B4164">
        <f>7.25/(100)</f>
        <v>7.2499999999999995E-2</v>
      </c>
      <c r="C4164">
        <f>7.264/(100)</f>
        <v>7.2639999999999996E-2</v>
      </c>
    </row>
    <row r="4165" spans="1:3" x14ac:dyDescent="0.3">
      <c r="A4165" s="2">
        <v>41420</v>
      </c>
      <c r="B4165">
        <f>7.25/(100)</f>
        <v>7.2499999999999995E-2</v>
      </c>
      <c r="C4165">
        <f>7.264/(100)</f>
        <v>7.2639999999999996E-2</v>
      </c>
    </row>
    <row r="4166" spans="1:3" x14ac:dyDescent="0.3">
      <c r="A4166" s="2">
        <v>41421</v>
      </c>
      <c r="B4166">
        <f>7.25/(100)</f>
        <v>7.2499999999999995E-2</v>
      </c>
      <c r="C4166">
        <f>7.267/(100)</f>
        <v>7.2669999999999998E-2</v>
      </c>
    </row>
    <row r="4167" spans="1:3" x14ac:dyDescent="0.3">
      <c r="A4167" s="2">
        <v>41422</v>
      </c>
      <c r="B4167">
        <f>7.25/(100)</f>
        <v>7.2499999999999995E-2</v>
      </c>
      <c r="C4167">
        <f>7.186/(100)</f>
        <v>7.1859999999999993E-2</v>
      </c>
    </row>
    <row r="4168" spans="1:3" x14ac:dyDescent="0.3">
      <c r="A4168" s="2">
        <v>41423</v>
      </c>
      <c r="B4168">
        <f>7.25/(100)</f>
        <v>7.2499999999999995E-2</v>
      </c>
      <c r="C4168">
        <f>7.231/(100)</f>
        <v>7.2309999999999999E-2</v>
      </c>
    </row>
    <row r="4169" spans="1:3" x14ac:dyDescent="0.3">
      <c r="A4169" s="2">
        <v>41424</v>
      </c>
      <c r="B4169">
        <f>7.25/(100)</f>
        <v>7.2499999999999995E-2</v>
      </c>
      <c r="C4169">
        <f>7.281/(100)</f>
        <v>7.281E-2</v>
      </c>
    </row>
    <row r="4170" spans="1:3" x14ac:dyDescent="0.3">
      <c r="A4170" s="2">
        <v>41425</v>
      </c>
      <c r="B4170">
        <f>7.25/(100)</f>
        <v>7.2499999999999995E-2</v>
      </c>
      <c r="C4170">
        <f>7.291/(100)</f>
        <v>7.2910000000000003E-2</v>
      </c>
    </row>
    <row r="4171" spans="1:3" x14ac:dyDescent="0.3">
      <c r="A4171" s="2">
        <v>41426</v>
      </c>
      <c r="B4171">
        <f>7.25/(100)</f>
        <v>7.2499999999999995E-2</v>
      </c>
      <c r="C4171">
        <f>7.291/(100)</f>
        <v>7.2910000000000003E-2</v>
      </c>
    </row>
    <row r="4172" spans="1:3" x14ac:dyDescent="0.3">
      <c r="A4172" s="2">
        <v>41427</v>
      </c>
      <c r="B4172">
        <f>7.25/(100)</f>
        <v>7.2499999999999995E-2</v>
      </c>
      <c r="C4172">
        <f>7.291/(100)</f>
        <v>7.2910000000000003E-2</v>
      </c>
    </row>
    <row r="4173" spans="1:3" x14ac:dyDescent="0.3">
      <c r="A4173" s="2">
        <v>41428</v>
      </c>
      <c r="B4173">
        <f>7.25/(100)</f>
        <v>7.2499999999999995E-2</v>
      </c>
      <c r="C4173">
        <f>7.294/(100)</f>
        <v>7.2939999999999991E-2</v>
      </c>
    </row>
    <row r="4174" spans="1:3" x14ac:dyDescent="0.3">
      <c r="A4174" s="2">
        <v>41429</v>
      </c>
      <c r="B4174">
        <f>7.25/(100)</f>
        <v>7.2499999999999995E-2</v>
      </c>
      <c r="C4174">
        <f>7.294/(100)</f>
        <v>7.2939999999999991E-2</v>
      </c>
    </row>
    <row r="4175" spans="1:3" x14ac:dyDescent="0.3">
      <c r="A4175" s="2">
        <v>41430</v>
      </c>
      <c r="B4175">
        <f>7.25/(100)</f>
        <v>7.2499999999999995E-2</v>
      </c>
      <c r="C4175">
        <f>7.294/(100)</f>
        <v>7.2939999999999991E-2</v>
      </c>
    </row>
    <row r="4176" spans="1:3" x14ac:dyDescent="0.3">
      <c r="A4176" s="2">
        <v>41431</v>
      </c>
      <c r="B4176">
        <f>7.25/(100)</f>
        <v>7.2499999999999995E-2</v>
      </c>
      <c r="C4176">
        <f>7.294/(100)</f>
        <v>7.2939999999999991E-2</v>
      </c>
    </row>
    <row r="4177" spans="1:3" x14ac:dyDescent="0.3">
      <c r="A4177" s="2">
        <v>41432</v>
      </c>
      <c r="B4177">
        <f>7.25/(100)</f>
        <v>7.2499999999999995E-2</v>
      </c>
      <c r="C4177">
        <f>7.308/(100)</f>
        <v>7.3079999999999992E-2</v>
      </c>
    </row>
    <row r="4178" spans="1:3" x14ac:dyDescent="0.3">
      <c r="A4178" s="2">
        <v>41433</v>
      </c>
      <c r="B4178">
        <f>7.25/(100)</f>
        <v>7.2499999999999995E-2</v>
      </c>
      <c r="C4178">
        <f>7.308/(100)</f>
        <v>7.3079999999999992E-2</v>
      </c>
    </row>
    <row r="4179" spans="1:3" x14ac:dyDescent="0.3">
      <c r="A4179" s="2">
        <v>41434</v>
      </c>
      <c r="B4179">
        <f>7.25/(100)</f>
        <v>7.2499999999999995E-2</v>
      </c>
      <c r="C4179">
        <f>7.308/(100)</f>
        <v>7.3079999999999992E-2</v>
      </c>
    </row>
    <row r="4180" spans="1:3" x14ac:dyDescent="0.3">
      <c r="A4180" s="2">
        <v>41435</v>
      </c>
      <c r="B4180">
        <f>7.25/(100)</f>
        <v>7.2499999999999995E-2</v>
      </c>
      <c r="C4180">
        <f>7.311/(100)</f>
        <v>7.3109999999999994E-2</v>
      </c>
    </row>
    <row r="4181" spans="1:3" x14ac:dyDescent="0.3">
      <c r="A4181" s="2">
        <v>41436</v>
      </c>
      <c r="B4181">
        <f>7.25/(100)</f>
        <v>7.2499999999999995E-2</v>
      </c>
      <c r="C4181">
        <f>7.311/(100)</f>
        <v>7.3109999999999994E-2</v>
      </c>
    </row>
    <row r="4182" spans="1:3" x14ac:dyDescent="0.3">
      <c r="A4182" s="2">
        <v>41437</v>
      </c>
      <c r="B4182">
        <f>7.25/(100)</f>
        <v>7.2499999999999995E-2</v>
      </c>
      <c r="C4182">
        <f>7.741/(100)</f>
        <v>7.7409999999999993E-2</v>
      </c>
    </row>
    <row r="4183" spans="1:3" x14ac:dyDescent="0.3">
      <c r="A4183" s="2">
        <v>41438</v>
      </c>
      <c r="B4183">
        <f>7.25/(100)</f>
        <v>7.2499999999999995E-2</v>
      </c>
      <c r="C4183">
        <f>7.415/(100)</f>
        <v>7.4149999999999994E-2</v>
      </c>
    </row>
    <row r="4184" spans="1:3" x14ac:dyDescent="0.3">
      <c r="A4184" s="2">
        <v>41439</v>
      </c>
      <c r="B4184">
        <f>7.25/(100)</f>
        <v>7.2499999999999995E-2</v>
      </c>
      <c r="C4184">
        <f>7.473/(100)</f>
        <v>7.4730000000000005E-2</v>
      </c>
    </row>
    <row r="4185" spans="1:3" x14ac:dyDescent="0.3">
      <c r="A4185" s="2">
        <v>41440</v>
      </c>
      <c r="B4185">
        <f>7.25/(100)</f>
        <v>7.2499999999999995E-2</v>
      </c>
      <c r="C4185">
        <f>7.473/(100)</f>
        <v>7.4730000000000005E-2</v>
      </c>
    </row>
    <row r="4186" spans="1:3" x14ac:dyDescent="0.3">
      <c r="A4186" s="2">
        <v>41441</v>
      </c>
      <c r="B4186">
        <f>7.25/(100)</f>
        <v>7.2499999999999995E-2</v>
      </c>
      <c r="C4186">
        <f>7.473/(100)</f>
        <v>7.4730000000000005E-2</v>
      </c>
    </row>
    <row r="4187" spans="1:3" x14ac:dyDescent="0.3">
      <c r="A4187" s="2">
        <v>41442</v>
      </c>
      <c r="B4187">
        <f>7.25/(100)</f>
        <v>7.2499999999999995E-2</v>
      </c>
      <c r="C4187">
        <f>7.368/(100)</f>
        <v>7.3680000000000009E-2</v>
      </c>
    </row>
    <row r="4188" spans="1:3" x14ac:dyDescent="0.3">
      <c r="A4188" s="2">
        <v>41443</v>
      </c>
      <c r="B4188">
        <f>7.25/(100)</f>
        <v>7.2499999999999995E-2</v>
      </c>
      <c r="C4188">
        <f>7.368/(100)</f>
        <v>7.3680000000000009E-2</v>
      </c>
    </row>
    <row r="4189" spans="1:3" x14ac:dyDescent="0.3">
      <c r="A4189" s="2">
        <v>41444</v>
      </c>
      <c r="B4189">
        <f>7.25/(100)</f>
        <v>7.2499999999999995E-2</v>
      </c>
      <c r="C4189">
        <f>7.379/(100)</f>
        <v>7.3789999999999994E-2</v>
      </c>
    </row>
    <row r="4190" spans="1:3" x14ac:dyDescent="0.3">
      <c r="A4190" s="2">
        <v>41445</v>
      </c>
      <c r="B4190">
        <f>7.25/(100)</f>
        <v>7.2499999999999995E-2</v>
      </c>
      <c r="C4190">
        <f>7.464/(100)</f>
        <v>7.4639999999999998E-2</v>
      </c>
    </row>
    <row r="4191" spans="1:3" x14ac:dyDescent="0.3">
      <c r="A4191" s="2">
        <v>41446</v>
      </c>
      <c r="B4191">
        <f>7.25/(100)</f>
        <v>7.2499999999999995E-2</v>
      </c>
      <c r="C4191">
        <f>7.475/(100)</f>
        <v>7.4749999999999997E-2</v>
      </c>
    </row>
    <row r="4192" spans="1:3" x14ac:dyDescent="0.3">
      <c r="A4192" s="2">
        <v>41447</v>
      </c>
      <c r="B4192">
        <f>7.25/(100)</f>
        <v>7.2499999999999995E-2</v>
      </c>
      <c r="C4192">
        <f>7.475/(100)</f>
        <v>7.4749999999999997E-2</v>
      </c>
    </row>
    <row r="4193" spans="1:3" x14ac:dyDescent="0.3">
      <c r="A4193" s="2">
        <v>41448</v>
      </c>
      <c r="B4193">
        <f>7.25/(100)</f>
        <v>7.2499999999999995E-2</v>
      </c>
      <c r="C4193">
        <f>7.475/(100)</f>
        <v>7.4749999999999997E-2</v>
      </c>
    </row>
    <row r="4194" spans="1:3" x14ac:dyDescent="0.3">
      <c r="A4194" s="2">
        <v>41449</v>
      </c>
      <c r="B4194">
        <f>7.25/(100)</f>
        <v>7.2499999999999995E-2</v>
      </c>
      <c r="C4194">
        <f>7.479/(100)</f>
        <v>7.4789999999999995E-2</v>
      </c>
    </row>
    <row r="4195" spans="1:3" x14ac:dyDescent="0.3">
      <c r="A4195" s="2">
        <v>41450</v>
      </c>
      <c r="B4195">
        <f>7.25/(100)</f>
        <v>7.2499999999999995E-2</v>
      </c>
      <c r="C4195">
        <f>7.724/(100)</f>
        <v>7.7240000000000003E-2</v>
      </c>
    </row>
    <row r="4196" spans="1:3" x14ac:dyDescent="0.3">
      <c r="A4196" s="2">
        <v>41451</v>
      </c>
      <c r="B4196">
        <f>7.25/(100)</f>
        <v>7.2499999999999995E-2</v>
      </c>
      <c r="C4196">
        <f>7.733/(100)</f>
        <v>7.7329999999999996E-2</v>
      </c>
    </row>
    <row r="4197" spans="1:3" x14ac:dyDescent="0.3">
      <c r="A4197" s="2">
        <v>41452</v>
      </c>
      <c r="B4197">
        <f>7.25/(100)</f>
        <v>7.2499999999999995E-2</v>
      </c>
      <c r="C4197">
        <f>7.738/(100)</f>
        <v>7.7380000000000004E-2</v>
      </c>
    </row>
    <row r="4198" spans="1:3" x14ac:dyDescent="0.3">
      <c r="A4198" s="2">
        <v>41453</v>
      </c>
      <c r="B4198">
        <f>7.25/(100)</f>
        <v>7.2499999999999995E-2</v>
      </c>
      <c r="C4198">
        <f>7.738/(100)</f>
        <v>7.7380000000000004E-2</v>
      </c>
    </row>
    <row r="4199" spans="1:3" x14ac:dyDescent="0.3">
      <c r="A4199" s="2">
        <v>41454</v>
      </c>
      <c r="B4199">
        <f>7.25/(100)</f>
        <v>7.2499999999999995E-2</v>
      </c>
      <c r="C4199">
        <f>7.738/(100)</f>
        <v>7.7380000000000004E-2</v>
      </c>
    </row>
    <row r="4200" spans="1:3" x14ac:dyDescent="0.3">
      <c r="A4200" s="2">
        <v>41455</v>
      </c>
      <c r="B4200">
        <f>7.25/(100)</f>
        <v>7.2499999999999995E-2</v>
      </c>
      <c r="C4200">
        <f>7.738/(100)</f>
        <v>7.7380000000000004E-2</v>
      </c>
    </row>
    <row r="4201" spans="1:3" x14ac:dyDescent="0.3">
      <c r="A4201" s="2">
        <v>41456</v>
      </c>
      <c r="B4201">
        <f>7.25/(100)</f>
        <v>7.2499999999999995E-2</v>
      </c>
      <c r="C4201">
        <f>7.753/(100)</f>
        <v>7.7530000000000002E-2</v>
      </c>
    </row>
    <row r="4202" spans="1:3" x14ac:dyDescent="0.3">
      <c r="A4202" s="2">
        <v>41457</v>
      </c>
      <c r="B4202">
        <f>7.25/(100)</f>
        <v>7.2499999999999995E-2</v>
      </c>
      <c r="C4202">
        <f>7.758/(100)</f>
        <v>7.7579999999999996E-2</v>
      </c>
    </row>
    <row r="4203" spans="1:3" x14ac:dyDescent="0.3">
      <c r="A4203" s="2">
        <v>41458</v>
      </c>
      <c r="B4203">
        <f>7.25/(100)</f>
        <v>7.2499999999999995E-2</v>
      </c>
      <c r="C4203">
        <f>7.641/(100)</f>
        <v>7.6410000000000006E-2</v>
      </c>
    </row>
    <row r="4204" spans="1:3" x14ac:dyDescent="0.3">
      <c r="A4204" s="2">
        <v>41459</v>
      </c>
      <c r="B4204">
        <f>7.25/(100)</f>
        <v>7.2499999999999995E-2</v>
      </c>
      <c r="C4204">
        <f>7.645/(100)</f>
        <v>7.644999999999999E-2</v>
      </c>
    </row>
    <row r="4205" spans="1:3" x14ac:dyDescent="0.3">
      <c r="A4205" s="2">
        <v>41460</v>
      </c>
      <c r="B4205">
        <f>7.25/(100)</f>
        <v>7.2499999999999995E-2</v>
      </c>
      <c r="C4205">
        <f>7.659/(100)</f>
        <v>7.6589999999999991E-2</v>
      </c>
    </row>
    <row r="4206" spans="1:3" x14ac:dyDescent="0.3">
      <c r="A4206" s="2">
        <v>41461</v>
      </c>
      <c r="B4206">
        <f>7.25/(100)</f>
        <v>7.2499999999999995E-2</v>
      </c>
      <c r="C4206">
        <f>7.659/(100)</f>
        <v>7.6589999999999991E-2</v>
      </c>
    </row>
    <row r="4207" spans="1:3" x14ac:dyDescent="0.3">
      <c r="A4207" s="2">
        <v>41462</v>
      </c>
      <c r="B4207">
        <f>7.25/(100)</f>
        <v>7.2499999999999995E-2</v>
      </c>
      <c r="C4207">
        <f>7.659/(100)</f>
        <v>7.6589999999999991E-2</v>
      </c>
    </row>
    <row r="4208" spans="1:3" x14ac:dyDescent="0.3">
      <c r="A4208" s="2">
        <v>41463</v>
      </c>
      <c r="B4208">
        <f>7.25/(100)</f>
        <v>7.2499999999999995E-2</v>
      </c>
      <c r="C4208">
        <f>7.727/(100)</f>
        <v>7.7270000000000005E-2</v>
      </c>
    </row>
    <row r="4209" spans="1:3" x14ac:dyDescent="0.3">
      <c r="A4209" s="2">
        <v>41464</v>
      </c>
      <c r="B4209">
        <f>7.25/(100)</f>
        <v>7.2499999999999995E-2</v>
      </c>
      <c r="C4209">
        <f>7.732/(100)</f>
        <v>7.732E-2</v>
      </c>
    </row>
    <row r="4210" spans="1:3" x14ac:dyDescent="0.3">
      <c r="A4210" s="2">
        <v>41465</v>
      </c>
      <c r="B4210">
        <f>7.25/(100)</f>
        <v>7.2499999999999995E-2</v>
      </c>
      <c r="C4210">
        <f>7.737/(100)</f>
        <v>7.7369999999999994E-2</v>
      </c>
    </row>
    <row r="4211" spans="1:3" x14ac:dyDescent="0.3">
      <c r="A4211" s="2">
        <v>41466</v>
      </c>
      <c r="B4211">
        <f>7.25/(100)</f>
        <v>7.2499999999999995E-2</v>
      </c>
      <c r="C4211">
        <f>7.641/(100)</f>
        <v>7.6410000000000006E-2</v>
      </c>
    </row>
    <row r="4212" spans="1:3" x14ac:dyDescent="0.3">
      <c r="A4212" s="2">
        <v>41467</v>
      </c>
      <c r="B4212">
        <f>7.25/(100)</f>
        <v>7.2499999999999995E-2</v>
      </c>
      <c r="C4212">
        <f>7.758/(100)</f>
        <v>7.7579999999999996E-2</v>
      </c>
    </row>
    <row r="4213" spans="1:3" x14ac:dyDescent="0.3">
      <c r="A4213" s="2">
        <v>41468</v>
      </c>
      <c r="B4213">
        <f>7.25/(100)</f>
        <v>7.2499999999999995E-2</v>
      </c>
      <c r="C4213">
        <f>7.758/(100)</f>
        <v>7.7579999999999996E-2</v>
      </c>
    </row>
    <row r="4214" spans="1:3" x14ac:dyDescent="0.3">
      <c r="A4214" s="2">
        <v>41469</v>
      </c>
      <c r="B4214">
        <f>7.25/(100)</f>
        <v>7.2499999999999995E-2</v>
      </c>
      <c r="C4214">
        <f>7.758/(100)</f>
        <v>7.7579999999999996E-2</v>
      </c>
    </row>
    <row r="4215" spans="1:3" x14ac:dyDescent="0.3">
      <c r="A4215" s="2">
        <v>41470</v>
      </c>
      <c r="B4215">
        <f>7.25/(100)</f>
        <v>7.2499999999999995E-2</v>
      </c>
      <c r="C4215">
        <f>7.751/(100)</f>
        <v>7.7510000000000009E-2</v>
      </c>
    </row>
    <row r="4216" spans="1:3" x14ac:dyDescent="0.3">
      <c r="A4216" s="2">
        <v>41471</v>
      </c>
      <c r="B4216">
        <f>7.25/(100)</f>
        <v>7.2499999999999995E-2</v>
      </c>
      <c r="C4216">
        <f>7.751/(100)</f>
        <v>7.7510000000000009E-2</v>
      </c>
    </row>
    <row r="4217" spans="1:3" x14ac:dyDescent="0.3">
      <c r="A4217" s="2">
        <v>41472</v>
      </c>
      <c r="B4217">
        <f>7.25/(100)</f>
        <v>7.2499999999999995E-2</v>
      </c>
      <c r="C4217">
        <f>7.751/(100)</f>
        <v>7.7510000000000009E-2</v>
      </c>
    </row>
    <row r="4218" spans="1:3" x14ac:dyDescent="0.3">
      <c r="A4218" s="2">
        <v>41473</v>
      </c>
      <c r="B4218">
        <f>7.25/(100)</f>
        <v>7.2499999999999995E-2</v>
      </c>
      <c r="C4218">
        <f>9.154/(100)</f>
        <v>9.1539999999999996E-2</v>
      </c>
    </row>
    <row r="4219" spans="1:3" x14ac:dyDescent="0.3">
      <c r="A4219" s="2">
        <v>41474</v>
      </c>
      <c r="B4219">
        <f>7.25/(100)</f>
        <v>7.2499999999999995E-2</v>
      </c>
      <c r="C4219">
        <f>9.154/(100)</f>
        <v>9.1539999999999996E-2</v>
      </c>
    </row>
    <row r="4220" spans="1:3" x14ac:dyDescent="0.3">
      <c r="A4220" s="2">
        <v>41475</v>
      </c>
      <c r="B4220">
        <f>7.25/(100)</f>
        <v>7.2499999999999995E-2</v>
      </c>
      <c r="C4220">
        <f>9.154/(100)</f>
        <v>9.1539999999999996E-2</v>
      </c>
    </row>
    <row r="4221" spans="1:3" x14ac:dyDescent="0.3">
      <c r="A4221" s="2">
        <v>41476</v>
      </c>
      <c r="B4221">
        <f>7.25/(100)</f>
        <v>7.2499999999999995E-2</v>
      </c>
      <c r="C4221">
        <f>9.154/(100)</f>
        <v>9.1539999999999996E-2</v>
      </c>
    </row>
    <row r="4222" spans="1:3" x14ac:dyDescent="0.3">
      <c r="A4222" s="2">
        <v>41477</v>
      </c>
      <c r="B4222">
        <f>7.25/(100)</f>
        <v>7.2499999999999995E-2</v>
      </c>
      <c r="C4222">
        <f>9.154/(100)</f>
        <v>9.1539999999999996E-2</v>
      </c>
    </row>
    <row r="4223" spans="1:3" x14ac:dyDescent="0.3">
      <c r="A4223" s="2">
        <v>41478</v>
      </c>
      <c r="B4223">
        <f>7.25/(100)</f>
        <v>7.2499999999999995E-2</v>
      </c>
      <c r="C4223">
        <f>9.154/(100)</f>
        <v>9.1539999999999996E-2</v>
      </c>
    </row>
    <row r="4224" spans="1:3" x14ac:dyDescent="0.3">
      <c r="A4224" s="2">
        <v>41479</v>
      </c>
      <c r="B4224">
        <f>7.25/(100)</f>
        <v>7.2499999999999995E-2</v>
      </c>
      <c r="C4224">
        <f>9.154/(100)</f>
        <v>9.1539999999999996E-2</v>
      </c>
    </row>
    <row r="4225" spans="1:3" x14ac:dyDescent="0.3">
      <c r="A4225" s="2">
        <v>41480</v>
      </c>
      <c r="B4225">
        <f>7.25/(100)</f>
        <v>7.2499999999999995E-2</v>
      </c>
      <c r="C4225">
        <f>9.154/(100)</f>
        <v>9.1539999999999996E-2</v>
      </c>
    </row>
    <row r="4226" spans="1:3" x14ac:dyDescent="0.3">
      <c r="A4226" s="2">
        <v>41481</v>
      </c>
      <c r="B4226">
        <f>7.25/(100)</f>
        <v>7.2499999999999995E-2</v>
      </c>
      <c r="C4226">
        <f>9.154/(100)</f>
        <v>9.1539999999999996E-2</v>
      </c>
    </row>
    <row r="4227" spans="1:3" x14ac:dyDescent="0.3">
      <c r="A4227" s="2">
        <v>41482</v>
      </c>
      <c r="B4227">
        <f>7.25/(100)</f>
        <v>7.2499999999999995E-2</v>
      </c>
      <c r="C4227">
        <f>9.154/(100)</f>
        <v>9.1539999999999996E-2</v>
      </c>
    </row>
    <row r="4228" spans="1:3" x14ac:dyDescent="0.3">
      <c r="A4228" s="2">
        <v>41483</v>
      </c>
      <c r="B4228">
        <f>7.25/(100)</f>
        <v>7.2499999999999995E-2</v>
      </c>
      <c r="C4228">
        <f>9.154/(100)</f>
        <v>9.1539999999999996E-2</v>
      </c>
    </row>
    <row r="4229" spans="1:3" x14ac:dyDescent="0.3">
      <c r="A4229" s="2">
        <v>41484</v>
      </c>
      <c r="B4229">
        <f>7.25/(100)</f>
        <v>7.2499999999999995E-2</v>
      </c>
      <c r="C4229">
        <f>9.154/(100)</f>
        <v>9.1539999999999996E-2</v>
      </c>
    </row>
    <row r="4230" spans="1:3" x14ac:dyDescent="0.3">
      <c r="A4230" s="2">
        <v>41485</v>
      </c>
      <c r="B4230">
        <f>7.25/(100)</f>
        <v>7.2499999999999995E-2</v>
      </c>
      <c r="C4230">
        <f>9.154/(100)</f>
        <v>9.1539999999999996E-2</v>
      </c>
    </row>
    <row r="4231" spans="1:3" x14ac:dyDescent="0.3">
      <c r="A4231" s="2">
        <v>41486</v>
      </c>
      <c r="B4231">
        <f>7.25/(100)</f>
        <v>7.2499999999999995E-2</v>
      </c>
      <c r="C4231">
        <f>10.776/(100)</f>
        <v>0.10775999999999999</v>
      </c>
    </row>
    <row r="4232" spans="1:3" x14ac:dyDescent="0.3">
      <c r="A4232" s="2">
        <v>41487</v>
      </c>
      <c r="B4232">
        <f>7.25/(100)</f>
        <v>7.2499999999999995E-2</v>
      </c>
      <c r="C4232">
        <f>10.545/(100)</f>
        <v>0.10545</v>
      </c>
    </row>
    <row r="4233" spans="1:3" x14ac:dyDescent="0.3">
      <c r="A4233" s="2">
        <v>41488</v>
      </c>
      <c r="B4233">
        <f>7.25/(100)</f>
        <v>7.2499999999999995E-2</v>
      </c>
      <c r="C4233">
        <f>10.545/(100)</f>
        <v>0.10545</v>
      </c>
    </row>
    <row r="4234" spans="1:3" x14ac:dyDescent="0.3">
      <c r="A4234" s="2">
        <v>41489</v>
      </c>
      <c r="B4234">
        <f>7.25/(100)</f>
        <v>7.2499999999999995E-2</v>
      </c>
      <c r="C4234">
        <f>10.545/(100)</f>
        <v>0.10545</v>
      </c>
    </row>
    <row r="4235" spans="1:3" x14ac:dyDescent="0.3">
      <c r="A4235" s="2">
        <v>41490</v>
      </c>
      <c r="B4235">
        <f>7.25/(100)</f>
        <v>7.2499999999999995E-2</v>
      </c>
      <c r="C4235">
        <f>10.545/(100)</f>
        <v>0.10545</v>
      </c>
    </row>
    <row r="4236" spans="1:3" x14ac:dyDescent="0.3">
      <c r="A4236" s="2">
        <v>41491</v>
      </c>
      <c r="B4236">
        <f>7.25/(100)</f>
        <v>7.2499999999999995E-2</v>
      </c>
      <c r="C4236">
        <f>10.026/(100)</f>
        <v>0.10026</v>
      </c>
    </row>
    <row r="4237" spans="1:3" x14ac:dyDescent="0.3">
      <c r="A4237" s="2">
        <v>41492</v>
      </c>
      <c r="B4237">
        <f>7.25/(100)</f>
        <v>7.2499999999999995E-2</v>
      </c>
      <c r="C4237">
        <f>10.497/(100)</f>
        <v>0.10496999999999999</v>
      </c>
    </row>
    <row r="4238" spans="1:3" x14ac:dyDescent="0.3">
      <c r="A4238" s="2">
        <v>41493</v>
      </c>
      <c r="B4238">
        <f>7.25/(100)</f>
        <v>7.2499999999999995E-2</v>
      </c>
      <c r="C4238">
        <f>9.997/(100)</f>
        <v>9.9970000000000003E-2</v>
      </c>
    </row>
    <row r="4239" spans="1:3" x14ac:dyDescent="0.3">
      <c r="A4239" s="2">
        <v>41494</v>
      </c>
      <c r="B4239">
        <f>7.25/(100)</f>
        <v>7.2499999999999995E-2</v>
      </c>
      <c r="C4239">
        <f>10.053/(100)</f>
        <v>0.10053000000000001</v>
      </c>
    </row>
    <row r="4240" spans="1:3" x14ac:dyDescent="0.3">
      <c r="A4240" s="2">
        <v>41495</v>
      </c>
      <c r="B4240">
        <f>7.25/(100)</f>
        <v>7.2499999999999995E-2</v>
      </c>
      <c r="C4240">
        <f>10.053/(100)</f>
        <v>0.10053000000000001</v>
      </c>
    </row>
    <row r="4241" spans="1:3" x14ac:dyDescent="0.3">
      <c r="A4241" s="2">
        <v>41496</v>
      </c>
      <c r="B4241">
        <f>7.25/(100)</f>
        <v>7.2499999999999995E-2</v>
      </c>
      <c r="C4241">
        <f>10.053/(100)</f>
        <v>0.10053000000000001</v>
      </c>
    </row>
    <row r="4242" spans="1:3" x14ac:dyDescent="0.3">
      <c r="A4242" s="2">
        <v>41497</v>
      </c>
      <c r="B4242">
        <f>7.25/(100)</f>
        <v>7.2499999999999995E-2</v>
      </c>
      <c r="C4242">
        <f>10.053/(100)</f>
        <v>0.10053000000000001</v>
      </c>
    </row>
    <row r="4243" spans="1:3" x14ac:dyDescent="0.3">
      <c r="A4243" s="2">
        <v>41498</v>
      </c>
      <c r="B4243">
        <f>7.25/(100)</f>
        <v>7.2499999999999995E-2</v>
      </c>
      <c r="C4243">
        <f>10.053/(100)</f>
        <v>0.10053000000000001</v>
      </c>
    </row>
    <row r="4244" spans="1:3" x14ac:dyDescent="0.3">
      <c r="A4244" s="2">
        <v>41499</v>
      </c>
      <c r="B4244">
        <f>7.25/(100)</f>
        <v>7.2499999999999995E-2</v>
      </c>
      <c r="C4244">
        <f>10.053/(100)</f>
        <v>0.10053000000000001</v>
      </c>
    </row>
    <row r="4245" spans="1:3" x14ac:dyDescent="0.3">
      <c r="A4245" s="2">
        <v>41500</v>
      </c>
      <c r="B4245">
        <f>7.25/(100)</f>
        <v>7.2499999999999995E-2</v>
      </c>
      <c r="C4245">
        <f>10.053/(100)</f>
        <v>0.10053000000000001</v>
      </c>
    </row>
    <row r="4246" spans="1:3" x14ac:dyDescent="0.3">
      <c r="A4246" s="2">
        <v>41501</v>
      </c>
      <c r="B4246">
        <f>7.25/(100)</f>
        <v>7.2499999999999995E-2</v>
      </c>
      <c r="C4246">
        <f>10.053/(100)</f>
        <v>0.10053000000000001</v>
      </c>
    </row>
    <row r="4247" spans="1:3" x14ac:dyDescent="0.3">
      <c r="A4247" s="2">
        <v>41502</v>
      </c>
      <c r="B4247">
        <f>7.25/(100)</f>
        <v>7.2499999999999995E-2</v>
      </c>
      <c r="C4247">
        <f>10.053/(100)</f>
        <v>0.10053000000000001</v>
      </c>
    </row>
    <row r="4248" spans="1:3" x14ac:dyDescent="0.3">
      <c r="A4248" s="2">
        <v>41503</v>
      </c>
      <c r="B4248">
        <f>7.25/(100)</f>
        <v>7.2499999999999995E-2</v>
      </c>
      <c r="C4248">
        <f>10.053/(100)</f>
        <v>0.10053000000000001</v>
      </c>
    </row>
    <row r="4249" spans="1:3" x14ac:dyDescent="0.3">
      <c r="A4249" s="2">
        <v>41504</v>
      </c>
      <c r="B4249">
        <f>7.25/(100)</f>
        <v>7.2499999999999995E-2</v>
      </c>
      <c r="C4249">
        <f>10.053/(100)</f>
        <v>0.10053000000000001</v>
      </c>
    </row>
    <row r="4250" spans="1:3" x14ac:dyDescent="0.3">
      <c r="A4250" s="2">
        <v>41505</v>
      </c>
      <c r="B4250">
        <f>7.25/(100)</f>
        <v>7.2499999999999995E-2</v>
      </c>
      <c r="C4250">
        <f>10.053/(100)</f>
        <v>0.10053000000000001</v>
      </c>
    </row>
    <row r="4251" spans="1:3" x14ac:dyDescent="0.3">
      <c r="A4251" s="2">
        <v>41506</v>
      </c>
      <c r="B4251">
        <f>7.25/(100)</f>
        <v>7.2499999999999995E-2</v>
      </c>
      <c r="C4251">
        <f>10.053/(100)</f>
        <v>0.10053000000000001</v>
      </c>
    </row>
    <row r="4252" spans="1:3" x14ac:dyDescent="0.3">
      <c r="A4252" s="2">
        <v>41507</v>
      </c>
      <c r="B4252">
        <f>7.25/(100)</f>
        <v>7.2499999999999995E-2</v>
      </c>
      <c r="C4252">
        <f>10.245/(100)</f>
        <v>0.10244999999999999</v>
      </c>
    </row>
    <row r="4253" spans="1:3" x14ac:dyDescent="0.3">
      <c r="A4253" s="2">
        <v>41508</v>
      </c>
      <c r="B4253">
        <f>7.25/(100)</f>
        <v>7.2499999999999995E-2</v>
      </c>
      <c r="C4253">
        <f>10.245/(100)</f>
        <v>0.10244999999999999</v>
      </c>
    </row>
    <row r="4254" spans="1:3" x14ac:dyDescent="0.3">
      <c r="A4254" s="2">
        <v>41509</v>
      </c>
      <c r="B4254">
        <f>7.25/(100)</f>
        <v>7.2499999999999995E-2</v>
      </c>
      <c r="C4254">
        <f>10.245/(100)</f>
        <v>0.10244999999999999</v>
      </c>
    </row>
    <row r="4255" spans="1:3" x14ac:dyDescent="0.3">
      <c r="A4255" s="2">
        <v>41510</v>
      </c>
      <c r="B4255">
        <f>7.25/(100)</f>
        <v>7.2499999999999995E-2</v>
      </c>
      <c r="C4255">
        <f>10.245/(100)</f>
        <v>0.10244999999999999</v>
      </c>
    </row>
    <row r="4256" spans="1:3" x14ac:dyDescent="0.3">
      <c r="A4256" s="2">
        <v>41511</v>
      </c>
      <c r="B4256">
        <f>7.25/(100)</f>
        <v>7.2499999999999995E-2</v>
      </c>
      <c r="C4256">
        <f>10.245/(100)</f>
        <v>0.10244999999999999</v>
      </c>
    </row>
    <row r="4257" spans="1:3" x14ac:dyDescent="0.3">
      <c r="A4257" s="2">
        <v>41512</v>
      </c>
      <c r="B4257">
        <f>7.25/(100)</f>
        <v>7.2499999999999995E-2</v>
      </c>
      <c r="C4257">
        <f>10.245/(100)</f>
        <v>0.10244999999999999</v>
      </c>
    </row>
    <row r="4258" spans="1:3" x14ac:dyDescent="0.3">
      <c r="A4258" s="2">
        <v>41513</v>
      </c>
      <c r="B4258">
        <f>7.25/(100)</f>
        <v>7.2499999999999995E-2</v>
      </c>
      <c r="C4258">
        <f>10.245/(100)</f>
        <v>0.10244999999999999</v>
      </c>
    </row>
    <row r="4259" spans="1:3" x14ac:dyDescent="0.3">
      <c r="A4259" s="2">
        <v>41514</v>
      </c>
      <c r="B4259">
        <f>7.25/(100)</f>
        <v>7.2499999999999995E-2</v>
      </c>
      <c r="C4259">
        <f>10.245/(100)</f>
        <v>0.10244999999999999</v>
      </c>
    </row>
    <row r="4260" spans="1:3" x14ac:dyDescent="0.3">
      <c r="A4260" s="2">
        <v>41515</v>
      </c>
      <c r="B4260">
        <f>7.25/(100)</f>
        <v>7.2499999999999995E-2</v>
      </c>
      <c r="C4260">
        <f>10.779/(100)</f>
        <v>0.10779</v>
      </c>
    </row>
    <row r="4261" spans="1:3" x14ac:dyDescent="0.3">
      <c r="A4261" s="2">
        <v>41516</v>
      </c>
      <c r="B4261">
        <f>7.25/(100)</f>
        <v>7.2499999999999995E-2</v>
      </c>
      <c r="C4261">
        <f>10.273/(100)</f>
        <v>0.10273</v>
      </c>
    </row>
    <row r="4262" spans="1:3" x14ac:dyDescent="0.3">
      <c r="A4262" s="2">
        <v>41517</v>
      </c>
      <c r="B4262">
        <f>7.25/(100)</f>
        <v>7.2499999999999995E-2</v>
      </c>
      <c r="C4262">
        <f>10.273/(100)</f>
        <v>0.10273</v>
      </c>
    </row>
    <row r="4263" spans="1:3" x14ac:dyDescent="0.3">
      <c r="A4263" s="2">
        <v>41518</v>
      </c>
      <c r="B4263">
        <f>7.25/(100)</f>
        <v>7.2499999999999995E-2</v>
      </c>
      <c r="C4263">
        <f>10.273/(100)</f>
        <v>0.10273</v>
      </c>
    </row>
    <row r="4264" spans="1:3" x14ac:dyDescent="0.3">
      <c r="A4264" s="2">
        <v>41519</v>
      </c>
      <c r="B4264">
        <f>7.25/(100)</f>
        <v>7.2499999999999995E-2</v>
      </c>
      <c r="C4264">
        <f>10.273/(100)</f>
        <v>0.10273</v>
      </c>
    </row>
    <row r="4265" spans="1:3" x14ac:dyDescent="0.3">
      <c r="A4265" s="2">
        <v>41520</v>
      </c>
      <c r="B4265">
        <f>7.25/(100)</f>
        <v>7.2499999999999995E-2</v>
      </c>
      <c r="C4265">
        <f>10.273/(100)</f>
        <v>0.10273</v>
      </c>
    </row>
    <row r="4266" spans="1:3" x14ac:dyDescent="0.3">
      <c r="A4266" s="2">
        <v>41521</v>
      </c>
      <c r="B4266">
        <f>7.25/(100)</f>
        <v>7.2499999999999995E-2</v>
      </c>
      <c r="C4266">
        <f>10.273/(100)</f>
        <v>0.10273</v>
      </c>
    </row>
    <row r="4267" spans="1:3" x14ac:dyDescent="0.3">
      <c r="A4267" s="2">
        <v>41522</v>
      </c>
      <c r="B4267">
        <f>7.25/(100)</f>
        <v>7.2499999999999995E-2</v>
      </c>
      <c r="C4267">
        <f>9.715/(100)</f>
        <v>9.715E-2</v>
      </c>
    </row>
    <row r="4268" spans="1:3" x14ac:dyDescent="0.3">
      <c r="A4268" s="2">
        <v>41523</v>
      </c>
      <c r="B4268">
        <f>7.25/(100)</f>
        <v>7.2499999999999995E-2</v>
      </c>
      <c r="C4268">
        <f>9.704/(100)</f>
        <v>9.7040000000000001E-2</v>
      </c>
    </row>
    <row r="4269" spans="1:3" x14ac:dyDescent="0.3">
      <c r="A4269" s="2">
        <v>41524</v>
      </c>
      <c r="B4269">
        <f>7.25/(100)</f>
        <v>7.2499999999999995E-2</v>
      </c>
      <c r="C4269">
        <f>9.704/(100)</f>
        <v>9.7040000000000001E-2</v>
      </c>
    </row>
    <row r="4270" spans="1:3" x14ac:dyDescent="0.3">
      <c r="A4270" s="2">
        <v>41525</v>
      </c>
      <c r="B4270">
        <f>7.25/(100)</f>
        <v>7.2499999999999995E-2</v>
      </c>
      <c r="C4270">
        <f>9.704/(100)</f>
        <v>9.7040000000000001E-2</v>
      </c>
    </row>
    <row r="4271" spans="1:3" x14ac:dyDescent="0.3">
      <c r="A4271" s="2">
        <v>41526</v>
      </c>
      <c r="B4271">
        <f>7.25/(100)</f>
        <v>7.2499999999999995E-2</v>
      </c>
      <c r="C4271">
        <f>9.704/(100)</f>
        <v>9.7040000000000001E-2</v>
      </c>
    </row>
    <row r="4272" spans="1:3" x14ac:dyDescent="0.3">
      <c r="A4272" s="2">
        <v>41527</v>
      </c>
      <c r="B4272">
        <f>7.25/(100)</f>
        <v>7.2499999999999995E-2</v>
      </c>
      <c r="C4272">
        <f>9.704/(100)</f>
        <v>9.7040000000000001E-2</v>
      </c>
    </row>
    <row r="4273" spans="1:3" x14ac:dyDescent="0.3">
      <c r="A4273" s="2">
        <v>41528</v>
      </c>
      <c r="B4273">
        <f>7.25/(100)</f>
        <v>7.2499999999999995E-2</v>
      </c>
      <c r="C4273">
        <f>9.8/(100)</f>
        <v>9.8000000000000004E-2</v>
      </c>
    </row>
    <row r="4274" spans="1:3" x14ac:dyDescent="0.3">
      <c r="A4274" s="2">
        <v>41529</v>
      </c>
      <c r="B4274">
        <f>7.25/(100)</f>
        <v>7.2499999999999995E-2</v>
      </c>
      <c r="C4274">
        <f>10.008/(100)</f>
        <v>0.10007999999999999</v>
      </c>
    </row>
    <row r="4275" spans="1:3" x14ac:dyDescent="0.3">
      <c r="A4275" s="2">
        <v>41530</v>
      </c>
      <c r="B4275">
        <f>7.25/(100)</f>
        <v>7.2499999999999995E-2</v>
      </c>
      <c r="C4275">
        <f>9.811/(100)</f>
        <v>9.8110000000000003E-2</v>
      </c>
    </row>
    <row r="4276" spans="1:3" x14ac:dyDescent="0.3">
      <c r="A4276" s="2">
        <v>41531</v>
      </c>
      <c r="B4276">
        <f>7.25/(100)</f>
        <v>7.2499999999999995E-2</v>
      </c>
      <c r="C4276">
        <f>9.811/(100)</f>
        <v>9.8110000000000003E-2</v>
      </c>
    </row>
    <row r="4277" spans="1:3" x14ac:dyDescent="0.3">
      <c r="A4277" s="2">
        <v>41532</v>
      </c>
      <c r="B4277">
        <f>7.25/(100)</f>
        <v>7.2499999999999995E-2</v>
      </c>
      <c r="C4277">
        <f>9.811/(100)</f>
        <v>9.8110000000000003E-2</v>
      </c>
    </row>
    <row r="4278" spans="1:3" x14ac:dyDescent="0.3">
      <c r="A4278" s="2">
        <v>41533</v>
      </c>
      <c r="B4278">
        <f>7.25/(100)</f>
        <v>7.2499999999999995E-2</v>
      </c>
      <c r="C4278">
        <f>9.811/(100)</f>
        <v>9.8110000000000003E-2</v>
      </c>
    </row>
    <row r="4279" spans="1:3" x14ac:dyDescent="0.3">
      <c r="A4279" s="2">
        <v>41534</v>
      </c>
      <c r="B4279">
        <f>7.25/(100)</f>
        <v>7.2499999999999995E-2</v>
      </c>
      <c r="C4279">
        <f>9.824/(100)</f>
        <v>9.8239999999999994E-2</v>
      </c>
    </row>
    <row r="4280" spans="1:3" x14ac:dyDescent="0.3">
      <c r="A4280" s="2">
        <v>41535</v>
      </c>
      <c r="B4280">
        <f>7.25/(100)</f>
        <v>7.2499999999999995E-2</v>
      </c>
      <c r="C4280">
        <f>9.795/(100)</f>
        <v>9.7949999999999995E-2</v>
      </c>
    </row>
    <row r="4281" spans="1:3" x14ac:dyDescent="0.3">
      <c r="A4281" s="2">
        <v>41536</v>
      </c>
      <c r="B4281">
        <f>7.25/(100)</f>
        <v>7.2499999999999995E-2</v>
      </c>
      <c r="C4281">
        <f>9.795/(100)</f>
        <v>9.7949999999999995E-2</v>
      </c>
    </row>
    <row r="4282" spans="1:3" x14ac:dyDescent="0.3">
      <c r="A4282" s="2">
        <v>41537</v>
      </c>
      <c r="B4282">
        <f>7.5/(100)</f>
        <v>7.4999999999999997E-2</v>
      </c>
      <c r="C4282">
        <f>9.795/(100)</f>
        <v>9.7949999999999995E-2</v>
      </c>
    </row>
    <row r="4283" spans="1:3" x14ac:dyDescent="0.3">
      <c r="A4283" s="2">
        <v>41538</v>
      </c>
      <c r="B4283">
        <f>7.5/(100)</f>
        <v>7.4999999999999997E-2</v>
      </c>
      <c r="C4283">
        <f>9.795/(100)</f>
        <v>9.7949999999999995E-2</v>
      </c>
    </row>
    <row r="4284" spans="1:3" x14ac:dyDescent="0.3">
      <c r="A4284" s="2">
        <v>41539</v>
      </c>
      <c r="B4284">
        <f>7.5/(100)</f>
        <v>7.4999999999999997E-2</v>
      </c>
      <c r="C4284">
        <f>9.795/(100)</f>
        <v>9.7949999999999995E-2</v>
      </c>
    </row>
    <row r="4285" spans="1:3" x14ac:dyDescent="0.3">
      <c r="A4285" s="2">
        <v>41540</v>
      </c>
      <c r="B4285">
        <f>7.5/(100)</f>
        <v>7.4999999999999997E-2</v>
      </c>
      <c r="C4285">
        <f>9.795/(100)</f>
        <v>9.7949999999999995E-2</v>
      </c>
    </row>
    <row r="4286" spans="1:3" x14ac:dyDescent="0.3">
      <c r="A4286" s="2">
        <v>41541</v>
      </c>
      <c r="B4286">
        <f>7.5/(100)</f>
        <v>7.4999999999999997E-2</v>
      </c>
      <c r="C4286">
        <f>9.795/(100)</f>
        <v>9.7949999999999995E-2</v>
      </c>
    </row>
    <row r="4287" spans="1:3" x14ac:dyDescent="0.3">
      <c r="A4287" s="2">
        <v>41542</v>
      </c>
      <c r="B4287">
        <f>7.5/(100)</f>
        <v>7.4999999999999997E-2</v>
      </c>
      <c r="C4287">
        <f>9.696/(100)</f>
        <v>9.6959999999999991E-2</v>
      </c>
    </row>
    <row r="4288" spans="1:3" x14ac:dyDescent="0.3">
      <c r="A4288" s="2">
        <v>41543</v>
      </c>
      <c r="B4288">
        <f>7.5/(100)</f>
        <v>7.4999999999999997E-2</v>
      </c>
      <c r="C4288">
        <f>9.389/(100)</f>
        <v>9.3889999999999987E-2</v>
      </c>
    </row>
    <row r="4289" spans="1:3" x14ac:dyDescent="0.3">
      <c r="A4289" s="2">
        <v>41544</v>
      </c>
      <c r="B4289">
        <f>7.5/(100)</f>
        <v>7.4999999999999997E-2</v>
      </c>
      <c r="C4289">
        <f>9.333/(100)</f>
        <v>9.3329999999999996E-2</v>
      </c>
    </row>
    <row r="4290" spans="1:3" x14ac:dyDescent="0.3">
      <c r="A4290" s="2">
        <v>41545</v>
      </c>
      <c r="B4290">
        <f>7.5/(100)</f>
        <v>7.4999999999999997E-2</v>
      </c>
      <c r="C4290">
        <f>9.333/(100)</f>
        <v>9.3329999999999996E-2</v>
      </c>
    </row>
    <row r="4291" spans="1:3" x14ac:dyDescent="0.3">
      <c r="A4291" s="2">
        <v>41546</v>
      </c>
      <c r="B4291">
        <f>7.5/(100)</f>
        <v>7.4999999999999997E-2</v>
      </c>
      <c r="C4291">
        <f>9.333/(100)</f>
        <v>9.3329999999999996E-2</v>
      </c>
    </row>
    <row r="4292" spans="1:3" x14ac:dyDescent="0.3">
      <c r="A4292" s="2">
        <v>41547</v>
      </c>
      <c r="B4292">
        <f>7.5/(100)</f>
        <v>7.4999999999999997E-2</v>
      </c>
      <c r="C4292">
        <f>9.183/(100)</f>
        <v>9.1829999999999995E-2</v>
      </c>
    </row>
    <row r="4293" spans="1:3" x14ac:dyDescent="0.3">
      <c r="A4293" s="2">
        <v>41548</v>
      </c>
      <c r="B4293">
        <f>7.5/(100)</f>
        <v>7.4999999999999997E-2</v>
      </c>
      <c r="C4293">
        <f>9.19/(100)</f>
        <v>9.1899999999999996E-2</v>
      </c>
    </row>
    <row r="4294" spans="1:3" x14ac:dyDescent="0.3">
      <c r="A4294" s="2">
        <v>41549</v>
      </c>
      <c r="B4294">
        <f>7.5/(100)</f>
        <v>7.4999999999999997E-2</v>
      </c>
      <c r="C4294">
        <f>9.19/(100)</f>
        <v>9.1899999999999996E-2</v>
      </c>
    </row>
    <row r="4295" spans="1:3" x14ac:dyDescent="0.3">
      <c r="A4295" s="2">
        <v>41550</v>
      </c>
      <c r="B4295">
        <f>7.5/(100)</f>
        <v>7.4999999999999997E-2</v>
      </c>
      <c r="C4295">
        <f>9.19/(100)</f>
        <v>9.1899999999999996E-2</v>
      </c>
    </row>
    <row r="4296" spans="1:3" x14ac:dyDescent="0.3">
      <c r="A4296" s="2">
        <v>41551</v>
      </c>
      <c r="B4296">
        <f>7.5/(100)</f>
        <v>7.4999999999999997E-2</v>
      </c>
      <c r="C4296">
        <f>9.103/(100)</f>
        <v>9.103E-2</v>
      </c>
    </row>
    <row r="4297" spans="1:3" x14ac:dyDescent="0.3">
      <c r="A4297" s="2">
        <v>41552</v>
      </c>
      <c r="B4297">
        <f>7.5/(100)</f>
        <v>7.4999999999999997E-2</v>
      </c>
      <c r="C4297">
        <f>9.103/(100)</f>
        <v>9.103E-2</v>
      </c>
    </row>
    <row r="4298" spans="1:3" x14ac:dyDescent="0.3">
      <c r="A4298" s="2">
        <v>41553</v>
      </c>
      <c r="B4298">
        <f>7.5/(100)</f>
        <v>7.4999999999999997E-2</v>
      </c>
      <c r="C4298">
        <f>9.103/(100)</f>
        <v>9.103E-2</v>
      </c>
    </row>
    <row r="4299" spans="1:3" x14ac:dyDescent="0.3">
      <c r="A4299" s="2">
        <v>41554</v>
      </c>
      <c r="B4299">
        <f>7.5/(100)</f>
        <v>7.4999999999999997E-2</v>
      </c>
      <c r="C4299">
        <f>9.103/(100)</f>
        <v>9.103E-2</v>
      </c>
    </row>
    <row r="4300" spans="1:3" x14ac:dyDescent="0.3">
      <c r="A4300" s="2">
        <v>41555</v>
      </c>
      <c r="B4300">
        <f>7.5/(100)</f>
        <v>7.4999999999999997E-2</v>
      </c>
      <c r="C4300">
        <f>8.781/(100)</f>
        <v>8.7809999999999999E-2</v>
      </c>
    </row>
    <row r="4301" spans="1:3" x14ac:dyDescent="0.3">
      <c r="A4301" s="2">
        <v>41556</v>
      </c>
      <c r="B4301">
        <f>7.5/(100)</f>
        <v>7.4999999999999997E-2</v>
      </c>
      <c r="C4301">
        <f>8.88/(100)</f>
        <v>8.8800000000000004E-2</v>
      </c>
    </row>
    <row r="4302" spans="1:3" x14ac:dyDescent="0.3">
      <c r="A4302" s="2">
        <v>41557</v>
      </c>
      <c r="B4302">
        <f>7.5/(100)</f>
        <v>7.4999999999999997E-2</v>
      </c>
      <c r="C4302">
        <f>8.893/(100)</f>
        <v>8.8930000000000009E-2</v>
      </c>
    </row>
    <row r="4303" spans="1:3" x14ac:dyDescent="0.3">
      <c r="A4303" s="2">
        <v>41558</v>
      </c>
      <c r="B4303">
        <f>7.5/(100)</f>
        <v>7.4999999999999997E-2</v>
      </c>
      <c r="C4303">
        <f>8.912/(100)</f>
        <v>8.9120000000000005E-2</v>
      </c>
    </row>
    <row r="4304" spans="1:3" x14ac:dyDescent="0.3">
      <c r="A4304" s="2">
        <v>41559</v>
      </c>
      <c r="B4304">
        <f>7.5/(100)</f>
        <v>7.4999999999999997E-2</v>
      </c>
      <c r="C4304">
        <f>8.912/(100)</f>
        <v>8.9120000000000005E-2</v>
      </c>
    </row>
    <row r="4305" spans="1:3" x14ac:dyDescent="0.3">
      <c r="A4305" s="2">
        <v>41560</v>
      </c>
      <c r="B4305">
        <f>7.5/(100)</f>
        <v>7.4999999999999997E-2</v>
      </c>
      <c r="C4305">
        <f>8.912/(100)</f>
        <v>8.9120000000000005E-2</v>
      </c>
    </row>
    <row r="4306" spans="1:3" x14ac:dyDescent="0.3">
      <c r="A4306" s="2">
        <v>41561</v>
      </c>
      <c r="B4306">
        <f>7.5/(100)</f>
        <v>7.4999999999999997E-2</v>
      </c>
      <c r="C4306">
        <f>8.996/(100)</f>
        <v>8.9959999999999998E-2</v>
      </c>
    </row>
    <row r="4307" spans="1:3" x14ac:dyDescent="0.3">
      <c r="A4307" s="2">
        <v>41562</v>
      </c>
      <c r="B4307">
        <f>7.5/(100)</f>
        <v>7.4999999999999997E-2</v>
      </c>
      <c r="C4307">
        <f>9.049/(100)</f>
        <v>9.0490000000000001E-2</v>
      </c>
    </row>
    <row r="4308" spans="1:3" x14ac:dyDescent="0.3">
      <c r="A4308" s="2">
        <v>41563</v>
      </c>
      <c r="B4308">
        <f>7.5/(100)</f>
        <v>7.4999999999999997E-2</v>
      </c>
      <c r="C4308">
        <f>9.049/(100)</f>
        <v>9.0490000000000001E-2</v>
      </c>
    </row>
    <row r="4309" spans="1:3" x14ac:dyDescent="0.3">
      <c r="A4309" s="2">
        <v>41564</v>
      </c>
      <c r="B4309">
        <f>7.5/(100)</f>
        <v>7.4999999999999997E-2</v>
      </c>
      <c r="C4309">
        <f>8.978/(100)</f>
        <v>8.9779999999999999E-2</v>
      </c>
    </row>
    <row r="4310" spans="1:3" x14ac:dyDescent="0.3">
      <c r="A4310" s="2">
        <v>41565</v>
      </c>
      <c r="B4310">
        <f>7.5/(100)</f>
        <v>7.4999999999999997E-2</v>
      </c>
      <c r="C4310">
        <f>9/(100)</f>
        <v>0.09</v>
      </c>
    </row>
    <row r="4311" spans="1:3" x14ac:dyDescent="0.3">
      <c r="A4311" s="2">
        <v>41566</v>
      </c>
      <c r="B4311">
        <f>7.5/(100)</f>
        <v>7.4999999999999997E-2</v>
      </c>
      <c r="C4311">
        <f>9/(100)</f>
        <v>0.09</v>
      </c>
    </row>
    <row r="4312" spans="1:3" x14ac:dyDescent="0.3">
      <c r="A4312" s="2">
        <v>41567</v>
      </c>
      <c r="B4312">
        <f>7.5/(100)</f>
        <v>7.4999999999999997E-2</v>
      </c>
      <c r="C4312">
        <f>9/(100)</f>
        <v>0.09</v>
      </c>
    </row>
    <row r="4313" spans="1:3" x14ac:dyDescent="0.3">
      <c r="A4313" s="2">
        <v>41568</v>
      </c>
      <c r="B4313">
        <f>7.5/(100)</f>
        <v>7.4999999999999997E-2</v>
      </c>
      <c r="C4313">
        <f>8.848/(100)</f>
        <v>8.8480000000000003E-2</v>
      </c>
    </row>
    <row r="4314" spans="1:3" x14ac:dyDescent="0.3">
      <c r="A4314" s="2">
        <v>41569</v>
      </c>
      <c r="B4314">
        <f>7.5/(100)</f>
        <v>7.4999999999999997E-2</v>
      </c>
      <c r="C4314">
        <f>9.089/(100)</f>
        <v>9.0889999999999999E-2</v>
      </c>
    </row>
    <row r="4315" spans="1:3" x14ac:dyDescent="0.3">
      <c r="A4315" s="2">
        <v>41570</v>
      </c>
      <c r="B4315">
        <f>7.5/(100)</f>
        <v>7.4999999999999997E-2</v>
      </c>
      <c r="C4315">
        <f>9.115/(100)</f>
        <v>9.1150000000000009E-2</v>
      </c>
    </row>
    <row r="4316" spans="1:3" x14ac:dyDescent="0.3">
      <c r="A4316" s="2">
        <v>41571</v>
      </c>
      <c r="B4316">
        <f>7.5/(100)</f>
        <v>7.4999999999999997E-2</v>
      </c>
      <c r="C4316">
        <f>9.115/(100)</f>
        <v>9.1150000000000009E-2</v>
      </c>
    </row>
    <row r="4317" spans="1:3" x14ac:dyDescent="0.3">
      <c r="A4317" s="2">
        <v>41572</v>
      </c>
      <c r="B4317">
        <f>7.5/(100)</f>
        <v>7.4999999999999997E-2</v>
      </c>
      <c r="C4317">
        <f>9.115/(100)</f>
        <v>9.1150000000000009E-2</v>
      </c>
    </row>
    <row r="4318" spans="1:3" x14ac:dyDescent="0.3">
      <c r="A4318" s="2">
        <v>41573</v>
      </c>
      <c r="B4318">
        <f>7.5/(100)</f>
        <v>7.4999999999999997E-2</v>
      </c>
      <c r="C4318">
        <f>9.115/(100)</f>
        <v>9.1150000000000009E-2</v>
      </c>
    </row>
    <row r="4319" spans="1:3" x14ac:dyDescent="0.3">
      <c r="A4319" s="2">
        <v>41574</v>
      </c>
      <c r="B4319">
        <f>7.5/(100)</f>
        <v>7.4999999999999997E-2</v>
      </c>
      <c r="C4319">
        <f>9.115/(100)</f>
        <v>9.1150000000000009E-2</v>
      </c>
    </row>
    <row r="4320" spans="1:3" x14ac:dyDescent="0.3">
      <c r="A4320" s="2">
        <v>41575</v>
      </c>
      <c r="B4320">
        <f>7.5/(100)</f>
        <v>7.4999999999999997E-2</v>
      </c>
      <c r="C4320">
        <f>8.615/(100)</f>
        <v>8.6150000000000004E-2</v>
      </c>
    </row>
    <row r="4321" spans="1:3" x14ac:dyDescent="0.3">
      <c r="A4321" s="2">
        <v>41576</v>
      </c>
      <c r="B4321">
        <f>7.75/(100)</f>
        <v>7.7499999999999999E-2</v>
      </c>
      <c r="C4321">
        <f>8.854/(100)</f>
        <v>8.8539999999999994E-2</v>
      </c>
    </row>
    <row r="4322" spans="1:3" x14ac:dyDescent="0.3">
      <c r="A4322" s="2">
        <v>41577</v>
      </c>
      <c r="B4322">
        <f>7.75/(100)</f>
        <v>7.7499999999999999E-2</v>
      </c>
      <c r="C4322">
        <f>8.962/(100)</f>
        <v>8.9619999999999991E-2</v>
      </c>
    </row>
    <row r="4323" spans="1:3" x14ac:dyDescent="0.3">
      <c r="A4323" s="2">
        <v>41578</v>
      </c>
      <c r="B4323">
        <f>7.75/(100)</f>
        <v>7.7499999999999999E-2</v>
      </c>
      <c r="C4323">
        <f>8.962/(100)</f>
        <v>8.9619999999999991E-2</v>
      </c>
    </row>
    <row r="4324" spans="1:3" x14ac:dyDescent="0.3">
      <c r="A4324" s="2">
        <v>41579</v>
      </c>
      <c r="B4324">
        <f>7.75/(100)</f>
        <v>7.7499999999999999E-2</v>
      </c>
      <c r="C4324">
        <f>8.696/(100)</f>
        <v>8.6959999999999996E-2</v>
      </c>
    </row>
    <row r="4325" spans="1:3" x14ac:dyDescent="0.3">
      <c r="A4325" s="2">
        <v>41580</v>
      </c>
      <c r="B4325">
        <f>7.75/(100)</f>
        <v>7.7499999999999999E-2</v>
      </c>
      <c r="C4325">
        <f>8.696/(100)</f>
        <v>8.6959999999999996E-2</v>
      </c>
    </row>
    <row r="4326" spans="1:3" x14ac:dyDescent="0.3">
      <c r="A4326" s="2">
        <v>41581</v>
      </c>
      <c r="B4326">
        <f>7.75/(100)</f>
        <v>7.7499999999999999E-2</v>
      </c>
      <c r="C4326">
        <f>8.696/(100)</f>
        <v>8.6959999999999996E-2</v>
      </c>
    </row>
    <row r="4327" spans="1:3" x14ac:dyDescent="0.3">
      <c r="A4327" s="2">
        <v>41582</v>
      </c>
      <c r="B4327">
        <f>7.75/(100)</f>
        <v>7.7499999999999999E-2</v>
      </c>
      <c r="C4327">
        <f>8.696/(100)</f>
        <v>8.6959999999999996E-2</v>
      </c>
    </row>
    <row r="4328" spans="1:3" x14ac:dyDescent="0.3">
      <c r="A4328" s="2">
        <v>41583</v>
      </c>
      <c r="B4328">
        <f>7.75/(100)</f>
        <v>7.7499999999999999E-2</v>
      </c>
      <c r="C4328">
        <f>8.67/(100)</f>
        <v>8.6699999999999999E-2</v>
      </c>
    </row>
    <row r="4329" spans="1:3" x14ac:dyDescent="0.3">
      <c r="A4329" s="2">
        <v>41584</v>
      </c>
      <c r="B4329">
        <f>7.75/(100)</f>
        <v>7.7499999999999999E-2</v>
      </c>
      <c r="C4329">
        <f>8.764/(100)</f>
        <v>8.7639999999999996E-2</v>
      </c>
    </row>
    <row r="4330" spans="1:3" x14ac:dyDescent="0.3">
      <c r="A4330" s="2">
        <v>41585</v>
      </c>
      <c r="B4330">
        <f>7.75/(100)</f>
        <v>7.7499999999999999E-2</v>
      </c>
      <c r="C4330">
        <f>8.778/(100)</f>
        <v>8.7780000000000011E-2</v>
      </c>
    </row>
    <row r="4331" spans="1:3" x14ac:dyDescent="0.3">
      <c r="A4331" s="2">
        <v>41586</v>
      </c>
      <c r="B4331">
        <f>7.75/(100)</f>
        <v>7.7499999999999999E-2</v>
      </c>
      <c r="C4331">
        <f>8.88/(100)</f>
        <v>8.8800000000000004E-2</v>
      </c>
    </row>
    <row r="4332" spans="1:3" x14ac:dyDescent="0.3">
      <c r="A4332" s="2">
        <v>41587</v>
      </c>
      <c r="B4332">
        <f>7.75/(100)</f>
        <v>7.7499999999999999E-2</v>
      </c>
      <c r="C4332">
        <f>8.88/(100)</f>
        <v>8.8800000000000004E-2</v>
      </c>
    </row>
    <row r="4333" spans="1:3" x14ac:dyDescent="0.3">
      <c r="A4333" s="2">
        <v>41588</v>
      </c>
      <c r="B4333">
        <f>7.75/(100)</f>
        <v>7.7499999999999999E-2</v>
      </c>
      <c r="C4333">
        <f>8.88/(100)</f>
        <v>8.8800000000000004E-2</v>
      </c>
    </row>
    <row r="4334" spans="1:3" x14ac:dyDescent="0.3">
      <c r="A4334" s="2">
        <v>41589</v>
      </c>
      <c r="B4334">
        <f>7.75/(100)</f>
        <v>7.7499999999999999E-2</v>
      </c>
      <c r="C4334">
        <f>9.011/(100)</f>
        <v>9.0109999999999996E-2</v>
      </c>
    </row>
    <row r="4335" spans="1:3" x14ac:dyDescent="0.3">
      <c r="A4335" s="2">
        <v>41590</v>
      </c>
      <c r="B4335">
        <f>7.75/(100)</f>
        <v>7.7499999999999999E-2</v>
      </c>
      <c r="C4335">
        <f>9.011/(100)</f>
        <v>9.0109999999999996E-2</v>
      </c>
    </row>
    <row r="4336" spans="1:3" x14ac:dyDescent="0.3">
      <c r="A4336" s="2">
        <v>41591</v>
      </c>
      <c r="B4336">
        <f>7.75/(100)</f>
        <v>7.7499999999999999E-2</v>
      </c>
      <c r="C4336">
        <f>9.011/(100)</f>
        <v>9.0109999999999996E-2</v>
      </c>
    </row>
    <row r="4337" spans="1:3" x14ac:dyDescent="0.3">
      <c r="A4337" s="2">
        <v>41592</v>
      </c>
      <c r="B4337">
        <f>7.75/(100)</f>
        <v>7.7499999999999999E-2</v>
      </c>
      <c r="C4337">
        <f>8.952/(100)</f>
        <v>8.9520000000000002E-2</v>
      </c>
    </row>
    <row r="4338" spans="1:3" x14ac:dyDescent="0.3">
      <c r="A4338" s="2">
        <v>41593</v>
      </c>
      <c r="B4338">
        <f>7.75/(100)</f>
        <v>7.7499999999999999E-2</v>
      </c>
      <c r="C4338">
        <f>8.952/(100)</f>
        <v>8.9520000000000002E-2</v>
      </c>
    </row>
    <row r="4339" spans="1:3" x14ac:dyDescent="0.3">
      <c r="A4339" s="2">
        <v>41594</v>
      </c>
      <c r="B4339">
        <f>7.75/(100)</f>
        <v>7.7499999999999999E-2</v>
      </c>
      <c r="C4339">
        <f>8.952/(100)</f>
        <v>8.9520000000000002E-2</v>
      </c>
    </row>
    <row r="4340" spans="1:3" x14ac:dyDescent="0.3">
      <c r="A4340" s="2">
        <v>41595</v>
      </c>
      <c r="B4340">
        <f>7.75/(100)</f>
        <v>7.7499999999999999E-2</v>
      </c>
      <c r="C4340">
        <f>8.952/(100)</f>
        <v>8.9520000000000002E-2</v>
      </c>
    </row>
    <row r="4341" spans="1:3" x14ac:dyDescent="0.3">
      <c r="A4341" s="2">
        <v>41596</v>
      </c>
      <c r="B4341">
        <f>7.75/(100)</f>
        <v>7.7499999999999999E-2</v>
      </c>
      <c r="C4341">
        <f>8.971/(100)</f>
        <v>8.9709999999999998E-2</v>
      </c>
    </row>
    <row r="4342" spans="1:3" x14ac:dyDescent="0.3">
      <c r="A4342" s="2">
        <v>41597</v>
      </c>
      <c r="B4342">
        <f>7.75/(100)</f>
        <v>7.7499999999999999E-2</v>
      </c>
      <c r="C4342">
        <f>8.941/(100)</f>
        <v>8.9410000000000003E-2</v>
      </c>
    </row>
    <row r="4343" spans="1:3" x14ac:dyDescent="0.3">
      <c r="A4343" s="2">
        <v>41598</v>
      </c>
      <c r="B4343">
        <f>7.75/(100)</f>
        <v>7.7499999999999999E-2</v>
      </c>
      <c r="C4343">
        <f>9.017/(100)</f>
        <v>9.017E-2</v>
      </c>
    </row>
    <row r="4344" spans="1:3" x14ac:dyDescent="0.3">
      <c r="A4344" s="2">
        <v>41599</v>
      </c>
      <c r="B4344">
        <f>7.75/(100)</f>
        <v>7.7499999999999999E-2</v>
      </c>
      <c r="C4344">
        <f>9.031/(100)</f>
        <v>9.0310000000000001E-2</v>
      </c>
    </row>
    <row r="4345" spans="1:3" x14ac:dyDescent="0.3">
      <c r="A4345" s="2">
        <v>41600</v>
      </c>
      <c r="B4345">
        <f>7.75/(100)</f>
        <v>7.7499999999999999E-2</v>
      </c>
      <c r="C4345">
        <f>9.02/(100)</f>
        <v>9.0200000000000002E-2</v>
      </c>
    </row>
    <row r="4346" spans="1:3" x14ac:dyDescent="0.3">
      <c r="A4346" s="2">
        <v>41601</v>
      </c>
      <c r="B4346">
        <f>7.75/(100)</f>
        <v>7.7499999999999999E-2</v>
      </c>
      <c r="C4346">
        <f>9.02/(100)</f>
        <v>9.0200000000000002E-2</v>
      </c>
    </row>
    <row r="4347" spans="1:3" x14ac:dyDescent="0.3">
      <c r="A4347" s="2">
        <v>41602</v>
      </c>
      <c r="B4347">
        <f>7.75/(100)</f>
        <v>7.7499999999999999E-2</v>
      </c>
      <c r="C4347">
        <f>9.02/(100)</f>
        <v>9.0200000000000002E-2</v>
      </c>
    </row>
    <row r="4348" spans="1:3" x14ac:dyDescent="0.3">
      <c r="A4348" s="2">
        <v>41603</v>
      </c>
      <c r="B4348">
        <f>7.75/(100)</f>
        <v>7.7499999999999999E-2</v>
      </c>
      <c r="C4348">
        <f>9.05/(100)</f>
        <v>9.0500000000000011E-2</v>
      </c>
    </row>
    <row r="4349" spans="1:3" x14ac:dyDescent="0.3">
      <c r="A4349" s="2">
        <v>41604</v>
      </c>
      <c r="B4349">
        <f>7.75/(100)</f>
        <v>7.7499999999999999E-2</v>
      </c>
      <c r="C4349">
        <f>9.022/(100)</f>
        <v>9.0220000000000009E-2</v>
      </c>
    </row>
    <row r="4350" spans="1:3" x14ac:dyDescent="0.3">
      <c r="A4350" s="2">
        <v>41605</v>
      </c>
      <c r="B4350">
        <f>7.75/(100)</f>
        <v>7.7499999999999999E-2</v>
      </c>
      <c r="C4350">
        <f>9.021/(100)</f>
        <v>9.0210000000000012E-2</v>
      </c>
    </row>
    <row r="4351" spans="1:3" x14ac:dyDescent="0.3">
      <c r="A4351" s="2">
        <v>41606</v>
      </c>
      <c r="B4351">
        <f>7.75/(100)</f>
        <v>7.7499999999999999E-2</v>
      </c>
      <c r="C4351">
        <f>8.99/(100)</f>
        <v>8.9900000000000008E-2</v>
      </c>
    </row>
    <row r="4352" spans="1:3" x14ac:dyDescent="0.3">
      <c r="A4352" s="2">
        <v>41607</v>
      </c>
      <c r="B4352">
        <f>7.75/(100)</f>
        <v>7.7499999999999999E-2</v>
      </c>
      <c r="C4352">
        <f>9.012/(100)</f>
        <v>9.0120000000000006E-2</v>
      </c>
    </row>
    <row r="4353" spans="1:3" x14ac:dyDescent="0.3">
      <c r="A4353" s="2">
        <v>41608</v>
      </c>
      <c r="B4353">
        <f>7.75/(100)</f>
        <v>7.7499999999999999E-2</v>
      </c>
      <c r="C4353">
        <f>9.012/(100)</f>
        <v>9.0120000000000006E-2</v>
      </c>
    </row>
    <row r="4354" spans="1:3" x14ac:dyDescent="0.3">
      <c r="A4354" s="2">
        <v>41609</v>
      </c>
      <c r="B4354">
        <f>7.75/(100)</f>
        <v>7.7499999999999999E-2</v>
      </c>
      <c r="C4354">
        <f>9.012/(100)</f>
        <v>9.0120000000000006E-2</v>
      </c>
    </row>
    <row r="4355" spans="1:3" x14ac:dyDescent="0.3">
      <c r="A4355" s="2">
        <v>41610</v>
      </c>
      <c r="B4355">
        <f>7.75/(100)</f>
        <v>7.7499999999999999E-2</v>
      </c>
      <c r="C4355">
        <f>8.924/(100)</f>
        <v>8.924E-2</v>
      </c>
    </row>
    <row r="4356" spans="1:3" x14ac:dyDescent="0.3">
      <c r="A4356" s="2">
        <v>41611</v>
      </c>
      <c r="B4356">
        <f>7.75/(100)</f>
        <v>7.7499999999999999E-2</v>
      </c>
      <c r="C4356">
        <f>8.866/(100)</f>
        <v>8.8660000000000003E-2</v>
      </c>
    </row>
    <row r="4357" spans="1:3" x14ac:dyDescent="0.3">
      <c r="A4357" s="2">
        <v>41612</v>
      </c>
      <c r="B4357">
        <f>7.75/(100)</f>
        <v>7.7499999999999999E-2</v>
      </c>
      <c r="C4357">
        <f>8.849/(100)</f>
        <v>8.8489999999999999E-2</v>
      </c>
    </row>
    <row r="4358" spans="1:3" x14ac:dyDescent="0.3">
      <c r="A4358" s="2">
        <v>41613</v>
      </c>
      <c r="B4358">
        <f>7.75/(100)</f>
        <v>7.7499999999999999E-2</v>
      </c>
      <c r="C4358">
        <f>8.815/(100)</f>
        <v>8.8149999999999992E-2</v>
      </c>
    </row>
    <row r="4359" spans="1:3" x14ac:dyDescent="0.3">
      <c r="A4359" s="2">
        <v>41614</v>
      </c>
      <c r="B4359">
        <f>7.75/(100)</f>
        <v>7.7499999999999999E-2</v>
      </c>
      <c r="C4359">
        <f>8.883/(100)</f>
        <v>8.8829999999999992E-2</v>
      </c>
    </row>
    <row r="4360" spans="1:3" x14ac:dyDescent="0.3">
      <c r="A4360" s="2">
        <v>41615</v>
      </c>
      <c r="B4360">
        <f>7.75/(100)</f>
        <v>7.7499999999999999E-2</v>
      </c>
      <c r="C4360">
        <f>8.883/(100)</f>
        <v>8.8829999999999992E-2</v>
      </c>
    </row>
    <row r="4361" spans="1:3" x14ac:dyDescent="0.3">
      <c r="A4361" s="2">
        <v>41616</v>
      </c>
      <c r="B4361">
        <f>7.75/(100)</f>
        <v>7.7499999999999999E-2</v>
      </c>
      <c r="C4361">
        <f>8.883/(100)</f>
        <v>8.8829999999999992E-2</v>
      </c>
    </row>
    <row r="4362" spans="1:3" x14ac:dyDescent="0.3">
      <c r="A4362" s="2">
        <v>41617</v>
      </c>
      <c r="B4362">
        <f>7.75/(100)</f>
        <v>7.7499999999999999E-2</v>
      </c>
      <c r="C4362">
        <f>8.941/(100)</f>
        <v>8.9410000000000003E-2</v>
      </c>
    </row>
    <row r="4363" spans="1:3" x14ac:dyDescent="0.3">
      <c r="A4363" s="2">
        <v>41618</v>
      </c>
      <c r="B4363">
        <f>7.75/(100)</f>
        <v>7.7499999999999999E-2</v>
      </c>
      <c r="C4363">
        <f>8.88/(100)</f>
        <v>8.8800000000000004E-2</v>
      </c>
    </row>
    <row r="4364" spans="1:3" x14ac:dyDescent="0.3">
      <c r="A4364" s="2">
        <v>41619</v>
      </c>
      <c r="B4364">
        <f>7.75/(100)</f>
        <v>7.7499999999999999E-2</v>
      </c>
      <c r="C4364">
        <f>8.841/(100)</f>
        <v>8.8409999999999989E-2</v>
      </c>
    </row>
    <row r="4365" spans="1:3" x14ac:dyDescent="0.3">
      <c r="A4365" s="2">
        <v>41620</v>
      </c>
      <c r="B4365">
        <f>7.75/(100)</f>
        <v>7.7499999999999999E-2</v>
      </c>
      <c r="C4365">
        <f>8.829/(100)</f>
        <v>8.8290000000000007E-2</v>
      </c>
    </row>
    <row r="4366" spans="1:3" x14ac:dyDescent="0.3">
      <c r="A4366" s="2">
        <v>41621</v>
      </c>
      <c r="B4366">
        <f>7.75/(100)</f>
        <v>7.7499999999999999E-2</v>
      </c>
      <c r="C4366">
        <f>8.881/(100)</f>
        <v>8.881E-2</v>
      </c>
    </row>
    <row r="4367" spans="1:3" x14ac:dyDescent="0.3">
      <c r="A4367" s="2">
        <v>41622</v>
      </c>
      <c r="B4367">
        <f>7.75/(100)</f>
        <v>7.7499999999999999E-2</v>
      </c>
      <c r="C4367">
        <f>8.881/(100)</f>
        <v>8.881E-2</v>
      </c>
    </row>
    <row r="4368" spans="1:3" x14ac:dyDescent="0.3">
      <c r="A4368" s="2">
        <v>41623</v>
      </c>
      <c r="B4368">
        <f>7.75/(100)</f>
        <v>7.7499999999999999E-2</v>
      </c>
      <c r="C4368">
        <f>8.881/(100)</f>
        <v>8.881E-2</v>
      </c>
    </row>
    <row r="4369" spans="1:3" x14ac:dyDescent="0.3">
      <c r="A4369" s="2">
        <v>41624</v>
      </c>
      <c r="B4369">
        <f>7.75/(100)</f>
        <v>7.7499999999999999E-2</v>
      </c>
      <c r="C4369">
        <f>8.946/(100)</f>
        <v>8.9459999999999998E-2</v>
      </c>
    </row>
    <row r="4370" spans="1:3" x14ac:dyDescent="0.3">
      <c r="A4370" s="2">
        <v>41625</v>
      </c>
      <c r="B4370">
        <f>7.75/(100)</f>
        <v>7.7499999999999999E-2</v>
      </c>
      <c r="C4370">
        <f>8.95/(100)</f>
        <v>8.9499999999999996E-2</v>
      </c>
    </row>
    <row r="4371" spans="1:3" x14ac:dyDescent="0.3">
      <c r="A4371" s="2">
        <v>41626</v>
      </c>
      <c r="B4371">
        <f>7.75/(100)</f>
        <v>7.7499999999999999E-2</v>
      </c>
      <c r="C4371">
        <f>8.859/(100)</f>
        <v>8.8590000000000002E-2</v>
      </c>
    </row>
    <row r="4372" spans="1:3" x14ac:dyDescent="0.3">
      <c r="A4372" s="2">
        <v>41627</v>
      </c>
      <c r="B4372">
        <f>7.75/(100)</f>
        <v>7.7499999999999999E-2</v>
      </c>
      <c r="C4372">
        <f>8.823/(100)</f>
        <v>8.8230000000000003E-2</v>
      </c>
    </row>
    <row r="4373" spans="1:3" x14ac:dyDescent="0.3">
      <c r="A4373" s="2">
        <v>41628</v>
      </c>
      <c r="B4373">
        <f>7.75/(100)</f>
        <v>7.7499999999999999E-2</v>
      </c>
      <c r="C4373">
        <f>8.864/(100)</f>
        <v>8.864000000000001E-2</v>
      </c>
    </row>
    <row r="4374" spans="1:3" x14ac:dyDescent="0.3">
      <c r="A4374" s="2">
        <v>41629</v>
      </c>
      <c r="B4374">
        <f>7.75/(100)</f>
        <v>7.7499999999999999E-2</v>
      </c>
      <c r="C4374">
        <f>8.864/(100)</f>
        <v>8.864000000000001E-2</v>
      </c>
    </row>
    <row r="4375" spans="1:3" x14ac:dyDescent="0.3">
      <c r="A4375" s="2">
        <v>41630</v>
      </c>
      <c r="B4375">
        <f>7.75/(100)</f>
        <v>7.7499999999999999E-2</v>
      </c>
      <c r="C4375">
        <f>8.864/(100)</f>
        <v>8.864000000000001E-2</v>
      </c>
    </row>
    <row r="4376" spans="1:3" x14ac:dyDescent="0.3">
      <c r="A4376" s="2">
        <v>41631</v>
      </c>
      <c r="B4376">
        <f>7.75/(100)</f>
        <v>7.7499999999999999E-2</v>
      </c>
      <c r="C4376">
        <f>8.866/(100)</f>
        <v>8.8660000000000003E-2</v>
      </c>
    </row>
    <row r="4377" spans="1:3" x14ac:dyDescent="0.3">
      <c r="A4377" s="2">
        <v>41632</v>
      </c>
      <c r="B4377">
        <f>7.75/(100)</f>
        <v>7.7499999999999999E-2</v>
      </c>
      <c r="C4377">
        <f>8.88/(100)</f>
        <v>8.8800000000000004E-2</v>
      </c>
    </row>
    <row r="4378" spans="1:3" x14ac:dyDescent="0.3">
      <c r="A4378" s="2">
        <v>41633</v>
      </c>
      <c r="B4378">
        <f>7.75/(100)</f>
        <v>7.7499999999999999E-2</v>
      </c>
      <c r="C4378">
        <f>8.88/(100)</f>
        <v>8.8800000000000004E-2</v>
      </c>
    </row>
    <row r="4379" spans="1:3" x14ac:dyDescent="0.3">
      <c r="A4379" s="2">
        <v>41634</v>
      </c>
      <c r="B4379">
        <f>7.75/(100)</f>
        <v>7.7499999999999999E-2</v>
      </c>
      <c r="C4379">
        <f>8.923/(100)</f>
        <v>8.9230000000000004E-2</v>
      </c>
    </row>
    <row r="4380" spans="1:3" x14ac:dyDescent="0.3">
      <c r="A4380" s="2">
        <v>41635</v>
      </c>
      <c r="B4380">
        <f>7.75/(100)</f>
        <v>7.7499999999999999E-2</v>
      </c>
      <c r="C4380">
        <f>8.952/(100)</f>
        <v>8.9520000000000002E-2</v>
      </c>
    </row>
    <row r="4381" spans="1:3" x14ac:dyDescent="0.3">
      <c r="A4381" s="2">
        <v>41636</v>
      </c>
      <c r="B4381">
        <f>7.75/(100)</f>
        <v>7.7499999999999999E-2</v>
      </c>
      <c r="C4381">
        <f>8.952/(100)</f>
        <v>8.9520000000000002E-2</v>
      </c>
    </row>
    <row r="4382" spans="1:3" x14ac:dyDescent="0.3">
      <c r="A4382" s="2">
        <v>41637</v>
      </c>
      <c r="B4382">
        <f>7.75/(100)</f>
        <v>7.7499999999999999E-2</v>
      </c>
      <c r="C4382">
        <f>8.952/(100)</f>
        <v>8.9520000000000002E-2</v>
      </c>
    </row>
    <row r="4383" spans="1:3" x14ac:dyDescent="0.3">
      <c r="A4383" s="2">
        <v>41638</v>
      </c>
      <c r="B4383">
        <f>7.75/(100)</f>
        <v>7.7499999999999999E-2</v>
      </c>
      <c r="C4383">
        <f>8.896/(100)</f>
        <v>8.8960000000000011E-2</v>
      </c>
    </row>
    <row r="4384" spans="1:3" x14ac:dyDescent="0.3">
      <c r="A4384" s="2">
        <v>41639</v>
      </c>
      <c r="B4384">
        <f>7.75/(100)</f>
        <v>7.7499999999999999E-2</v>
      </c>
      <c r="C4384">
        <f>8.838/(100)</f>
        <v>8.8379999999999986E-2</v>
      </c>
    </row>
    <row r="4385" spans="1:3" x14ac:dyDescent="0.3">
      <c r="A4385" s="2">
        <v>41640</v>
      </c>
      <c r="B4385">
        <f>7.75/(100)</f>
        <v>7.7499999999999999E-2</v>
      </c>
      <c r="C4385">
        <f>8.806/(100)</f>
        <v>8.8059999999999986E-2</v>
      </c>
    </row>
    <row r="4386" spans="1:3" x14ac:dyDescent="0.3">
      <c r="A4386" s="2">
        <v>41641</v>
      </c>
      <c r="B4386">
        <f>7.75/(100)</f>
        <v>7.7499999999999999E-2</v>
      </c>
      <c r="C4386">
        <f>8.728/(100)</f>
        <v>8.7279999999999996E-2</v>
      </c>
    </row>
    <row r="4387" spans="1:3" x14ac:dyDescent="0.3">
      <c r="A4387" s="2">
        <v>41642</v>
      </c>
      <c r="B4387">
        <f>7.75/(100)</f>
        <v>7.7499999999999999E-2</v>
      </c>
      <c r="C4387">
        <f>8.55/(100)</f>
        <v>8.5500000000000007E-2</v>
      </c>
    </row>
    <row r="4388" spans="1:3" x14ac:dyDescent="0.3">
      <c r="A4388" s="2">
        <v>41643</v>
      </c>
      <c r="B4388">
        <f>7.75/(100)</f>
        <v>7.7499999999999999E-2</v>
      </c>
      <c r="C4388">
        <f>8.55/(100)</f>
        <v>8.5500000000000007E-2</v>
      </c>
    </row>
    <row r="4389" spans="1:3" x14ac:dyDescent="0.3">
      <c r="A4389" s="2">
        <v>41644</v>
      </c>
      <c r="B4389">
        <f>7.75/(100)</f>
        <v>7.7499999999999999E-2</v>
      </c>
      <c r="C4389">
        <f>8.55/(100)</f>
        <v>8.5500000000000007E-2</v>
      </c>
    </row>
    <row r="4390" spans="1:3" x14ac:dyDescent="0.3">
      <c r="A4390" s="2">
        <v>41645</v>
      </c>
      <c r="B4390">
        <f>7.75/(100)</f>
        <v>7.7499999999999999E-2</v>
      </c>
      <c r="C4390">
        <f>8.552/(100)</f>
        <v>8.5519999999999999E-2</v>
      </c>
    </row>
    <row r="4391" spans="1:3" x14ac:dyDescent="0.3">
      <c r="A4391" s="2">
        <v>41646</v>
      </c>
      <c r="B4391">
        <f>7.75/(100)</f>
        <v>7.7499999999999999E-2</v>
      </c>
      <c r="C4391">
        <f>8.577/(100)</f>
        <v>8.5769999999999999E-2</v>
      </c>
    </row>
    <row r="4392" spans="1:3" x14ac:dyDescent="0.3">
      <c r="A4392" s="2">
        <v>41647</v>
      </c>
      <c r="B4392">
        <f>7.75/(100)</f>
        <v>7.7499999999999999E-2</v>
      </c>
      <c r="C4392">
        <f>8.677/(100)</f>
        <v>8.677E-2</v>
      </c>
    </row>
    <row r="4393" spans="1:3" x14ac:dyDescent="0.3">
      <c r="A4393" s="2">
        <v>41648</v>
      </c>
      <c r="B4393">
        <f>7.75/(100)</f>
        <v>7.7499999999999999E-2</v>
      </c>
      <c r="C4393">
        <f>8.593/(100)</f>
        <v>8.5930000000000006E-2</v>
      </c>
    </row>
    <row r="4394" spans="1:3" x14ac:dyDescent="0.3">
      <c r="A4394" s="2">
        <v>41649</v>
      </c>
      <c r="B4394">
        <f>7.75/(100)</f>
        <v>7.7499999999999999E-2</v>
      </c>
      <c r="C4394">
        <f>8.467/(100)</f>
        <v>8.4670000000000009E-2</v>
      </c>
    </row>
    <row r="4395" spans="1:3" x14ac:dyDescent="0.3">
      <c r="A4395" s="2">
        <v>41650</v>
      </c>
      <c r="B4395">
        <f>7.75/(100)</f>
        <v>7.7499999999999999E-2</v>
      </c>
      <c r="C4395">
        <f>8.467/(100)</f>
        <v>8.4670000000000009E-2</v>
      </c>
    </row>
    <row r="4396" spans="1:3" x14ac:dyDescent="0.3">
      <c r="A4396" s="2">
        <v>41651</v>
      </c>
      <c r="B4396">
        <f>7.75/(100)</f>
        <v>7.7499999999999999E-2</v>
      </c>
      <c r="C4396">
        <f>8.467/(100)</f>
        <v>8.4670000000000009E-2</v>
      </c>
    </row>
    <row r="4397" spans="1:3" x14ac:dyDescent="0.3">
      <c r="A4397" s="2">
        <v>41652</v>
      </c>
      <c r="B4397">
        <f>7.75/(100)</f>
        <v>7.7499999999999999E-2</v>
      </c>
      <c r="C4397">
        <f>8.578/(100)</f>
        <v>8.5779999999999995E-2</v>
      </c>
    </row>
    <row r="4398" spans="1:3" x14ac:dyDescent="0.3">
      <c r="A4398" s="2">
        <v>41653</v>
      </c>
      <c r="B4398">
        <f>7.75/(100)</f>
        <v>7.7499999999999999E-2</v>
      </c>
      <c r="C4398">
        <f>8.576/(100)</f>
        <v>8.5760000000000003E-2</v>
      </c>
    </row>
    <row r="4399" spans="1:3" x14ac:dyDescent="0.3">
      <c r="A4399" s="2">
        <v>41654</v>
      </c>
      <c r="B4399">
        <f>7.75/(100)</f>
        <v>7.7499999999999999E-2</v>
      </c>
      <c r="C4399">
        <f>8.454/(100)</f>
        <v>8.4540000000000004E-2</v>
      </c>
    </row>
    <row r="4400" spans="1:3" x14ac:dyDescent="0.3">
      <c r="A4400" s="2">
        <v>41655</v>
      </c>
      <c r="B4400">
        <f>7.75/(100)</f>
        <v>7.7499999999999999E-2</v>
      </c>
      <c r="C4400">
        <f>8.429/(100)</f>
        <v>8.4290000000000004E-2</v>
      </c>
    </row>
    <row r="4401" spans="1:3" x14ac:dyDescent="0.3">
      <c r="A4401" s="2">
        <v>41656</v>
      </c>
      <c r="B4401">
        <f>7.75/(100)</f>
        <v>7.7499999999999999E-2</v>
      </c>
      <c r="C4401">
        <f>8.517/(100)</f>
        <v>8.5169999999999996E-2</v>
      </c>
    </row>
    <row r="4402" spans="1:3" x14ac:dyDescent="0.3">
      <c r="A4402" s="2">
        <v>41657</v>
      </c>
      <c r="B4402">
        <f>7.75/(100)</f>
        <v>7.7499999999999999E-2</v>
      </c>
      <c r="C4402">
        <f>8.517/(100)</f>
        <v>8.5169999999999996E-2</v>
      </c>
    </row>
    <row r="4403" spans="1:3" x14ac:dyDescent="0.3">
      <c r="A4403" s="2">
        <v>41658</v>
      </c>
      <c r="B4403">
        <f>7.75/(100)</f>
        <v>7.7499999999999999E-2</v>
      </c>
      <c r="C4403">
        <f>8.517/(100)</f>
        <v>8.5169999999999996E-2</v>
      </c>
    </row>
    <row r="4404" spans="1:3" x14ac:dyDescent="0.3">
      <c r="A4404" s="2">
        <v>41659</v>
      </c>
      <c r="B4404">
        <f>7.75/(100)</f>
        <v>7.7499999999999999E-2</v>
      </c>
      <c r="C4404">
        <f>8.333/(100)</f>
        <v>8.3330000000000001E-2</v>
      </c>
    </row>
    <row r="4405" spans="1:3" x14ac:dyDescent="0.3">
      <c r="A4405" s="2">
        <v>41660</v>
      </c>
      <c r="B4405">
        <f>7.75/(100)</f>
        <v>7.7499999999999999E-2</v>
      </c>
      <c r="C4405">
        <f>8.528/(100)</f>
        <v>8.5280000000000009E-2</v>
      </c>
    </row>
    <row r="4406" spans="1:3" x14ac:dyDescent="0.3">
      <c r="A4406" s="2">
        <v>41661</v>
      </c>
      <c r="B4406">
        <f>7.75/(100)</f>
        <v>7.7499999999999999E-2</v>
      </c>
      <c r="C4406">
        <f>8.524/(100)</f>
        <v>8.5239999999999996E-2</v>
      </c>
    </row>
    <row r="4407" spans="1:3" x14ac:dyDescent="0.3">
      <c r="A4407" s="2">
        <v>41662</v>
      </c>
      <c r="B4407">
        <f>7.75/(100)</f>
        <v>7.7499999999999999E-2</v>
      </c>
      <c r="C4407">
        <f>8.551/(100)</f>
        <v>8.5510000000000003E-2</v>
      </c>
    </row>
    <row r="4408" spans="1:3" x14ac:dyDescent="0.3">
      <c r="A4408" s="2">
        <v>41663</v>
      </c>
      <c r="B4408">
        <f>7.75/(100)</f>
        <v>7.7499999999999999E-2</v>
      </c>
      <c r="C4408">
        <f>8.451/(100)</f>
        <v>8.4510000000000002E-2</v>
      </c>
    </row>
    <row r="4409" spans="1:3" x14ac:dyDescent="0.3">
      <c r="A4409" s="2">
        <v>41664</v>
      </c>
      <c r="B4409">
        <f>7.75/(100)</f>
        <v>7.7499999999999999E-2</v>
      </c>
      <c r="C4409">
        <f>8.451/(100)</f>
        <v>8.4510000000000002E-2</v>
      </c>
    </row>
    <row r="4410" spans="1:3" x14ac:dyDescent="0.3">
      <c r="A4410" s="2">
        <v>41665</v>
      </c>
      <c r="B4410">
        <f>7.75/(100)</f>
        <v>7.7499999999999999E-2</v>
      </c>
      <c r="C4410">
        <f>8.451/(100)</f>
        <v>8.4510000000000002E-2</v>
      </c>
    </row>
    <row r="4411" spans="1:3" x14ac:dyDescent="0.3">
      <c r="A4411" s="2">
        <v>41666</v>
      </c>
      <c r="B4411">
        <f>7.75/(100)</f>
        <v>7.7499999999999999E-2</v>
      </c>
      <c r="C4411">
        <f>8.451/(100)</f>
        <v>8.4510000000000002E-2</v>
      </c>
    </row>
    <row r="4412" spans="1:3" x14ac:dyDescent="0.3">
      <c r="A4412" s="2">
        <v>41667</v>
      </c>
      <c r="B4412">
        <f>8/(100)</f>
        <v>0.08</v>
      </c>
      <c r="C4412">
        <f>8.386/(100)</f>
        <v>8.385999999999999E-2</v>
      </c>
    </row>
    <row r="4413" spans="1:3" x14ac:dyDescent="0.3">
      <c r="A4413" s="2">
        <v>41668</v>
      </c>
      <c r="B4413">
        <f>8/(100)</f>
        <v>0.08</v>
      </c>
      <c r="C4413">
        <f>8.401/(100)</f>
        <v>8.4010000000000001E-2</v>
      </c>
    </row>
    <row r="4414" spans="1:3" x14ac:dyDescent="0.3">
      <c r="A4414" s="2">
        <v>41669</v>
      </c>
      <c r="B4414">
        <f>8/(100)</f>
        <v>0.08</v>
      </c>
      <c r="C4414">
        <f>8.509/(100)</f>
        <v>8.5089999999999999E-2</v>
      </c>
    </row>
    <row r="4415" spans="1:3" x14ac:dyDescent="0.3">
      <c r="A4415" s="2">
        <v>41670</v>
      </c>
      <c r="B4415">
        <f>8/(100)</f>
        <v>0.08</v>
      </c>
      <c r="C4415">
        <f>8.523/(100)</f>
        <v>8.523E-2</v>
      </c>
    </row>
    <row r="4416" spans="1:3" x14ac:dyDescent="0.3">
      <c r="A4416" s="2">
        <v>41671</v>
      </c>
      <c r="B4416">
        <f>8/(100)</f>
        <v>0.08</v>
      </c>
      <c r="C4416">
        <f>8.523/(100)</f>
        <v>8.523E-2</v>
      </c>
    </row>
    <row r="4417" spans="1:3" x14ac:dyDescent="0.3">
      <c r="A4417" s="2">
        <v>41672</v>
      </c>
      <c r="B4417">
        <f>8/(100)</f>
        <v>0.08</v>
      </c>
      <c r="C4417">
        <f>8.523/(100)</f>
        <v>8.523E-2</v>
      </c>
    </row>
    <row r="4418" spans="1:3" x14ac:dyDescent="0.3">
      <c r="A4418" s="2">
        <v>41673</v>
      </c>
      <c r="B4418">
        <f>8/(100)</f>
        <v>0.08</v>
      </c>
      <c r="C4418">
        <f>8.646/(100)</f>
        <v>8.6460000000000009E-2</v>
      </c>
    </row>
    <row r="4419" spans="1:3" x14ac:dyDescent="0.3">
      <c r="A4419" s="2">
        <v>41674</v>
      </c>
      <c r="B4419">
        <f>8/(100)</f>
        <v>0.08</v>
      </c>
      <c r="C4419">
        <f>8.51/(100)</f>
        <v>8.5099999999999995E-2</v>
      </c>
    </row>
    <row r="4420" spans="1:3" x14ac:dyDescent="0.3">
      <c r="A4420" s="2">
        <v>41675</v>
      </c>
      <c r="B4420">
        <f>8/(100)</f>
        <v>0.08</v>
      </c>
      <c r="C4420">
        <f>8.501/(100)</f>
        <v>8.5009999999999988E-2</v>
      </c>
    </row>
    <row r="4421" spans="1:3" x14ac:dyDescent="0.3">
      <c r="A4421" s="2">
        <v>41676</v>
      </c>
      <c r="B4421">
        <f>8/(100)</f>
        <v>0.08</v>
      </c>
      <c r="C4421">
        <f>8.498/(100)</f>
        <v>8.498E-2</v>
      </c>
    </row>
    <row r="4422" spans="1:3" x14ac:dyDescent="0.3">
      <c r="A4422" s="2">
        <v>41677</v>
      </c>
      <c r="B4422">
        <f>8/(100)</f>
        <v>0.08</v>
      </c>
      <c r="C4422">
        <f>8.458/(100)</f>
        <v>8.4580000000000002E-2</v>
      </c>
    </row>
    <row r="4423" spans="1:3" x14ac:dyDescent="0.3">
      <c r="A4423" s="2">
        <v>41678</v>
      </c>
      <c r="B4423">
        <f>8/(100)</f>
        <v>0.08</v>
      </c>
      <c r="C4423">
        <f>8.458/(100)</f>
        <v>8.4580000000000002E-2</v>
      </c>
    </row>
    <row r="4424" spans="1:3" x14ac:dyDescent="0.3">
      <c r="A4424" s="2">
        <v>41679</v>
      </c>
      <c r="B4424">
        <f>8/(100)</f>
        <v>0.08</v>
      </c>
      <c r="C4424">
        <f>8.458/(100)</f>
        <v>8.4580000000000002E-2</v>
      </c>
    </row>
    <row r="4425" spans="1:3" x14ac:dyDescent="0.3">
      <c r="A4425" s="2">
        <v>41680</v>
      </c>
      <c r="B4425">
        <f>8/(100)</f>
        <v>0.08</v>
      </c>
      <c r="C4425">
        <f>8.766/(100)</f>
        <v>8.7660000000000002E-2</v>
      </c>
    </row>
    <row r="4426" spans="1:3" x14ac:dyDescent="0.3">
      <c r="A4426" s="2">
        <v>41681</v>
      </c>
      <c r="B4426">
        <f>8/(100)</f>
        <v>0.08</v>
      </c>
      <c r="C4426">
        <f>8.672/(100)</f>
        <v>8.6720000000000005E-2</v>
      </c>
    </row>
    <row r="4427" spans="1:3" x14ac:dyDescent="0.3">
      <c r="A4427" s="2">
        <v>41682</v>
      </c>
      <c r="B4427">
        <f>8/(100)</f>
        <v>0.08</v>
      </c>
      <c r="C4427">
        <f>8.68/(100)</f>
        <v>8.6800000000000002E-2</v>
      </c>
    </row>
    <row r="4428" spans="1:3" x14ac:dyDescent="0.3">
      <c r="A4428" s="2">
        <v>41683</v>
      </c>
      <c r="B4428">
        <f>8/(100)</f>
        <v>0.08</v>
      </c>
      <c r="C4428">
        <f>8.766/(100)</f>
        <v>8.7660000000000002E-2</v>
      </c>
    </row>
    <row r="4429" spans="1:3" x14ac:dyDescent="0.3">
      <c r="A4429" s="2">
        <v>41684</v>
      </c>
      <c r="B4429">
        <f>8/(100)</f>
        <v>0.08</v>
      </c>
      <c r="C4429">
        <f>8.68/(100)</f>
        <v>8.6800000000000002E-2</v>
      </c>
    </row>
    <row r="4430" spans="1:3" x14ac:dyDescent="0.3">
      <c r="A4430" s="2">
        <v>41685</v>
      </c>
      <c r="B4430">
        <f>8/(100)</f>
        <v>0.08</v>
      </c>
      <c r="C4430">
        <f>8.68/(100)</f>
        <v>8.6800000000000002E-2</v>
      </c>
    </row>
    <row r="4431" spans="1:3" x14ac:dyDescent="0.3">
      <c r="A4431" s="2">
        <v>41686</v>
      </c>
      <c r="B4431">
        <f>8/(100)</f>
        <v>0.08</v>
      </c>
      <c r="C4431">
        <f>8.68/(100)</f>
        <v>8.6800000000000002E-2</v>
      </c>
    </row>
    <row r="4432" spans="1:3" x14ac:dyDescent="0.3">
      <c r="A4432" s="2">
        <v>41687</v>
      </c>
      <c r="B4432">
        <f>8/(100)</f>
        <v>0.08</v>
      </c>
      <c r="C4432">
        <f>8.68/(100)</f>
        <v>8.6800000000000002E-2</v>
      </c>
    </row>
    <row r="4433" spans="1:3" x14ac:dyDescent="0.3">
      <c r="A4433" s="2">
        <v>41688</v>
      </c>
      <c r="B4433">
        <f>8/(100)</f>
        <v>0.08</v>
      </c>
      <c r="C4433">
        <f>9.989/(100)</f>
        <v>9.9890000000000007E-2</v>
      </c>
    </row>
    <row r="4434" spans="1:3" x14ac:dyDescent="0.3">
      <c r="A4434" s="2">
        <v>41689</v>
      </c>
      <c r="B4434">
        <f>8/(100)</f>
        <v>0.08</v>
      </c>
      <c r="C4434">
        <f>9.989/(100)</f>
        <v>9.9890000000000007E-2</v>
      </c>
    </row>
    <row r="4435" spans="1:3" x14ac:dyDescent="0.3">
      <c r="A4435" s="2">
        <v>41690</v>
      </c>
      <c r="B4435">
        <f>8/(100)</f>
        <v>0.08</v>
      </c>
      <c r="C4435">
        <f>8.655/(100)</f>
        <v>8.6549999999999988E-2</v>
      </c>
    </row>
    <row r="4436" spans="1:3" x14ac:dyDescent="0.3">
      <c r="A4436" s="2">
        <v>41691</v>
      </c>
      <c r="B4436">
        <f>8/(100)</f>
        <v>0.08</v>
      </c>
      <c r="C4436">
        <f>8.561/(100)</f>
        <v>8.5610000000000006E-2</v>
      </c>
    </row>
    <row r="4437" spans="1:3" x14ac:dyDescent="0.3">
      <c r="A4437" s="2">
        <v>41692</v>
      </c>
      <c r="B4437">
        <f>8/(100)</f>
        <v>0.08</v>
      </c>
      <c r="C4437">
        <f>8.561/(100)</f>
        <v>8.5610000000000006E-2</v>
      </c>
    </row>
    <row r="4438" spans="1:3" x14ac:dyDescent="0.3">
      <c r="A4438" s="2">
        <v>41693</v>
      </c>
      <c r="B4438">
        <f>8/(100)</f>
        <v>0.08</v>
      </c>
      <c r="C4438">
        <f>8.561/(100)</f>
        <v>8.5610000000000006E-2</v>
      </c>
    </row>
    <row r="4439" spans="1:3" x14ac:dyDescent="0.3">
      <c r="A4439" s="2">
        <v>41694</v>
      </c>
      <c r="B4439">
        <f>8/(100)</f>
        <v>0.08</v>
      </c>
      <c r="C4439">
        <f>8.598/(100)</f>
        <v>8.5980000000000001E-2</v>
      </c>
    </row>
    <row r="4440" spans="1:3" x14ac:dyDescent="0.3">
      <c r="A4440" s="2">
        <v>41695</v>
      </c>
      <c r="B4440">
        <f>8/(100)</f>
        <v>0.08</v>
      </c>
      <c r="C4440">
        <f>8.628/(100)</f>
        <v>8.6279999999999996E-2</v>
      </c>
    </row>
    <row r="4441" spans="1:3" x14ac:dyDescent="0.3">
      <c r="A4441" s="2">
        <v>41696</v>
      </c>
      <c r="B4441">
        <f>8/(100)</f>
        <v>0.08</v>
      </c>
      <c r="C4441">
        <f>8.685/(100)</f>
        <v>8.6850000000000011E-2</v>
      </c>
    </row>
    <row r="4442" spans="1:3" x14ac:dyDescent="0.3">
      <c r="A4442" s="2">
        <v>41697</v>
      </c>
      <c r="B4442">
        <f>8/(100)</f>
        <v>0.08</v>
      </c>
      <c r="C4442">
        <f>8.617/(100)</f>
        <v>8.617000000000001E-2</v>
      </c>
    </row>
    <row r="4443" spans="1:3" x14ac:dyDescent="0.3">
      <c r="A4443" s="2">
        <v>41698</v>
      </c>
      <c r="B4443">
        <f>8/(100)</f>
        <v>0.08</v>
      </c>
      <c r="C4443">
        <f>8.617/(100)</f>
        <v>8.617000000000001E-2</v>
      </c>
    </row>
    <row r="4444" spans="1:3" x14ac:dyDescent="0.3">
      <c r="A4444" s="2">
        <v>41699</v>
      </c>
      <c r="B4444">
        <f>8/(100)</f>
        <v>0.08</v>
      </c>
      <c r="C4444">
        <f>8.617/(100)</f>
        <v>8.617000000000001E-2</v>
      </c>
    </row>
    <row r="4445" spans="1:3" x14ac:dyDescent="0.3">
      <c r="A4445" s="2">
        <v>41700</v>
      </c>
      <c r="B4445">
        <f>8/(100)</f>
        <v>0.08</v>
      </c>
      <c r="C4445">
        <f>8.617/(100)</f>
        <v>8.617000000000001E-2</v>
      </c>
    </row>
    <row r="4446" spans="1:3" x14ac:dyDescent="0.3">
      <c r="A4446" s="2">
        <v>41701</v>
      </c>
      <c r="B4446">
        <f>8/(100)</f>
        <v>0.08</v>
      </c>
      <c r="C4446">
        <f>8.719/(100)</f>
        <v>8.718999999999999E-2</v>
      </c>
    </row>
    <row r="4447" spans="1:3" x14ac:dyDescent="0.3">
      <c r="A4447" s="2">
        <v>41702</v>
      </c>
      <c r="B4447">
        <f>8/(100)</f>
        <v>0.08</v>
      </c>
      <c r="C4447">
        <f>8.742/(100)</f>
        <v>8.7420000000000012E-2</v>
      </c>
    </row>
    <row r="4448" spans="1:3" x14ac:dyDescent="0.3">
      <c r="A4448" s="2">
        <v>41703</v>
      </c>
      <c r="B4448">
        <f>8/(100)</f>
        <v>0.08</v>
      </c>
      <c r="C4448">
        <f>8.74/(100)</f>
        <v>8.7400000000000005E-2</v>
      </c>
    </row>
    <row r="4449" spans="1:3" x14ac:dyDescent="0.3">
      <c r="A4449" s="2">
        <v>41704</v>
      </c>
      <c r="B4449">
        <f>8/(100)</f>
        <v>0.08</v>
      </c>
      <c r="C4449">
        <f>8.663/(100)</f>
        <v>8.6629999999999999E-2</v>
      </c>
    </row>
    <row r="4450" spans="1:3" x14ac:dyDescent="0.3">
      <c r="A4450" s="2">
        <v>41705</v>
      </c>
      <c r="B4450">
        <f>8/(100)</f>
        <v>0.08</v>
      </c>
      <c r="C4450">
        <f>8.623/(100)</f>
        <v>8.6229999999999987E-2</v>
      </c>
    </row>
    <row r="4451" spans="1:3" x14ac:dyDescent="0.3">
      <c r="A4451" s="2">
        <v>41706</v>
      </c>
      <c r="B4451">
        <f>8/(100)</f>
        <v>0.08</v>
      </c>
      <c r="C4451">
        <f>8.623/(100)</f>
        <v>8.6229999999999987E-2</v>
      </c>
    </row>
    <row r="4452" spans="1:3" x14ac:dyDescent="0.3">
      <c r="A4452" s="2">
        <v>41707</v>
      </c>
      <c r="B4452">
        <f>8/(100)</f>
        <v>0.08</v>
      </c>
      <c r="C4452">
        <f>8.623/(100)</f>
        <v>8.6229999999999987E-2</v>
      </c>
    </row>
    <row r="4453" spans="1:3" x14ac:dyDescent="0.3">
      <c r="A4453" s="2">
        <v>41708</v>
      </c>
      <c r="B4453">
        <f>8/(100)</f>
        <v>0.08</v>
      </c>
      <c r="C4453">
        <f>8.623/(100)</f>
        <v>8.6229999999999987E-2</v>
      </c>
    </row>
    <row r="4454" spans="1:3" x14ac:dyDescent="0.3">
      <c r="A4454" s="2">
        <v>41709</v>
      </c>
      <c r="B4454">
        <f>8/(100)</f>
        <v>0.08</v>
      </c>
      <c r="C4454">
        <f>8.679/(100)</f>
        <v>8.6790000000000006E-2</v>
      </c>
    </row>
    <row r="4455" spans="1:3" x14ac:dyDescent="0.3">
      <c r="A4455" s="2">
        <v>41710</v>
      </c>
      <c r="B4455">
        <f>8/(100)</f>
        <v>0.08</v>
      </c>
      <c r="C4455">
        <f>8.569/(100)</f>
        <v>8.5690000000000002E-2</v>
      </c>
    </row>
    <row r="4456" spans="1:3" x14ac:dyDescent="0.3">
      <c r="A4456" s="2">
        <v>41711</v>
      </c>
      <c r="B4456">
        <f>8/(100)</f>
        <v>0.08</v>
      </c>
      <c r="C4456">
        <f>8.631/(100)</f>
        <v>8.6309999999999998E-2</v>
      </c>
    </row>
    <row r="4457" spans="1:3" x14ac:dyDescent="0.3">
      <c r="A4457" s="2">
        <v>41712</v>
      </c>
      <c r="B4457">
        <f>8/(100)</f>
        <v>0.08</v>
      </c>
      <c r="C4457">
        <f>8.605/(100)</f>
        <v>8.6050000000000001E-2</v>
      </c>
    </row>
    <row r="4458" spans="1:3" x14ac:dyDescent="0.3">
      <c r="A4458" s="2">
        <v>41713</v>
      </c>
      <c r="B4458">
        <f>8/(100)</f>
        <v>0.08</v>
      </c>
      <c r="C4458">
        <f>8.605/(100)</f>
        <v>8.6050000000000001E-2</v>
      </c>
    </row>
    <row r="4459" spans="1:3" x14ac:dyDescent="0.3">
      <c r="A4459" s="2">
        <v>41714</v>
      </c>
      <c r="B4459">
        <f>8/(100)</f>
        <v>0.08</v>
      </c>
      <c r="C4459">
        <f>8.605/(100)</f>
        <v>8.6050000000000001E-2</v>
      </c>
    </row>
    <row r="4460" spans="1:3" x14ac:dyDescent="0.3">
      <c r="A4460" s="2">
        <v>41715</v>
      </c>
      <c r="B4460">
        <f>8/(100)</f>
        <v>0.08</v>
      </c>
      <c r="C4460">
        <f>8.605/(100)</f>
        <v>8.6050000000000001E-2</v>
      </c>
    </row>
    <row r="4461" spans="1:3" x14ac:dyDescent="0.3">
      <c r="A4461" s="2">
        <v>41716</v>
      </c>
      <c r="B4461">
        <f>8/(100)</f>
        <v>0.08</v>
      </c>
      <c r="C4461">
        <f>8.675/(100)</f>
        <v>8.6750000000000008E-2</v>
      </c>
    </row>
    <row r="4462" spans="1:3" x14ac:dyDescent="0.3">
      <c r="A4462" s="2">
        <v>41717</v>
      </c>
      <c r="B4462">
        <f>8/(100)</f>
        <v>0.08</v>
      </c>
      <c r="C4462">
        <f>8.711/(100)</f>
        <v>8.7110000000000007E-2</v>
      </c>
    </row>
    <row r="4463" spans="1:3" x14ac:dyDescent="0.3">
      <c r="A4463" s="2">
        <v>41718</v>
      </c>
      <c r="B4463">
        <f>8/(100)</f>
        <v>0.08</v>
      </c>
      <c r="C4463">
        <f>8.721/(100)</f>
        <v>8.7209999999999996E-2</v>
      </c>
    </row>
    <row r="4464" spans="1:3" x14ac:dyDescent="0.3">
      <c r="A4464" s="2">
        <v>41719</v>
      </c>
      <c r="B4464">
        <f>8/(100)</f>
        <v>0.08</v>
      </c>
      <c r="C4464">
        <f>8.653/(100)</f>
        <v>8.653000000000001E-2</v>
      </c>
    </row>
    <row r="4465" spans="1:3" x14ac:dyDescent="0.3">
      <c r="A4465" s="2">
        <v>41720</v>
      </c>
      <c r="B4465">
        <f>8/(100)</f>
        <v>0.08</v>
      </c>
      <c r="C4465">
        <f>8.653/(100)</f>
        <v>8.653000000000001E-2</v>
      </c>
    </row>
    <row r="4466" spans="1:3" x14ac:dyDescent="0.3">
      <c r="A4466" s="2">
        <v>41721</v>
      </c>
      <c r="B4466">
        <f>8/(100)</f>
        <v>0.08</v>
      </c>
      <c r="C4466">
        <f>8.653/(100)</f>
        <v>8.653000000000001E-2</v>
      </c>
    </row>
    <row r="4467" spans="1:3" x14ac:dyDescent="0.3">
      <c r="A4467" s="2">
        <v>41722</v>
      </c>
      <c r="B4467">
        <f>8/(100)</f>
        <v>0.08</v>
      </c>
      <c r="C4467">
        <f>8.696/(100)</f>
        <v>8.6959999999999996E-2</v>
      </c>
    </row>
    <row r="4468" spans="1:3" x14ac:dyDescent="0.3">
      <c r="A4468" s="2">
        <v>41723</v>
      </c>
      <c r="B4468">
        <f>8/(100)</f>
        <v>0.08</v>
      </c>
      <c r="C4468">
        <f>8.661/(100)</f>
        <v>8.6609999999999993E-2</v>
      </c>
    </row>
    <row r="4469" spans="1:3" x14ac:dyDescent="0.3">
      <c r="A4469" s="2">
        <v>41724</v>
      </c>
      <c r="B4469">
        <f>8/(100)</f>
        <v>0.08</v>
      </c>
      <c r="C4469">
        <f>8.734/(100)</f>
        <v>8.7340000000000001E-2</v>
      </c>
    </row>
    <row r="4470" spans="1:3" x14ac:dyDescent="0.3">
      <c r="A4470" s="2">
        <v>41725</v>
      </c>
      <c r="B4470">
        <f>8/(100)</f>
        <v>0.08</v>
      </c>
      <c r="C4470">
        <f>8.717/(100)</f>
        <v>8.7170000000000011E-2</v>
      </c>
    </row>
    <row r="4471" spans="1:3" x14ac:dyDescent="0.3">
      <c r="A4471" s="2">
        <v>41726</v>
      </c>
      <c r="B4471">
        <f>8/(100)</f>
        <v>0.08</v>
      </c>
      <c r="C4471">
        <f>8.595/(100)</f>
        <v>8.5950000000000013E-2</v>
      </c>
    </row>
    <row r="4472" spans="1:3" x14ac:dyDescent="0.3">
      <c r="A4472" s="2">
        <v>41727</v>
      </c>
      <c r="B4472">
        <f>8/(100)</f>
        <v>0.08</v>
      </c>
      <c r="C4472">
        <f>8.595/(100)</f>
        <v>8.5950000000000013E-2</v>
      </c>
    </row>
    <row r="4473" spans="1:3" x14ac:dyDescent="0.3">
      <c r="A4473" s="2">
        <v>41728</v>
      </c>
      <c r="B4473">
        <f>8/(100)</f>
        <v>0.08</v>
      </c>
      <c r="C4473">
        <f>8.595/(100)</f>
        <v>8.5950000000000013E-2</v>
      </c>
    </row>
    <row r="4474" spans="1:3" x14ac:dyDescent="0.3">
      <c r="A4474" s="2">
        <v>41729</v>
      </c>
      <c r="B4474">
        <f>8/(100)</f>
        <v>0.08</v>
      </c>
      <c r="C4474">
        <f>8.595/(100)</f>
        <v>8.5950000000000013E-2</v>
      </c>
    </row>
    <row r="4475" spans="1:3" x14ac:dyDescent="0.3">
      <c r="A4475" s="2">
        <v>41730</v>
      </c>
      <c r="B4475">
        <f>8/(100)</f>
        <v>0.08</v>
      </c>
      <c r="C4475">
        <f>8.595/(100)</f>
        <v>8.5950000000000013E-2</v>
      </c>
    </row>
    <row r="4476" spans="1:3" x14ac:dyDescent="0.3">
      <c r="A4476" s="2">
        <v>41731</v>
      </c>
      <c r="B4476">
        <f>8/(100)</f>
        <v>0.08</v>
      </c>
      <c r="C4476">
        <f>8.76/(100)</f>
        <v>8.7599999999999997E-2</v>
      </c>
    </row>
    <row r="4477" spans="1:3" x14ac:dyDescent="0.3">
      <c r="A4477" s="2">
        <v>41732</v>
      </c>
      <c r="B4477">
        <f>8/(100)</f>
        <v>0.08</v>
      </c>
      <c r="C4477">
        <f>8.718/(100)</f>
        <v>8.7179999999999994E-2</v>
      </c>
    </row>
    <row r="4478" spans="1:3" x14ac:dyDescent="0.3">
      <c r="A4478" s="2">
        <v>41733</v>
      </c>
      <c r="B4478">
        <f>8/(100)</f>
        <v>0.08</v>
      </c>
      <c r="C4478">
        <f>8.734/(100)</f>
        <v>8.7340000000000001E-2</v>
      </c>
    </row>
    <row r="4479" spans="1:3" x14ac:dyDescent="0.3">
      <c r="A4479" s="2">
        <v>41734</v>
      </c>
      <c r="B4479">
        <f>8/(100)</f>
        <v>0.08</v>
      </c>
      <c r="C4479">
        <f>8.734/(100)</f>
        <v>8.7340000000000001E-2</v>
      </c>
    </row>
    <row r="4480" spans="1:3" x14ac:dyDescent="0.3">
      <c r="A4480" s="2">
        <v>41735</v>
      </c>
      <c r="B4480">
        <f>8/(100)</f>
        <v>0.08</v>
      </c>
      <c r="C4480">
        <f>8.734/(100)</f>
        <v>8.7340000000000001E-2</v>
      </c>
    </row>
    <row r="4481" spans="1:3" x14ac:dyDescent="0.3">
      <c r="A4481" s="2">
        <v>41736</v>
      </c>
      <c r="B4481">
        <f>8/(100)</f>
        <v>0.08</v>
      </c>
      <c r="C4481">
        <f>8.657/(100)</f>
        <v>8.6569999999999994E-2</v>
      </c>
    </row>
    <row r="4482" spans="1:3" x14ac:dyDescent="0.3">
      <c r="A4482" s="2">
        <v>41737</v>
      </c>
      <c r="B4482">
        <f>8/(100)</f>
        <v>0.08</v>
      </c>
      <c r="C4482">
        <f>8.654/(100)</f>
        <v>8.6540000000000006E-2</v>
      </c>
    </row>
    <row r="4483" spans="1:3" x14ac:dyDescent="0.3">
      <c r="A4483" s="2">
        <v>41738</v>
      </c>
      <c r="B4483">
        <f>8/(100)</f>
        <v>0.08</v>
      </c>
      <c r="C4483">
        <f>8.784/(100)</f>
        <v>8.7840000000000001E-2</v>
      </c>
    </row>
    <row r="4484" spans="1:3" x14ac:dyDescent="0.3">
      <c r="A4484" s="2">
        <v>41739</v>
      </c>
      <c r="B4484">
        <f>8/(100)</f>
        <v>0.08</v>
      </c>
      <c r="C4484">
        <f>8.645/(100)</f>
        <v>8.6449999999999999E-2</v>
      </c>
    </row>
    <row r="4485" spans="1:3" x14ac:dyDescent="0.3">
      <c r="A4485" s="2">
        <v>41740</v>
      </c>
      <c r="B4485">
        <f>8/(100)</f>
        <v>0.08</v>
      </c>
      <c r="C4485">
        <f>8.626/(100)</f>
        <v>8.6259999999999989E-2</v>
      </c>
    </row>
    <row r="4486" spans="1:3" x14ac:dyDescent="0.3">
      <c r="A4486" s="2">
        <v>41741</v>
      </c>
      <c r="B4486">
        <f>8/(100)</f>
        <v>0.08</v>
      </c>
      <c r="C4486">
        <f>8.626/(100)</f>
        <v>8.6259999999999989E-2</v>
      </c>
    </row>
    <row r="4487" spans="1:3" x14ac:dyDescent="0.3">
      <c r="A4487" s="2">
        <v>41742</v>
      </c>
      <c r="B4487">
        <f>8/(100)</f>
        <v>0.08</v>
      </c>
      <c r="C4487">
        <f>8.626/(100)</f>
        <v>8.6259999999999989E-2</v>
      </c>
    </row>
    <row r="4488" spans="1:3" x14ac:dyDescent="0.3">
      <c r="A4488" s="2">
        <v>41743</v>
      </c>
      <c r="B4488">
        <f>8/(100)</f>
        <v>0.08</v>
      </c>
      <c r="C4488">
        <f>8.626/(100)</f>
        <v>8.6259999999999989E-2</v>
      </c>
    </row>
    <row r="4489" spans="1:3" x14ac:dyDescent="0.3">
      <c r="A4489" s="2">
        <v>41744</v>
      </c>
      <c r="B4489">
        <f>8/(100)</f>
        <v>0.08</v>
      </c>
      <c r="C4489">
        <f>8.684/(100)</f>
        <v>8.6839999999999987E-2</v>
      </c>
    </row>
    <row r="4490" spans="1:3" x14ac:dyDescent="0.3">
      <c r="A4490" s="2">
        <v>41745</v>
      </c>
      <c r="B4490">
        <f>8/(100)</f>
        <v>0.08</v>
      </c>
      <c r="C4490">
        <f>8.719/(100)</f>
        <v>8.718999999999999E-2</v>
      </c>
    </row>
    <row r="4491" spans="1:3" x14ac:dyDescent="0.3">
      <c r="A4491" s="2">
        <v>41746</v>
      </c>
      <c r="B4491">
        <f>8/(100)</f>
        <v>0.08</v>
      </c>
      <c r="C4491">
        <f>8.6/(100)</f>
        <v>8.5999999999999993E-2</v>
      </c>
    </row>
    <row r="4492" spans="1:3" x14ac:dyDescent="0.3">
      <c r="A4492" s="2">
        <v>41747</v>
      </c>
      <c r="B4492">
        <f>8/(100)</f>
        <v>0.08</v>
      </c>
      <c r="C4492">
        <f>8.599/(100)</f>
        <v>8.5989999999999997E-2</v>
      </c>
    </row>
    <row r="4493" spans="1:3" x14ac:dyDescent="0.3">
      <c r="A4493" s="2">
        <v>41748</v>
      </c>
      <c r="B4493">
        <f>8/(100)</f>
        <v>0.08</v>
      </c>
      <c r="C4493">
        <f>8.599/(100)</f>
        <v>8.5989999999999997E-2</v>
      </c>
    </row>
    <row r="4494" spans="1:3" x14ac:dyDescent="0.3">
      <c r="A4494" s="2">
        <v>41749</v>
      </c>
      <c r="B4494">
        <f>8/(100)</f>
        <v>0.08</v>
      </c>
      <c r="C4494">
        <f>8.599/(100)</f>
        <v>8.5989999999999997E-2</v>
      </c>
    </row>
    <row r="4495" spans="1:3" x14ac:dyDescent="0.3">
      <c r="A4495" s="2">
        <v>41750</v>
      </c>
      <c r="B4495">
        <f>8/(100)</f>
        <v>0.08</v>
      </c>
      <c r="C4495">
        <f>8.599/(100)</f>
        <v>8.5989999999999997E-2</v>
      </c>
    </row>
    <row r="4496" spans="1:3" x14ac:dyDescent="0.3">
      <c r="A4496" s="2">
        <v>41751</v>
      </c>
      <c r="B4496">
        <f>8/(100)</f>
        <v>0.08</v>
      </c>
      <c r="C4496">
        <f>8.607/(100)</f>
        <v>8.6069999999999994E-2</v>
      </c>
    </row>
    <row r="4497" spans="1:3" x14ac:dyDescent="0.3">
      <c r="A4497" s="2">
        <v>41752</v>
      </c>
      <c r="B4497">
        <f>8/(100)</f>
        <v>0.08</v>
      </c>
      <c r="C4497">
        <f>8.656/(100)</f>
        <v>8.6560000000000012E-2</v>
      </c>
    </row>
    <row r="4498" spans="1:3" x14ac:dyDescent="0.3">
      <c r="A4498" s="2">
        <v>41753</v>
      </c>
      <c r="B4498">
        <f>8/(100)</f>
        <v>0.08</v>
      </c>
      <c r="C4498">
        <f>8.655/(100)</f>
        <v>8.6549999999999988E-2</v>
      </c>
    </row>
    <row r="4499" spans="1:3" x14ac:dyDescent="0.3">
      <c r="A4499" s="2">
        <v>41754</v>
      </c>
      <c r="B4499">
        <f>8/(100)</f>
        <v>0.08</v>
      </c>
      <c r="C4499">
        <f>8.628/(100)</f>
        <v>8.6279999999999996E-2</v>
      </c>
    </row>
    <row r="4500" spans="1:3" x14ac:dyDescent="0.3">
      <c r="A4500" s="2">
        <v>41755</v>
      </c>
      <c r="B4500">
        <f>8/(100)</f>
        <v>0.08</v>
      </c>
      <c r="C4500">
        <f>8.628/(100)</f>
        <v>8.6279999999999996E-2</v>
      </c>
    </row>
    <row r="4501" spans="1:3" x14ac:dyDescent="0.3">
      <c r="A4501" s="2">
        <v>41756</v>
      </c>
      <c r="B4501">
        <f>8/(100)</f>
        <v>0.08</v>
      </c>
      <c r="C4501">
        <f>8.628/(100)</f>
        <v>8.6279999999999996E-2</v>
      </c>
    </row>
    <row r="4502" spans="1:3" x14ac:dyDescent="0.3">
      <c r="A4502" s="2">
        <v>41757</v>
      </c>
      <c r="B4502">
        <f>8/(100)</f>
        <v>0.08</v>
      </c>
      <c r="C4502">
        <f>8.628/(100)</f>
        <v>8.6279999999999996E-2</v>
      </c>
    </row>
    <row r="4503" spans="1:3" x14ac:dyDescent="0.3">
      <c r="A4503" s="2">
        <v>41758</v>
      </c>
      <c r="B4503">
        <f>8/(100)</f>
        <v>0.08</v>
      </c>
      <c r="C4503">
        <f>8.635/(100)</f>
        <v>8.6349999999999996E-2</v>
      </c>
    </row>
    <row r="4504" spans="1:3" x14ac:dyDescent="0.3">
      <c r="A4504" s="2">
        <v>41759</v>
      </c>
      <c r="B4504">
        <f>8/(100)</f>
        <v>0.08</v>
      </c>
      <c r="C4504">
        <f>8.641/(100)</f>
        <v>8.6410000000000001E-2</v>
      </c>
    </row>
    <row r="4505" spans="1:3" x14ac:dyDescent="0.3">
      <c r="A4505" s="2">
        <v>41760</v>
      </c>
      <c r="B4505">
        <f>8/(100)</f>
        <v>0.08</v>
      </c>
      <c r="C4505">
        <f>8.64/(100)</f>
        <v>8.6400000000000005E-2</v>
      </c>
    </row>
    <row r="4506" spans="1:3" x14ac:dyDescent="0.3">
      <c r="A4506" s="2">
        <v>41761</v>
      </c>
      <c r="B4506">
        <f>8/(100)</f>
        <v>0.08</v>
      </c>
      <c r="C4506">
        <f>8.605/(100)</f>
        <v>8.6050000000000001E-2</v>
      </c>
    </row>
    <row r="4507" spans="1:3" x14ac:dyDescent="0.3">
      <c r="A4507" s="2">
        <v>41762</v>
      </c>
      <c r="B4507">
        <f>8/(100)</f>
        <v>0.08</v>
      </c>
      <c r="C4507">
        <f>8.605/(100)</f>
        <v>8.6050000000000001E-2</v>
      </c>
    </row>
    <row r="4508" spans="1:3" x14ac:dyDescent="0.3">
      <c r="A4508" s="2">
        <v>41763</v>
      </c>
      <c r="B4508">
        <f>8/(100)</f>
        <v>0.08</v>
      </c>
      <c r="C4508">
        <f>8.605/(100)</f>
        <v>8.6050000000000001E-2</v>
      </c>
    </row>
    <row r="4509" spans="1:3" x14ac:dyDescent="0.3">
      <c r="A4509" s="2">
        <v>41764</v>
      </c>
      <c r="B4509">
        <f>8/(100)</f>
        <v>0.08</v>
      </c>
      <c r="C4509">
        <f>8.541/(100)</f>
        <v>8.541E-2</v>
      </c>
    </row>
    <row r="4510" spans="1:3" x14ac:dyDescent="0.3">
      <c r="A4510" s="2">
        <v>41765</v>
      </c>
      <c r="B4510">
        <f>8/(100)</f>
        <v>0.08</v>
      </c>
      <c r="C4510">
        <f>8.568/(100)</f>
        <v>8.5679999999999992E-2</v>
      </c>
    </row>
    <row r="4511" spans="1:3" x14ac:dyDescent="0.3">
      <c r="A4511" s="2">
        <v>41766</v>
      </c>
      <c r="B4511">
        <f>8/(100)</f>
        <v>0.08</v>
      </c>
      <c r="C4511">
        <f>8.569/(100)</f>
        <v>8.5690000000000002E-2</v>
      </c>
    </row>
    <row r="4512" spans="1:3" x14ac:dyDescent="0.3">
      <c r="A4512" s="2">
        <v>41767</v>
      </c>
      <c r="B4512">
        <f>8/(100)</f>
        <v>0.08</v>
      </c>
      <c r="C4512">
        <f>8.553/(100)</f>
        <v>8.5530000000000009E-2</v>
      </c>
    </row>
    <row r="4513" spans="1:3" x14ac:dyDescent="0.3">
      <c r="A4513" s="2">
        <v>41768</v>
      </c>
      <c r="B4513">
        <f>8/(100)</f>
        <v>0.08</v>
      </c>
      <c r="C4513">
        <f>8.535/(100)</f>
        <v>8.5349999999999995E-2</v>
      </c>
    </row>
    <row r="4514" spans="1:3" x14ac:dyDescent="0.3">
      <c r="A4514" s="2">
        <v>41769</v>
      </c>
      <c r="B4514">
        <f>8/(100)</f>
        <v>0.08</v>
      </c>
      <c r="C4514">
        <f>8.535/(100)</f>
        <v>8.5349999999999995E-2</v>
      </c>
    </row>
    <row r="4515" spans="1:3" x14ac:dyDescent="0.3">
      <c r="A4515" s="2">
        <v>41770</v>
      </c>
      <c r="B4515">
        <f>8/(100)</f>
        <v>0.08</v>
      </c>
      <c r="C4515">
        <f>8.535/(100)</f>
        <v>8.5349999999999995E-2</v>
      </c>
    </row>
    <row r="4516" spans="1:3" x14ac:dyDescent="0.3">
      <c r="A4516" s="2">
        <v>41771</v>
      </c>
      <c r="B4516">
        <f>8/(100)</f>
        <v>0.08</v>
      </c>
      <c r="C4516">
        <f>8.583/(100)</f>
        <v>8.5830000000000004E-2</v>
      </c>
    </row>
    <row r="4517" spans="1:3" x14ac:dyDescent="0.3">
      <c r="A4517" s="2">
        <v>41772</v>
      </c>
      <c r="B4517">
        <f>8/(100)</f>
        <v>0.08</v>
      </c>
      <c r="C4517">
        <f>8.582/(100)</f>
        <v>8.5820000000000007E-2</v>
      </c>
    </row>
    <row r="4518" spans="1:3" x14ac:dyDescent="0.3">
      <c r="A4518" s="2">
        <v>41773</v>
      </c>
      <c r="B4518">
        <f>8/(100)</f>
        <v>0.08</v>
      </c>
      <c r="C4518">
        <f>8.581/(100)</f>
        <v>8.5809999999999997E-2</v>
      </c>
    </row>
    <row r="4519" spans="1:3" x14ac:dyDescent="0.3">
      <c r="A4519" s="2">
        <v>41774</v>
      </c>
      <c r="B4519">
        <f>8/(100)</f>
        <v>0.08</v>
      </c>
      <c r="C4519">
        <f>8.523/(100)</f>
        <v>8.523E-2</v>
      </c>
    </row>
    <row r="4520" spans="1:3" x14ac:dyDescent="0.3">
      <c r="A4520" s="2">
        <v>41775</v>
      </c>
      <c r="B4520">
        <f>8/(100)</f>
        <v>0.08</v>
      </c>
      <c r="C4520">
        <f>8.473/(100)</f>
        <v>8.4730000000000014E-2</v>
      </c>
    </row>
    <row r="4521" spans="1:3" x14ac:dyDescent="0.3">
      <c r="A4521" s="2">
        <v>41776</v>
      </c>
      <c r="B4521">
        <f>8/(100)</f>
        <v>0.08</v>
      </c>
      <c r="C4521">
        <f>8.473/(100)</f>
        <v>8.4730000000000014E-2</v>
      </c>
    </row>
    <row r="4522" spans="1:3" x14ac:dyDescent="0.3">
      <c r="A4522" s="2">
        <v>41777</v>
      </c>
      <c r="B4522">
        <f>8/(100)</f>
        <v>0.08</v>
      </c>
      <c r="C4522">
        <f>8.473/(100)</f>
        <v>8.4730000000000014E-2</v>
      </c>
    </row>
    <row r="4523" spans="1:3" x14ac:dyDescent="0.3">
      <c r="A4523" s="2">
        <v>41778</v>
      </c>
      <c r="B4523">
        <f>8/(100)</f>
        <v>0.08</v>
      </c>
      <c r="C4523">
        <f>8.408/(100)</f>
        <v>8.4079999999999988E-2</v>
      </c>
    </row>
    <row r="4524" spans="1:3" x14ac:dyDescent="0.3">
      <c r="A4524" s="2">
        <v>41779</v>
      </c>
      <c r="B4524">
        <f>8/(100)</f>
        <v>0.08</v>
      </c>
      <c r="C4524">
        <f>8.468/(100)</f>
        <v>8.4680000000000005E-2</v>
      </c>
    </row>
    <row r="4525" spans="1:3" x14ac:dyDescent="0.3">
      <c r="A4525" s="2">
        <v>41780</v>
      </c>
      <c r="B4525">
        <f>8/(100)</f>
        <v>0.08</v>
      </c>
      <c r="C4525">
        <f>8.438/(100)</f>
        <v>8.4380000000000011E-2</v>
      </c>
    </row>
    <row r="4526" spans="1:3" x14ac:dyDescent="0.3">
      <c r="A4526" s="2">
        <v>41781</v>
      </c>
      <c r="B4526">
        <f>8/(100)</f>
        <v>0.08</v>
      </c>
      <c r="C4526">
        <f>8.47/(100)</f>
        <v>8.4700000000000011E-2</v>
      </c>
    </row>
    <row r="4527" spans="1:3" x14ac:dyDescent="0.3">
      <c r="A4527" s="2">
        <v>41782</v>
      </c>
      <c r="B4527">
        <f>8/(100)</f>
        <v>0.08</v>
      </c>
      <c r="C4527">
        <f>8.381/(100)</f>
        <v>8.3809999999999996E-2</v>
      </c>
    </row>
    <row r="4528" spans="1:3" x14ac:dyDescent="0.3">
      <c r="A4528" s="2">
        <v>41783</v>
      </c>
      <c r="B4528">
        <f>8/(100)</f>
        <v>0.08</v>
      </c>
      <c r="C4528">
        <f>8.381/(100)</f>
        <v>8.3809999999999996E-2</v>
      </c>
    </row>
    <row r="4529" spans="1:3" x14ac:dyDescent="0.3">
      <c r="A4529" s="2">
        <v>41784</v>
      </c>
      <c r="B4529">
        <f>8/(100)</f>
        <v>0.08</v>
      </c>
      <c r="C4529">
        <f>8.381/(100)</f>
        <v>8.3809999999999996E-2</v>
      </c>
    </row>
    <row r="4530" spans="1:3" x14ac:dyDescent="0.3">
      <c r="A4530" s="2">
        <v>41785</v>
      </c>
      <c r="B4530">
        <f>8/(100)</f>
        <v>0.08</v>
      </c>
      <c r="C4530">
        <f>8.508/(100)</f>
        <v>8.5079999999999989E-2</v>
      </c>
    </row>
    <row r="4531" spans="1:3" x14ac:dyDescent="0.3">
      <c r="A4531" s="2">
        <v>41786</v>
      </c>
      <c r="B4531">
        <f>8/(100)</f>
        <v>0.08</v>
      </c>
      <c r="C4531">
        <f>8.363/(100)</f>
        <v>8.3629999999999996E-2</v>
      </c>
    </row>
    <row r="4532" spans="1:3" x14ac:dyDescent="0.3">
      <c r="A4532" s="2">
        <v>41787</v>
      </c>
      <c r="B4532">
        <f>8/(100)</f>
        <v>0.08</v>
      </c>
      <c r="C4532">
        <f>8.299/(100)</f>
        <v>8.2989999999999994E-2</v>
      </c>
    </row>
    <row r="4533" spans="1:3" x14ac:dyDescent="0.3">
      <c r="A4533" s="2">
        <v>41788</v>
      </c>
      <c r="B4533">
        <f>8/(100)</f>
        <v>0.08</v>
      </c>
      <c r="C4533">
        <f>8.389/(100)</f>
        <v>8.3889999999999992E-2</v>
      </c>
    </row>
    <row r="4534" spans="1:3" x14ac:dyDescent="0.3">
      <c r="A4534" s="2">
        <v>41789</v>
      </c>
      <c r="B4534">
        <f>8/(100)</f>
        <v>0.08</v>
      </c>
      <c r="C4534">
        <f>8.298/(100)</f>
        <v>8.2979999999999998E-2</v>
      </c>
    </row>
    <row r="4535" spans="1:3" x14ac:dyDescent="0.3">
      <c r="A4535" s="2">
        <v>41790</v>
      </c>
      <c r="B4535">
        <f>8/(100)</f>
        <v>0.08</v>
      </c>
      <c r="C4535">
        <f>8.298/(100)</f>
        <v>8.2979999999999998E-2</v>
      </c>
    </row>
    <row r="4536" spans="1:3" x14ac:dyDescent="0.3">
      <c r="A4536" s="2">
        <v>41791</v>
      </c>
      <c r="B4536">
        <f>8/(100)</f>
        <v>0.08</v>
      </c>
      <c r="C4536">
        <f>8.298/(100)</f>
        <v>8.2979999999999998E-2</v>
      </c>
    </row>
    <row r="4537" spans="1:3" x14ac:dyDescent="0.3">
      <c r="A4537" s="2">
        <v>41792</v>
      </c>
      <c r="B4537">
        <f>8/(100)</f>
        <v>0.08</v>
      </c>
      <c r="C4537">
        <f>8.298/(100)</f>
        <v>8.2979999999999998E-2</v>
      </c>
    </row>
    <row r="4538" spans="1:3" x14ac:dyDescent="0.3">
      <c r="A4538" s="2">
        <v>41793</v>
      </c>
      <c r="B4538">
        <f>8/(100)</f>
        <v>0.08</v>
      </c>
      <c r="C4538">
        <f>8.392/(100)</f>
        <v>8.3919999999999995E-2</v>
      </c>
    </row>
    <row r="4539" spans="1:3" x14ac:dyDescent="0.3">
      <c r="A4539" s="2">
        <v>41794</v>
      </c>
      <c r="B4539">
        <f>8/(100)</f>
        <v>0.08</v>
      </c>
      <c r="C4539">
        <f>8.308/(100)</f>
        <v>8.3080000000000001E-2</v>
      </c>
    </row>
    <row r="4540" spans="1:3" x14ac:dyDescent="0.3">
      <c r="A4540" s="2">
        <v>41795</v>
      </c>
      <c r="B4540">
        <f>8/(100)</f>
        <v>0.08</v>
      </c>
      <c r="C4540">
        <f>8.283/(100)</f>
        <v>8.2830000000000001E-2</v>
      </c>
    </row>
    <row r="4541" spans="1:3" x14ac:dyDescent="0.3">
      <c r="A4541" s="2">
        <v>41796</v>
      </c>
      <c r="B4541">
        <f>8/(100)</f>
        <v>0.08</v>
      </c>
      <c r="C4541">
        <f>8.262/(100)</f>
        <v>8.2619999999999999E-2</v>
      </c>
    </row>
    <row r="4542" spans="1:3" x14ac:dyDescent="0.3">
      <c r="A4542" s="2">
        <v>41797</v>
      </c>
      <c r="B4542">
        <f>8/(100)</f>
        <v>0.08</v>
      </c>
      <c r="C4542">
        <f>8.262/(100)</f>
        <v>8.2619999999999999E-2</v>
      </c>
    </row>
    <row r="4543" spans="1:3" x14ac:dyDescent="0.3">
      <c r="A4543" s="2">
        <v>41798</v>
      </c>
      <c r="B4543">
        <f>8/(100)</f>
        <v>0.08</v>
      </c>
      <c r="C4543">
        <f>8.262/(100)</f>
        <v>8.2619999999999999E-2</v>
      </c>
    </row>
    <row r="4544" spans="1:3" x14ac:dyDescent="0.3">
      <c r="A4544" s="2">
        <v>41799</v>
      </c>
      <c r="B4544">
        <f>8/(100)</f>
        <v>0.08</v>
      </c>
      <c r="C4544">
        <f>8.215/(100)</f>
        <v>8.2150000000000001E-2</v>
      </c>
    </row>
    <row r="4545" spans="1:3" x14ac:dyDescent="0.3">
      <c r="A4545" s="2">
        <v>41800</v>
      </c>
      <c r="B4545">
        <f>8/(100)</f>
        <v>0.08</v>
      </c>
      <c r="C4545">
        <f>8.217/(100)</f>
        <v>8.2170000000000007E-2</v>
      </c>
    </row>
    <row r="4546" spans="1:3" x14ac:dyDescent="0.3">
      <c r="A4546" s="2">
        <v>41801</v>
      </c>
      <c r="B4546">
        <f>8/(100)</f>
        <v>0.08</v>
      </c>
      <c r="C4546">
        <f>8.13/(100)</f>
        <v>8.1300000000000011E-2</v>
      </c>
    </row>
    <row r="4547" spans="1:3" x14ac:dyDescent="0.3">
      <c r="A4547" s="2">
        <v>41802</v>
      </c>
      <c r="B4547">
        <f>8/(100)</f>
        <v>0.08</v>
      </c>
      <c r="C4547">
        <f>9.214/(100)</f>
        <v>9.214E-2</v>
      </c>
    </row>
    <row r="4548" spans="1:3" x14ac:dyDescent="0.3">
      <c r="A4548" s="2">
        <v>41803</v>
      </c>
      <c r="B4548">
        <f>8/(100)</f>
        <v>0.08</v>
      </c>
      <c r="C4548">
        <f>9.149/(100)</f>
        <v>9.1489999999999988E-2</v>
      </c>
    </row>
    <row r="4549" spans="1:3" x14ac:dyDescent="0.3">
      <c r="A4549" s="2">
        <v>41804</v>
      </c>
      <c r="B4549">
        <f>8/(100)</f>
        <v>0.08</v>
      </c>
      <c r="C4549">
        <f>9.149/(100)</f>
        <v>9.1489999999999988E-2</v>
      </c>
    </row>
    <row r="4550" spans="1:3" x14ac:dyDescent="0.3">
      <c r="A4550" s="2">
        <v>41805</v>
      </c>
      <c r="B4550">
        <f>8/(100)</f>
        <v>0.08</v>
      </c>
      <c r="C4550">
        <f>9.149/(100)</f>
        <v>9.1489999999999988E-2</v>
      </c>
    </row>
    <row r="4551" spans="1:3" x14ac:dyDescent="0.3">
      <c r="A4551" s="2">
        <v>41806</v>
      </c>
      <c r="B4551">
        <f>8/(100)</f>
        <v>0.08</v>
      </c>
      <c r="C4551">
        <f>9.149/(100)</f>
        <v>9.1489999999999988E-2</v>
      </c>
    </row>
    <row r="4552" spans="1:3" x14ac:dyDescent="0.3">
      <c r="A4552" s="2">
        <v>41807</v>
      </c>
      <c r="B4552">
        <f>8/(100)</f>
        <v>0.08</v>
      </c>
      <c r="C4552">
        <f>9.149/(100)</f>
        <v>9.1489999999999988E-2</v>
      </c>
    </row>
    <row r="4553" spans="1:3" x14ac:dyDescent="0.3">
      <c r="A4553" s="2">
        <v>41808</v>
      </c>
      <c r="B4553">
        <f>8/(100)</f>
        <v>0.08</v>
      </c>
      <c r="C4553">
        <f>8.544/(100)</f>
        <v>8.5440000000000002E-2</v>
      </c>
    </row>
    <row r="4554" spans="1:3" x14ac:dyDescent="0.3">
      <c r="A4554" s="2">
        <v>41809</v>
      </c>
      <c r="B4554">
        <f>8/(100)</f>
        <v>0.08</v>
      </c>
      <c r="C4554">
        <f>8.536/(100)</f>
        <v>8.5359999999999991E-2</v>
      </c>
    </row>
    <row r="4555" spans="1:3" x14ac:dyDescent="0.3">
      <c r="A4555" s="2">
        <v>41810</v>
      </c>
      <c r="B4555">
        <f>8/(100)</f>
        <v>0.08</v>
      </c>
      <c r="C4555">
        <f>8.536/(100)</f>
        <v>8.5359999999999991E-2</v>
      </c>
    </row>
    <row r="4556" spans="1:3" x14ac:dyDescent="0.3">
      <c r="A4556" s="2">
        <v>41811</v>
      </c>
      <c r="B4556">
        <f>8/(100)</f>
        <v>0.08</v>
      </c>
      <c r="C4556">
        <f>8.536/(100)</f>
        <v>8.5359999999999991E-2</v>
      </c>
    </row>
    <row r="4557" spans="1:3" x14ac:dyDescent="0.3">
      <c r="A4557" s="2">
        <v>41812</v>
      </c>
      <c r="B4557">
        <f>8/(100)</f>
        <v>0.08</v>
      </c>
      <c r="C4557">
        <f>8.536/(100)</f>
        <v>8.5359999999999991E-2</v>
      </c>
    </row>
    <row r="4558" spans="1:3" x14ac:dyDescent="0.3">
      <c r="A4558" s="2">
        <v>41813</v>
      </c>
      <c r="B4558">
        <f>8/(100)</f>
        <v>0.08</v>
      </c>
      <c r="C4558">
        <f>8.536/(100)</f>
        <v>8.5359999999999991E-2</v>
      </c>
    </row>
    <row r="4559" spans="1:3" x14ac:dyDescent="0.3">
      <c r="A4559" s="2">
        <v>41814</v>
      </c>
      <c r="B4559">
        <f>8/(100)</f>
        <v>0.08</v>
      </c>
      <c r="C4559">
        <f>8.478/(100)</f>
        <v>8.4779999999999994E-2</v>
      </c>
    </row>
    <row r="4560" spans="1:3" x14ac:dyDescent="0.3">
      <c r="A4560" s="2">
        <v>41815</v>
      </c>
      <c r="B4560">
        <f>8/(100)</f>
        <v>0.08</v>
      </c>
      <c r="C4560">
        <f>8.469/(100)</f>
        <v>8.4689999999999988E-2</v>
      </c>
    </row>
    <row r="4561" spans="1:3" x14ac:dyDescent="0.3">
      <c r="A4561" s="2">
        <v>41816</v>
      </c>
      <c r="B4561">
        <f>8/(100)</f>
        <v>0.08</v>
      </c>
      <c r="C4561">
        <f>8.388/(100)</f>
        <v>8.3879999999999996E-2</v>
      </c>
    </row>
    <row r="4562" spans="1:3" x14ac:dyDescent="0.3">
      <c r="A4562" s="2">
        <v>41817</v>
      </c>
      <c r="B4562">
        <f>8/(100)</f>
        <v>0.08</v>
      </c>
      <c r="C4562">
        <f>8.397/(100)</f>
        <v>8.3970000000000003E-2</v>
      </c>
    </row>
    <row r="4563" spans="1:3" x14ac:dyDescent="0.3">
      <c r="A4563" s="2">
        <v>41818</v>
      </c>
      <c r="B4563">
        <f>8/(100)</f>
        <v>0.08</v>
      </c>
      <c r="C4563">
        <f>8.397/(100)</f>
        <v>8.3970000000000003E-2</v>
      </c>
    </row>
    <row r="4564" spans="1:3" x14ac:dyDescent="0.3">
      <c r="A4564" s="2">
        <v>41819</v>
      </c>
      <c r="B4564">
        <f>8/(100)</f>
        <v>0.08</v>
      </c>
      <c r="C4564">
        <f>8.397/(100)</f>
        <v>8.3970000000000003E-2</v>
      </c>
    </row>
    <row r="4565" spans="1:3" x14ac:dyDescent="0.3">
      <c r="A4565" s="2">
        <v>41820</v>
      </c>
      <c r="B4565">
        <f>8/(100)</f>
        <v>0.08</v>
      </c>
      <c r="C4565">
        <f>8.397/(100)</f>
        <v>8.3970000000000003E-2</v>
      </c>
    </row>
    <row r="4566" spans="1:3" x14ac:dyDescent="0.3">
      <c r="A4566" s="2">
        <v>41821</v>
      </c>
      <c r="B4566">
        <f>8/(100)</f>
        <v>0.08</v>
      </c>
      <c r="C4566">
        <f>8.404/(100)</f>
        <v>8.4040000000000004E-2</v>
      </c>
    </row>
    <row r="4567" spans="1:3" x14ac:dyDescent="0.3">
      <c r="A4567" s="2">
        <v>41822</v>
      </c>
      <c r="B4567">
        <f>8/(100)</f>
        <v>0.08</v>
      </c>
      <c r="C4567">
        <f>8.407/(100)</f>
        <v>8.4070000000000006E-2</v>
      </c>
    </row>
    <row r="4568" spans="1:3" x14ac:dyDescent="0.3">
      <c r="A4568" s="2">
        <v>41823</v>
      </c>
      <c r="B4568">
        <f>8/(100)</f>
        <v>0.08</v>
      </c>
      <c r="C4568">
        <f>8.466/(100)</f>
        <v>8.4659999999999999E-2</v>
      </c>
    </row>
    <row r="4569" spans="1:3" x14ac:dyDescent="0.3">
      <c r="A4569" s="2">
        <v>41824</v>
      </c>
      <c r="B4569">
        <f>8/(100)</f>
        <v>0.08</v>
      </c>
      <c r="C4569">
        <f>8.466/(100)</f>
        <v>8.4659999999999999E-2</v>
      </c>
    </row>
    <row r="4570" spans="1:3" x14ac:dyDescent="0.3">
      <c r="A4570" s="2">
        <v>41825</v>
      </c>
      <c r="B4570">
        <f>8/(100)</f>
        <v>0.08</v>
      </c>
      <c r="C4570">
        <f>8.466/(100)</f>
        <v>8.4659999999999999E-2</v>
      </c>
    </row>
    <row r="4571" spans="1:3" x14ac:dyDescent="0.3">
      <c r="A4571" s="2">
        <v>41826</v>
      </c>
      <c r="B4571">
        <f>8/(100)</f>
        <v>0.08</v>
      </c>
      <c r="C4571">
        <f>8.466/(100)</f>
        <v>8.4659999999999999E-2</v>
      </c>
    </row>
    <row r="4572" spans="1:3" x14ac:dyDescent="0.3">
      <c r="A4572" s="2">
        <v>41827</v>
      </c>
      <c r="B4572">
        <f>8/(100)</f>
        <v>0.08</v>
      </c>
      <c r="C4572">
        <f>8.466/(100)</f>
        <v>8.4659999999999999E-2</v>
      </c>
    </row>
    <row r="4573" spans="1:3" x14ac:dyDescent="0.3">
      <c r="A4573" s="2">
        <v>41828</v>
      </c>
      <c r="B4573">
        <f>8/(100)</f>
        <v>0.08</v>
      </c>
      <c r="C4573">
        <f>8.466/(100)</f>
        <v>8.4659999999999999E-2</v>
      </c>
    </row>
    <row r="4574" spans="1:3" x14ac:dyDescent="0.3">
      <c r="A4574" s="2">
        <v>41829</v>
      </c>
      <c r="B4574">
        <f>8/(100)</f>
        <v>0.08</v>
      </c>
      <c r="C4574">
        <f>8.466/(100)</f>
        <v>8.4659999999999999E-2</v>
      </c>
    </row>
    <row r="4575" spans="1:3" x14ac:dyDescent="0.3">
      <c r="A4575" s="2">
        <v>41830</v>
      </c>
      <c r="B4575">
        <f>8/(100)</f>
        <v>0.08</v>
      </c>
      <c r="C4575">
        <f>8.48/(100)</f>
        <v>8.48E-2</v>
      </c>
    </row>
    <row r="4576" spans="1:3" x14ac:dyDescent="0.3">
      <c r="A4576" s="2">
        <v>41831</v>
      </c>
      <c r="B4576">
        <f>8/(100)</f>
        <v>0.08</v>
      </c>
      <c r="C4576">
        <f>8.48/(100)</f>
        <v>8.48E-2</v>
      </c>
    </row>
    <row r="4577" spans="1:3" x14ac:dyDescent="0.3">
      <c r="A4577" s="2">
        <v>41832</v>
      </c>
      <c r="B4577">
        <f>8/(100)</f>
        <v>0.08</v>
      </c>
      <c r="C4577">
        <f>8.48/(100)</f>
        <v>8.48E-2</v>
      </c>
    </row>
    <row r="4578" spans="1:3" x14ac:dyDescent="0.3">
      <c r="A4578" s="2">
        <v>41833</v>
      </c>
      <c r="B4578">
        <f>8/(100)</f>
        <v>0.08</v>
      </c>
      <c r="C4578">
        <f>8.48/(100)</f>
        <v>8.48E-2</v>
      </c>
    </row>
    <row r="4579" spans="1:3" x14ac:dyDescent="0.3">
      <c r="A4579" s="2">
        <v>41834</v>
      </c>
      <c r="B4579">
        <f>8/(100)</f>
        <v>0.08</v>
      </c>
      <c r="C4579">
        <f>8.48/(100)</f>
        <v>8.48E-2</v>
      </c>
    </row>
    <row r="4580" spans="1:3" x14ac:dyDescent="0.3">
      <c r="A4580" s="2">
        <v>41835</v>
      </c>
      <c r="B4580">
        <f>8/(100)</f>
        <v>0.08</v>
      </c>
      <c r="C4580">
        <f>8.718/(100)</f>
        <v>8.7179999999999994E-2</v>
      </c>
    </row>
    <row r="4581" spans="1:3" x14ac:dyDescent="0.3">
      <c r="A4581" s="2">
        <v>41836</v>
      </c>
      <c r="B4581">
        <f>8/(100)</f>
        <v>0.08</v>
      </c>
      <c r="C4581">
        <f>8.686/(100)</f>
        <v>8.6859999999999993E-2</v>
      </c>
    </row>
    <row r="4582" spans="1:3" x14ac:dyDescent="0.3">
      <c r="A4582" s="2">
        <v>41837</v>
      </c>
      <c r="B4582">
        <f>8/(100)</f>
        <v>0.08</v>
      </c>
      <c r="C4582">
        <f>8.689/(100)</f>
        <v>8.6889999999999995E-2</v>
      </c>
    </row>
    <row r="4583" spans="1:3" x14ac:dyDescent="0.3">
      <c r="A4583" s="2">
        <v>41838</v>
      </c>
      <c r="B4583">
        <f>8/(100)</f>
        <v>0.08</v>
      </c>
      <c r="C4583">
        <f>8.698/(100)</f>
        <v>8.6980000000000002E-2</v>
      </c>
    </row>
    <row r="4584" spans="1:3" x14ac:dyDescent="0.3">
      <c r="A4584" s="2">
        <v>41839</v>
      </c>
      <c r="B4584">
        <f>8/(100)</f>
        <v>0.08</v>
      </c>
      <c r="C4584">
        <f>8.698/(100)</f>
        <v>8.6980000000000002E-2</v>
      </c>
    </row>
    <row r="4585" spans="1:3" x14ac:dyDescent="0.3">
      <c r="A4585" s="2">
        <v>41840</v>
      </c>
      <c r="B4585">
        <f>8/(100)</f>
        <v>0.08</v>
      </c>
      <c r="C4585">
        <f>8.698/(100)</f>
        <v>8.6980000000000002E-2</v>
      </c>
    </row>
    <row r="4586" spans="1:3" x14ac:dyDescent="0.3">
      <c r="A4586" s="2">
        <v>41841</v>
      </c>
      <c r="B4586">
        <f>8/(100)</f>
        <v>0.08</v>
      </c>
      <c r="C4586">
        <f>8.698/(100)</f>
        <v>8.6980000000000002E-2</v>
      </c>
    </row>
    <row r="4587" spans="1:3" x14ac:dyDescent="0.3">
      <c r="A4587" s="2">
        <v>41842</v>
      </c>
      <c r="B4587">
        <f>8/(100)</f>
        <v>0.08</v>
      </c>
      <c r="C4587">
        <f>8.64/(100)</f>
        <v>8.6400000000000005E-2</v>
      </c>
    </row>
    <row r="4588" spans="1:3" x14ac:dyDescent="0.3">
      <c r="A4588" s="2">
        <v>41843</v>
      </c>
      <c r="B4588">
        <f>8/(100)</f>
        <v>0.08</v>
      </c>
      <c r="C4588">
        <f>8.671/(100)</f>
        <v>8.6709999999999995E-2</v>
      </c>
    </row>
    <row r="4589" spans="1:3" x14ac:dyDescent="0.3">
      <c r="A4589" s="2">
        <v>41844</v>
      </c>
      <c r="B4589">
        <f>8/(100)</f>
        <v>0.08</v>
      </c>
      <c r="C4589">
        <f>8.54/(100)</f>
        <v>8.539999999999999E-2</v>
      </c>
    </row>
    <row r="4590" spans="1:3" x14ac:dyDescent="0.3">
      <c r="A4590" s="2">
        <v>41845</v>
      </c>
      <c r="B4590">
        <f>8/(100)</f>
        <v>0.08</v>
      </c>
      <c r="C4590">
        <f>8.512/(100)</f>
        <v>8.5120000000000001E-2</v>
      </c>
    </row>
    <row r="4591" spans="1:3" x14ac:dyDescent="0.3">
      <c r="A4591" s="2">
        <v>41846</v>
      </c>
      <c r="B4591">
        <f>8/(100)</f>
        <v>0.08</v>
      </c>
      <c r="C4591">
        <f>8.512/(100)</f>
        <v>8.5120000000000001E-2</v>
      </c>
    </row>
    <row r="4592" spans="1:3" x14ac:dyDescent="0.3">
      <c r="A4592" s="2">
        <v>41847</v>
      </c>
      <c r="B4592">
        <f>8/(100)</f>
        <v>0.08</v>
      </c>
      <c r="C4592">
        <f>8.512/(100)</f>
        <v>8.5120000000000001E-2</v>
      </c>
    </row>
    <row r="4593" spans="1:3" x14ac:dyDescent="0.3">
      <c r="A4593" s="2">
        <v>41848</v>
      </c>
      <c r="B4593">
        <f>8/(100)</f>
        <v>0.08</v>
      </c>
      <c r="C4593">
        <f>8.512/(100)</f>
        <v>8.5120000000000001E-2</v>
      </c>
    </row>
    <row r="4594" spans="1:3" x14ac:dyDescent="0.3">
      <c r="A4594" s="2">
        <v>41849</v>
      </c>
      <c r="B4594">
        <f>8/(100)</f>
        <v>0.08</v>
      </c>
      <c r="C4594">
        <f>8.512/(100)</f>
        <v>8.5120000000000001E-2</v>
      </c>
    </row>
    <row r="4595" spans="1:3" x14ac:dyDescent="0.3">
      <c r="A4595" s="2">
        <v>41850</v>
      </c>
      <c r="B4595">
        <f>8/(100)</f>
        <v>0.08</v>
      </c>
      <c r="C4595">
        <f>8.512/(100)</f>
        <v>8.5120000000000001E-2</v>
      </c>
    </row>
    <row r="4596" spans="1:3" x14ac:dyDescent="0.3">
      <c r="A4596" s="2">
        <v>41851</v>
      </c>
      <c r="B4596">
        <f>8/(100)</f>
        <v>0.08</v>
      </c>
      <c r="C4596">
        <f>8.512/(100)</f>
        <v>8.5120000000000001E-2</v>
      </c>
    </row>
    <row r="4597" spans="1:3" x14ac:dyDescent="0.3">
      <c r="A4597" s="2">
        <v>41852</v>
      </c>
      <c r="B4597">
        <f>8/(100)</f>
        <v>0.08</v>
      </c>
      <c r="C4597">
        <f>8.666/(100)</f>
        <v>8.6660000000000001E-2</v>
      </c>
    </row>
    <row r="4598" spans="1:3" x14ac:dyDescent="0.3">
      <c r="A4598" s="2">
        <v>41853</v>
      </c>
      <c r="B4598">
        <f>8/(100)</f>
        <v>0.08</v>
      </c>
      <c r="C4598">
        <f>8.666/(100)</f>
        <v>8.6660000000000001E-2</v>
      </c>
    </row>
    <row r="4599" spans="1:3" x14ac:dyDescent="0.3">
      <c r="A4599" s="2">
        <v>41854</v>
      </c>
      <c r="B4599">
        <f>8/(100)</f>
        <v>0.08</v>
      </c>
      <c r="C4599">
        <f>8.666/(100)</f>
        <v>8.6660000000000001E-2</v>
      </c>
    </row>
    <row r="4600" spans="1:3" x14ac:dyDescent="0.3">
      <c r="A4600" s="2">
        <v>41855</v>
      </c>
      <c r="B4600">
        <f>8/(100)</f>
        <v>0.08</v>
      </c>
      <c r="C4600">
        <f>8.674/(100)</f>
        <v>8.6739999999999998E-2</v>
      </c>
    </row>
    <row r="4601" spans="1:3" x14ac:dyDescent="0.3">
      <c r="A4601" s="2">
        <v>41856</v>
      </c>
      <c r="B4601">
        <f>8/(100)</f>
        <v>0.08</v>
      </c>
      <c r="C4601">
        <f>8.758/(100)</f>
        <v>8.7579999999999991E-2</v>
      </c>
    </row>
    <row r="4602" spans="1:3" x14ac:dyDescent="0.3">
      <c r="A4602" s="2">
        <v>41857</v>
      </c>
      <c r="B4602">
        <f>8/(100)</f>
        <v>0.08</v>
      </c>
      <c r="C4602">
        <f>8.837/(100)</f>
        <v>8.8370000000000004E-2</v>
      </c>
    </row>
    <row r="4603" spans="1:3" x14ac:dyDescent="0.3">
      <c r="A4603" s="2">
        <v>41858</v>
      </c>
      <c r="B4603">
        <f>8/(100)</f>
        <v>0.08</v>
      </c>
      <c r="C4603">
        <f>8.708/(100)</f>
        <v>8.7080000000000005E-2</v>
      </c>
    </row>
    <row r="4604" spans="1:3" x14ac:dyDescent="0.3">
      <c r="A4604" s="2">
        <v>41859</v>
      </c>
      <c r="B4604">
        <f>8/(100)</f>
        <v>0.08</v>
      </c>
      <c r="C4604">
        <f>8.723/(100)</f>
        <v>8.7230000000000002E-2</v>
      </c>
    </row>
    <row r="4605" spans="1:3" x14ac:dyDescent="0.3">
      <c r="A4605" s="2">
        <v>41860</v>
      </c>
      <c r="B4605">
        <f>8/(100)</f>
        <v>0.08</v>
      </c>
      <c r="C4605">
        <f>8.723/(100)</f>
        <v>8.7230000000000002E-2</v>
      </c>
    </row>
    <row r="4606" spans="1:3" x14ac:dyDescent="0.3">
      <c r="A4606" s="2">
        <v>41861</v>
      </c>
      <c r="B4606">
        <f>8/(100)</f>
        <v>0.08</v>
      </c>
      <c r="C4606">
        <f>8.723/(100)</f>
        <v>8.7230000000000002E-2</v>
      </c>
    </row>
    <row r="4607" spans="1:3" x14ac:dyDescent="0.3">
      <c r="A4607" s="2">
        <v>41862</v>
      </c>
      <c r="B4607">
        <f>8/(100)</f>
        <v>0.08</v>
      </c>
      <c r="C4607">
        <f>8.704/(100)</f>
        <v>8.7040000000000006E-2</v>
      </c>
    </row>
    <row r="4608" spans="1:3" x14ac:dyDescent="0.3">
      <c r="A4608" s="2">
        <v>41863</v>
      </c>
      <c r="B4608">
        <f>8/(100)</f>
        <v>0.08</v>
      </c>
      <c r="C4608">
        <f>8.708/(100)</f>
        <v>8.7080000000000005E-2</v>
      </c>
    </row>
    <row r="4609" spans="1:3" x14ac:dyDescent="0.3">
      <c r="A4609" s="2">
        <v>41864</v>
      </c>
      <c r="B4609">
        <f>8/(100)</f>
        <v>0.08</v>
      </c>
      <c r="C4609">
        <f>8.712/(100)</f>
        <v>8.7120000000000003E-2</v>
      </c>
    </row>
    <row r="4610" spans="1:3" x14ac:dyDescent="0.3">
      <c r="A4610" s="2">
        <v>41865</v>
      </c>
      <c r="B4610">
        <f>8/(100)</f>
        <v>0.08</v>
      </c>
      <c r="C4610">
        <f>8.717/(100)</f>
        <v>8.7170000000000011E-2</v>
      </c>
    </row>
    <row r="4611" spans="1:3" x14ac:dyDescent="0.3">
      <c r="A4611" s="2">
        <v>41866</v>
      </c>
      <c r="B4611">
        <f>8/(100)</f>
        <v>0.08</v>
      </c>
      <c r="C4611">
        <f>8.75/(100)</f>
        <v>8.7499999999999994E-2</v>
      </c>
    </row>
    <row r="4612" spans="1:3" x14ac:dyDescent="0.3">
      <c r="A4612" s="2">
        <v>41867</v>
      </c>
      <c r="B4612">
        <f>8/(100)</f>
        <v>0.08</v>
      </c>
      <c r="C4612">
        <f>8.75/(100)</f>
        <v>8.7499999999999994E-2</v>
      </c>
    </row>
    <row r="4613" spans="1:3" x14ac:dyDescent="0.3">
      <c r="A4613" s="2">
        <v>41868</v>
      </c>
      <c r="B4613">
        <f>8/(100)</f>
        <v>0.08</v>
      </c>
      <c r="C4613">
        <f>8.75/(100)</f>
        <v>8.7499999999999994E-2</v>
      </c>
    </row>
    <row r="4614" spans="1:3" x14ac:dyDescent="0.3">
      <c r="A4614" s="2">
        <v>41869</v>
      </c>
      <c r="B4614">
        <f>8/(100)</f>
        <v>0.08</v>
      </c>
      <c r="C4614">
        <f>8.75/(100)</f>
        <v>8.7499999999999994E-2</v>
      </c>
    </row>
    <row r="4615" spans="1:3" x14ac:dyDescent="0.3">
      <c r="A4615" s="2">
        <v>41870</v>
      </c>
      <c r="B4615">
        <f>8/(100)</f>
        <v>0.08</v>
      </c>
      <c r="C4615">
        <f>8.739/(100)</f>
        <v>8.7390000000000009E-2</v>
      </c>
    </row>
    <row r="4616" spans="1:3" x14ac:dyDescent="0.3">
      <c r="A4616" s="2">
        <v>41871</v>
      </c>
      <c r="B4616">
        <f>8/(100)</f>
        <v>0.08</v>
      </c>
      <c r="C4616">
        <f>8.649/(100)</f>
        <v>8.6489999999999997E-2</v>
      </c>
    </row>
    <row r="4617" spans="1:3" x14ac:dyDescent="0.3">
      <c r="A4617" s="2">
        <v>41872</v>
      </c>
      <c r="B4617">
        <f>8/(100)</f>
        <v>0.08</v>
      </c>
      <c r="C4617">
        <f>8.66/(100)</f>
        <v>8.6599999999999996E-2</v>
      </c>
    </row>
    <row r="4618" spans="1:3" x14ac:dyDescent="0.3">
      <c r="A4618" s="2">
        <v>41873</v>
      </c>
      <c r="B4618">
        <f>8/(100)</f>
        <v>0.08</v>
      </c>
      <c r="C4618">
        <f>8.661/(100)</f>
        <v>8.6609999999999993E-2</v>
      </c>
    </row>
    <row r="4619" spans="1:3" x14ac:dyDescent="0.3">
      <c r="A4619" s="2">
        <v>41874</v>
      </c>
      <c r="B4619">
        <f>8/(100)</f>
        <v>0.08</v>
      </c>
      <c r="C4619">
        <f>8.661/(100)</f>
        <v>8.6609999999999993E-2</v>
      </c>
    </row>
    <row r="4620" spans="1:3" x14ac:dyDescent="0.3">
      <c r="A4620" s="2">
        <v>41875</v>
      </c>
      <c r="B4620">
        <f>8/(100)</f>
        <v>0.08</v>
      </c>
      <c r="C4620">
        <f>8.661/(100)</f>
        <v>8.6609999999999993E-2</v>
      </c>
    </row>
    <row r="4621" spans="1:3" x14ac:dyDescent="0.3">
      <c r="A4621" s="2">
        <v>41876</v>
      </c>
      <c r="B4621">
        <f>8/(100)</f>
        <v>0.08</v>
      </c>
      <c r="C4621">
        <f>8.665/(100)</f>
        <v>8.6649999999999991E-2</v>
      </c>
    </row>
    <row r="4622" spans="1:3" x14ac:dyDescent="0.3">
      <c r="A4622" s="2">
        <v>41877</v>
      </c>
      <c r="B4622">
        <f>8/(100)</f>
        <v>0.08</v>
      </c>
      <c r="C4622">
        <f>8.661/(100)</f>
        <v>8.6609999999999993E-2</v>
      </c>
    </row>
    <row r="4623" spans="1:3" x14ac:dyDescent="0.3">
      <c r="A4623" s="2">
        <v>41878</v>
      </c>
      <c r="B4623">
        <f>8/(100)</f>
        <v>0.08</v>
      </c>
      <c r="C4623">
        <f>8.649/(100)</f>
        <v>8.6489999999999997E-2</v>
      </c>
    </row>
    <row r="4624" spans="1:3" x14ac:dyDescent="0.3">
      <c r="A4624" s="2">
        <v>41879</v>
      </c>
      <c r="B4624">
        <f>8/(100)</f>
        <v>0.08</v>
      </c>
      <c r="C4624">
        <f>8.677/(100)</f>
        <v>8.677E-2</v>
      </c>
    </row>
    <row r="4625" spans="1:3" x14ac:dyDescent="0.3">
      <c r="A4625" s="2">
        <v>41880</v>
      </c>
      <c r="B4625">
        <f>8/(100)</f>
        <v>0.08</v>
      </c>
      <c r="C4625">
        <f>8.677/(100)</f>
        <v>8.677E-2</v>
      </c>
    </row>
    <row r="4626" spans="1:3" x14ac:dyDescent="0.3">
      <c r="A4626" s="2">
        <v>41881</v>
      </c>
      <c r="B4626">
        <f>8/(100)</f>
        <v>0.08</v>
      </c>
      <c r="C4626">
        <f>8.677/(100)</f>
        <v>8.677E-2</v>
      </c>
    </row>
    <row r="4627" spans="1:3" x14ac:dyDescent="0.3">
      <c r="A4627" s="2">
        <v>41882</v>
      </c>
      <c r="B4627">
        <f>8/(100)</f>
        <v>0.08</v>
      </c>
      <c r="C4627">
        <f>8.677/(100)</f>
        <v>8.677E-2</v>
      </c>
    </row>
    <row r="4628" spans="1:3" x14ac:dyDescent="0.3">
      <c r="A4628" s="2">
        <v>41883</v>
      </c>
      <c r="B4628">
        <f>8/(100)</f>
        <v>0.08</v>
      </c>
      <c r="C4628">
        <f>8.677/(100)</f>
        <v>8.677E-2</v>
      </c>
    </row>
    <row r="4629" spans="1:3" x14ac:dyDescent="0.3">
      <c r="A4629" s="2">
        <v>41884</v>
      </c>
      <c r="B4629">
        <f>8/(100)</f>
        <v>0.08</v>
      </c>
      <c r="C4629">
        <f>8.718/(100)</f>
        <v>8.7179999999999994E-2</v>
      </c>
    </row>
    <row r="4630" spans="1:3" x14ac:dyDescent="0.3">
      <c r="A4630" s="2">
        <v>41885</v>
      </c>
      <c r="B4630">
        <f>8/(100)</f>
        <v>0.08</v>
      </c>
      <c r="C4630">
        <f>8.653/(100)</f>
        <v>8.653000000000001E-2</v>
      </c>
    </row>
    <row r="4631" spans="1:3" x14ac:dyDescent="0.3">
      <c r="A4631" s="2">
        <v>41886</v>
      </c>
      <c r="B4631">
        <f>8/(100)</f>
        <v>0.08</v>
      </c>
      <c r="C4631">
        <f>8.643/(100)</f>
        <v>8.6430000000000007E-2</v>
      </c>
    </row>
    <row r="4632" spans="1:3" x14ac:dyDescent="0.3">
      <c r="A4632" s="2">
        <v>41887</v>
      </c>
      <c r="B4632">
        <f>8/(100)</f>
        <v>0.08</v>
      </c>
      <c r="C4632">
        <f>8.659/(100)</f>
        <v>8.659E-2</v>
      </c>
    </row>
    <row r="4633" spans="1:3" x14ac:dyDescent="0.3">
      <c r="A4633" s="2">
        <v>41888</v>
      </c>
      <c r="B4633">
        <f>8/(100)</f>
        <v>0.08</v>
      </c>
      <c r="C4633">
        <f>8.659/(100)</f>
        <v>8.659E-2</v>
      </c>
    </row>
    <row r="4634" spans="1:3" x14ac:dyDescent="0.3">
      <c r="A4634" s="2">
        <v>41889</v>
      </c>
      <c r="B4634">
        <f>8/(100)</f>
        <v>0.08</v>
      </c>
      <c r="C4634">
        <f>8.659/(100)</f>
        <v>8.659E-2</v>
      </c>
    </row>
    <row r="4635" spans="1:3" x14ac:dyDescent="0.3">
      <c r="A4635" s="2">
        <v>41890</v>
      </c>
      <c r="B4635">
        <f>8/(100)</f>
        <v>0.08</v>
      </c>
      <c r="C4635">
        <f>8.638/(100)</f>
        <v>8.6379999999999998E-2</v>
      </c>
    </row>
    <row r="4636" spans="1:3" x14ac:dyDescent="0.3">
      <c r="A4636" s="2">
        <v>41891</v>
      </c>
      <c r="B4636">
        <f>8/(100)</f>
        <v>0.08</v>
      </c>
      <c r="C4636">
        <f>8.673/(100)</f>
        <v>8.6730000000000002E-2</v>
      </c>
    </row>
    <row r="4637" spans="1:3" x14ac:dyDescent="0.3">
      <c r="A4637" s="2">
        <v>41892</v>
      </c>
      <c r="B4637">
        <f>8/(100)</f>
        <v>0.08</v>
      </c>
      <c r="C4637">
        <f>8.666/(100)</f>
        <v>8.6660000000000001E-2</v>
      </c>
    </row>
    <row r="4638" spans="1:3" x14ac:dyDescent="0.3">
      <c r="A4638" s="2">
        <v>41893</v>
      </c>
      <c r="B4638">
        <f>8/(100)</f>
        <v>0.08</v>
      </c>
      <c r="C4638">
        <f>8.651/(100)</f>
        <v>8.6510000000000004E-2</v>
      </c>
    </row>
    <row r="4639" spans="1:3" x14ac:dyDescent="0.3">
      <c r="A4639" s="2">
        <v>41894</v>
      </c>
      <c r="B4639">
        <f>8/(100)</f>
        <v>0.08</v>
      </c>
      <c r="C4639">
        <f>8.679/(100)</f>
        <v>8.6790000000000006E-2</v>
      </c>
    </row>
    <row r="4640" spans="1:3" x14ac:dyDescent="0.3">
      <c r="A4640" s="2">
        <v>41895</v>
      </c>
      <c r="B4640">
        <f>8/(100)</f>
        <v>0.08</v>
      </c>
      <c r="C4640">
        <f>8.679/(100)</f>
        <v>8.6790000000000006E-2</v>
      </c>
    </row>
    <row r="4641" spans="1:3" x14ac:dyDescent="0.3">
      <c r="A4641" s="2">
        <v>41896</v>
      </c>
      <c r="B4641">
        <f>8/(100)</f>
        <v>0.08</v>
      </c>
      <c r="C4641">
        <f>8.679/(100)</f>
        <v>8.6790000000000006E-2</v>
      </c>
    </row>
    <row r="4642" spans="1:3" x14ac:dyDescent="0.3">
      <c r="A4642" s="2">
        <v>41897</v>
      </c>
      <c r="B4642">
        <f>8/(100)</f>
        <v>0.08</v>
      </c>
      <c r="C4642">
        <f>8.643/(100)</f>
        <v>8.6430000000000007E-2</v>
      </c>
    </row>
    <row r="4643" spans="1:3" x14ac:dyDescent="0.3">
      <c r="A4643" s="2">
        <v>41898</v>
      </c>
      <c r="B4643">
        <f>8/(100)</f>
        <v>0.08</v>
      </c>
      <c r="C4643">
        <f>8.746/(100)</f>
        <v>8.746000000000001E-2</v>
      </c>
    </row>
    <row r="4644" spans="1:3" x14ac:dyDescent="0.3">
      <c r="A4644" s="2">
        <v>41899</v>
      </c>
      <c r="B4644">
        <f>8/(100)</f>
        <v>0.08</v>
      </c>
      <c r="C4644">
        <f>8.655/(100)</f>
        <v>8.6549999999999988E-2</v>
      </c>
    </row>
    <row r="4645" spans="1:3" x14ac:dyDescent="0.3">
      <c r="A4645" s="2">
        <v>41900</v>
      </c>
      <c r="B4645">
        <f>8/(100)</f>
        <v>0.08</v>
      </c>
      <c r="C4645">
        <f>8.583/(100)</f>
        <v>8.5830000000000004E-2</v>
      </c>
    </row>
    <row r="4646" spans="1:3" x14ac:dyDescent="0.3">
      <c r="A4646" s="2">
        <v>41901</v>
      </c>
      <c r="B4646">
        <f>8/(100)</f>
        <v>0.08</v>
      </c>
      <c r="C4646">
        <f>8.636/(100)</f>
        <v>8.6359999999999992E-2</v>
      </c>
    </row>
    <row r="4647" spans="1:3" x14ac:dyDescent="0.3">
      <c r="A4647" s="2">
        <v>41902</v>
      </c>
      <c r="B4647">
        <f>8/(100)</f>
        <v>0.08</v>
      </c>
      <c r="C4647">
        <f>8.636/(100)</f>
        <v>8.6359999999999992E-2</v>
      </c>
    </row>
    <row r="4648" spans="1:3" x14ac:dyDescent="0.3">
      <c r="A4648" s="2">
        <v>41903</v>
      </c>
      <c r="B4648">
        <f>8/(100)</f>
        <v>0.08</v>
      </c>
      <c r="C4648">
        <f>8.636/(100)</f>
        <v>8.6359999999999992E-2</v>
      </c>
    </row>
    <row r="4649" spans="1:3" x14ac:dyDescent="0.3">
      <c r="A4649" s="2">
        <v>41904</v>
      </c>
      <c r="B4649">
        <f>8/(100)</f>
        <v>0.08</v>
      </c>
      <c r="C4649">
        <f>8.525/(100)</f>
        <v>8.5250000000000006E-2</v>
      </c>
    </row>
    <row r="4650" spans="1:3" x14ac:dyDescent="0.3">
      <c r="A4650" s="2">
        <v>41905</v>
      </c>
      <c r="B4650">
        <f>8/(100)</f>
        <v>0.08</v>
      </c>
      <c r="C4650">
        <f>8.597/(100)</f>
        <v>8.5969999999999991E-2</v>
      </c>
    </row>
    <row r="4651" spans="1:3" x14ac:dyDescent="0.3">
      <c r="A4651" s="2">
        <v>41906</v>
      </c>
      <c r="B4651">
        <f>8/(100)</f>
        <v>0.08</v>
      </c>
      <c r="C4651">
        <f>8.607/(100)</f>
        <v>8.6069999999999994E-2</v>
      </c>
    </row>
    <row r="4652" spans="1:3" x14ac:dyDescent="0.3">
      <c r="A4652" s="2">
        <v>41907</v>
      </c>
      <c r="B4652">
        <f>8/(100)</f>
        <v>0.08</v>
      </c>
      <c r="C4652">
        <f>8.637/(100)</f>
        <v>8.6370000000000002E-2</v>
      </c>
    </row>
    <row r="4653" spans="1:3" x14ac:dyDescent="0.3">
      <c r="A4653" s="2">
        <v>41908</v>
      </c>
      <c r="B4653">
        <f>8/(100)</f>
        <v>0.08</v>
      </c>
      <c r="C4653">
        <f>8.616/(100)</f>
        <v>8.616E-2</v>
      </c>
    </row>
    <row r="4654" spans="1:3" x14ac:dyDescent="0.3">
      <c r="A4654" s="2">
        <v>41909</v>
      </c>
      <c r="B4654">
        <f>8/(100)</f>
        <v>0.08</v>
      </c>
      <c r="C4654">
        <f>8.616/(100)</f>
        <v>8.616E-2</v>
      </c>
    </row>
    <row r="4655" spans="1:3" x14ac:dyDescent="0.3">
      <c r="A4655" s="2">
        <v>41910</v>
      </c>
      <c r="B4655">
        <f>8/(100)</f>
        <v>0.08</v>
      </c>
      <c r="C4655">
        <f>8.616/(100)</f>
        <v>8.616E-2</v>
      </c>
    </row>
    <row r="4656" spans="1:3" x14ac:dyDescent="0.3">
      <c r="A4656" s="2">
        <v>41911</v>
      </c>
      <c r="B4656">
        <f>8/(100)</f>
        <v>0.08</v>
      </c>
      <c r="C4656">
        <f>8.629/(100)</f>
        <v>8.6289999999999992E-2</v>
      </c>
    </row>
    <row r="4657" spans="1:3" x14ac:dyDescent="0.3">
      <c r="A4657" s="2">
        <v>41912</v>
      </c>
      <c r="B4657">
        <f>8/(100)</f>
        <v>0.08</v>
      </c>
      <c r="C4657">
        <f>8.666/(100)</f>
        <v>8.6660000000000001E-2</v>
      </c>
    </row>
    <row r="4658" spans="1:3" x14ac:dyDescent="0.3">
      <c r="A4658" s="2">
        <v>41913</v>
      </c>
      <c r="B4658">
        <f>8/(100)</f>
        <v>0.08</v>
      </c>
      <c r="C4658">
        <f>8.625/(100)</f>
        <v>8.6249999999999993E-2</v>
      </c>
    </row>
    <row r="4659" spans="1:3" x14ac:dyDescent="0.3">
      <c r="A4659" s="2">
        <v>41914</v>
      </c>
      <c r="B4659">
        <f>8/(100)</f>
        <v>0.08</v>
      </c>
      <c r="C4659">
        <f>8.624/(100)</f>
        <v>8.6240000000000011E-2</v>
      </c>
    </row>
    <row r="4660" spans="1:3" x14ac:dyDescent="0.3">
      <c r="A4660" s="2">
        <v>41915</v>
      </c>
      <c r="B4660">
        <f>8/(100)</f>
        <v>0.08</v>
      </c>
      <c r="C4660">
        <f>8.624/(100)</f>
        <v>8.6240000000000011E-2</v>
      </c>
    </row>
    <row r="4661" spans="1:3" x14ac:dyDescent="0.3">
      <c r="A4661" s="2">
        <v>41916</v>
      </c>
      <c r="B4661">
        <f>8/(100)</f>
        <v>0.08</v>
      </c>
      <c r="C4661">
        <f>8.624/(100)</f>
        <v>8.6240000000000011E-2</v>
      </c>
    </row>
    <row r="4662" spans="1:3" x14ac:dyDescent="0.3">
      <c r="A4662" s="2">
        <v>41917</v>
      </c>
      <c r="B4662">
        <f>8/(100)</f>
        <v>0.08</v>
      </c>
      <c r="C4662">
        <f>8.624/(100)</f>
        <v>8.6240000000000011E-2</v>
      </c>
    </row>
    <row r="4663" spans="1:3" x14ac:dyDescent="0.3">
      <c r="A4663" s="2">
        <v>41918</v>
      </c>
      <c r="B4663">
        <f>8/(100)</f>
        <v>0.08</v>
      </c>
      <c r="C4663">
        <f>8.624/(100)</f>
        <v>8.6240000000000011E-2</v>
      </c>
    </row>
    <row r="4664" spans="1:3" x14ac:dyDescent="0.3">
      <c r="A4664" s="2">
        <v>41919</v>
      </c>
      <c r="B4664">
        <f>8/(100)</f>
        <v>0.08</v>
      </c>
      <c r="C4664">
        <f>8.616/(100)</f>
        <v>8.616E-2</v>
      </c>
    </row>
    <row r="4665" spans="1:3" x14ac:dyDescent="0.3">
      <c r="A4665" s="2">
        <v>41920</v>
      </c>
      <c r="B4665">
        <f>8/(100)</f>
        <v>0.08</v>
      </c>
      <c r="C4665">
        <f>8.554/(100)</f>
        <v>8.5540000000000005E-2</v>
      </c>
    </row>
    <row r="4666" spans="1:3" x14ac:dyDescent="0.3">
      <c r="A4666" s="2">
        <v>41921</v>
      </c>
      <c r="B4666">
        <f>8/(100)</f>
        <v>0.08</v>
      </c>
      <c r="C4666">
        <f>8.59/(100)</f>
        <v>8.5900000000000004E-2</v>
      </c>
    </row>
    <row r="4667" spans="1:3" x14ac:dyDescent="0.3">
      <c r="A4667" s="2">
        <v>41922</v>
      </c>
      <c r="B4667">
        <f>8/(100)</f>
        <v>0.08</v>
      </c>
      <c r="C4667">
        <f>8.598/(100)</f>
        <v>8.5980000000000001E-2</v>
      </c>
    </row>
    <row r="4668" spans="1:3" x14ac:dyDescent="0.3">
      <c r="A4668" s="2">
        <v>41923</v>
      </c>
      <c r="B4668">
        <f>8/(100)</f>
        <v>0.08</v>
      </c>
      <c r="C4668">
        <f>8.598/(100)</f>
        <v>8.5980000000000001E-2</v>
      </c>
    </row>
    <row r="4669" spans="1:3" x14ac:dyDescent="0.3">
      <c r="A4669" s="2">
        <v>41924</v>
      </c>
      <c r="B4669">
        <f>8/(100)</f>
        <v>0.08</v>
      </c>
      <c r="C4669">
        <f>8.598/(100)</f>
        <v>8.5980000000000001E-2</v>
      </c>
    </row>
    <row r="4670" spans="1:3" x14ac:dyDescent="0.3">
      <c r="A4670" s="2">
        <v>41925</v>
      </c>
      <c r="B4670">
        <f>8/(100)</f>
        <v>0.08</v>
      </c>
      <c r="C4670">
        <f>8.592/(100)</f>
        <v>8.592000000000001E-2</v>
      </c>
    </row>
    <row r="4671" spans="1:3" x14ac:dyDescent="0.3">
      <c r="A4671" s="2">
        <v>41926</v>
      </c>
      <c r="B4671">
        <f>8/(100)</f>
        <v>0.08</v>
      </c>
      <c r="C4671">
        <f>8.579/(100)</f>
        <v>8.5790000000000005E-2</v>
      </c>
    </row>
    <row r="4672" spans="1:3" x14ac:dyDescent="0.3">
      <c r="A4672" s="2">
        <v>41927</v>
      </c>
      <c r="B4672">
        <f>8/(100)</f>
        <v>0.08</v>
      </c>
      <c r="C4672">
        <f>8.579/(100)</f>
        <v>8.5790000000000005E-2</v>
      </c>
    </row>
    <row r="4673" spans="1:3" x14ac:dyDescent="0.3">
      <c r="A4673" s="2">
        <v>41928</v>
      </c>
      <c r="B4673">
        <f>8/(100)</f>
        <v>0.08</v>
      </c>
      <c r="C4673">
        <f>8.568/(100)</f>
        <v>8.5679999999999992E-2</v>
      </c>
    </row>
    <row r="4674" spans="1:3" x14ac:dyDescent="0.3">
      <c r="A4674" s="2">
        <v>41929</v>
      </c>
      <c r="B4674">
        <f>8/(100)</f>
        <v>0.08</v>
      </c>
      <c r="C4674">
        <f>8.537/(100)</f>
        <v>8.5370000000000001E-2</v>
      </c>
    </row>
    <row r="4675" spans="1:3" x14ac:dyDescent="0.3">
      <c r="A4675" s="2">
        <v>41930</v>
      </c>
      <c r="B4675">
        <f>8/(100)</f>
        <v>0.08</v>
      </c>
      <c r="C4675">
        <f>8.537/(100)</f>
        <v>8.5370000000000001E-2</v>
      </c>
    </row>
    <row r="4676" spans="1:3" x14ac:dyDescent="0.3">
      <c r="A4676" s="2">
        <v>41931</v>
      </c>
      <c r="B4676">
        <f>8/(100)</f>
        <v>0.08</v>
      </c>
      <c r="C4676">
        <f>8.537/(100)</f>
        <v>8.5370000000000001E-2</v>
      </c>
    </row>
    <row r="4677" spans="1:3" x14ac:dyDescent="0.3">
      <c r="A4677" s="2">
        <v>41932</v>
      </c>
      <c r="B4677">
        <f>8/(100)</f>
        <v>0.08</v>
      </c>
      <c r="C4677">
        <f>8.521/(100)</f>
        <v>8.5210000000000008E-2</v>
      </c>
    </row>
    <row r="4678" spans="1:3" x14ac:dyDescent="0.3">
      <c r="A4678" s="2">
        <v>41933</v>
      </c>
      <c r="B4678">
        <f>8/(100)</f>
        <v>0.08</v>
      </c>
      <c r="C4678">
        <f>8.519/(100)</f>
        <v>8.5190000000000002E-2</v>
      </c>
    </row>
    <row r="4679" spans="1:3" x14ac:dyDescent="0.3">
      <c r="A4679" s="2">
        <v>41934</v>
      </c>
      <c r="B4679">
        <f>8/(100)</f>
        <v>0.08</v>
      </c>
      <c r="C4679">
        <f>8.495/(100)</f>
        <v>8.4949999999999998E-2</v>
      </c>
    </row>
    <row r="4680" spans="1:3" x14ac:dyDescent="0.3">
      <c r="A4680" s="2">
        <v>41935</v>
      </c>
      <c r="B4680">
        <f>8/(100)</f>
        <v>0.08</v>
      </c>
      <c r="C4680">
        <f>8.497/(100)</f>
        <v>8.4970000000000004E-2</v>
      </c>
    </row>
    <row r="4681" spans="1:3" x14ac:dyDescent="0.3">
      <c r="A4681" s="2">
        <v>41936</v>
      </c>
      <c r="B4681">
        <f>8/(100)</f>
        <v>0.08</v>
      </c>
      <c r="C4681">
        <f>8.497/(100)</f>
        <v>8.4970000000000004E-2</v>
      </c>
    </row>
    <row r="4682" spans="1:3" x14ac:dyDescent="0.3">
      <c r="A4682" s="2">
        <v>41937</v>
      </c>
      <c r="B4682">
        <f>8/(100)</f>
        <v>0.08</v>
      </c>
      <c r="C4682">
        <f>8.497/(100)</f>
        <v>8.4970000000000004E-2</v>
      </c>
    </row>
    <row r="4683" spans="1:3" x14ac:dyDescent="0.3">
      <c r="A4683" s="2">
        <v>41938</v>
      </c>
      <c r="B4683">
        <f>8/(100)</f>
        <v>0.08</v>
      </c>
      <c r="C4683">
        <f>8.497/(100)</f>
        <v>8.4970000000000004E-2</v>
      </c>
    </row>
    <row r="4684" spans="1:3" x14ac:dyDescent="0.3">
      <c r="A4684" s="2">
        <v>41939</v>
      </c>
      <c r="B4684">
        <f>8/(100)</f>
        <v>0.08</v>
      </c>
      <c r="C4684">
        <f>8.484/(100)</f>
        <v>8.4839999999999999E-2</v>
      </c>
    </row>
    <row r="4685" spans="1:3" x14ac:dyDescent="0.3">
      <c r="A4685" s="2">
        <v>41940</v>
      </c>
      <c r="B4685">
        <f>8/(100)</f>
        <v>0.08</v>
      </c>
      <c r="C4685">
        <f>8.414/(100)</f>
        <v>8.4139999999999993E-2</v>
      </c>
    </row>
    <row r="4686" spans="1:3" x14ac:dyDescent="0.3">
      <c r="A4686" s="2">
        <v>41941</v>
      </c>
      <c r="B4686">
        <f>8/(100)</f>
        <v>0.08</v>
      </c>
      <c r="C4686">
        <f>8.404/(100)</f>
        <v>8.4040000000000004E-2</v>
      </c>
    </row>
    <row r="4687" spans="1:3" x14ac:dyDescent="0.3">
      <c r="A4687" s="2">
        <v>41942</v>
      </c>
      <c r="B4687">
        <f>8/(100)</f>
        <v>0.08</v>
      </c>
      <c r="C4687">
        <f>8.37/(100)</f>
        <v>8.3699999999999997E-2</v>
      </c>
    </row>
    <row r="4688" spans="1:3" x14ac:dyDescent="0.3">
      <c r="A4688" s="2">
        <v>41943</v>
      </c>
      <c r="B4688">
        <f>8/(100)</f>
        <v>0.08</v>
      </c>
      <c r="C4688">
        <f>8.346/(100)</f>
        <v>8.3460000000000006E-2</v>
      </c>
    </row>
    <row r="4689" spans="1:3" x14ac:dyDescent="0.3">
      <c r="A4689" s="2">
        <v>41944</v>
      </c>
      <c r="B4689">
        <f>8/(100)</f>
        <v>0.08</v>
      </c>
      <c r="C4689">
        <f>8.346/(100)</f>
        <v>8.3460000000000006E-2</v>
      </c>
    </row>
    <row r="4690" spans="1:3" x14ac:dyDescent="0.3">
      <c r="A4690" s="2">
        <v>41945</v>
      </c>
      <c r="B4690">
        <f>8/(100)</f>
        <v>0.08</v>
      </c>
      <c r="C4690">
        <f>8.346/(100)</f>
        <v>8.3460000000000006E-2</v>
      </c>
    </row>
    <row r="4691" spans="1:3" x14ac:dyDescent="0.3">
      <c r="A4691" s="2">
        <v>41946</v>
      </c>
      <c r="B4691">
        <f>8/(100)</f>
        <v>0.08</v>
      </c>
      <c r="C4691">
        <f>8.308/(100)</f>
        <v>8.3080000000000001E-2</v>
      </c>
    </row>
    <row r="4692" spans="1:3" x14ac:dyDescent="0.3">
      <c r="A4692" s="2">
        <v>41947</v>
      </c>
      <c r="B4692">
        <f>8/(100)</f>
        <v>0.08</v>
      </c>
      <c r="C4692">
        <f>8.308/(100)</f>
        <v>8.3080000000000001E-2</v>
      </c>
    </row>
    <row r="4693" spans="1:3" x14ac:dyDescent="0.3">
      <c r="A4693" s="2">
        <v>41948</v>
      </c>
      <c r="B4693">
        <f>8/(100)</f>
        <v>0.08</v>
      </c>
      <c r="C4693">
        <f>8.271/(100)</f>
        <v>8.2710000000000006E-2</v>
      </c>
    </row>
    <row r="4694" spans="1:3" x14ac:dyDescent="0.3">
      <c r="A4694" s="2">
        <v>41949</v>
      </c>
      <c r="B4694">
        <f>8/(100)</f>
        <v>0.08</v>
      </c>
      <c r="C4694">
        <f>8.272/(100)</f>
        <v>8.2720000000000002E-2</v>
      </c>
    </row>
    <row r="4695" spans="1:3" x14ac:dyDescent="0.3">
      <c r="A4695" s="2">
        <v>41950</v>
      </c>
      <c r="B4695">
        <f>8/(100)</f>
        <v>0.08</v>
      </c>
      <c r="C4695">
        <f>8.284/(100)</f>
        <v>8.2840000000000011E-2</v>
      </c>
    </row>
    <row r="4696" spans="1:3" x14ac:dyDescent="0.3">
      <c r="A4696" s="2">
        <v>41951</v>
      </c>
      <c r="B4696">
        <f>8/(100)</f>
        <v>0.08</v>
      </c>
      <c r="C4696">
        <f>8.284/(100)</f>
        <v>8.2840000000000011E-2</v>
      </c>
    </row>
    <row r="4697" spans="1:3" x14ac:dyDescent="0.3">
      <c r="A4697" s="2">
        <v>41952</v>
      </c>
      <c r="B4697">
        <f>8/(100)</f>
        <v>0.08</v>
      </c>
      <c r="C4697">
        <f>8.284/(100)</f>
        <v>8.2840000000000011E-2</v>
      </c>
    </row>
    <row r="4698" spans="1:3" x14ac:dyDescent="0.3">
      <c r="A4698" s="2">
        <v>41953</v>
      </c>
      <c r="B4698">
        <f>8/(100)</f>
        <v>0.08</v>
      </c>
      <c r="C4698">
        <f>8.286/(100)</f>
        <v>8.2859999999999989E-2</v>
      </c>
    </row>
    <row r="4699" spans="1:3" x14ac:dyDescent="0.3">
      <c r="A4699" s="2">
        <v>41954</v>
      </c>
      <c r="B4699">
        <f>8/(100)</f>
        <v>0.08</v>
      </c>
      <c r="C4699">
        <f>8.315/(100)</f>
        <v>8.3150000000000002E-2</v>
      </c>
    </row>
    <row r="4700" spans="1:3" x14ac:dyDescent="0.3">
      <c r="A4700" s="2">
        <v>41955</v>
      </c>
      <c r="B4700">
        <f>8/(100)</f>
        <v>0.08</v>
      </c>
      <c r="C4700">
        <f>8.317/(100)</f>
        <v>8.3170000000000008E-2</v>
      </c>
    </row>
    <row r="4701" spans="1:3" x14ac:dyDescent="0.3">
      <c r="A4701" s="2">
        <v>41956</v>
      </c>
      <c r="B4701">
        <f>8/(100)</f>
        <v>0.08</v>
      </c>
      <c r="C4701">
        <f>8.367/(100)</f>
        <v>8.3670000000000008E-2</v>
      </c>
    </row>
    <row r="4702" spans="1:3" x14ac:dyDescent="0.3">
      <c r="A4702" s="2">
        <v>41957</v>
      </c>
      <c r="B4702">
        <f>8/(100)</f>
        <v>0.08</v>
      </c>
      <c r="C4702">
        <f>8.343/(100)</f>
        <v>8.3430000000000004E-2</v>
      </c>
    </row>
    <row r="4703" spans="1:3" x14ac:dyDescent="0.3">
      <c r="A4703" s="2">
        <v>41958</v>
      </c>
      <c r="B4703">
        <f>8/(100)</f>
        <v>0.08</v>
      </c>
      <c r="C4703">
        <f>8.343/(100)</f>
        <v>8.3430000000000004E-2</v>
      </c>
    </row>
    <row r="4704" spans="1:3" x14ac:dyDescent="0.3">
      <c r="A4704" s="2">
        <v>41959</v>
      </c>
      <c r="B4704">
        <f>8/(100)</f>
        <v>0.08</v>
      </c>
      <c r="C4704">
        <f>8.343/(100)</f>
        <v>8.3430000000000004E-2</v>
      </c>
    </row>
    <row r="4705" spans="1:3" x14ac:dyDescent="0.3">
      <c r="A4705" s="2">
        <v>41960</v>
      </c>
      <c r="B4705">
        <f>8/(100)</f>
        <v>0.08</v>
      </c>
      <c r="C4705">
        <f>8.35/(100)</f>
        <v>8.3499999999999991E-2</v>
      </c>
    </row>
    <row r="4706" spans="1:3" x14ac:dyDescent="0.3">
      <c r="A4706" s="2">
        <v>41961</v>
      </c>
      <c r="B4706">
        <f>8/(100)</f>
        <v>0.08</v>
      </c>
      <c r="C4706">
        <f>8.349/(100)</f>
        <v>8.3490000000000009E-2</v>
      </c>
    </row>
    <row r="4707" spans="1:3" x14ac:dyDescent="0.3">
      <c r="A4707" s="2">
        <v>41962</v>
      </c>
      <c r="B4707">
        <f>8/(100)</f>
        <v>0.08</v>
      </c>
      <c r="C4707">
        <f>8.373/(100)</f>
        <v>8.3729999999999999E-2</v>
      </c>
    </row>
    <row r="4708" spans="1:3" x14ac:dyDescent="0.3">
      <c r="A4708" s="2">
        <v>41963</v>
      </c>
      <c r="B4708">
        <f>8/(100)</f>
        <v>0.08</v>
      </c>
      <c r="C4708">
        <f>8.333/(100)</f>
        <v>8.3330000000000001E-2</v>
      </c>
    </row>
    <row r="4709" spans="1:3" x14ac:dyDescent="0.3">
      <c r="A4709" s="2">
        <v>41964</v>
      </c>
      <c r="B4709">
        <f>8/(100)</f>
        <v>0.08</v>
      </c>
      <c r="C4709">
        <f>8.319/(100)</f>
        <v>8.3190000000000014E-2</v>
      </c>
    </row>
    <row r="4710" spans="1:3" x14ac:dyDescent="0.3">
      <c r="A4710" s="2">
        <v>41965</v>
      </c>
      <c r="B4710">
        <f>8/(100)</f>
        <v>0.08</v>
      </c>
      <c r="C4710">
        <f>8.319/(100)</f>
        <v>8.3190000000000014E-2</v>
      </c>
    </row>
    <row r="4711" spans="1:3" x14ac:dyDescent="0.3">
      <c r="A4711" s="2">
        <v>41966</v>
      </c>
      <c r="B4711">
        <f>8/(100)</f>
        <v>0.08</v>
      </c>
      <c r="C4711">
        <f>8.319/(100)</f>
        <v>8.3190000000000014E-2</v>
      </c>
    </row>
    <row r="4712" spans="1:3" x14ac:dyDescent="0.3">
      <c r="A4712" s="2">
        <v>41967</v>
      </c>
      <c r="B4712">
        <f>8/(100)</f>
        <v>0.08</v>
      </c>
      <c r="C4712">
        <f>8.311/(100)</f>
        <v>8.3110000000000003E-2</v>
      </c>
    </row>
    <row r="4713" spans="1:3" x14ac:dyDescent="0.3">
      <c r="A4713" s="2">
        <v>41968</v>
      </c>
      <c r="B4713">
        <f>8/(100)</f>
        <v>0.08</v>
      </c>
      <c r="C4713">
        <f>8.319/(100)</f>
        <v>8.3190000000000014E-2</v>
      </c>
    </row>
    <row r="4714" spans="1:3" x14ac:dyDescent="0.3">
      <c r="A4714" s="2">
        <v>41969</v>
      </c>
      <c r="B4714">
        <f>8/(100)</f>
        <v>0.08</v>
      </c>
      <c r="C4714">
        <f>8.323/(100)</f>
        <v>8.3229999999999998E-2</v>
      </c>
    </row>
    <row r="4715" spans="1:3" x14ac:dyDescent="0.3">
      <c r="A4715" s="2">
        <v>41970</v>
      </c>
      <c r="B4715">
        <f>8/(100)</f>
        <v>0.08</v>
      </c>
      <c r="C4715">
        <f>8.315/(100)</f>
        <v>8.3150000000000002E-2</v>
      </c>
    </row>
    <row r="4716" spans="1:3" x14ac:dyDescent="0.3">
      <c r="A4716" s="2">
        <v>41971</v>
      </c>
      <c r="B4716">
        <f>8/(100)</f>
        <v>0.08</v>
      </c>
      <c r="C4716">
        <f>8.259/(100)</f>
        <v>8.2589999999999997E-2</v>
      </c>
    </row>
    <row r="4717" spans="1:3" x14ac:dyDescent="0.3">
      <c r="A4717" s="2">
        <v>41972</v>
      </c>
      <c r="B4717">
        <f>8/(100)</f>
        <v>0.08</v>
      </c>
      <c r="C4717">
        <f>8.259/(100)</f>
        <v>8.2589999999999997E-2</v>
      </c>
    </row>
    <row r="4718" spans="1:3" x14ac:dyDescent="0.3">
      <c r="A4718" s="2">
        <v>41973</v>
      </c>
      <c r="B4718">
        <f>8/(100)</f>
        <v>0.08</v>
      </c>
      <c r="C4718">
        <f>8.259/(100)</f>
        <v>8.2589999999999997E-2</v>
      </c>
    </row>
    <row r="4719" spans="1:3" x14ac:dyDescent="0.3">
      <c r="A4719" s="2">
        <v>41974</v>
      </c>
      <c r="B4719">
        <f>8/(100)</f>
        <v>0.08</v>
      </c>
      <c r="C4719">
        <f>8.237/(100)</f>
        <v>8.2369999999999999E-2</v>
      </c>
    </row>
    <row r="4720" spans="1:3" x14ac:dyDescent="0.3">
      <c r="A4720" s="2">
        <v>41975</v>
      </c>
      <c r="B4720">
        <f>8/(100)</f>
        <v>0.08</v>
      </c>
      <c r="C4720">
        <f>8.206/(100)</f>
        <v>8.2059999999999994E-2</v>
      </c>
    </row>
    <row r="4721" spans="1:3" x14ac:dyDescent="0.3">
      <c r="A4721" s="2">
        <v>41976</v>
      </c>
      <c r="B4721">
        <f>8/(100)</f>
        <v>0.08</v>
      </c>
      <c r="C4721">
        <f>8.238/(100)</f>
        <v>8.2379999999999995E-2</v>
      </c>
    </row>
    <row r="4722" spans="1:3" x14ac:dyDescent="0.3">
      <c r="A4722" s="2">
        <v>41977</v>
      </c>
      <c r="B4722">
        <f>8/(100)</f>
        <v>0.08</v>
      </c>
      <c r="C4722">
        <f>8.219/(100)</f>
        <v>8.2189999999999999E-2</v>
      </c>
    </row>
    <row r="4723" spans="1:3" x14ac:dyDescent="0.3">
      <c r="A4723" s="2">
        <v>41978</v>
      </c>
      <c r="B4723">
        <f>8/(100)</f>
        <v>0.08</v>
      </c>
      <c r="C4723">
        <f>8.211/(100)</f>
        <v>8.2110000000000002E-2</v>
      </c>
    </row>
    <row r="4724" spans="1:3" x14ac:dyDescent="0.3">
      <c r="A4724" s="2">
        <v>41979</v>
      </c>
      <c r="B4724">
        <f>8/(100)</f>
        <v>0.08</v>
      </c>
      <c r="C4724">
        <f>8.211/(100)</f>
        <v>8.2110000000000002E-2</v>
      </c>
    </row>
    <row r="4725" spans="1:3" x14ac:dyDescent="0.3">
      <c r="A4725" s="2">
        <v>41980</v>
      </c>
      <c r="B4725">
        <f>8/(100)</f>
        <v>0.08</v>
      </c>
      <c r="C4725">
        <f>8.211/(100)</f>
        <v>8.2110000000000002E-2</v>
      </c>
    </row>
    <row r="4726" spans="1:3" x14ac:dyDescent="0.3">
      <c r="A4726" s="2">
        <v>41981</v>
      </c>
      <c r="B4726">
        <f>8/(100)</f>
        <v>0.08</v>
      </c>
      <c r="C4726">
        <f>8.192/(100)</f>
        <v>8.1920000000000007E-2</v>
      </c>
    </row>
    <row r="4727" spans="1:3" x14ac:dyDescent="0.3">
      <c r="A4727" s="2">
        <v>41982</v>
      </c>
      <c r="B4727">
        <f>8/(100)</f>
        <v>0.08</v>
      </c>
      <c r="C4727">
        <f>8.187/(100)</f>
        <v>8.1869999999999998E-2</v>
      </c>
    </row>
    <row r="4728" spans="1:3" x14ac:dyDescent="0.3">
      <c r="A4728" s="2">
        <v>41983</v>
      </c>
      <c r="B4728">
        <f>8/(100)</f>
        <v>0.08</v>
      </c>
      <c r="C4728">
        <f>8.199/(100)</f>
        <v>8.1989999999999993E-2</v>
      </c>
    </row>
    <row r="4729" spans="1:3" x14ac:dyDescent="0.3">
      <c r="A4729" s="2">
        <v>41984</v>
      </c>
      <c r="B4729">
        <f>8/(100)</f>
        <v>0.08</v>
      </c>
      <c r="C4729">
        <f>8.159/(100)</f>
        <v>8.159000000000001E-2</v>
      </c>
    </row>
    <row r="4730" spans="1:3" x14ac:dyDescent="0.3">
      <c r="A4730" s="2">
        <v>41985</v>
      </c>
      <c r="B4730">
        <f>8/(100)</f>
        <v>0.08</v>
      </c>
      <c r="C4730">
        <f>8.184/(100)</f>
        <v>8.1839999999999996E-2</v>
      </c>
    </row>
    <row r="4731" spans="1:3" x14ac:dyDescent="0.3">
      <c r="A4731" s="2">
        <v>41986</v>
      </c>
      <c r="B4731">
        <f>8/(100)</f>
        <v>0.08</v>
      </c>
      <c r="C4731">
        <f>8.184/(100)</f>
        <v>8.1839999999999996E-2</v>
      </c>
    </row>
    <row r="4732" spans="1:3" x14ac:dyDescent="0.3">
      <c r="A4732" s="2">
        <v>41987</v>
      </c>
      <c r="B4732">
        <f>8/(100)</f>
        <v>0.08</v>
      </c>
      <c r="C4732">
        <f>8.184/(100)</f>
        <v>8.1839999999999996E-2</v>
      </c>
    </row>
    <row r="4733" spans="1:3" x14ac:dyDescent="0.3">
      <c r="A4733" s="2">
        <v>41988</v>
      </c>
      <c r="B4733">
        <f>8/(100)</f>
        <v>0.08</v>
      </c>
      <c r="C4733">
        <f>8.175/(100)</f>
        <v>8.1750000000000003E-2</v>
      </c>
    </row>
    <row r="4734" spans="1:3" x14ac:dyDescent="0.3">
      <c r="A4734" s="2">
        <v>41989</v>
      </c>
      <c r="B4734">
        <f>8/(100)</f>
        <v>0.08</v>
      </c>
      <c r="C4734">
        <f>8.242/(100)</f>
        <v>8.2420000000000007E-2</v>
      </c>
    </row>
    <row r="4735" spans="1:3" x14ac:dyDescent="0.3">
      <c r="A4735" s="2">
        <v>41990</v>
      </c>
      <c r="B4735">
        <f>8/(100)</f>
        <v>0.08</v>
      </c>
      <c r="C4735">
        <f>8.207/(100)</f>
        <v>8.2070000000000004E-2</v>
      </c>
    </row>
    <row r="4736" spans="1:3" x14ac:dyDescent="0.3">
      <c r="A4736" s="2">
        <v>41991</v>
      </c>
      <c r="B4736">
        <f>8/(100)</f>
        <v>0.08</v>
      </c>
      <c r="C4736">
        <f>8.333/(100)</f>
        <v>8.3330000000000001E-2</v>
      </c>
    </row>
    <row r="4737" spans="1:3" x14ac:dyDescent="0.3">
      <c r="A4737" s="2">
        <v>41992</v>
      </c>
      <c r="B4737">
        <f>8/(100)</f>
        <v>0.08</v>
      </c>
      <c r="C4737">
        <f>8.154/(100)</f>
        <v>8.1540000000000001E-2</v>
      </c>
    </row>
    <row r="4738" spans="1:3" x14ac:dyDescent="0.3">
      <c r="A4738" s="2">
        <v>41993</v>
      </c>
      <c r="B4738">
        <f>8/(100)</f>
        <v>0.08</v>
      </c>
      <c r="C4738">
        <f>8.154/(100)</f>
        <v>8.1540000000000001E-2</v>
      </c>
    </row>
    <row r="4739" spans="1:3" x14ac:dyDescent="0.3">
      <c r="A4739" s="2">
        <v>41994</v>
      </c>
      <c r="B4739">
        <f>8/(100)</f>
        <v>0.08</v>
      </c>
      <c r="C4739">
        <f>8.154/(100)</f>
        <v>8.1540000000000001E-2</v>
      </c>
    </row>
    <row r="4740" spans="1:3" x14ac:dyDescent="0.3">
      <c r="A4740" s="2">
        <v>41995</v>
      </c>
      <c r="B4740">
        <f>8/(100)</f>
        <v>0.08</v>
      </c>
      <c r="C4740">
        <f>8.137/(100)</f>
        <v>8.1369999999999998E-2</v>
      </c>
    </row>
    <row r="4741" spans="1:3" x14ac:dyDescent="0.3">
      <c r="A4741" s="2">
        <v>41996</v>
      </c>
      <c r="B4741">
        <f>8/(100)</f>
        <v>0.08</v>
      </c>
      <c r="C4741">
        <f>8.229/(100)</f>
        <v>8.2289999999999988E-2</v>
      </c>
    </row>
    <row r="4742" spans="1:3" x14ac:dyDescent="0.3">
      <c r="A4742" s="2">
        <v>41997</v>
      </c>
      <c r="B4742">
        <f>8/(100)</f>
        <v>0.08</v>
      </c>
      <c r="C4742">
        <f>8.237/(100)</f>
        <v>8.2369999999999999E-2</v>
      </c>
    </row>
    <row r="4743" spans="1:3" x14ac:dyDescent="0.3">
      <c r="A4743" s="2">
        <v>41998</v>
      </c>
      <c r="B4743">
        <f>8/(100)</f>
        <v>0.08</v>
      </c>
      <c r="C4743">
        <f>8.239/(100)</f>
        <v>8.2390000000000005E-2</v>
      </c>
    </row>
    <row r="4744" spans="1:3" x14ac:dyDescent="0.3">
      <c r="A4744" s="2">
        <v>41999</v>
      </c>
      <c r="B4744">
        <f>8/(100)</f>
        <v>0.08</v>
      </c>
      <c r="C4744">
        <f>8.331/(100)</f>
        <v>8.3309999999999995E-2</v>
      </c>
    </row>
    <row r="4745" spans="1:3" x14ac:dyDescent="0.3">
      <c r="A4745" s="2">
        <v>42000</v>
      </c>
      <c r="B4745">
        <f>8/(100)</f>
        <v>0.08</v>
      </c>
      <c r="C4745">
        <f>8.331/(100)</f>
        <v>8.3309999999999995E-2</v>
      </c>
    </row>
    <row r="4746" spans="1:3" x14ac:dyDescent="0.3">
      <c r="A4746" s="2">
        <v>42001</v>
      </c>
      <c r="B4746">
        <f>8/(100)</f>
        <v>0.08</v>
      </c>
      <c r="C4746">
        <f>8.331/(100)</f>
        <v>8.3309999999999995E-2</v>
      </c>
    </row>
    <row r="4747" spans="1:3" x14ac:dyDescent="0.3">
      <c r="A4747" s="2">
        <v>42002</v>
      </c>
      <c r="B4747">
        <f>8/(100)</f>
        <v>0.08</v>
      </c>
      <c r="C4747">
        <f>8.162/(100)</f>
        <v>8.1620000000000012E-2</v>
      </c>
    </row>
    <row r="4748" spans="1:3" x14ac:dyDescent="0.3">
      <c r="A4748" s="2">
        <v>42003</v>
      </c>
      <c r="B4748">
        <f>8/(100)</f>
        <v>0.08</v>
      </c>
      <c r="C4748">
        <f>8.45/(100)</f>
        <v>8.4499999999999992E-2</v>
      </c>
    </row>
    <row r="4749" spans="1:3" x14ac:dyDescent="0.3">
      <c r="A4749" s="2">
        <v>42004</v>
      </c>
      <c r="B4749">
        <f>8/(100)</f>
        <v>0.08</v>
      </c>
      <c r="C4749">
        <f>8.331/(100)</f>
        <v>8.3309999999999995E-2</v>
      </c>
    </row>
    <row r="4750" spans="1:3" x14ac:dyDescent="0.3">
      <c r="A4750" s="2">
        <v>42005</v>
      </c>
      <c r="B4750">
        <f>8/(100)</f>
        <v>0.08</v>
      </c>
      <c r="C4750">
        <f>8.298/(100)</f>
        <v>8.2979999999999998E-2</v>
      </c>
    </row>
    <row r="4751" spans="1:3" x14ac:dyDescent="0.3">
      <c r="A4751" s="2">
        <v>42006</v>
      </c>
      <c r="B4751">
        <f>8/(100)</f>
        <v>0.08</v>
      </c>
      <c r="C4751">
        <f>8.305/(100)</f>
        <v>8.3049999999999999E-2</v>
      </c>
    </row>
    <row r="4752" spans="1:3" x14ac:dyDescent="0.3">
      <c r="A4752" s="2">
        <v>42007</v>
      </c>
      <c r="B4752">
        <f>8/(100)</f>
        <v>0.08</v>
      </c>
      <c r="C4752">
        <f>8.305/(100)</f>
        <v>8.3049999999999999E-2</v>
      </c>
    </row>
    <row r="4753" spans="1:3" x14ac:dyDescent="0.3">
      <c r="A4753" s="2">
        <v>42008</v>
      </c>
      <c r="B4753">
        <f>8/(100)</f>
        <v>0.08</v>
      </c>
      <c r="C4753">
        <f>8.305/(100)</f>
        <v>8.3049999999999999E-2</v>
      </c>
    </row>
    <row r="4754" spans="1:3" x14ac:dyDescent="0.3">
      <c r="A4754" s="2">
        <v>42009</v>
      </c>
      <c r="B4754">
        <f>8/(100)</f>
        <v>0.08</v>
      </c>
      <c r="C4754">
        <f>8.327/(100)</f>
        <v>8.3269999999999997E-2</v>
      </c>
    </row>
    <row r="4755" spans="1:3" x14ac:dyDescent="0.3">
      <c r="A4755" s="2">
        <v>42010</v>
      </c>
      <c r="B4755">
        <f>8/(100)</f>
        <v>0.08</v>
      </c>
      <c r="C4755">
        <f>8.356/(100)</f>
        <v>8.3559999999999995E-2</v>
      </c>
    </row>
    <row r="4756" spans="1:3" x14ac:dyDescent="0.3">
      <c r="A4756" s="2">
        <v>42011</v>
      </c>
      <c r="B4756">
        <f>8/(100)</f>
        <v>0.08</v>
      </c>
      <c r="C4756">
        <f>8.359/(100)</f>
        <v>8.3589999999999998E-2</v>
      </c>
    </row>
    <row r="4757" spans="1:3" x14ac:dyDescent="0.3">
      <c r="A4757" s="2">
        <v>42012</v>
      </c>
      <c r="B4757">
        <f>8/(100)</f>
        <v>0.08</v>
      </c>
      <c r="C4757">
        <f>8.324/(100)</f>
        <v>8.3239999999999995E-2</v>
      </c>
    </row>
    <row r="4758" spans="1:3" x14ac:dyDescent="0.3">
      <c r="A4758" s="2">
        <v>42013</v>
      </c>
      <c r="B4758">
        <f>8/(100)</f>
        <v>0.08</v>
      </c>
      <c r="C4758">
        <f>8.36/(100)</f>
        <v>8.3599999999999994E-2</v>
      </c>
    </row>
    <row r="4759" spans="1:3" x14ac:dyDescent="0.3">
      <c r="A4759" s="2">
        <v>42014</v>
      </c>
      <c r="B4759">
        <f>8/(100)</f>
        <v>0.08</v>
      </c>
      <c r="C4759">
        <f>8.36/(100)</f>
        <v>8.3599999999999994E-2</v>
      </c>
    </row>
    <row r="4760" spans="1:3" x14ac:dyDescent="0.3">
      <c r="A4760" s="2">
        <v>42015</v>
      </c>
      <c r="B4760">
        <f>8/(100)</f>
        <v>0.08</v>
      </c>
      <c r="C4760">
        <f>8.36/(100)</f>
        <v>8.3599999999999994E-2</v>
      </c>
    </row>
    <row r="4761" spans="1:3" x14ac:dyDescent="0.3">
      <c r="A4761" s="2">
        <v>42016</v>
      </c>
      <c r="B4761">
        <f>8/(100)</f>
        <v>0.08</v>
      </c>
      <c r="C4761">
        <f>8.324/(100)</f>
        <v>8.3239999999999995E-2</v>
      </c>
    </row>
    <row r="4762" spans="1:3" x14ac:dyDescent="0.3">
      <c r="A4762" s="2">
        <v>42017</v>
      </c>
      <c r="B4762">
        <f>8/(100)</f>
        <v>0.08</v>
      </c>
      <c r="C4762">
        <f>8.311/(100)</f>
        <v>8.3110000000000003E-2</v>
      </c>
    </row>
    <row r="4763" spans="1:3" x14ac:dyDescent="0.3">
      <c r="A4763" s="2">
        <v>42018</v>
      </c>
      <c r="B4763">
        <f>8/(100)</f>
        <v>0.08</v>
      </c>
      <c r="C4763">
        <f>8.207/(100)</f>
        <v>8.2070000000000004E-2</v>
      </c>
    </row>
    <row r="4764" spans="1:3" x14ac:dyDescent="0.3">
      <c r="A4764" s="2">
        <v>42019</v>
      </c>
      <c r="B4764">
        <f>7.75/(100)</f>
        <v>7.7499999999999999E-2</v>
      </c>
      <c r="C4764">
        <f>7.946/(100)</f>
        <v>7.9460000000000003E-2</v>
      </c>
    </row>
    <row r="4765" spans="1:3" x14ac:dyDescent="0.3">
      <c r="A4765" s="2">
        <v>42020</v>
      </c>
      <c r="B4765">
        <f>7.75/(100)</f>
        <v>7.7499999999999999E-2</v>
      </c>
      <c r="C4765">
        <f>7.941/(100)</f>
        <v>7.9409999999999994E-2</v>
      </c>
    </row>
    <row r="4766" spans="1:3" x14ac:dyDescent="0.3">
      <c r="A4766" s="2">
        <v>42021</v>
      </c>
      <c r="B4766">
        <f>7.75/(100)</f>
        <v>7.7499999999999999E-2</v>
      </c>
      <c r="C4766">
        <f>7.941/(100)</f>
        <v>7.9409999999999994E-2</v>
      </c>
    </row>
    <row r="4767" spans="1:3" x14ac:dyDescent="0.3">
      <c r="A4767" s="2">
        <v>42022</v>
      </c>
      <c r="B4767">
        <f>7.75/(100)</f>
        <v>7.7499999999999999E-2</v>
      </c>
      <c r="C4767">
        <f>7.941/(100)</f>
        <v>7.9409999999999994E-2</v>
      </c>
    </row>
    <row r="4768" spans="1:3" x14ac:dyDescent="0.3">
      <c r="A4768" s="2">
        <v>42023</v>
      </c>
      <c r="B4768">
        <f>7.75/(100)</f>
        <v>7.7499999999999999E-2</v>
      </c>
      <c r="C4768">
        <f>7.904/(100)</f>
        <v>7.9039999999999999E-2</v>
      </c>
    </row>
    <row r="4769" spans="1:3" x14ac:dyDescent="0.3">
      <c r="A4769" s="2">
        <v>42024</v>
      </c>
      <c r="B4769">
        <f>7.75/(100)</f>
        <v>7.7499999999999999E-2</v>
      </c>
      <c r="C4769">
        <f>7.909/(100)</f>
        <v>7.9089999999999994E-2</v>
      </c>
    </row>
    <row r="4770" spans="1:3" x14ac:dyDescent="0.3">
      <c r="A4770" s="2">
        <v>42025</v>
      </c>
      <c r="B4770">
        <f>7.75/(100)</f>
        <v>7.7499999999999999E-2</v>
      </c>
      <c r="C4770">
        <f>7.923/(100)</f>
        <v>7.9229999999999995E-2</v>
      </c>
    </row>
    <row r="4771" spans="1:3" x14ac:dyDescent="0.3">
      <c r="A4771" s="2">
        <v>42026</v>
      </c>
      <c r="B4771">
        <f>7.75/(100)</f>
        <v>7.7499999999999999E-2</v>
      </c>
      <c r="C4771">
        <f>7.981/(100)</f>
        <v>7.9809999999999992E-2</v>
      </c>
    </row>
    <row r="4772" spans="1:3" x14ac:dyDescent="0.3">
      <c r="A4772" s="2">
        <v>42027</v>
      </c>
      <c r="B4772">
        <f>7.75/(100)</f>
        <v>7.7499999999999999E-2</v>
      </c>
      <c r="C4772">
        <f>7.968/(100)</f>
        <v>7.9680000000000001E-2</v>
      </c>
    </row>
    <row r="4773" spans="1:3" x14ac:dyDescent="0.3">
      <c r="A4773" s="2">
        <v>42028</v>
      </c>
      <c r="B4773">
        <f>7.75/(100)</f>
        <v>7.7499999999999999E-2</v>
      </c>
      <c r="C4773">
        <f>7.968/(100)</f>
        <v>7.9680000000000001E-2</v>
      </c>
    </row>
    <row r="4774" spans="1:3" x14ac:dyDescent="0.3">
      <c r="A4774" s="2">
        <v>42029</v>
      </c>
      <c r="B4774">
        <f>7.75/(100)</f>
        <v>7.7499999999999999E-2</v>
      </c>
      <c r="C4774">
        <f>7.968/(100)</f>
        <v>7.9680000000000001E-2</v>
      </c>
    </row>
    <row r="4775" spans="1:3" x14ac:dyDescent="0.3">
      <c r="A4775" s="2">
        <v>42030</v>
      </c>
      <c r="B4775">
        <f>7.75/(100)</f>
        <v>7.7499999999999999E-2</v>
      </c>
      <c r="C4775">
        <f>7.968/(100)</f>
        <v>7.9680000000000001E-2</v>
      </c>
    </row>
    <row r="4776" spans="1:3" x14ac:dyDescent="0.3">
      <c r="A4776" s="2">
        <v>42031</v>
      </c>
      <c r="B4776">
        <f>7.75/(100)</f>
        <v>7.7499999999999999E-2</v>
      </c>
      <c r="C4776">
        <f>8.006/(100)</f>
        <v>8.0060000000000006E-2</v>
      </c>
    </row>
    <row r="4777" spans="1:3" x14ac:dyDescent="0.3">
      <c r="A4777" s="2">
        <v>42032</v>
      </c>
      <c r="B4777">
        <f>7.75/(100)</f>
        <v>7.7499999999999999E-2</v>
      </c>
      <c r="C4777">
        <f>8.03/(100)</f>
        <v>8.0299999999999996E-2</v>
      </c>
    </row>
    <row r="4778" spans="1:3" x14ac:dyDescent="0.3">
      <c r="A4778" s="2">
        <v>42033</v>
      </c>
      <c r="B4778">
        <f>7.75/(100)</f>
        <v>7.7499999999999999E-2</v>
      </c>
      <c r="C4778">
        <f>8.072/(100)</f>
        <v>8.0719999999999986E-2</v>
      </c>
    </row>
    <row r="4779" spans="1:3" x14ac:dyDescent="0.3">
      <c r="A4779" s="2">
        <v>42034</v>
      </c>
      <c r="B4779">
        <f>7.75/(100)</f>
        <v>7.7499999999999999E-2</v>
      </c>
      <c r="C4779">
        <f>8.08/(100)</f>
        <v>8.0799999999999997E-2</v>
      </c>
    </row>
    <row r="4780" spans="1:3" x14ac:dyDescent="0.3">
      <c r="A4780" s="2">
        <v>42035</v>
      </c>
      <c r="B4780">
        <f>7.75/(100)</f>
        <v>7.7499999999999999E-2</v>
      </c>
      <c r="C4780">
        <f>8.08/(100)</f>
        <v>8.0799999999999997E-2</v>
      </c>
    </row>
    <row r="4781" spans="1:3" x14ac:dyDescent="0.3">
      <c r="A4781" s="2">
        <v>42036</v>
      </c>
      <c r="B4781">
        <f>7.75/(100)</f>
        <v>7.7499999999999999E-2</v>
      </c>
      <c r="C4781">
        <f>8.08/(100)</f>
        <v>8.0799999999999997E-2</v>
      </c>
    </row>
    <row r="4782" spans="1:3" x14ac:dyDescent="0.3">
      <c r="A4782" s="2">
        <v>42037</v>
      </c>
      <c r="B4782">
        <f>7.75/(100)</f>
        <v>7.7499999999999999E-2</v>
      </c>
      <c r="C4782">
        <f>8.043/(100)</f>
        <v>8.0429999999999988E-2</v>
      </c>
    </row>
    <row r="4783" spans="1:3" x14ac:dyDescent="0.3">
      <c r="A4783" s="2">
        <v>42038</v>
      </c>
      <c r="B4783">
        <f>7.75/(100)</f>
        <v>7.7499999999999999E-2</v>
      </c>
      <c r="C4783">
        <f>8.083/(100)</f>
        <v>8.0829999999999999E-2</v>
      </c>
    </row>
    <row r="4784" spans="1:3" x14ac:dyDescent="0.3">
      <c r="A4784" s="2">
        <v>42039</v>
      </c>
      <c r="B4784">
        <f>7.75/(100)</f>
        <v>7.7499999999999999E-2</v>
      </c>
      <c r="C4784">
        <f>8.158/(100)</f>
        <v>8.158E-2</v>
      </c>
    </row>
    <row r="4785" spans="1:3" x14ac:dyDescent="0.3">
      <c r="A4785" s="2">
        <v>42040</v>
      </c>
      <c r="B4785">
        <f>7.75/(100)</f>
        <v>7.7499999999999999E-2</v>
      </c>
      <c r="C4785">
        <f>8.148/(100)</f>
        <v>8.1479999999999997E-2</v>
      </c>
    </row>
    <row r="4786" spans="1:3" x14ac:dyDescent="0.3">
      <c r="A4786" s="2">
        <v>42041</v>
      </c>
      <c r="B4786">
        <f>7.75/(100)</f>
        <v>7.7499999999999999E-2</v>
      </c>
      <c r="C4786">
        <f>8.175/(100)</f>
        <v>8.1750000000000003E-2</v>
      </c>
    </row>
    <row r="4787" spans="1:3" x14ac:dyDescent="0.3">
      <c r="A4787" s="2">
        <v>42042</v>
      </c>
      <c r="B4787">
        <f>7.75/(100)</f>
        <v>7.7499999999999999E-2</v>
      </c>
      <c r="C4787">
        <f>8.175/(100)</f>
        <v>8.1750000000000003E-2</v>
      </c>
    </row>
    <row r="4788" spans="1:3" x14ac:dyDescent="0.3">
      <c r="A4788" s="2">
        <v>42043</v>
      </c>
      <c r="B4788">
        <f>7.75/(100)</f>
        <v>7.7499999999999999E-2</v>
      </c>
      <c r="C4788">
        <f>8.175/(100)</f>
        <v>8.1750000000000003E-2</v>
      </c>
    </row>
    <row r="4789" spans="1:3" x14ac:dyDescent="0.3">
      <c r="A4789" s="2">
        <v>42044</v>
      </c>
      <c r="B4789">
        <f>7.75/(100)</f>
        <v>7.7499999999999999E-2</v>
      </c>
      <c r="C4789">
        <f>8.162/(100)</f>
        <v>8.1620000000000012E-2</v>
      </c>
    </row>
    <row r="4790" spans="1:3" x14ac:dyDescent="0.3">
      <c r="A4790" s="2">
        <v>42045</v>
      </c>
      <c r="B4790">
        <f>7.75/(100)</f>
        <v>7.7499999999999999E-2</v>
      </c>
      <c r="C4790">
        <f>8.171/(100)</f>
        <v>8.1709999999999991E-2</v>
      </c>
    </row>
    <row r="4791" spans="1:3" x14ac:dyDescent="0.3">
      <c r="A4791" s="2">
        <v>42046</v>
      </c>
      <c r="B4791">
        <f>7.75/(100)</f>
        <v>7.7499999999999999E-2</v>
      </c>
      <c r="C4791">
        <f>8.187/(100)</f>
        <v>8.1869999999999998E-2</v>
      </c>
    </row>
    <row r="4792" spans="1:3" x14ac:dyDescent="0.3">
      <c r="A4792" s="2">
        <v>42047</v>
      </c>
      <c r="B4792">
        <f>7.75/(100)</f>
        <v>7.7499999999999999E-2</v>
      </c>
      <c r="C4792">
        <f>8.177/(100)</f>
        <v>8.1769999999999995E-2</v>
      </c>
    </row>
    <row r="4793" spans="1:3" x14ac:dyDescent="0.3">
      <c r="A4793" s="2">
        <v>42048</v>
      </c>
      <c r="B4793">
        <f>7.75/(100)</f>
        <v>7.7499999999999999E-2</v>
      </c>
      <c r="C4793">
        <f>8.213/(100)</f>
        <v>8.2129999999999995E-2</v>
      </c>
    </row>
    <row r="4794" spans="1:3" x14ac:dyDescent="0.3">
      <c r="A4794" s="2">
        <v>42049</v>
      </c>
      <c r="B4794">
        <f>7.75/(100)</f>
        <v>7.7499999999999999E-2</v>
      </c>
      <c r="C4794">
        <f>8.213/(100)</f>
        <v>8.2129999999999995E-2</v>
      </c>
    </row>
    <row r="4795" spans="1:3" x14ac:dyDescent="0.3">
      <c r="A4795" s="2">
        <v>42050</v>
      </c>
      <c r="B4795">
        <f>7.75/(100)</f>
        <v>7.7499999999999999E-2</v>
      </c>
      <c r="C4795">
        <f>8.213/(100)</f>
        <v>8.2129999999999995E-2</v>
      </c>
    </row>
    <row r="4796" spans="1:3" x14ac:dyDescent="0.3">
      <c r="A4796" s="2">
        <v>42051</v>
      </c>
      <c r="B4796">
        <f>7.75/(100)</f>
        <v>7.7499999999999999E-2</v>
      </c>
      <c r="C4796">
        <f>8.204/(100)</f>
        <v>8.2040000000000002E-2</v>
      </c>
    </row>
    <row r="4797" spans="1:3" x14ac:dyDescent="0.3">
      <c r="A4797" s="2">
        <v>42052</v>
      </c>
      <c r="B4797">
        <f>7.75/(100)</f>
        <v>7.7499999999999999E-2</v>
      </c>
      <c r="C4797">
        <f>8.204/(100)</f>
        <v>8.2040000000000002E-2</v>
      </c>
    </row>
    <row r="4798" spans="1:3" x14ac:dyDescent="0.3">
      <c r="A4798" s="2">
        <v>42053</v>
      </c>
      <c r="B4798">
        <f>7.75/(100)</f>
        <v>7.7499999999999999E-2</v>
      </c>
      <c r="C4798">
        <f>8.232/(100)</f>
        <v>8.231999999999999E-2</v>
      </c>
    </row>
    <row r="4799" spans="1:3" x14ac:dyDescent="0.3">
      <c r="A4799" s="2">
        <v>42054</v>
      </c>
      <c r="B4799">
        <f>7.75/(100)</f>
        <v>7.7499999999999999E-2</v>
      </c>
      <c r="C4799">
        <f>8.232/(100)</f>
        <v>8.231999999999999E-2</v>
      </c>
    </row>
    <row r="4800" spans="1:3" x14ac:dyDescent="0.3">
      <c r="A4800" s="2">
        <v>42055</v>
      </c>
      <c r="B4800">
        <f>7.75/(100)</f>
        <v>7.7499999999999999E-2</v>
      </c>
      <c r="C4800">
        <f>8.213/(100)</f>
        <v>8.2129999999999995E-2</v>
      </c>
    </row>
    <row r="4801" spans="1:3" x14ac:dyDescent="0.3">
      <c r="A4801" s="2">
        <v>42056</v>
      </c>
      <c r="B4801">
        <f>7.75/(100)</f>
        <v>7.7499999999999999E-2</v>
      </c>
      <c r="C4801">
        <f>8.213/(100)</f>
        <v>8.2129999999999995E-2</v>
      </c>
    </row>
    <row r="4802" spans="1:3" x14ac:dyDescent="0.3">
      <c r="A4802" s="2">
        <v>42057</v>
      </c>
      <c r="B4802">
        <f>7.75/(100)</f>
        <v>7.7499999999999999E-2</v>
      </c>
      <c r="C4802">
        <f>8.213/(100)</f>
        <v>8.2129999999999995E-2</v>
      </c>
    </row>
    <row r="4803" spans="1:3" x14ac:dyDescent="0.3">
      <c r="A4803" s="2">
        <v>42058</v>
      </c>
      <c r="B4803">
        <f>7.75/(100)</f>
        <v>7.7499999999999999E-2</v>
      </c>
      <c r="C4803">
        <f>8.227/(100)</f>
        <v>8.227000000000001E-2</v>
      </c>
    </row>
    <row r="4804" spans="1:3" x14ac:dyDescent="0.3">
      <c r="A4804" s="2">
        <v>42059</v>
      </c>
      <c r="B4804">
        <f>7.75/(100)</f>
        <v>7.7499999999999999E-2</v>
      </c>
      <c r="C4804">
        <f>8.275/(100)</f>
        <v>8.2750000000000004E-2</v>
      </c>
    </row>
    <row r="4805" spans="1:3" x14ac:dyDescent="0.3">
      <c r="A4805" s="2">
        <v>42060</v>
      </c>
      <c r="B4805">
        <f>7.75/(100)</f>
        <v>7.7499999999999999E-2</v>
      </c>
      <c r="C4805">
        <f>8.327/(100)</f>
        <v>8.3269999999999997E-2</v>
      </c>
    </row>
    <row r="4806" spans="1:3" x14ac:dyDescent="0.3">
      <c r="A4806" s="2">
        <v>42061</v>
      </c>
      <c r="B4806">
        <f>7.75/(100)</f>
        <v>7.7499999999999999E-2</v>
      </c>
      <c r="C4806">
        <f>8.373/(100)</f>
        <v>8.3729999999999999E-2</v>
      </c>
    </row>
    <row r="4807" spans="1:3" x14ac:dyDescent="0.3">
      <c r="A4807" s="2">
        <v>42062</v>
      </c>
      <c r="B4807">
        <f>7.75/(100)</f>
        <v>7.7499999999999999E-2</v>
      </c>
      <c r="C4807">
        <f>8.398/(100)</f>
        <v>8.3979999999999999E-2</v>
      </c>
    </row>
    <row r="4808" spans="1:3" x14ac:dyDescent="0.3">
      <c r="A4808" s="2">
        <v>42063</v>
      </c>
      <c r="B4808">
        <f>7.75/(100)</f>
        <v>7.7499999999999999E-2</v>
      </c>
      <c r="C4808">
        <f>8.398/(100)</f>
        <v>8.3979999999999999E-2</v>
      </c>
    </row>
    <row r="4809" spans="1:3" x14ac:dyDescent="0.3">
      <c r="A4809" s="2">
        <v>42064</v>
      </c>
      <c r="B4809">
        <f>7.75/(100)</f>
        <v>7.7499999999999999E-2</v>
      </c>
      <c r="C4809">
        <f>8.398/(100)</f>
        <v>8.3979999999999999E-2</v>
      </c>
    </row>
    <row r="4810" spans="1:3" x14ac:dyDescent="0.3">
      <c r="A4810" s="2">
        <v>42065</v>
      </c>
      <c r="B4810">
        <f>7.75/(100)</f>
        <v>7.7499999999999999E-2</v>
      </c>
      <c r="C4810">
        <f>8.389/(100)</f>
        <v>8.3889999999999992E-2</v>
      </c>
    </row>
    <row r="4811" spans="1:3" x14ac:dyDescent="0.3">
      <c r="A4811" s="2">
        <v>42066</v>
      </c>
      <c r="B4811">
        <f>7.75/(100)</f>
        <v>7.7499999999999999E-2</v>
      </c>
      <c r="C4811">
        <f>8.031/(100)</f>
        <v>8.0310000000000006E-2</v>
      </c>
    </row>
    <row r="4812" spans="1:3" x14ac:dyDescent="0.3">
      <c r="A4812" s="2">
        <v>42067</v>
      </c>
      <c r="B4812">
        <f>7.5/(100)</f>
        <v>7.4999999999999997E-2</v>
      </c>
      <c r="C4812">
        <f>7.833/(100)</f>
        <v>7.8329999999999997E-2</v>
      </c>
    </row>
    <row r="4813" spans="1:3" x14ac:dyDescent="0.3">
      <c r="A4813" s="2">
        <v>42068</v>
      </c>
      <c r="B4813">
        <f>7.5/(100)</f>
        <v>7.4999999999999997E-2</v>
      </c>
      <c r="C4813">
        <f>7.913/(100)</f>
        <v>7.9130000000000006E-2</v>
      </c>
    </row>
    <row r="4814" spans="1:3" x14ac:dyDescent="0.3">
      <c r="A4814" s="2">
        <v>42069</v>
      </c>
      <c r="B4814">
        <f>7.5/(100)</f>
        <v>7.4999999999999997E-2</v>
      </c>
      <c r="C4814">
        <f>7.911/(100)</f>
        <v>7.911E-2</v>
      </c>
    </row>
    <row r="4815" spans="1:3" x14ac:dyDescent="0.3">
      <c r="A4815" s="2">
        <v>42070</v>
      </c>
      <c r="B4815">
        <f>7.5/(100)</f>
        <v>7.4999999999999997E-2</v>
      </c>
      <c r="C4815">
        <f>7.911/(100)</f>
        <v>7.911E-2</v>
      </c>
    </row>
    <row r="4816" spans="1:3" x14ac:dyDescent="0.3">
      <c r="A4816" s="2">
        <v>42071</v>
      </c>
      <c r="B4816">
        <f>7.5/(100)</f>
        <v>7.4999999999999997E-2</v>
      </c>
      <c r="C4816">
        <f>7.911/(100)</f>
        <v>7.911E-2</v>
      </c>
    </row>
    <row r="4817" spans="1:3" x14ac:dyDescent="0.3">
      <c r="A4817" s="2">
        <v>42072</v>
      </c>
      <c r="B4817">
        <f>7.5/(100)</f>
        <v>7.4999999999999997E-2</v>
      </c>
      <c r="C4817">
        <f>7.915/(100)</f>
        <v>7.9149999999999998E-2</v>
      </c>
    </row>
    <row r="4818" spans="1:3" x14ac:dyDescent="0.3">
      <c r="A4818" s="2">
        <v>42073</v>
      </c>
      <c r="B4818">
        <f>7.5/(100)</f>
        <v>7.4999999999999997E-2</v>
      </c>
      <c r="C4818">
        <f>7.945/(100)</f>
        <v>7.9450000000000007E-2</v>
      </c>
    </row>
    <row r="4819" spans="1:3" x14ac:dyDescent="0.3">
      <c r="A4819" s="2">
        <v>42074</v>
      </c>
      <c r="B4819">
        <f>7.5/(100)</f>
        <v>7.4999999999999997E-2</v>
      </c>
      <c r="C4819">
        <f>7.938/(100)</f>
        <v>7.9379999999999992E-2</v>
      </c>
    </row>
    <row r="4820" spans="1:3" x14ac:dyDescent="0.3">
      <c r="A4820" s="2">
        <v>42075</v>
      </c>
      <c r="B4820">
        <f>7.5/(100)</f>
        <v>7.4999999999999997E-2</v>
      </c>
      <c r="C4820">
        <f>7.945/(100)</f>
        <v>7.9450000000000007E-2</v>
      </c>
    </row>
    <row r="4821" spans="1:3" x14ac:dyDescent="0.3">
      <c r="A4821" s="2">
        <v>42076</v>
      </c>
      <c r="B4821">
        <f>7.5/(100)</f>
        <v>7.4999999999999997E-2</v>
      </c>
      <c r="C4821">
        <f>7.988/(100)</f>
        <v>7.9880000000000007E-2</v>
      </c>
    </row>
    <row r="4822" spans="1:3" x14ac:dyDescent="0.3">
      <c r="A4822" s="2">
        <v>42077</v>
      </c>
      <c r="B4822">
        <f>7.5/(100)</f>
        <v>7.4999999999999997E-2</v>
      </c>
      <c r="C4822">
        <f>7.988/(100)</f>
        <v>7.9880000000000007E-2</v>
      </c>
    </row>
    <row r="4823" spans="1:3" x14ac:dyDescent="0.3">
      <c r="A4823" s="2">
        <v>42078</v>
      </c>
      <c r="B4823">
        <f>7.5/(100)</f>
        <v>7.4999999999999997E-2</v>
      </c>
      <c r="C4823">
        <f>7.988/(100)</f>
        <v>7.9880000000000007E-2</v>
      </c>
    </row>
    <row r="4824" spans="1:3" x14ac:dyDescent="0.3">
      <c r="A4824" s="2">
        <v>42079</v>
      </c>
      <c r="B4824">
        <f>7.5/(100)</f>
        <v>7.4999999999999997E-2</v>
      </c>
      <c r="C4824">
        <f>7.988/(100)</f>
        <v>7.9880000000000007E-2</v>
      </c>
    </row>
    <row r="4825" spans="1:3" x14ac:dyDescent="0.3">
      <c r="A4825" s="2">
        <v>42080</v>
      </c>
      <c r="B4825">
        <f>7.5/(100)</f>
        <v>7.4999999999999997E-2</v>
      </c>
      <c r="C4825">
        <f>7.971/(100)</f>
        <v>7.9710000000000003E-2</v>
      </c>
    </row>
    <row r="4826" spans="1:3" x14ac:dyDescent="0.3">
      <c r="A4826" s="2">
        <v>42081</v>
      </c>
      <c r="B4826">
        <f>7.5/(100)</f>
        <v>7.4999999999999997E-2</v>
      </c>
      <c r="C4826">
        <f>7.974/(100)</f>
        <v>7.9740000000000005E-2</v>
      </c>
    </row>
    <row r="4827" spans="1:3" x14ac:dyDescent="0.3">
      <c r="A4827" s="2">
        <v>42082</v>
      </c>
      <c r="B4827">
        <f>7.5/(100)</f>
        <v>7.4999999999999997E-2</v>
      </c>
      <c r="C4827">
        <f>7.931/(100)</f>
        <v>7.9310000000000005E-2</v>
      </c>
    </row>
    <row r="4828" spans="1:3" x14ac:dyDescent="0.3">
      <c r="A4828" s="2">
        <v>42083</v>
      </c>
      <c r="B4828">
        <f>7.5/(100)</f>
        <v>7.4999999999999997E-2</v>
      </c>
      <c r="C4828">
        <f>7.894/(100)</f>
        <v>7.8939999999999996E-2</v>
      </c>
    </row>
    <row r="4829" spans="1:3" x14ac:dyDescent="0.3">
      <c r="A4829" s="2">
        <v>42084</v>
      </c>
      <c r="B4829">
        <f>7.5/(100)</f>
        <v>7.4999999999999997E-2</v>
      </c>
      <c r="C4829">
        <f>7.894/(100)</f>
        <v>7.8939999999999996E-2</v>
      </c>
    </row>
    <row r="4830" spans="1:3" x14ac:dyDescent="0.3">
      <c r="A4830" s="2">
        <v>42085</v>
      </c>
      <c r="B4830">
        <f>7.5/(100)</f>
        <v>7.4999999999999997E-2</v>
      </c>
      <c r="C4830">
        <f>7.894/(100)</f>
        <v>7.8939999999999996E-2</v>
      </c>
    </row>
    <row r="4831" spans="1:3" x14ac:dyDescent="0.3">
      <c r="A4831" s="2">
        <v>42086</v>
      </c>
      <c r="B4831">
        <f>7.5/(100)</f>
        <v>7.4999999999999997E-2</v>
      </c>
      <c r="C4831">
        <f>7.934/(100)</f>
        <v>7.9340000000000008E-2</v>
      </c>
    </row>
    <row r="4832" spans="1:3" x14ac:dyDescent="0.3">
      <c r="A4832" s="2">
        <v>42087</v>
      </c>
      <c r="B4832">
        <f>7.5/(100)</f>
        <v>7.4999999999999997E-2</v>
      </c>
      <c r="C4832">
        <f>7.935/(100)</f>
        <v>7.934999999999999E-2</v>
      </c>
    </row>
    <row r="4833" spans="1:3" x14ac:dyDescent="0.3">
      <c r="A4833" s="2">
        <v>42088</v>
      </c>
      <c r="B4833">
        <f>7.5/(100)</f>
        <v>7.4999999999999997E-2</v>
      </c>
      <c r="C4833">
        <f>7.925/(100)</f>
        <v>7.9250000000000001E-2</v>
      </c>
    </row>
    <row r="4834" spans="1:3" x14ac:dyDescent="0.3">
      <c r="A4834" s="2">
        <v>42089</v>
      </c>
      <c r="B4834">
        <f>7.5/(100)</f>
        <v>7.4999999999999997E-2</v>
      </c>
      <c r="C4834">
        <f>7.921/(100)</f>
        <v>7.9210000000000003E-2</v>
      </c>
    </row>
    <row r="4835" spans="1:3" x14ac:dyDescent="0.3">
      <c r="A4835" s="2">
        <v>42090</v>
      </c>
      <c r="B4835">
        <f>7.5/(100)</f>
        <v>7.4999999999999997E-2</v>
      </c>
      <c r="C4835">
        <f>7.892/(100)</f>
        <v>7.8920000000000004E-2</v>
      </c>
    </row>
    <row r="4836" spans="1:3" x14ac:dyDescent="0.3">
      <c r="A4836" s="2">
        <v>42091</v>
      </c>
      <c r="B4836">
        <f>7.5/(100)</f>
        <v>7.4999999999999997E-2</v>
      </c>
      <c r="C4836">
        <f>7.892/(100)</f>
        <v>7.8920000000000004E-2</v>
      </c>
    </row>
    <row r="4837" spans="1:3" x14ac:dyDescent="0.3">
      <c r="A4837" s="2">
        <v>42092</v>
      </c>
      <c r="B4837">
        <f>7.5/(100)</f>
        <v>7.4999999999999997E-2</v>
      </c>
      <c r="C4837">
        <f>7.892/(100)</f>
        <v>7.8920000000000004E-2</v>
      </c>
    </row>
    <row r="4838" spans="1:3" x14ac:dyDescent="0.3">
      <c r="A4838" s="2">
        <v>42093</v>
      </c>
      <c r="B4838">
        <f>7.5/(100)</f>
        <v>7.4999999999999997E-2</v>
      </c>
      <c r="C4838">
        <f>7.906/(100)</f>
        <v>7.9059999999999991E-2</v>
      </c>
    </row>
    <row r="4839" spans="1:3" x14ac:dyDescent="0.3">
      <c r="A4839" s="2">
        <v>42094</v>
      </c>
      <c r="B4839">
        <f>7.5/(100)</f>
        <v>7.4999999999999997E-2</v>
      </c>
      <c r="C4839">
        <f>7.878/(100)</f>
        <v>7.8780000000000003E-2</v>
      </c>
    </row>
    <row r="4840" spans="1:3" x14ac:dyDescent="0.3">
      <c r="A4840" s="2">
        <v>42095</v>
      </c>
      <c r="B4840">
        <f>7.5/(100)</f>
        <v>7.4999999999999997E-2</v>
      </c>
      <c r="C4840">
        <f>7.897/(100)</f>
        <v>7.8969999999999999E-2</v>
      </c>
    </row>
    <row r="4841" spans="1:3" x14ac:dyDescent="0.3">
      <c r="A4841" s="2">
        <v>42096</v>
      </c>
      <c r="B4841">
        <f>7.5/(100)</f>
        <v>7.4999999999999997E-2</v>
      </c>
      <c r="C4841">
        <f>7.897/(100)</f>
        <v>7.8969999999999999E-2</v>
      </c>
    </row>
    <row r="4842" spans="1:3" x14ac:dyDescent="0.3">
      <c r="A4842" s="2">
        <v>42097</v>
      </c>
      <c r="B4842">
        <f>7.5/(100)</f>
        <v>7.4999999999999997E-2</v>
      </c>
      <c r="C4842">
        <f>7.897/(100)</f>
        <v>7.8969999999999999E-2</v>
      </c>
    </row>
    <row r="4843" spans="1:3" x14ac:dyDescent="0.3">
      <c r="A4843" s="2">
        <v>42098</v>
      </c>
      <c r="B4843">
        <f>7.5/(100)</f>
        <v>7.4999999999999997E-2</v>
      </c>
      <c r="C4843">
        <f>7.897/(100)</f>
        <v>7.8969999999999999E-2</v>
      </c>
    </row>
    <row r="4844" spans="1:3" x14ac:dyDescent="0.3">
      <c r="A4844" s="2">
        <v>42099</v>
      </c>
      <c r="B4844">
        <f>7.5/(100)</f>
        <v>7.4999999999999997E-2</v>
      </c>
      <c r="C4844">
        <f>7.897/(100)</f>
        <v>7.8969999999999999E-2</v>
      </c>
    </row>
    <row r="4845" spans="1:3" x14ac:dyDescent="0.3">
      <c r="A4845" s="2">
        <v>42100</v>
      </c>
      <c r="B4845">
        <f>7.5/(100)</f>
        <v>7.4999999999999997E-2</v>
      </c>
      <c r="C4845">
        <f>7.812/(100)</f>
        <v>7.8120000000000009E-2</v>
      </c>
    </row>
    <row r="4846" spans="1:3" x14ac:dyDescent="0.3">
      <c r="A4846" s="2">
        <v>42101</v>
      </c>
      <c r="B4846">
        <f>7.5/(100)</f>
        <v>7.4999999999999997E-2</v>
      </c>
      <c r="C4846">
        <f>7.891/(100)</f>
        <v>7.8909999999999994E-2</v>
      </c>
    </row>
    <row r="4847" spans="1:3" x14ac:dyDescent="0.3">
      <c r="A4847" s="2">
        <v>42102</v>
      </c>
      <c r="B4847">
        <f>7.5/(100)</f>
        <v>7.4999999999999997E-2</v>
      </c>
      <c r="C4847">
        <f>7.878/(100)</f>
        <v>7.8780000000000003E-2</v>
      </c>
    </row>
    <row r="4848" spans="1:3" x14ac:dyDescent="0.3">
      <c r="A4848" s="2">
        <v>42103</v>
      </c>
      <c r="B4848">
        <f>7.5/(100)</f>
        <v>7.4999999999999997E-2</v>
      </c>
      <c r="C4848">
        <f>7.896/(100)</f>
        <v>7.8960000000000002E-2</v>
      </c>
    </row>
    <row r="4849" spans="1:3" x14ac:dyDescent="0.3">
      <c r="A4849" s="2">
        <v>42104</v>
      </c>
      <c r="B4849">
        <f>7.5/(100)</f>
        <v>7.4999999999999997E-2</v>
      </c>
      <c r="C4849">
        <f>7.902/(100)</f>
        <v>7.9020000000000007E-2</v>
      </c>
    </row>
    <row r="4850" spans="1:3" x14ac:dyDescent="0.3">
      <c r="A4850" s="2">
        <v>42105</v>
      </c>
      <c r="B4850">
        <f>7.5/(100)</f>
        <v>7.4999999999999997E-2</v>
      </c>
      <c r="C4850">
        <f>7.902/(100)</f>
        <v>7.9020000000000007E-2</v>
      </c>
    </row>
    <row r="4851" spans="1:3" x14ac:dyDescent="0.3">
      <c r="A4851" s="2">
        <v>42106</v>
      </c>
      <c r="B4851">
        <f>7.5/(100)</f>
        <v>7.4999999999999997E-2</v>
      </c>
      <c r="C4851">
        <f>7.902/(100)</f>
        <v>7.9020000000000007E-2</v>
      </c>
    </row>
    <row r="4852" spans="1:3" x14ac:dyDescent="0.3">
      <c r="A4852" s="2">
        <v>42107</v>
      </c>
      <c r="B4852">
        <f>7.5/(100)</f>
        <v>7.4999999999999997E-2</v>
      </c>
      <c r="C4852">
        <f>7.919/(100)</f>
        <v>7.9189999999999997E-2</v>
      </c>
    </row>
    <row r="4853" spans="1:3" x14ac:dyDescent="0.3">
      <c r="A4853" s="2">
        <v>42108</v>
      </c>
      <c r="B4853">
        <f>7.5/(100)</f>
        <v>7.4999999999999997E-2</v>
      </c>
      <c r="C4853">
        <f>7.919/(100)</f>
        <v>7.9189999999999997E-2</v>
      </c>
    </row>
    <row r="4854" spans="1:3" x14ac:dyDescent="0.3">
      <c r="A4854" s="2">
        <v>42109</v>
      </c>
      <c r="B4854">
        <f>7.5/(100)</f>
        <v>7.4999999999999997E-2</v>
      </c>
      <c r="C4854">
        <f>7.872/(100)</f>
        <v>7.8719999999999998E-2</v>
      </c>
    </row>
    <row r="4855" spans="1:3" x14ac:dyDescent="0.3">
      <c r="A4855" s="2">
        <v>42110</v>
      </c>
      <c r="B4855">
        <f>7.5/(100)</f>
        <v>7.4999999999999997E-2</v>
      </c>
      <c r="C4855">
        <f>7.885/(100)</f>
        <v>7.8850000000000003E-2</v>
      </c>
    </row>
    <row r="4856" spans="1:3" x14ac:dyDescent="0.3">
      <c r="A4856" s="2">
        <v>42111</v>
      </c>
      <c r="B4856">
        <f>7.5/(100)</f>
        <v>7.4999999999999997E-2</v>
      </c>
      <c r="C4856">
        <f>7.896/(100)</f>
        <v>7.8960000000000002E-2</v>
      </c>
    </row>
    <row r="4857" spans="1:3" x14ac:dyDescent="0.3">
      <c r="A4857" s="2">
        <v>42112</v>
      </c>
      <c r="B4857">
        <f>7.5/(100)</f>
        <v>7.4999999999999997E-2</v>
      </c>
      <c r="C4857">
        <f>7.896/(100)</f>
        <v>7.8960000000000002E-2</v>
      </c>
    </row>
    <row r="4858" spans="1:3" x14ac:dyDescent="0.3">
      <c r="A4858" s="2">
        <v>42113</v>
      </c>
      <c r="B4858">
        <f>7.5/(100)</f>
        <v>7.4999999999999997E-2</v>
      </c>
      <c r="C4858">
        <f>7.896/(100)</f>
        <v>7.8960000000000002E-2</v>
      </c>
    </row>
    <row r="4859" spans="1:3" x14ac:dyDescent="0.3">
      <c r="A4859" s="2">
        <v>42114</v>
      </c>
      <c r="B4859">
        <f>7.5/(100)</f>
        <v>7.4999999999999997E-2</v>
      </c>
      <c r="C4859">
        <f>7.883/(100)</f>
        <v>7.8829999999999997E-2</v>
      </c>
    </row>
    <row r="4860" spans="1:3" x14ac:dyDescent="0.3">
      <c r="A4860" s="2">
        <v>42115</v>
      </c>
      <c r="B4860">
        <f>7.5/(100)</f>
        <v>7.4999999999999997E-2</v>
      </c>
      <c r="C4860">
        <f>7.881/(100)</f>
        <v>7.8810000000000005E-2</v>
      </c>
    </row>
    <row r="4861" spans="1:3" x14ac:dyDescent="0.3">
      <c r="A4861" s="2">
        <v>42116</v>
      </c>
      <c r="B4861">
        <f>7.5/(100)</f>
        <v>7.4999999999999997E-2</v>
      </c>
      <c r="C4861">
        <f>7.861/(100)</f>
        <v>7.8609999999999999E-2</v>
      </c>
    </row>
    <row r="4862" spans="1:3" x14ac:dyDescent="0.3">
      <c r="A4862" s="2">
        <v>42117</v>
      </c>
      <c r="B4862">
        <f>7.5/(100)</f>
        <v>7.4999999999999997E-2</v>
      </c>
      <c r="C4862">
        <f>7.847/(100)</f>
        <v>7.8469999999999998E-2</v>
      </c>
    </row>
    <row r="4863" spans="1:3" x14ac:dyDescent="0.3">
      <c r="A4863" s="2">
        <v>42118</v>
      </c>
      <c r="B4863">
        <f>7.5/(100)</f>
        <v>7.4999999999999997E-2</v>
      </c>
      <c r="C4863">
        <f>7.876/(100)</f>
        <v>7.8759999999999997E-2</v>
      </c>
    </row>
    <row r="4864" spans="1:3" x14ac:dyDescent="0.3">
      <c r="A4864" s="2">
        <v>42119</v>
      </c>
      <c r="B4864">
        <f>7.5/(100)</f>
        <v>7.4999999999999997E-2</v>
      </c>
      <c r="C4864">
        <f>7.876/(100)</f>
        <v>7.8759999999999997E-2</v>
      </c>
    </row>
    <row r="4865" spans="1:3" x14ac:dyDescent="0.3">
      <c r="A4865" s="2">
        <v>42120</v>
      </c>
      <c r="B4865">
        <f>7.5/(100)</f>
        <v>7.4999999999999997E-2</v>
      </c>
      <c r="C4865">
        <f>7.876/(100)</f>
        <v>7.8759999999999997E-2</v>
      </c>
    </row>
    <row r="4866" spans="1:3" x14ac:dyDescent="0.3">
      <c r="A4866" s="2">
        <v>42121</v>
      </c>
      <c r="B4866">
        <f>7.5/(100)</f>
        <v>7.4999999999999997E-2</v>
      </c>
      <c r="C4866">
        <f>7.863/(100)</f>
        <v>7.8630000000000005E-2</v>
      </c>
    </row>
    <row r="4867" spans="1:3" x14ac:dyDescent="0.3">
      <c r="A4867" s="2">
        <v>42122</v>
      </c>
      <c r="B4867">
        <f>7.5/(100)</f>
        <v>7.4999999999999997E-2</v>
      </c>
      <c r="C4867">
        <f>7.872/(100)</f>
        <v>7.8719999999999998E-2</v>
      </c>
    </row>
    <row r="4868" spans="1:3" x14ac:dyDescent="0.3">
      <c r="A4868" s="2">
        <v>42123</v>
      </c>
      <c r="B4868">
        <f>7.5/(100)</f>
        <v>7.4999999999999997E-2</v>
      </c>
      <c r="C4868">
        <f>7.868/(100)</f>
        <v>7.868E-2</v>
      </c>
    </row>
    <row r="4869" spans="1:3" x14ac:dyDescent="0.3">
      <c r="A4869" s="2">
        <v>42124</v>
      </c>
      <c r="B4869">
        <f>7.5/(100)</f>
        <v>7.4999999999999997E-2</v>
      </c>
      <c r="C4869">
        <f>7.922/(100)</f>
        <v>7.9219999999999999E-2</v>
      </c>
    </row>
    <row r="4870" spans="1:3" x14ac:dyDescent="0.3">
      <c r="A4870" s="2">
        <v>42125</v>
      </c>
      <c r="B4870">
        <f>7.5/(100)</f>
        <v>7.4999999999999997E-2</v>
      </c>
      <c r="C4870">
        <f>7.922/(100)</f>
        <v>7.9219999999999999E-2</v>
      </c>
    </row>
    <row r="4871" spans="1:3" x14ac:dyDescent="0.3">
      <c r="A4871" s="2">
        <v>42126</v>
      </c>
      <c r="B4871">
        <f>7.5/(100)</f>
        <v>7.4999999999999997E-2</v>
      </c>
      <c r="C4871">
        <f>7.922/(100)</f>
        <v>7.9219999999999999E-2</v>
      </c>
    </row>
    <row r="4872" spans="1:3" x14ac:dyDescent="0.3">
      <c r="A4872" s="2">
        <v>42127</v>
      </c>
      <c r="B4872">
        <f>7.5/(100)</f>
        <v>7.4999999999999997E-2</v>
      </c>
      <c r="C4872">
        <f>7.922/(100)</f>
        <v>7.9219999999999999E-2</v>
      </c>
    </row>
    <row r="4873" spans="1:3" x14ac:dyDescent="0.3">
      <c r="A4873" s="2">
        <v>42128</v>
      </c>
      <c r="B4873">
        <f>7.5/(100)</f>
        <v>7.4999999999999997E-2</v>
      </c>
      <c r="C4873">
        <f>7.922/(100)</f>
        <v>7.9219999999999999E-2</v>
      </c>
    </row>
    <row r="4874" spans="1:3" x14ac:dyDescent="0.3">
      <c r="A4874" s="2">
        <v>42129</v>
      </c>
      <c r="B4874">
        <f>7.5/(100)</f>
        <v>7.4999999999999997E-2</v>
      </c>
      <c r="C4874">
        <f>7.919/(100)</f>
        <v>7.9189999999999997E-2</v>
      </c>
    </row>
    <row r="4875" spans="1:3" x14ac:dyDescent="0.3">
      <c r="A4875" s="2">
        <v>42130</v>
      </c>
      <c r="B4875">
        <f>7.5/(100)</f>
        <v>7.4999999999999997E-2</v>
      </c>
      <c r="C4875">
        <f>7.957/(100)</f>
        <v>7.9570000000000002E-2</v>
      </c>
    </row>
    <row r="4876" spans="1:3" x14ac:dyDescent="0.3">
      <c r="A4876" s="2">
        <v>42131</v>
      </c>
      <c r="B4876">
        <f>7.5/(100)</f>
        <v>7.4999999999999997E-2</v>
      </c>
      <c r="C4876">
        <f>7.972/(100)</f>
        <v>7.9719999999999999E-2</v>
      </c>
    </row>
    <row r="4877" spans="1:3" x14ac:dyDescent="0.3">
      <c r="A4877" s="2">
        <v>42132</v>
      </c>
      <c r="B4877">
        <f>7.5/(100)</f>
        <v>7.4999999999999997E-2</v>
      </c>
      <c r="C4877">
        <f>7.965/(100)</f>
        <v>7.9649999999999999E-2</v>
      </c>
    </row>
    <row r="4878" spans="1:3" x14ac:dyDescent="0.3">
      <c r="A4878" s="2">
        <v>42133</v>
      </c>
      <c r="B4878">
        <f>7.5/(100)</f>
        <v>7.4999999999999997E-2</v>
      </c>
      <c r="C4878">
        <f>7.965/(100)</f>
        <v>7.9649999999999999E-2</v>
      </c>
    </row>
    <row r="4879" spans="1:3" x14ac:dyDescent="0.3">
      <c r="A4879" s="2">
        <v>42134</v>
      </c>
      <c r="B4879">
        <f>7.5/(100)</f>
        <v>7.4999999999999997E-2</v>
      </c>
      <c r="C4879">
        <f>7.965/(100)</f>
        <v>7.9649999999999999E-2</v>
      </c>
    </row>
    <row r="4880" spans="1:3" x14ac:dyDescent="0.3">
      <c r="A4880" s="2">
        <v>42135</v>
      </c>
      <c r="B4880">
        <f>7.5/(100)</f>
        <v>7.4999999999999997E-2</v>
      </c>
      <c r="C4880">
        <f>7.923/(100)</f>
        <v>7.9229999999999995E-2</v>
      </c>
    </row>
    <row r="4881" spans="1:3" x14ac:dyDescent="0.3">
      <c r="A4881" s="2">
        <v>42136</v>
      </c>
      <c r="B4881">
        <f>7.5/(100)</f>
        <v>7.4999999999999997E-2</v>
      </c>
      <c r="C4881">
        <f>7.914/(100)</f>
        <v>7.9140000000000002E-2</v>
      </c>
    </row>
    <row r="4882" spans="1:3" x14ac:dyDescent="0.3">
      <c r="A4882" s="2">
        <v>42137</v>
      </c>
      <c r="B4882">
        <f>7.5/(100)</f>
        <v>7.4999999999999997E-2</v>
      </c>
      <c r="C4882">
        <f>7.974/(100)</f>
        <v>7.9740000000000005E-2</v>
      </c>
    </row>
    <row r="4883" spans="1:3" x14ac:dyDescent="0.3">
      <c r="A4883" s="2">
        <v>42138</v>
      </c>
      <c r="B4883">
        <f>7.5/(100)</f>
        <v>7.4999999999999997E-2</v>
      </c>
      <c r="C4883">
        <f>7.945/(100)</f>
        <v>7.9450000000000007E-2</v>
      </c>
    </row>
    <row r="4884" spans="1:3" x14ac:dyDescent="0.3">
      <c r="A4884" s="2">
        <v>42139</v>
      </c>
      <c r="B4884">
        <f>7.5/(100)</f>
        <v>7.4999999999999997E-2</v>
      </c>
      <c r="C4884">
        <f>7.968/(100)</f>
        <v>7.9680000000000001E-2</v>
      </c>
    </row>
    <row r="4885" spans="1:3" x14ac:dyDescent="0.3">
      <c r="A4885" s="2">
        <v>42140</v>
      </c>
      <c r="B4885">
        <f>7.5/(100)</f>
        <v>7.4999999999999997E-2</v>
      </c>
      <c r="C4885">
        <f>7.968/(100)</f>
        <v>7.9680000000000001E-2</v>
      </c>
    </row>
    <row r="4886" spans="1:3" x14ac:dyDescent="0.3">
      <c r="A4886" s="2">
        <v>42141</v>
      </c>
      <c r="B4886">
        <f>7.5/(100)</f>
        <v>7.4999999999999997E-2</v>
      </c>
      <c r="C4886">
        <f>7.968/(100)</f>
        <v>7.9680000000000001E-2</v>
      </c>
    </row>
    <row r="4887" spans="1:3" x14ac:dyDescent="0.3">
      <c r="A4887" s="2">
        <v>42142</v>
      </c>
      <c r="B4887">
        <f>7.5/(100)</f>
        <v>7.4999999999999997E-2</v>
      </c>
      <c r="C4887">
        <f>7.91/(100)</f>
        <v>7.9100000000000004E-2</v>
      </c>
    </row>
    <row r="4888" spans="1:3" x14ac:dyDescent="0.3">
      <c r="A4888" s="2">
        <v>42143</v>
      </c>
      <c r="B4888">
        <f>7.5/(100)</f>
        <v>7.4999999999999997E-2</v>
      </c>
      <c r="C4888">
        <f>7.867/(100)</f>
        <v>7.8670000000000004E-2</v>
      </c>
    </row>
    <row r="4889" spans="1:3" x14ac:dyDescent="0.3">
      <c r="A4889" s="2">
        <v>42144</v>
      </c>
      <c r="B4889">
        <f>7.5/(100)</f>
        <v>7.4999999999999997E-2</v>
      </c>
      <c r="C4889">
        <f>7.803/(100)</f>
        <v>7.8030000000000002E-2</v>
      </c>
    </row>
    <row r="4890" spans="1:3" x14ac:dyDescent="0.3">
      <c r="A4890" s="2">
        <v>42145</v>
      </c>
      <c r="B4890">
        <f>7.5/(100)</f>
        <v>7.4999999999999997E-2</v>
      </c>
      <c r="C4890">
        <f>7.801/(100)</f>
        <v>7.8009999999999996E-2</v>
      </c>
    </row>
    <row r="4891" spans="1:3" x14ac:dyDescent="0.3">
      <c r="A4891" s="2">
        <v>42146</v>
      </c>
      <c r="B4891">
        <f>7.5/(100)</f>
        <v>7.4999999999999997E-2</v>
      </c>
      <c r="C4891">
        <f>7.85/(100)</f>
        <v>7.85E-2</v>
      </c>
    </row>
    <row r="4892" spans="1:3" x14ac:dyDescent="0.3">
      <c r="A4892" s="2">
        <v>42147</v>
      </c>
      <c r="B4892">
        <f>7.5/(100)</f>
        <v>7.4999999999999997E-2</v>
      </c>
      <c r="C4892">
        <f>7.85/(100)</f>
        <v>7.85E-2</v>
      </c>
    </row>
    <row r="4893" spans="1:3" x14ac:dyDescent="0.3">
      <c r="A4893" s="2">
        <v>42148</v>
      </c>
      <c r="B4893">
        <f>7.5/(100)</f>
        <v>7.4999999999999997E-2</v>
      </c>
      <c r="C4893">
        <f>7.85/(100)</f>
        <v>7.85E-2</v>
      </c>
    </row>
    <row r="4894" spans="1:3" x14ac:dyDescent="0.3">
      <c r="A4894" s="2">
        <v>42149</v>
      </c>
      <c r="B4894">
        <f>7.5/(100)</f>
        <v>7.4999999999999997E-2</v>
      </c>
      <c r="C4894">
        <f>7.793/(100)</f>
        <v>7.7929999999999999E-2</v>
      </c>
    </row>
    <row r="4895" spans="1:3" x14ac:dyDescent="0.3">
      <c r="A4895" s="2">
        <v>42150</v>
      </c>
      <c r="B4895">
        <f>7.5/(100)</f>
        <v>7.4999999999999997E-2</v>
      </c>
      <c r="C4895">
        <f>7.782/(100)</f>
        <v>7.782E-2</v>
      </c>
    </row>
    <row r="4896" spans="1:3" x14ac:dyDescent="0.3">
      <c r="A4896" s="2">
        <v>42151</v>
      </c>
      <c r="B4896">
        <f>7.5/(100)</f>
        <v>7.4999999999999997E-2</v>
      </c>
      <c r="C4896">
        <f>7.754/(100)</f>
        <v>7.7539999999999998E-2</v>
      </c>
    </row>
    <row r="4897" spans="1:3" x14ac:dyDescent="0.3">
      <c r="A4897" s="2">
        <v>42152</v>
      </c>
      <c r="B4897">
        <f>7.5/(100)</f>
        <v>7.4999999999999997E-2</v>
      </c>
      <c r="C4897">
        <f>7.725/(100)</f>
        <v>7.7249999999999999E-2</v>
      </c>
    </row>
    <row r="4898" spans="1:3" x14ac:dyDescent="0.3">
      <c r="A4898" s="2">
        <v>42153</v>
      </c>
      <c r="B4898">
        <f>7.5/(100)</f>
        <v>7.4999999999999997E-2</v>
      </c>
      <c r="C4898">
        <f>7.778/(100)</f>
        <v>7.7780000000000002E-2</v>
      </c>
    </row>
    <row r="4899" spans="1:3" x14ac:dyDescent="0.3">
      <c r="A4899" s="2">
        <v>42154</v>
      </c>
      <c r="B4899">
        <f>7.5/(100)</f>
        <v>7.4999999999999997E-2</v>
      </c>
      <c r="C4899">
        <f>7.778/(100)</f>
        <v>7.7780000000000002E-2</v>
      </c>
    </row>
    <row r="4900" spans="1:3" x14ac:dyDescent="0.3">
      <c r="A4900" s="2">
        <v>42155</v>
      </c>
      <c r="B4900">
        <f>7.5/(100)</f>
        <v>7.4999999999999997E-2</v>
      </c>
      <c r="C4900">
        <f>7.778/(100)</f>
        <v>7.7780000000000002E-2</v>
      </c>
    </row>
    <row r="4901" spans="1:3" x14ac:dyDescent="0.3">
      <c r="A4901" s="2">
        <v>42156</v>
      </c>
      <c r="B4901">
        <f>7.5/(100)</f>
        <v>7.4999999999999997E-2</v>
      </c>
      <c r="C4901">
        <f>7.724/(100)</f>
        <v>7.7240000000000003E-2</v>
      </c>
    </row>
    <row r="4902" spans="1:3" x14ac:dyDescent="0.3">
      <c r="A4902" s="2">
        <v>42157</v>
      </c>
      <c r="B4902">
        <f>7.25/(100)</f>
        <v>7.2499999999999995E-2</v>
      </c>
      <c r="C4902">
        <f>7.863/(100)</f>
        <v>7.8630000000000005E-2</v>
      </c>
    </row>
    <row r="4903" spans="1:3" x14ac:dyDescent="0.3">
      <c r="A4903" s="2">
        <v>42158</v>
      </c>
      <c r="B4903">
        <f>7.25/(100)</f>
        <v>7.2499999999999995E-2</v>
      </c>
      <c r="C4903">
        <f>7.716/(100)</f>
        <v>7.7160000000000006E-2</v>
      </c>
    </row>
    <row r="4904" spans="1:3" x14ac:dyDescent="0.3">
      <c r="A4904" s="2">
        <v>42159</v>
      </c>
      <c r="B4904">
        <f>7.25/(100)</f>
        <v>7.2499999999999995E-2</v>
      </c>
      <c r="C4904">
        <f>7.757/(100)</f>
        <v>7.757E-2</v>
      </c>
    </row>
    <row r="4905" spans="1:3" x14ac:dyDescent="0.3">
      <c r="A4905" s="2">
        <v>42160</v>
      </c>
      <c r="B4905">
        <f>7.25/(100)</f>
        <v>7.2499999999999995E-2</v>
      </c>
      <c r="C4905">
        <f>7.687/(100)</f>
        <v>7.6870000000000008E-2</v>
      </c>
    </row>
    <row r="4906" spans="1:3" x14ac:dyDescent="0.3">
      <c r="A4906" s="2">
        <v>42161</v>
      </c>
      <c r="B4906">
        <f>7.25/(100)</f>
        <v>7.2499999999999995E-2</v>
      </c>
      <c r="C4906">
        <f>7.687/(100)</f>
        <v>7.6870000000000008E-2</v>
      </c>
    </row>
    <row r="4907" spans="1:3" x14ac:dyDescent="0.3">
      <c r="A4907" s="2">
        <v>42162</v>
      </c>
      <c r="B4907">
        <f>7.25/(100)</f>
        <v>7.2499999999999995E-2</v>
      </c>
      <c r="C4907">
        <f>7.687/(100)</f>
        <v>7.6870000000000008E-2</v>
      </c>
    </row>
    <row r="4908" spans="1:3" x14ac:dyDescent="0.3">
      <c r="A4908" s="2">
        <v>42163</v>
      </c>
      <c r="B4908">
        <f>7.25/(100)</f>
        <v>7.2499999999999995E-2</v>
      </c>
      <c r="C4908">
        <f>7.858/(100)</f>
        <v>7.8579999999999997E-2</v>
      </c>
    </row>
    <row r="4909" spans="1:3" x14ac:dyDescent="0.3">
      <c r="A4909" s="2">
        <v>42164</v>
      </c>
      <c r="B4909">
        <f>7.25/(100)</f>
        <v>7.2499999999999995E-2</v>
      </c>
      <c r="C4909">
        <f>7.681/(100)</f>
        <v>7.6810000000000003E-2</v>
      </c>
    </row>
    <row r="4910" spans="1:3" x14ac:dyDescent="0.3">
      <c r="A4910" s="2">
        <v>42165</v>
      </c>
      <c r="B4910">
        <f>7.25/(100)</f>
        <v>7.2499999999999995E-2</v>
      </c>
      <c r="C4910">
        <f>7.666/(100)</f>
        <v>7.6660000000000006E-2</v>
      </c>
    </row>
    <row r="4911" spans="1:3" x14ac:dyDescent="0.3">
      <c r="A4911" s="2">
        <v>42166</v>
      </c>
      <c r="B4911">
        <f>7.25/(100)</f>
        <v>7.2499999999999995E-2</v>
      </c>
      <c r="C4911">
        <f>7.727/(100)</f>
        <v>7.7270000000000005E-2</v>
      </c>
    </row>
    <row r="4912" spans="1:3" x14ac:dyDescent="0.3">
      <c r="A4912" s="2">
        <v>42167</v>
      </c>
      <c r="B4912">
        <f>7.25/(100)</f>
        <v>7.2499999999999995E-2</v>
      </c>
      <c r="C4912">
        <f>7.724/(100)</f>
        <v>7.7240000000000003E-2</v>
      </c>
    </row>
    <row r="4913" spans="1:3" x14ac:dyDescent="0.3">
      <c r="A4913" s="2">
        <v>42168</v>
      </c>
      <c r="B4913">
        <f>7.25/(100)</f>
        <v>7.2499999999999995E-2</v>
      </c>
      <c r="C4913">
        <f>7.724/(100)</f>
        <v>7.7240000000000003E-2</v>
      </c>
    </row>
    <row r="4914" spans="1:3" x14ac:dyDescent="0.3">
      <c r="A4914" s="2">
        <v>42169</v>
      </c>
      <c r="B4914">
        <f>7.25/(100)</f>
        <v>7.2499999999999995E-2</v>
      </c>
      <c r="C4914">
        <f>7.724/(100)</f>
        <v>7.7240000000000003E-2</v>
      </c>
    </row>
    <row r="4915" spans="1:3" x14ac:dyDescent="0.3">
      <c r="A4915" s="2">
        <v>42170</v>
      </c>
      <c r="B4915">
        <f>7.25/(100)</f>
        <v>7.2499999999999995E-2</v>
      </c>
      <c r="C4915">
        <f>7.72/(100)</f>
        <v>7.7199999999999991E-2</v>
      </c>
    </row>
    <row r="4916" spans="1:3" x14ac:dyDescent="0.3">
      <c r="A4916" s="2">
        <v>42171</v>
      </c>
      <c r="B4916">
        <f>7.25/(100)</f>
        <v>7.2499999999999995E-2</v>
      </c>
      <c r="C4916">
        <f>7.72/(100)</f>
        <v>7.7199999999999991E-2</v>
      </c>
    </row>
    <row r="4917" spans="1:3" x14ac:dyDescent="0.3">
      <c r="A4917" s="2">
        <v>42172</v>
      </c>
      <c r="B4917">
        <f>7.25/(100)</f>
        <v>7.2499999999999995E-2</v>
      </c>
      <c r="C4917">
        <f>7.702/(100)</f>
        <v>7.7020000000000005E-2</v>
      </c>
    </row>
    <row r="4918" spans="1:3" x14ac:dyDescent="0.3">
      <c r="A4918" s="2">
        <v>42173</v>
      </c>
      <c r="B4918">
        <f>7.25/(100)</f>
        <v>7.2499999999999995E-2</v>
      </c>
      <c r="C4918">
        <f>7.677/(100)</f>
        <v>7.6769999999999991E-2</v>
      </c>
    </row>
    <row r="4919" spans="1:3" x14ac:dyDescent="0.3">
      <c r="A4919" s="2">
        <v>42174</v>
      </c>
      <c r="B4919">
        <f>7.25/(100)</f>
        <v>7.2499999999999995E-2</v>
      </c>
      <c r="C4919">
        <f>7.682/(100)</f>
        <v>7.6819999999999999E-2</v>
      </c>
    </row>
    <row r="4920" spans="1:3" x14ac:dyDescent="0.3">
      <c r="A4920" s="2">
        <v>42175</v>
      </c>
      <c r="B4920">
        <f>7.25/(100)</f>
        <v>7.2499999999999995E-2</v>
      </c>
      <c r="C4920">
        <f>7.682/(100)</f>
        <v>7.6819999999999999E-2</v>
      </c>
    </row>
    <row r="4921" spans="1:3" x14ac:dyDescent="0.3">
      <c r="A4921" s="2">
        <v>42176</v>
      </c>
      <c r="B4921">
        <f>7.25/(100)</f>
        <v>7.2499999999999995E-2</v>
      </c>
      <c r="C4921">
        <f>7.682/(100)</f>
        <v>7.6819999999999999E-2</v>
      </c>
    </row>
    <row r="4922" spans="1:3" x14ac:dyDescent="0.3">
      <c r="A4922" s="2">
        <v>42177</v>
      </c>
      <c r="B4922">
        <f>7.25/(100)</f>
        <v>7.2499999999999995E-2</v>
      </c>
      <c r="C4922">
        <f>7.653/(100)</f>
        <v>7.6530000000000001E-2</v>
      </c>
    </row>
    <row r="4923" spans="1:3" x14ac:dyDescent="0.3">
      <c r="A4923" s="2">
        <v>42178</v>
      </c>
      <c r="B4923">
        <f>7.25/(100)</f>
        <v>7.2499999999999995E-2</v>
      </c>
      <c r="C4923">
        <f>7.567/(100)</f>
        <v>7.5670000000000001E-2</v>
      </c>
    </row>
    <row r="4924" spans="1:3" x14ac:dyDescent="0.3">
      <c r="A4924" s="2">
        <v>42179</v>
      </c>
      <c r="B4924">
        <f>7.25/(100)</f>
        <v>7.2499999999999995E-2</v>
      </c>
      <c r="C4924">
        <f>7.654/(100)</f>
        <v>7.6539999999999997E-2</v>
      </c>
    </row>
    <row r="4925" spans="1:3" x14ac:dyDescent="0.3">
      <c r="A4925" s="2">
        <v>42180</v>
      </c>
      <c r="B4925">
        <f>7.25/(100)</f>
        <v>7.2499999999999995E-2</v>
      </c>
      <c r="C4925">
        <f>7.697/(100)</f>
        <v>7.6969999999999997E-2</v>
      </c>
    </row>
    <row r="4926" spans="1:3" x14ac:dyDescent="0.3">
      <c r="A4926" s="2">
        <v>42181</v>
      </c>
      <c r="B4926">
        <f>7.25/(100)</f>
        <v>7.2499999999999995E-2</v>
      </c>
      <c r="C4926">
        <f>7.703/(100)</f>
        <v>7.7030000000000001E-2</v>
      </c>
    </row>
    <row r="4927" spans="1:3" x14ac:dyDescent="0.3">
      <c r="A4927" s="2">
        <v>42182</v>
      </c>
      <c r="B4927">
        <f>7.25/(100)</f>
        <v>7.2499999999999995E-2</v>
      </c>
      <c r="C4927">
        <f>7.703/(100)</f>
        <v>7.7030000000000001E-2</v>
      </c>
    </row>
    <row r="4928" spans="1:3" x14ac:dyDescent="0.3">
      <c r="A4928" s="2">
        <v>42183</v>
      </c>
      <c r="B4928">
        <f>7.25/(100)</f>
        <v>7.2499999999999995E-2</v>
      </c>
      <c r="C4928">
        <f>7.703/(100)</f>
        <v>7.7030000000000001E-2</v>
      </c>
    </row>
    <row r="4929" spans="1:3" x14ac:dyDescent="0.3">
      <c r="A4929" s="2">
        <v>42184</v>
      </c>
      <c r="B4929">
        <f>7.25/(100)</f>
        <v>7.2499999999999995E-2</v>
      </c>
      <c r="C4929">
        <f>7.828/(100)</f>
        <v>7.8280000000000002E-2</v>
      </c>
    </row>
    <row r="4930" spans="1:3" x14ac:dyDescent="0.3">
      <c r="A4930" s="2">
        <v>42185</v>
      </c>
      <c r="B4930">
        <f>7.25/(100)</f>
        <v>7.2499999999999995E-2</v>
      </c>
      <c r="C4930">
        <f>7.715/(100)</f>
        <v>7.7149999999999996E-2</v>
      </c>
    </row>
    <row r="4931" spans="1:3" x14ac:dyDescent="0.3">
      <c r="A4931" s="2">
        <v>42186</v>
      </c>
      <c r="B4931">
        <f>7.25/(100)</f>
        <v>7.2499999999999995E-2</v>
      </c>
      <c r="C4931">
        <f>7.7/(100)</f>
        <v>7.6999999999999999E-2</v>
      </c>
    </row>
    <row r="4932" spans="1:3" x14ac:dyDescent="0.3">
      <c r="A4932" s="2">
        <v>42187</v>
      </c>
      <c r="B4932">
        <f>7.25/(100)</f>
        <v>7.2499999999999995E-2</v>
      </c>
      <c r="C4932">
        <f>7.632/(100)</f>
        <v>7.6319999999999999E-2</v>
      </c>
    </row>
    <row r="4933" spans="1:3" x14ac:dyDescent="0.3">
      <c r="A4933" s="2">
        <v>42188</v>
      </c>
      <c r="B4933">
        <f>7.25/(100)</f>
        <v>7.2499999999999995E-2</v>
      </c>
      <c r="C4933">
        <f>7.672/(100)</f>
        <v>7.6719999999999997E-2</v>
      </c>
    </row>
    <row r="4934" spans="1:3" x14ac:dyDescent="0.3">
      <c r="A4934" s="2">
        <v>42189</v>
      </c>
      <c r="B4934">
        <f>7.25/(100)</f>
        <v>7.2499999999999995E-2</v>
      </c>
      <c r="C4934">
        <f>7.672/(100)</f>
        <v>7.6719999999999997E-2</v>
      </c>
    </row>
    <row r="4935" spans="1:3" x14ac:dyDescent="0.3">
      <c r="A4935" s="2">
        <v>42190</v>
      </c>
      <c r="B4935">
        <f>7.25/(100)</f>
        <v>7.2499999999999995E-2</v>
      </c>
      <c r="C4935">
        <f>7.672/(100)</f>
        <v>7.6719999999999997E-2</v>
      </c>
    </row>
    <row r="4936" spans="1:3" x14ac:dyDescent="0.3">
      <c r="A4936" s="2">
        <v>42191</v>
      </c>
      <c r="B4936">
        <f>7.25/(100)</f>
        <v>7.2499999999999995E-2</v>
      </c>
      <c r="C4936">
        <f>7.712/(100)</f>
        <v>7.7119999999999994E-2</v>
      </c>
    </row>
    <row r="4937" spans="1:3" x14ac:dyDescent="0.3">
      <c r="A4937" s="2">
        <v>42192</v>
      </c>
      <c r="B4937">
        <f>7.25/(100)</f>
        <v>7.2499999999999995E-2</v>
      </c>
      <c r="C4937">
        <f>7.631/(100)</f>
        <v>7.6310000000000003E-2</v>
      </c>
    </row>
    <row r="4938" spans="1:3" x14ac:dyDescent="0.3">
      <c r="A4938" s="2">
        <v>42193</v>
      </c>
      <c r="B4938">
        <f>7.25/(100)</f>
        <v>7.2499999999999995E-2</v>
      </c>
      <c r="C4938">
        <f>7.587/(100)</f>
        <v>7.5869999999999993E-2</v>
      </c>
    </row>
    <row r="4939" spans="1:3" x14ac:dyDescent="0.3">
      <c r="A4939" s="2">
        <v>42194</v>
      </c>
      <c r="B4939">
        <f>7.25/(100)</f>
        <v>7.2499999999999995E-2</v>
      </c>
      <c r="C4939">
        <f>7.565/(100)</f>
        <v>7.5650000000000009E-2</v>
      </c>
    </row>
    <row r="4940" spans="1:3" x14ac:dyDescent="0.3">
      <c r="A4940" s="2">
        <v>42195</v>
      </c>
      <c r="B4940">
        <f>7.25/(100)</f>
        <v>7.2499999999999995E-2</v>
      </c>
      <c r="C4940">
        <f>7.626/(100)</f>
        <v>7.6260000000000008E-2</v>
      </c>
    </row>
    <row r="4941" spans="1:3" x14ac:dyDescent="0.3">
      <c r="A4941" s="2">
        <v>42196</v>
      </c>
      <c r="B4941">
        <f>7.25/(100)</f>
        <v>7.2499999999999995E-2</v>
      </c>
      <c r="C4941">
        <f>7.626/(100)</f>
        <v>7.6260000000000008E-2</v>
      </c>
    </row>
    <row r="4942" spans="1:3" x14ac:dyDescent="0.3">
      <c r="A4942" s="2">
        <v>42197</v>
      </c>
      <c r="B4942">
        <f>7.25/(100)</f>
        <v>7.2499999999999995E-2</v>
      </c>
      <c r="C4942">
        <f>7.626/(100)</f>
        <v>7.6260000000000008E-2</v>
      </c>
    </row>
    <row r="4943" spans="1:3" x14ac:dyDescent="0.3">
      <c r="A4943" s="2">
        <v>42198</v>
      </c>
      <c r="B4943">
        <f>7.25/(100)</f>
        <v>7.2499999999999995E-2</v>
      </c>
      <c r="C4943">
        <f>7.584/(100)</f>
        <v>7.5839999999999991E-2</v>
      </c>
    </row>
    <row r="4944" spans="1:3" x14ac:dyDescent="0.3">
      <c r="A4944" s="2">
        <v>42199</v>
      </c>
      <c r="B4944">
        <f>7.25/(100)</f>
        <v>7.2499999999999995E-2</v>
      </c>
      <c r="C4944">
        <f>7.59/(100)</f>
        <v>7.5899999999999995E-2</v>
      </c>
    </row>
    <row r="4945" spans="1:3" x14ac:dyDescent="0.3">
      <c r="A4945" s="2">
        <v>42200</v>
      </c>
      <c r="B4945">
        <f>7.25/(100)</f>
        <v>7.2499999999999995E-2</v>
      </c>
      <c r="C4945">
        <f>7.596/(100)</f>
        <v>7.596E-2</v>
      </c>
    </row>
    <row r="4946" spans="1:3" x14ac:dyDescent="0.3">
      <c r="A4946" s="2">
        <v>42201</v>
      </c>
      <c r="B4946">
        <f>7.25/(100)</f>
        <v>7.2499999999999995E-2</v>
      </c>
      <c r="C4946">
        <f>7.589/(100)</f>
        <v>7.5889999999999999E-2</v>
      </c>
    </row>
    <row r="4947" spans="1:3" x14ac:dyDescent="0.3">
      <c r="A4947" s="2">
        <v>42202</v>
      </c>
      <c r="B4947">
        <f>7.25/(100)</f>
        <v>7.2499999999999995E-2</v>
      </c>
      <c r="C4947">
        <f>7.603/(100)</f>
        <v>7.603E-2</v>
      </c>
    </row>
    <row r="4948" spans="1:3" x14ac:dyDescent="0.3">
      <c r="A4948" s="2">
        <v>42203</v>
      </c>
      <c r="B4948">
        <f>7.25/(100)</f>
        <v>7.2499999999999995E-2</v>
      </c>
      <c r="C4948">
        <f>7.603/(100)</f>
        <v>7.603E-2</v>
      </c>
    </row>
    <row r="4949" spans="1:3" x14ac:dyDescent="0.3">
      <c r="A4949" s="2">
        <v>42204</v>
      </c>
      <c r="B4949">
        <f>7.25/(100)</f>
        <v>7.2499999999999995E-2</v>
      </c>
      <c r="C4949">
        <f>7.603/(100)</f>
        <v>7.603E-2</v>
      </c>
    </row>
    <row r="4950" spans="1:3" x14ac:dyDescent="0.3">
      <c r="A4950" s="2">
        <v>42205</v>
      </c>
      <c r="B4950">
        <f>7.25/(100)</f>
        <v>7.2499999999999995E-2</v>
      </c>
      <c r="C4950">
        <f>7.586/(100)</f>
        <v>7.5859999999999997E-2</v>
      </c>
    </row>
    <row r="4951" spans="1:3" x14ac:dyDescent="0.3">
      <c r="A4951" s="2">
        <v>42206</v>
      </c>
      <c r="B4951">
        <f>7.25/(100)</f>
        <v>7.2499999999999995E-2</v>
      </c>
      <c r="C4951">
        <f>7.576/(100)</f>
        <v>7.5759999999999994E-2</v>
      </c>
    </row>
    <row r="4952" spans="1:3" x14ac:dyDescent="0.3">
      <c r="A4952" s="2">
        <v>42207</v>
      </c>
      <c r="B4952">
        <f>7.25/(100)</f>
        <v>7.2499999999999995E-2</v>
      </c>
      <c r="C4952">
        <f>7.589/(100)</f>
        <v>7.5889999999999999E-2</v>
      </c>
    </row>
    <row r="4953" spans="1:3" x14ac:dyDescent="0.3">
      <c r="A4953" s="2">
        <v>42208</v>
      </c>
      <c r="B4953">
        <f>7.25/(100)</f>
        <v>7.2499999999999995E-2</v>
      </c>
      <c r="C4953">
        <f>7.586/(100)</f>
        <v>7.5859999999999997E-2</v>
      </c>
    </row>
    <row r="4954" spans="1:3" x14ac:dyDescent="0.3">
      <c r="A4954" s="2">
        <v>42209</v>
      </c>
      <c r="B4954">
        <f>7.25/(100)</f>
        <v>7.2499999999999995E-2</v>
      </c>
      <c r="C4954">
        <f>7.613/(100)</f>
        <v>7.6130000000000003E-2</v>
      </c>
    </row>
    <row r="4955" spans="1:3" x14ac:dyDescent="0.3">
      <c r="A4955" s="2">
        <v>42210</v>
      </c>
      <c r="B4955">
        <f>7.25/(100)</f>
        <v>7.2499999999999995E-2</v>
      </c>
      <c r="C4955">
        <f>7.613/(100)</f>
        <v>7.6130000000000003E-2</v>
      </c>
    </row>
    <row r="4956" spans="1:3" x14ac:dyDescent="0.3">
      <c r="A4956" s="2">
        <v>42211</v>
      </c>
      <c r="B4956">
        <f>7.25/(100)</f>
        <v>7.2499999999999995E-2</v>
      </c>
      <c r="C4956">
        <f>7.613/(100)</f>
        <v>7.6130000000000003E-2</v>
      </c>
    </row>
    <row r="4957" spans="1:3" x14ac:dyDescent="0.3">
      <c r="A4957" s="2">
        <v>42212</v>
      </c>
      <c r="B4957">
        <f>7.25/(100)</f>
        <v>7.2499999999999995E-2</v>
      </c>
      <c r="C4957">
        <f>7.597/(100)</f>
        <v>7.597000000000001E-2</v>
      </c>
    </row>
    <row r="4958" spans="1:3" x14ac:dyDescent="0.3">
      <c r="A4958" s="2">
        <v>42213</v>
      </c>
      <c r="B4958">
        <f>7.25/(100)</f>
        <v>7.2499999999999995E-2</v>
      </c>
      <c r="C4958">
        <f>7.599/(100)</f>
        <v>7.5990000000000002E-2</v>
      </c>
    </row>
    <row r="4959" spans="1:3" x14ac:dyDescent="0.3">
      <c r="A4959" s="2">
        <v>42214</v>
      </c>
      <c r="B4959">
        <f>7.25/(100)</f>
        <v>7.2499999999999995E-2</v>
      </c>
      <c r="C4959">
        <f>7.599/(100)</f>
        <v>7.5990000000000002E-2</v>
      </c>
    </row>
    <row r="4960" spans="1:3" x14ac:dyDescent="0.3">
      <c r="A4960" s="2">
        <v>42215</v>
      </c>
      <c r="B4960">
        <f>7.25/(100)</f>
        <v>7.2499999999999995E-2</v>
      </c>
      <c r="C4960">
        <f>7.599/(100)</f>
        <v>7.5990000000000002E-2</v>
      </c>
    </row>
    <row r="4961" spans="1:3" x14ac:dyDescent="0.3">
      <c r="A4961" s="2">
        <v>42216</v>
      </c>
      <c r="B4961">
        <f>7.25/(100)</f>
        <v>7.2499999999999995E-2</v>
      </c>
      <c r="C4961">
        <f>7.601/(100)</f>
        <v>7.6009999999999994E-2</v>
      </c>
    </row>
    <row r="4962" spans="1:3" x14ac:dyDescent="0.3">
      <c r="A4962" s="2">
        <v>42217</v>
      </c>
      <c r="B4962">
        <f>7.25/(100)</f>
        <v>7.2499999999999995E-2</v>
      </c>
      <c r="C4962">
        <f>7.601/(100)</f>
        <v>7.6009999999999994E-2</v>
      </c>
    </row>
    <row r="4963" spans="1:3" x14ac:dyDescent="0.3">
      <c r="A4963" s="2">
        <v>42218</v>
      </c>
      <c r="B4963">
        <f>7.25/(100)</f>
        <v>7.2499999999999995E-2</v>
      </c>
      <c r="C4963">
        <f>7.601/(100)</f>
        <v>7.6009999999999994E-2</v>
      </c>
    </row>
    <row r="4964" spans="1:3" x14ac:dyDescent="0.3">
      <c r="A4964" s="2">
        <v>42219</v>
      </c>
      <c r="B4964">
        <f>7.25/(100)</f>
        <v>7.2499999999999995E-2</v>
      </c>
      <c r="C4964">
        <f>7.6/(100)</f>
        <v>7.5999999999999998E-2</v>
      </c>
    </row>
    <row r="4965" spans="1:3" x14ac:dyDescent="0.3">
      <c r="A4965" s="2">
        <v>42220</v>
      </c>
      <c r="B4965">
        <f>7.25/(100)</f>
        <v>7.2499999999999995E-2</v>
      </c>
      <c r="C4965">
        <f>7.596/(100)</f>
        <v>7.596E-2</v>
      </c>
    </row>
    <row r="4966" spans="1:3" x14ac:dyDescent="0.3">
      <c r="A4966" s="2">
        <v>42221</v>
      </c>
      <c r="B4966">
        <f>7.25/(100)</f>
        <v>7.2499999999999995E-2</v>
      </c>
      <c r="C4966">
        <f>7.582/(100)</f>
        <v>7.5819999999999999E-2</v>
      </c>
    </row>
    <row r="4967" spans="1:3" x14ac:dyDescent="0.3">
      <c r="A4967" s="2">
        <v>42222</v>
      </c>
      <c r="B4967">
        <f>7.25/(100)</f>
        <v>7.2499999999999995E-2</v>
      </c>
      <c r="C4967">
        <f>7.583/(100)</f>
        <v>7.5830000000000009E-2</v>
      </c>
    </row>
    <row r="4968" spans="1:3" x14ac:dyDescent="0.3">
      <c r="A4968" s="2">
        <v>42223</v>
      </c>
      <c r="B4968">
        <f>7.25/(100)</f>
        <v>7.2499999999999995E-2</v>
      </c>
      <c r="C4968">
        <f>7.575/(100)</f>
        <v>7.5749999999999998E-2</v>
      </c>
    </row>
    <row r="4969" spans="1:3" x14ac:dyDescent="0.3">
      <c r="A4969" s="2">
        <v>42224</v>
      </c>
      <c r="B4969">
        <f>7.25/(100)</f>
        <v>7.2499999999999995E-2</v>
      </c>
      <c r="C4969">
        <f>7.575/(100)</f>
        <v>7.5749999999999998E-2</v>
      </c>
    </row>
    <row r="4970" spans="1:3" x14ac:dyDescent="0.3">
      <c r="A4970" s="2">
        <v>42225</v>
      </c>
      <c r="B4970">
        <f>7.25/(100)</f>
        <v>7.2499999999999995E-2</v>
      </c>
      <c r="C4970">
        <f>7.575/(100)</f>
        <v>7.5749999999999998E-2</v>
      </c>
    </row>
    <row r="4971" spans="1:3" x14ac:dyDescent="0.3">
      <c r="A4971" s="2">
        <v>42226</v>
      </c>
      <c r="B4971">
        <f>7.25/(100)</f>
        <v>7.2499999999999995E-2</v>
      </c>
      <c r="C4971">
        <f>7.56/(100)</f>
        <v>7.5600000000000001E-2</v>
      </c>
    </row>
    <row r="4972" spans="1:3" x14ac:dyDescent="0.3">
      <c r="A4972" s="2">
        <v>42227</v>
      </c>
      <c r="B4972">
        <f>7.25/(100)</f>
        <v>7.2499999999999995E-2</v>
      </c>
      <c r="C4972">
        <f>7.566/(100)</f>
        <v>7.5660000000000005E-2</v>
      </c>
    </row>
    <row r="4973" spans="1:3" x14ac:dyDescent="0.3">
      <c r="A4973" s="2">
        <v>42228</v>
      </c>
      <c r="B4973">
        <f>7.25/(100)</f>
        <v>7.2499999999999995E-2</v>
      </c>
      <c r="C4973">
        <f>7.543/(100)</f>
        <v>7.5429999999999997E-2</v>
      </c>
    </row>
    <row r="4974" spans="1:3" x14ac:dyDescent="0.3">
      <c r="A4974" s="2">
        <v>42229</v>
      </c>
      <c r="B4974">
        <f>7.25/(100)</f>
        <v>7.2499999999999995E-2</v>
      </c>
      <c r="C4974">
        <f>7.543/(100)</f>
        <v>7.5429999999999997E-2</v>
      </c>
    </row>
    <row r="4975" spans="1:3" x14ac:dyDescent="0.3">
      <c r="A4975" s="2">
        <v>42230</v>
      </c>
      <c r="B4975">
        <f>7.25/(100)</f>
        <v>7.2499999999999995E-2</v>
      </c>
      <c r="C4975">
        <f>7.539/(100)</f>
        <v>7.5389999999999999E-2</v>
      </c>
    </row>
    <row r="4976" spans="1:3" x14ac:dyDescent="0.3">
      <c r="A4976" s="2">
        <v>42231</v>
      </c>
      <c r="B4976">
        <f>7.25/(100)</f>
        <v>7.2499999999999995E-2</v>
      </c>
      <c r="C4976">
        <f>7.539/(100)</f>
        <v>7.5389999999999999E-2</v>
      </c>
    </row>
    <row r="4977" spans="1:3" x14ac:dyDescent="0.3">
      <c r="A4977" s="2">
        <v>42232</v>
      </c>
      <c r="B4977">
        <f>7.25/(100)</f>
        <v>7.2499999999999995E-2</v>
      </c>
      <c r="C4977">
        <f>7.539/(100)</f>
        <v>7.5389999999999999E-2</v>
      </c>
    </row>
    <row r="4978" spans="1:3" x14ac:dyDescent="0.3">
      <c r="A4978" s="2">
        <v>42233</v>
      </c>
      <c r="B4978">
        <f>7.25/(100)</f>
        <v>7.2499999999999995E-2</v>
      </c>
      <c r="C4978">
        <f>7.508/(100)</f>
        <v>7.5079999999999994E-2</v>
      </c>
    </row>
    <row r="4979" spans="1:3" x14ac:dyDescent="0.3">
      <c r="A4979" s="2">
        <v>42234</v>
      </c>
      <c r="B4979">
        <f>7.25/(100)</f>
        <v>7.2499999999999995E-2</v>
      </c>
      <c r="C4979">
        <f>7.508/(100)</f>
        <v>7.5079999999999994E-2</v>
      </c>
    </row>
    <row r="4980" spans="1:3" x14ac:dyDescent="0.3">
      <c r="A4980" s="2">
        <v>42235</v>
      </c>
      <c r="B4980">
        <f>7.25/(100)</f>
        <v>7.2499999999999995E-2</v>
      </c>
      <c r="C4980">
        <f>7.478/(100)</f>
        <v>7.4779999999999999E-2</v>
      </c>
    </row>
    <row r="4981" spans="1:3" x14ac:dyDescent="0.3">
      <c r="A4981" s="2">
        <v>42236</v>
      </c>
      <c r="B4981">
        <f>7.25/(100)</f>
        <v>7.2499999999999995E-2</v>
      </c>
      <c r="C4981">
        <f>7.469/(100)</f>
        <v>7.4690000000000006E-2</v>
      </c>
    </row>
    <row r="4982" spans="1:3" x14ac:dyDescent="0.3">
      <c r="A4982" s="2">
        <v>42237</v>
      </c>
      <c r="B4982">
        <f>7.25/(100)</f>
        <v>7.2499999999999995E-2</v>
      </c>
      <c r="C4982">
        <f>7.463/(100)</f>
        <v>7.4630000000000002E-2</v>
      </c>
    </row>
    <row r="4983" spans="1:3" x14ac:dyDescent="0.3">
      <c r="A4983" s="2">
        <v>42238</v>
      </c>
      <c r="B4983">
        <f>7.25/(100)</f>
        <v>7.2499999999999995E-2</v>
      </c>
      <c r="C4983">
        <f>7.463/(100)</f>
        <v>7.4630000000000002E-2</v>
      </c>
    </row>
    <row r="4984" spans="1:3" x14ac:dyDescent="0.3">
      <c r="A4984" s="2">
        <v>42239</v>
      </c>
      <c r="B4984">
        <f>7.25/(100)</f>
        <v>7.2499999999999995E-2</v>
      </c>
      <c r="C4984">
        <f>7.463/(100)</f>
        <v>7.4630000000000002E-2</v>
      </c>
    </row>
    <row r="4985" spans="1:3" x14ac:dyDescent="0.3">
      <c r="A4985" s="2">
        <v>42240</v>
      </c>
      <c r="B4985">
        <f>7.25/(100)</f>
        <v>7.2499999999999995E-2</v>
      </c>
      <c r="C4985">
        <f>7.46/(100)</f>
        <v>7.46E-2</v>
      </c>
    </row>
    <row r="4986" spans="1:3" x14ac:dyDescent="0.3">
      <c r="A4986" s="2">
        <v>42241</v>
      </c>
      <c r="B4986">
        <f>7.25/(100)</f>
        <v>7.2499999999999995E-2</v>
      </c>
      <c r="C4986">
        <f>7.44/(100)</f>
        <v>7.4400000000000008E-2</v>
      </c>
    </row>
    <row r="4987" spans="1:3" x14ac:dyDescent="0.3">
      <c r="A4987" s="2">
        <v>42242</v>
      </c>
      <c r="B4987">
        <f>7.25/(100)</f>
        <v>7.2499999999999995E-2</v>
      </c>
      <c r="C4987">
        <f>7.43/(100)</f>
        <v>7.4299999999999991E-2</v>
      </c>
    </row>
    <row r="4988" spans="1:3" x14ac:dyDescent="0.3">
      <c r="A4988" s="2">
        <v>42243</v>
      </c>
      <c r="B4988">
        <f>7.25/(100)</f>
        <v>7.2499999999999995E-2</v>
      </c>
      <c r="C4988">
        <f>7.42/(100)</f>
        <v>7.4200000000000002E-2</v>
      </c>
    </row>
    <row r="4989" spans="1:3" x14ac:dyDescent="0.3">
      <c r="A4989" s="2">
        <v>42244</v>
      </c>
      <c r="B4989">
        <f>7.25/(100)</f>
        <v>7.2499999999999995E-2</v>
      </c>
      <c r="C4989">
        <f>7.422/(100)</f>
        <v>7.4219999999999994E-2</v>
      </c>
    </row>
    <row r="4990" spans="1:3" x14ac:dyDescent="0.3">
      <c r="A4990" s="2">
        <v>42245</v>
      </c>
      <c r="B4990">
        <f>7.25/(100)</f>
        <v>7.2499999999999995E-2</v>
      </c>
      <c r="C4990">
        <f>7.422/(100)</f>
        <v>7.4219999999999994E-2</v>
      </c>
    </row>
    <row r="4991" spans="1:3" x14ac:dyDescent="0.3">
      <c r="A4991" s="2">
        <v>42246</v>
      </c>
      <c r="B4991">
        <f>7.25/(100)</f>
        <v>7.2499999999999995E-2</v>
      </c>
      <c r="C4991">
        <f>7.422/(100)</f>
        <v>7.4219999999999994E-2</v>
      </c>
    </row>
    <row r="4992" spans="1:3" x14ac:dyDescent="0.3">
      <c r="A4992" s="2">
        <v>42247</v>
      </c>
      <c r="B4992">
        <f>7.25/(100)</f>
        <v>7.2499999999999995E-2</v>
      </c>
      <c r="C4992">
        <f>7.445/(100)</f>
        <v>7.4450000000000002E-2</v>
      </c>
    </row>
    <row r="4993" spans="1:3" x14ac:dyDescent="0.3">
      <c r="A4993" s="2">
        <v>42248</v>
      </c>
      <c r="B4993">
        <f>7.25/(100)</f>
        <v>7.2499999999999995E-2</v>
      </c>
      <c r="C4993">
        <f>7.422/(100)</f>
        <v>7.4219999999999994E-2</v>
      </c>
    </row>
    <row r="4994" spans="1:3" x14ac:dyDescent="0.3">
      <c r="A4994" s="2">
        <v>42249</v>
      </c>
      <c r="B4994">
        <f>7.25/(100)</f>
        <v>7.2499999999999995E-2</v>
      </c>
      <c r="C4994">
        <f>7.423/(100)</f>
        <v>7.4230000000000004E-2</v>
      </c>
    </row>
    <row r="4995" spans="1:3" x14ac:dyDescent="0.3">
      <c r="A4995" s="2">
        <v>42250</v>
      </c>
      <c r="B4995">
        <f>7.25/(100)</f>
        <v>7.2499999999999995E-2</v>
      </c>
      <c r="C4995">
        <f>7.423/(100)</f>
        <v>7.4230000000000004E-2</v>
      </c>
    </row>
    <row r="4996" spans="1:3" x14ac:dyDescent="0.3">
      <c r="A4996" s="2">
        <v>42251</v>
      </c>
      <c r="B4996">
        <f>7.25/(100)</f>
        <v>7.2499999999999995E-2</v>
      </c>
      <c r="C4996">
        <f>7.437/(100)</f>
        <v>7.4370000000000006E-2</v>
      </c>
    </row>
    <row r="4997" spans="1:3" x14ac:dyDescent="0.3">
      <c r="A4997" s="2">
        <v>42252</v>
      </c>
      <c r="B4997">
        <f>7.25/(100)</f>
        <v>7.2499999999999995E-2</v>
      </c>
      <c r="C4997">
        <f>7.437/(100)</f>
        <v>7.4370000000000006E-2</v>
      </c>
    </row>
    <row r="4998" spans="1:3" x14ac:dyDescent="0.3">
      <c r="A4998" s="2">
        <v>42253</v>
      </c>
      <c r="B4998">
        <f>7.25/(100)</f>
        <v>7.2499999999999995E-2</v>
      </c>
      <c r="C4998">
        <f>7.437/(100)</f>
        <v>7.4370000000000006E-2</v>
      </c>
    </row>
    <row r="4999" spans="1:3" x14ac:dyDescent="0.3">
      <c r="A4999" s="2">
        <v>42254</v>
      </c>
      <c r="B4999">
        <f>7.25/(100)</f>
        <v>7.2499999999999995E-2</v>
      </c>
      <c r="C4999">
        <f>7.453/(100)</f>
        <v>7.4529999999999999E-2</v>
      </c>
    </row>
    <row r="5000" spans="1:3" x14ac:dyDescent="0.3">
      <c r="A5000" s="2">
        <v>42255</v>
      </c>
      <c r="B5000">
        <f>7.25/(100)</f>
        <v>7.2499999999999995E-2</v>
      </c>
      <c r="C5000">
        <f>7.439/(100)</f>
        <v>7.4389999999999998E-2</v>
      </c>
    </row>
    <row r="5001" spans="1:3" x14ac:dyDescent="0.3">
      <c r="A5001" s="2">
        <v>42256</v>
      </c>
      <c r="B5001">
        <f>7.25/(100)</f>
        <v>7.2499999999999995E-2</v>
      </c>
      <c r="C5001">
        <f>7.439/(100)</f>
        <v>7.4389999999999998E-2</v>
      </c>
    </row>
    <row r="5002" spans="1:3" x14ac:dyDescent="0.3">
      <c r="A5002" s="2">
        <v>42257</v>
      </c>
      <c r="B5002">
        <f>7.25/(100)</f>
        <v>7.2499999999999995E-2</v>
      </c>
      <c r="C5002">
        <f>7.451/(100)</f>
        <v>7.4509999999999993E-2</v>
      </c>
    </row>
    <row r="5003" spans="1:3" x14ac:dyDescent="0.3">
      <c r="A5003" s="2">
        <v>42258</v>
      </c>
      <c r="B5003">
        <f>7.25/(100)</f>
        <v>7.2499999999999995E-2</v>
      </c>
      <c r="C5003">
        <f>7.458/(100)</f>
        <v>7.4580000000000007E-2</v>
      </c>
    </row>
    <row r="5004" spans="1:3" x14ac:dyDescent="0.3">
      <c r="A5004" s="2">
        <v>42259</v>
      </c>
      <c r="B5004">
        <f>7.25/(100)</f>
        <v>7.2499999999999995E-2</v>
      </c>
      <c r="C5004">
        <f>7.458/(100)</f>
        <v>7.4580000000000007E-2</v>
      </c>
    </row>
    <row r="5005" spans="1:3" x14ac:dyDescent="0.3">
      <c r="A5005" s="2">
        <v>42260</v>
      </c>
      <c r="B5005">
        <f>7.25/(100)</f>
        <v>7.2499999999999995E-2</v>
      </c>
      <c r="C5005">
        <f>7.458/(100)</f>
        <v>7.4580000000000007E-2</v>
      </c>
    </row>
    <row r="5006" spans="1:3" x14ac:dyDescent="0.3">
      <c r="A5006" s="2">
        <v>42261</v>
      </c>
      <c r="B5006">
        <f>7.25/(100)</f>
        <v>7.2499999999999995E-2</v>
      </c>
      <c r="C5006">
        <f>7.444/(100)</f>
        <v>7.4440000000000006E-2</v>
      </c>
    </row>
    <row r="5007" spans="1:3" x14ac:dyDescent="0.3">
      <c r="A5007" s="2">
        <v>42262</v>
      </c>
      <c r="B5007">
        <f>7.25/(100)</f>
        <v>7.2499999999999995E-2</v>
      </c>
      <c r="C5007">
        <f>7.451/(100)</f>
        <v>7.4509999999999993E-2</v>
      </c>
    </row>
    <row r="5008" spans="1:3" x14ac:dyDescent="0.3">
      <c r="A5008" s="2">
        <v>42263</v>
      </c>
      <c r="B5008">
        <f>7.25/(100)</f>
        <v>7.2499999999999995E-2</v>
      </c>
      <c r="C5008">
        <f>7.458/(100)</f>
        <v>7.4580000000000007E-2</v>
      </c>
    </row>
    <row r="5009" spans="1:3" x14ac:dyDescent="0.3">
      <c r="A5009" s="2">
        <v>42264</v>
      </c>
      <c r="B5009">
        <f>7.25/(100)</f>
        <v>7.2499999999999995E-2</v>
      </c>
      <c r="C5009">
        <f>7.457/(100)</f>
        <v>7.4569999999999997E-2</v>
      </c>
    </row>
    <row r="5010" spans="1:3" x14ac:dyDescent="0.3">
      <c r="A5010" s="2">
        <v>42265</v>
      </c>
      <c r="B5010">
        <f>7.25/(100)</f>
        <v>7.2499999999999995E-2</v>
      </c>
      <c r="C5010">
        <f>7.45/(100)</f>
        <v>7.4499999999999997E-2</v>
      </c>
    </row>
    <row r="5011" spans="1:3" x14ac:dyDescent="0.3">
      <c r="A5011" s="2">
        <v>42266</v>
      </c>
      <c r="B5011">
        <f>7.25/(100)</f>
        <v>7.2499999999999995E-2</v>
      </c>
      <c r="C5011">
        <f>7.45/(100)</f>
        <v>7.4499999999999997E-2</v>
      </c>
    </row>
    <row r="5012" spans="1:3" x14ac:dyDescent="0.3">
      <c r="A5012" s="2">
        <v>42267</v>
      </c>
      <c r="B5012">
        <f>7.25/(100)</f>
        <v>7.2499999999999995E-2</v>
      </c>
      <c r="C5012">
        <f>7.45/(100)</f>
        <v>7.4499999999999997E-2</v>
      </c>
    </row>
    <row r="5013" spans="1:3" x14ac:dyDescent="0.3">
      <c r="A5013" s="2">
        <v>42268</v>
      </c>
      <c r="B5013">
        <f>7.25/(100)</f>
        <v>7.2499999999999995E-2</v>
      </c>
      <c r="C5013">
        <f>7.464/(100)</f>
        <v>7.4639999999999998E-2</v>
      </c>
    </row>
    <row r="5014" spans="1:3" x14ac:dyDescent="0.3">
      <c r="A5014" s="2">
        <v>42269</v>
      </c>
      <c r="B5014">
        <f>7.25/(100)</f>
        <v>7.2499999999999995E-2</v>
      </c>
      <c r="C5014">
        <f>7.459/(100)</f>
        <v>7.458999999999999E-2</v>
      </c>
    </row>
    <row r="5015" spans="1:3" x14ac:dyDescent="0.3">
      <c r="A5015" s="2">
        <v>42270</v>
      </c>
      <c r="B5015">
        <f>7.25/(100)</f>
        <v>7.2499999999999995E-2</v>
      </c>
      <c r="C5015">
        <f>7.431/(100)</f>
        <v>7.4310000000000001E-2</v>
      </c>
    </row>
    <row r="5016" spans="1:3" x14ac:dyDescent="0.3">
      <c r="A5016" s="2">
        <v>42271</v>
      </c>
      <c r="B5016">
        <f>7.25/(100)</f>
        <v>7.2499999999999995E-2</v>
      </c>
      <c r="C5016">
        <f>7.46/(100)</f>
        <v>7.46E-2</v>
      </c>
    </row>
    <row r="5017" spans="1:3" x14ac:dyDescent="0.3">
      <c r="A5017" s="2">
        <v>42272</v>
      </c>
      <c r="B5017">
        <f>7.25/(100)</f>
        <v>7.2499999999999995E-2</v>
      </c>
      <c r="C5017">
        <f>7.457/(100)</f>
        <v>7.4569999999999997E-2</v>
      </c>
    </row>
    <row r="5018" spans="1:3" x14ac:dyDescent="0.3">
      <c r="A5018" s="2">
        <v>42273</v>
      </c>
      <c r="B5018">
        <f>7.25/(100)</f>
        <v>7.2499999999999995E-2</v>
      </c>
      <c r="C5018">
        <f>7.457/(100)</f>
        <v>7.4569999999999997E-2</v>
      </c>
    </row>
    <row r="5019" spans="1:3" x14ac:dyDescent="0.3">
      <c r="A5019" s="2">
        <v>42274</v>
      </c>
      <c r="B5019">
        <f>7.25/(100)</f>
        <v>7.2499999999999995E-2</v>
      </c>
      <c r="C5019">
        <f>7.457/(100)</f>
        <v>7.4569999999999997E-2</v>
      </c>
    </row>
    <row r="5020" spans="1:3" x14ac:dyDescent="0.3">
      <c r="A5020" s="2">
        <v>42275</v>
      </c>
      <c r="B5020">
        <f>7.25/(100)</f>
        <v>7.2499999999999995E-2</v>
      </c>
      <c r="C5020">
        <f>7.43/(100)</f>
        <v>7.4299999999999991E-2</v>
      </c>
    </row>
    <row r="5021" spans="1:3" x14ac:dyDescent="0.3">
      <c r="A5021" s="2">
        <v>42276</v>
      </c>
      <c r="B5021">
        <f>6.75/(100)</f>
        <v>6.7500000000000004E-2</v>
      </c>
      <c r="C5021">
        <f>7.302/(100)</f>
        <v>7.3020000000000002E-2</v>
      </c>
    </row>
    <row r="5022" spans="1:3" x14ac:dyDescent="0.3">
      <c r="A5022" s="2">
        <v>42277</v>
      </c>
      <c r="B5022">
        <f>6.75/(100)</f>
        <v>6.7500000000000004E-2</v>
      </c>
      <c r="C5022">
        <f>7.246/(100)</f>
        <v>7.2460000000000011E-2</v>
      </c>
    </row>
    <row r="5023" spans="1:3" x14ac:dyDescent="0.3">
      <c r="A5023" s="2">
        <v>42278</v>
      </c>
      <c r="B5023">
        <f>6.75/(100)</f>
        <v>6.7500000000000004E-2</v>
      </c>
      <c r="C5023">
        <f>7.292/(100)</f>
        <v>7.2919999999999999E-2</v>
      </c>
    </row>
    <row r="5024" spans="1:3" x14ac:dyDescent="0.3">
      <c r="A5024" s="2">
        <v>42279</v>
      </c>
      <c r="B5024">
        <f>6.75/(100)</f>
        <v>6.7500000000000004E-2</v>
      </c>
      <c r="C5024">
        <f>7.294/(100)</f>
        <v>7.2939999999999991E-2</v>
      </c>
    </row>
    <row r="5025" spans="1:3" x14ac:dyDescent="0.3">
      <c r="A5025" s="2">
        <v>42280</v>
      </c>
      <c r="B5025">
        <f>6.75/(100)</f>
        <v>6.7500000000000004E-2</v>
      </c>
      <c r="C5025">
        <f>7.294/(100)</f>
        <v>7.2939999999999991E-2</v>
      </c>
    </row>
    <row r="5026" spans="1:3" x14ac:dyDescent="0.3">
      <c r="A5026" s="2">
        <v>42281</v>
      </c>
      <c r="B5026">
        <f>6.75/(100)</f>
        <v>6.7500000000000004E-2</v>
      </c>
      <c r="C5026">
        <f>7.294/(100)</f>
        <v>7.2939999999999991E-2</v>
      </c>
    </row>
    <row r="5027" spans="1:3" x14ac:dyDescent="0.3">
      <c r="A5027" s="2">
        <v>42282</v>
      </c>
      <c r="B5027">
        <f>6.75/(100)</f>
        <v>6.7500000000000004E-2</v>
      </c>
      <c r="C5027">
        <f>7.2/(100)</f>
        <v>7.2000000000000008E-2</v>
      </c>
    </row>
    <row r="5028" spans="1:3" x14ac:dyDescent="0.3">
      <c r="A5028" s="2">
        <v>42283</v>
      </c>
      <c r="B5028">
        <f>6.75/(100)</f>
        <v>6.7500000000000004E-2</v>
      </c>
      <c r="C5028">
        <f>7.188/(100)</f>
        <v>7.1879999999999999E-2</v>
      </c>
    </row>
    <row r="5029" spans="1:3" x14ac:dyDescent="0.3">
      <c r="A5029" s="2">
        <v>42284</v>
      </c>
      <c r="B5029">
        <f>6.75/(100)</f>
        <v>6.7500000000000004E-2</v>
      </c>
      <c r="C5029">
        <f>7.184/(100)</f>
        <v>7.1840000000000001E-2</v>
      </c>
    </row>
    <row r="5030" spans="1:3" x14ac:dyDescent="0.3">
      <c r="A5030" s="2">
        <v>42285</v>
      </c>
      <c r="B5030">
        <f>6.75/(100)</f>
        <v>6.7500000000000004E-2</v>
      </c>
      <c r="C5030">
        <f>7.191/(100)</f>
        <v>7.1910000000000002E-2</v>
      </c>
    </row>
    <row r="5031" spans="1:3" x14ac:dyDescent="0.3">
      <c r="A5031" s="2">
        <v>42286</v>
      </c>
      <c r="B5031">
        <f>6.75/(100)</f>
        <v>6.7500000000000004E-2</v>
      </c>
      <c r="C5031">
        <f>7.191/(100)</f>
        <v>7.1910000000000002E-2</v>
      </c>
    </row>
    <row r="5032" spans="1:3" x14ac:dyDescent="0.3">
      <c r="A5032" s="2">
        <v>42287</v>
      </c>
      <c r="B5032">
        <f>6.75/(100)</f>
        <v>6.7500000000000004E-2</v>
      </c>
      <c r="C5032">
        <f>7.191/(100)</f>
        <v>7.1910000000000002E-2</v>
      </c>
    </row>
    <row r="5033" spans="1:3" x14ac:dyDescent="0.3">
      <c r="A5033" s="2">
        <v>42288</v>
      </c>
      <c r="B5033">
        <f>6.75/(100)</f>
        <v>6.7500000000000004E-2</v>
      </c>
      <c r="C5033">
        <f>7.191/(100)</f>
        <v>7.1910000000000002E-2</v>
      </c>
    </row>
    <row r="5034" spans="1:3" x14ac:dyDescent="0.3">
      <c r="A5034" s="2">
        <v>42289</v>
      </c>
      <c r="B5034">
        <f>6.75/(100)</f>
        <v>6.7500000000000004E-2</v>
      </c>
      <c r="C5034">
        <f>7.191/(100)</f>
        <v>7.1910000000000002E-2</v>
      </c>
    </row>
    <row r="5035" spans="1:3" x14ac:dyDescent="0.3">
      <c r="A5035" s="2">
        <v>42290</v>
      </c>
      <c r="B5035">
        <f>6.75/(100)</f>
        <v>6.7500000000000004E-2</v>
      </c>
      <c r="C5035">
        <f>7.183/(100)</f>
        <v>7.1830000000000005E-2</v>
      </c>
    </row>
    <row r="5036" spans="1:3" x14ac:dyDescent="0.3">
      <c r="A5036" s="2">
        <v>42291</v>
      </c>
      <c r="B5036">
        <f>6.75/(100)</f>
        <v>6.7500000000000004E-2</v>
      </c>
      <c r="C5036">
        <f>7.167/(100)</f>
        <v>7.1669999999999998E-2</v>
      </c>
    </row>
    <row r="5037" spans="1:3" x14ac:dyDescent="0.3">
      <c r="A5037" s="2">
        <v>42292</v>
      </c>
      <c r="B5037">
        <f>6.75/(100)</f>
        <v>6.7500000000000004E-2</v>
      </c>
      <c r="C5037">
        <f>7.178/(100)</f>
        <v>7.1779999999999997E-2</v>
      </c>
    </row>
    <row r="5038" spans="1:3" x14ac:dyDescent="0.3">
      <c r="A5038" s="2">
        <v>42293</v>
      </c>
      <c r="B5038">
        <f>6.75/(100)</f>
        <v>6.7500000000000004E-2</v>
      </c>
      <c r="C5038">
        <f>7.172/(100)</f>
        <v>7.1719999999999992E-2</v>
      </c>
    </row>
    <row r="5039" spans="1:3" x14ac:dyDescent="0.3">
      <c r="A5039" s="2">
        <v>42294</v>
      </c>
      <c r="B5039">
        <f>6.75/(100)</f>
        <v>6.7500000000000004E-2</v>
      </c>
      <c r="C5039">
        <f>7.172/(100)</f>
        <v>7.1719999999999992E-2</v>
      </c>
    </row>
    <row r="5040" spans="1:3" x14ac:dyDescent="0.3">
      <c r="A5040" s="2">
        <v>42295</v>
      </c>
      <c r="B5040">
        <f>6.75/(100)</f>
        <v>6.7500000000000004E-2</v>
      </c>
      <c r="C5040">
        <f>7.172/(100)</f>
        <v>7.1719999999999992E-2</v>
      </c>
    </row>
    <row r="5041" spans="1:3" x14ac:dyDescent="0.3">
      <c r="A5041" s="2">
        <v>42296</v>
      </c>
      <c r="B5041">
        <f>6.75/(100)</f>
        <v>6.7500000000000004E-2</v>
      </c>
      <c r="C5041">
        <f>7.198/(100)</f>
        <v>7.1980000000000002E-2</v>
      </c>
    </row>
    <row r="5042" spans="1:3" x14ac:dyDescent="0.3">
      <c r="A5042" s="2">
        <v>42297</v>
      </c>
      <c r="B5042">
        <f>6.75/(100)</f>
        <v>6.7500000000000004E-2</v>
      </c>
      <c r="C5042">
        <f>7.176/(100)</f>
        <v>7.1760000000000004E-2</v>
      </c>
    </row>
    <row r="5043" spans="1:3" x14ac:dyDescent="0.3">
      <c r="A5043" s="2">
        <v>42298</v>
      </c>
      <c r="B5043">
        <f>6.75/(100)</f>
        <v>6.7500000000000004E-2</v>
      </c>
      <c r="C5043">
        <f>7.17/(100)</f>
        <v>7.17E-2</v>
      </c>
    </row>
    <row r="5044" spans="1:3" x14ac:dyDescent="0.3">
      <c r="A5044" s="2">
        <v>42299</v>
      </c>
      <c r="B5044">
        <f>6.75/(100)</f>
        <v>6.7500000000000004E-2</v>
      </c>
      <c r="C5044">
        <f>7.168/(100)</f>
        <v>7.1680000000000008E-2</v>
      </c>
    </row>
    <row r="5045" spans="1:3" x14ac:dyDescent="0.3">
      <c r="A5045" s="2">
        <v>42300</v>
      </c>
      <c r="B5045">
        <f>6.75/(100)</f>
        <v>6.7500000000000004E-2</v>
      </c>
      <c r="C5045">
        <f>7.175/(100)</f>
        <v>7.1749999999999994E-2</v>
      </c>
    </row>
    <row r="5046" spans="1:3" x14ac:dyDescent="0.3">
      <c r="A5046" s="2">
        <v>42301</v>
      </c>
      <c r="B5046">
        <f>6.75/(100)</f>
        <v>6.7500000000000004E-2</v>
      </c>
      <c r="C5046">
        <f>7.175/(100)</f>
        <v>7.1749999999999994E-2</v>
      </c>
    </row>
    <row r="5047" spans="1:3" x14ac:dyDescent="0.3">
      <c r="A5047" s="2">
        <v>42302</v>
      </c>
      <c r="B5047">
        <f>6.75/(100)</f>
        <v>6.7500000000000004E-2</v>
      </c>
      <c r="C5047">
        <f>7.175/(100)</f>
        <v>7.1749999999999994E-2</v>
      </c>
    </row>
    <row r="5048" spans="1:3" x14ac:dyDescent="0.3">
      <c r="A5048" s="2">
        <v>42303</v>
      </c>
      <c r="B5048">
        <f>6.75/(100)</f>
        <v>6.7500000000000004E-2</v>
      </c>
      <c r="C5048">
        <f>7.194/(100)</f>
        <v>7.1940000000000004E-2</v>
      </c>
    </row>
    <row r="5049" spans="1:3" x14ac:dyDescent="0.3">
      <c r="A5049" s="2">
        <v>42304</v>
      </c>
      <c r="B5049">
        <f>6.75/(100)</f>
        <v>6.7500000000000004E-2</v>
      </c>
      <c r="C5049">
        <f>7.196/(100)</f>
        <v>7.1959999999999996E-2</v>
      </c>
    </row>
    <row r="5050" spans="1:3" x14ac:dyDescent="0.3">
      <c r="A5050" s="2">
        <v>42305</v>
      </c>
      <c r="B5050">
        <f>6.75/(100)</f>
        <v>6.7500000000000004E-2</v>
      </c>
      <c r="C5050">
        <f>7.208/(100)</f>
        <v>7.2080000000000005E-2</v>
      </c>
    </row>
    <row r="5051" spans="1:3" x14ac:dyDescent="0.3">
      <c r="A5051" s="2">
        <v>42306</v>
      </c>
      <c r="B5051">
        <f>6.75/(100)</f>
        <v>6.7500000000000004E-2</v>
      </c>
      <c r="C5051">
        <f>7.21/(100)</f>
        <v>7.2099999999999997E-2</v>
      </c>
    </row>
    <row r="5052" spans="1:3" x14ac:dyDescent="0.3">
      <c r="A5052" s="2">
        <v>42307</v>
      </c>
      <c r="B5052">
        <f>6.75/(100)</f>
        <v>6.7500000000000004E-2</v>
      </c>
      <c r="C5052">
        <f>7.195/(100)</f>
        <v>7.195E-2</v>
      </c>
    </row>
    <row r="5053" spans="1:3" x14ac:dyDescent="0.3">
      <c r="A5053" s="2">
        <v>42308</v>
      </c>
      <c r="B5053">
        <f>6.75/(100)</f>
        <v>6.7500000000000004E-2</v>
      </c>
      <c r="C5053">
        <f>7.195/(100)</f>
        <v>7.195E-2</v>
      </c>
    </row>
    <row r="5054" spans="1:3" x14ac:dyDescent="0.3">
      <c r="A5054" s="2">
        <v>42309</v>
      </c>
      <c r="B5054">
        <f>6.75/(100)</f>
        <v>6.7500000000000004E-2</v>
      </c>
      <c r="C5054">
        <f>7.195/(100)</f>
        <v>7.195E-2</v>
      </c>
    </row>
    <row r="5055" spans="1:3" x14ac:dyDescent="0.3">
      <c r="A5055" s="2">
        <v>42310</v>
      </c>
      <c r="B5055">
        <f>6.75/(100)</f>
        <v>6.7500000000000004E-2</v>
      </c>
      <c r="C5055">
        <f>7.209/(100)</f>
        <v>7.2090000000000001E-2</v>
      </c>
    </row>
    <row r="5056" spans="1:3" x14ac:dyDescent="0.3">
      <c r="A5056" s="2">
        <v>42311</v>
      </c>
      <c r="B5056">
        <f>6.75/(100)</f>
        <v>6.7500000000000004E-2</v>
      </c>
      <c r="C5056">
        <f>7.206/(100)</f>
        <v>7.2059999999999999E-2</v>
      </c>
    </row>
    <row r="5057" spans="1:3" x14ac:dyDescent="0.3">
      <c r="A5057" s="2">
        <v>42312</v>
      </c>
      <c r="B5057">
        <f>6.75/(100)</f>
        <v>6.7500000000000004E-2</v>
      </c>
      <c r="C5057">
        <f>7.209/(100)</f>
        <v>7.2090000000000001E-2</v>
      </c>
    </row>
    <row r="5058" spans="1:3" x14ac:dyDescent="0.3">
      <c r="A5058" s="2">
        <v>42313</v>
      </c>
      <c r="B5058">
        <f>6.75/(100)</f>
        <v>6.7500000000000004E-2</v>
      </c>
      <c r="C5058">
        <f>7.202/(100)</f>
        <v>7.2020000000000001E-2</v>
      </c>
    </row>
    <row r="5059" spans="1:3" x14ac:dyDescent="0.3">
      <c r="A5059" s="2">
        <v>42314</v>
      </c>
      <c r="B5059">
        <f>6.75/(100)</f>
        <v>6.7500000000000004E-2</v>
      </c>
      <c r="C5059">
        <f>7.243/(100)</f>
        <v>7.2430000000000008E-2</v>
      </c>
    </row>
    <row r="5060" spans="1:3" x14ac:dyDescent="0.3">
      <c r="A5060" s="2">
        <v>42315</v>
      </c>
      <c r="B5060">
        <f>6.75/(100)</f>
        <v>6.7500000000000004E-2</v>
      </c>
      <c r="C5060">
        <f>7.243/(100)</f>
        <v>7.2430000000000008E-2</v>
      </c>
    </row>
    <row r="5061" spans="1:3" x14ac:dyDescent="0.3">
      <c r="A5061" s="2">
        <v>42316</v>
      </c>
      <c r="B5061">
        <f>6.75/(100)</f>
        <v>6.7500000000000004E-2</v>
      </c>
      <c r="C5061">
        <f>7.243/(100)</f>
        <v>7.2430000000000008E-2</v>
      </c>
    </row>
    <row r="5062" spans="1:3" x14ac:dyDescent="0.3">
      <c r="A5062" s="2">
        <v>42317</v>
      </c>
      <c r="B5062">
        <f>6.75/(100)</f>
        <v>6.7500000000000004E-2</v>
      </c>
      <c r="C5062">
        <f>7.245/(100)</f>
        <v>7.2450000000000001E-2</v>
      </c>
    </row>
    <row r="5063" spans="1:3" x14ac:dyDescent="0.3">
      <c r="A5063" s="2">
        <v>42318</v>
      </c>
      <c r="B5063">
        <f>6.75/(100)</f>
        <v>6.7500000000000004E-2</v>
      </c>
      <c r="C5063">
        <f>7.265/(100)</f>
        <v>7.2649999999999992E-2</v>
      </c>
    </row>
    <row r="5064" spans="1:3" x14ac:dyDescent="0.3">
      <c r="A5064" s="2">
        <v>42319</v>
      </c>
      <c r="B5064">
        <f>6.75/(100)</f>
        <v>6.7500000000000004E-2</v>
      </c>
      <c r="C5064">
        <f>7.265/(100)</f>
        <v>7.2649999999999992E-2</v>
      </c>
    </row>
    <row r="5065" spans="1:3" x14ac:dyDescent="0.3">
      <c r="A5065" s="2">
        <v>42320</v>
      </c>
      <c r="B5065">
        <f>6.75/(100)</f>
        <v>6.7500000000000004E-2</v>
      </c>
      <c r="C5065">
        <f>7.265/(100)</f>
        <v>7.2649999999999992E-2</v>
      </c>
    </row>
    <row r="5066" spans="1:3" x14ac:dyDescent="0.3">
      <c r="A5066" s="2">
        <v>42321</v>
      </c>
      <c r="B5066">
        <f>6.75/(100)</f>
        <v>6.7500000000000004E-2</v>
      </c>
      <c r="C5066">
        <f>7.262/(100)</f>
        <v>7.261999999999999E-2</v>
      </c>
    </row>
    <row r="5067" spans="1:3" x14ac:dyDescent="0.3">
      <c r="A5067" s="2">
        <v>42322</v>
      </c>
      <c r="B5067">
        <f>6.75/(100)</f>
        <v>6.7500000000000004E-2</v>
      </c>
      <c r="C5067">
        <f>7.262/(100)</f>
        <v>7.261999999999999E-2</v>
      </c>
    </row>
    <row r="5068" spans="1:3" x14ac:dyDescent="0.3">
      <c r="A5068" s="2">
        <v>42323</v>
      </c>
      <c r="B5068">
        <f>6.75/(100)</f>
        <v>6.7500000000000004E-2</v>
      </c>
      <c r="C5068">
        <f>7.262/(100)</f>
        <v>7.261999999999999E-2</v>
      </c>
    </row>
    <row r="5069" spans="1:3" x14ac:dyDescent="0.3">
      <c r="A5069" s="2">
        <v>42324</v>
      </c>
      <c r="B5069">
        <f>6.75/(100)</f>
        <v>6.7500000000000004E-2</v>
      </c>
      <c r="C5069">
        <f>7.258/(100)</f>
        <v>7.2580000000000006E-2</v>
      </c>
    </row>
    <row r="5070" spans="1:3" x14ac:dyDescent="0.3">
      <c r="A5070" s="2">
        <v>42325</v>
      </c>
      <c r="B5070">
        <f>6.75/(100)</f>
        <v>6.7500000000000004E-2</v>
      </c>
      <c r="C5070">
        <f>7.236/(100)</f>
        <v>7.2359999999999994E-2</v>
      </c>
    </row>
    <row r="5071" spans="1:3" x14ac:dyDescent="0.3">
      <c r="A5071" s="2">
        <v>42326</v>
      </c>
      <c r="B5071">
        <f>6.75/(100)</f>
        <v>6.7500000000000004E-2</v>
      </c>
      <c r="C5071">
        <f>7.237/(100)</f>
        <v>7.2370000000000004E-2</v>
      </c>
    </row>
    <row r="5072" spans="1:3" x14ac:dyDescent="0.3">
      <c r="A5072" s="2">
        <v>42327</v>
      </c>
      <c r="B5072">
        <f>6.75/(100)</f>
        <v>6.7500000000000004E-2</v>
      </c>
      <c r="C5072">
        <f>7.223/(100)</f>
        <v>7.2230000000000003E-2</v>
      </c>
    </row>
    <row r="5073" spans="1:3" x14ac:dyDescent="0.3">
      <c r="A5073" s="2">
        <v>42328</v>
      </c>
      <c r="B5073">
        <f>6.75/(100)</f>
        <v>6.7500000000000004E-2</v>
      </c>
      <c r="C5073">
        <f>7.253/(100)</f>
        <v>7.2529999999999997E-2</v>
      </c>
    </row>
    <row r="5074" spans="1:3" x14ac:dyDescent="0.3">
      <c r="A5074" s="2">
        <v>42329</v>
      </c>
      <c r="B5074">
        <f>6.75/(100)</f>
        <v>6.7500000000000004E-2</v>
      </c>
      <c r="C5074">
        <f>7.253/(100)</f>
        <v>7.2529999999999997E-2</v>
      </c>
    </row>
    <row r="5075" spans="1:3" x14ac:dyDescent="0.3">
      <c r="A5075" s="2">
        <v>42330</v>
      </c>
      <c r="B5075">
        <f>6.75/(100)</f>
        <v>6.7500000000000004E-2</v>
      </c>
      <c r="C5075">
        <f>7.253/(100)</f>
        <v>7.2529999999999997E-2</v>
      </c>
    </row>
    <row r="5076" spans="1:3" x14ac:dyDescent="0.3">
      <c r="A5076" s="2">
        <v>42331</v>
      </c>
      <c r="B5076">
        <f>6.75/(100)</f>
        <v>6.7500000000000004E-2</v>
      </c>
      <c r="C5076">
        <f>7.256/(100)</f>
        <v>7.2559999999999999E-2</v>
      </c>
    </row>
    <row r="5077" spans="1:3" x14ac:dyDescent="0.3">
      <c r="A5077" s="2">
        <v>42332</v>
      </c>
      <c r="B5077">
        <f>6.75/(100)</f>
        <v>6.7500000000000004E-2</v>
      </c>
      <c r="C5077">
        <f>7.285/(100)</f>
        <v>7.2849999999999998E-2</v>
      </c>
    </row>
    <row r="5078" spans="1:3" x14ac:dyDescent="0.3">
      <c r="A5078" s="2">
        <v>42333</v>
      </c>
      <c r="B5078">
        <f>6.75/(100)</f>
        <v>6.7500000000000004E-2</v>
      </c>
      <c r="C5078">
        <f>7.285/(100)</f>
        <v>7.2849999999999998E-2</v>
      </c>
    </row>
    <row r="5079" spans="1:3" x14ac:dyDescent="0.3">
      <c r="A5079" s="2">
        <v>42334</v>
      </c>
      <c r="B5079">
        <f>6.75/(100)</f>
        <v>6.7500000000000004E-2</v>
      </c>
      <c r="C5079">
        <f>7.259/(100)</f>
        <v>7.2590000000000002E-2</v>
      </c>
    </row>
    <row r="5080" spans="1:3" x14ac:dyDescent="0.3">
      <c r="A5080" s="2">
        <v>42335</v>
      </c>
      <c r="B5080">
        <f>6.75/(100)</f>
        <v>6.7500000000000004E-2</v>
      </c>
      <c r="C5080">
        <f>7.248/(100)</f>
        <v>7.2480000000000003E-2</v>
      </c>
    </row>
    <row r="5081" spans="1:3" x14ac:dyDescent="0.3">
      <c r="A5081" s="2">
        <v>42336</v>
      </c>
      <c r="B5081">
        <f>6.75/(100)</f>
        <v>6.7500000000000004E-2</v>
      </c>
      <c r="C5081">
        <f>7.248/(100)</f>
        <v>7.2480000000000003E-2</v>
      </c>
    </row>
    <row r="5082" spans="1:3" x14ac:dyDescent="0.3">
      <c r="A5082" s="2">
        <v>42337</v>
      </c>
      <c r="B5082">
        <f>6.75/(100)</f>
        <v>6.7500000000000004E-2</v>
      </c>
      <c r="C5082">
        <f>7.248/(100)</f>
        <v>7.2480000000000003E-2</v>
      </c>
    </row>
    <row r="5083" spans="1:3" x14ac:dyDescent="0.3">
      <c r="A5083" s="2">
        <v>42338</v>
      </c>
      <c r="B5083">
        <f>6.75/(100)</f>
        <v>6.7500000000000004E-2</v>
      </c>
      <c r="C5083">
        <f>7.248/(100)</f>
        <v>7.2480000000000003E-2</v>
      </c>
    </row>
    <row r="5084" spans="1:3" x14ac:dyDescent="0.3">
      <c r="A5084" s="2">
        <v>42339</v>
      </c>
      <c r="B5084">
        <f>6.75/(100)</f>
        <v>6.7500000000000004E-2</v>
      </c>
      <c r="C5084">
        <f>7.249/(100)</f>
        <v>7.2489999999999999E-2</v>
      </c>
    </row>
    <row r="5085" spans="1:3" x14ac:dyDescent="0.3">
      <c r="A5085" s="2">
        <v>42340</v>
      </c>
      <c r="B5085">
        <f>6.75/(100)</f>
        <v>6.7500000000000004E-2</v>
      </c>
      <c r="C5085">
        <f>7.25/(100)</f>
        <v>7.2499999999999995E-2</v>
      </c>
    </row>
    <row r="5086" spans="1:3" x14ac:dyDescent="0.3">
      <c r="A5086" s="2">
        <v>42341</v>
      </c>
      <c r="B5086">
        <f>6.75/(100)</f>
        <v>6.7500000000000004E-2</v>
      </c>
      <c r="C5086">
        <f>7.25/(100)</f>
        <v>7.2499999999999995E-2</v>
      </c>
    </row>
    <row r="5087" spans="1:3" x14ac:dyDescent="0.3">
      <c r="A5087" s="2">
        <v>42342</v>
      </c>
      <c r="B5087">
        <f>6.75/(100)</f>
        <v>6.7500000000000004E-2</v>
      </c>
      <c r="C5087">
        <f>7.266/(100)</f>
        <v>7.2660000000000002E-2</v>
      </c>
    </row>
    <row r="5088" spans="1:3" x14ac:dyDescent="0.3">
      <c r="A5088" s="2">
        <v>42343</v>
      </c>
      <c r="B5088">
        <f>6.75/(100)</f>
        <v>6.7500000000000004E-2</v>
      </c>
      <c r="C5088">
        <f>7.266/(100)</f>
        <v>7.2660000000000002E-2</v>
      </c>
    </row>
    <row r="5089" spans="1:3" x14ac:dyDescent="0.3">
      <c r="A5089" s="2">
        <v>42344</v>
      </c>
      <c r="B5089">
        <f>6.75/(100)</f>
        <v>6.7500000000000004E-2</v>
      </c>
      <c r="C5089">
        <f>7.266/(100)</f>
        <v>7.2660000000000002E-2</v>
      </c>
    </row>
    <row r="5090" spans="1:3" x14ac:dyDescent="0.3">
      <c r="A5090" s="2">
        <v>42345</v>
      </c>
      <c r="B5090">
        <f>6.75/(100)</f>
        <v>6.7500000000000004E-2</v>
      </c>
      <c r="C5090">
        <f>7.271/(100)</f>
        <v>7.2709999999999997E-2</v>
      </c>
    </row>
    <row r="5091" spans="1:3" x14ac:dyDescent="0.3">
      <c r="A5091" s="2">
        <v>42346</v>
      </c>
      <c r="B5091">
        <f>6.75/(100)</f>
        <v>6.7500000000000004E-2</v>
      </c>
      <c r="C5091">
        <f>7.233/(100)</f>
        <v>7.2329999999999992E-2</v>
      </c>
    </row>
    <row r="5092" spans="1:3" x14ac:dyDescent="0.3">
      <c r="A5092" s="2">
        <v>42347</v>
      </c>
      <c r="B5092">
        <f>6.75/(100)</f>
        <v>6.7500000000000004E-2</v>
      </c>
      <c r="C5092">
        <f>7.242/(100)</f>
        <v>7.2419999999999998E-2</v>
      </c>
    </row>
    <row r="5093" spans="1:3" x14ac:dyDescent="0.3">
      <c r="A5093" s="2">
        <v>42348</v>
      </c>
      <c r="B5093">
        <f>6.75/(100)</f>
        <v>6.7500000000000004E-2</v>
      </c>
      <c r="C5093">
        <f>7.229/(100)</f>
        <v>7.2290000000000007E-2</v>
      </c>
    </row>
    <row r="5094" spans="1:3" x14ac:dyDescent="0.3">
      <c r="A5094" s="2">
        <v>42349</v>
      </c>
      <c r="B5094">
        <f>6.75/(100)</f>
        <v>6.7500000000000004E-2</v>
      </c>
      <c r="C5094">
        <f>7.231/(100)</f>
        <v>7.2309999999999999E-2</v>
      </c>
    </row>
    <row r="5095" spans="1:3" x14ac:dyDescent="0.3">
      <c r="A5095" s="2">
        <v>42350</v>
      </c>
      <c r="B5095">
        <f>6.75/(100)</f>
        <v>6.7500000000000004E-2</v>
      </c>
      <c r="C5095">
        <f>7.231/(100)</f>
        <v>7.2309999999999999E-2</v>
      </c>
    </row>
    <row r="5096" spans="1:3" x14ac:dyDescent="0.3">
      <c r="A5096" s="2">
        <v>42351</v>
      </c>
      <c r="B5096">
        <f>6.75/(100)</f>
        <v>6.7500000000000004E-2</v>
      </c>
      <c r="C5096">
        <f>7.231/(100)</f>
        <v>7.2309999999999999E-2</v>
      </c>
    </row>
    <row r="5097" spans="1:3" x14ac:dyDescent="0.3">
      <c r="A5097" s="2">
        <v>42352</v>
      </c>
      <c r="B5097">
        <f>6.75/(100)</f>
        <v>6.7500000000000004E-2</v>
      </c>
      <c r="C5097">
        <f>7.246/(100)</f>
        <v>7.2460000000000011E-2</v>
      </c>
    </row>
    <row r="5098" spans="1:3" x14ac:dyDescent="0.3">
      <c r="A5098" s="2">
        <v>42353</v>
      </c>
      <c r="B5098">
        <f>6.75/(100)</f>
        <v>6.7500000000000004E-2</v>
      </c>
      <c r="C5098">
        <f>7.235/(100)</f>
        <v>7.2349999999999998E-2</v>
      </c>
    </row>
    <row r="5099" spans="1:3" x14ac:dyDescent="0.3">
      <c r="A5099" s="2">
        <v>42354</v>
      </c>
      <c r="B5099">
        <f>6.75/(100)</f>
        <v>6.7500000000000004E-2</v>
      </c>
      <c r="C5099">
        <f>7.236/(100)</f>
        <v>7.2359999999999994E-2</v>
      </c>
    </row>
    <row r="5100" spans="1:3" x14ac:dyDescent="0.3">
      <c r="A5100" s="2">
        <v>42355</v>
      </c>
      <c r="B5100">
        <f>6.75/(100)</f>
        <v>6.7500000000000004E-2</v>
      </c>
      <c r="C5100">
        <f>7.234/(100)</f>
        <v>7.2340000000000002E-2</v>
      </c>
    </row>
    <row r="5101" spans="1:3" x14ac:dyDescent="0.3">
      <c r="A5101" s="2">
        <v>42356</v>
      </c>
      <c r="B5101">
        <f>6.75/(100)</f>
        <v>6.7500000000000004E-2</v>
      </c>
      <c r="C5101">
        <f>7.222/(100)</f>
        <v>7.2220000000000006E-2</v>
      </c>
    </row>
    <row r="5102" spans="1:3" x14ac:dyDescent="0.3">
      <c r="A5102" s="2">
        <v>42357</v>
      </c>
      <c r="B5102">
        <f>6.75/(100)</f>
        <v>6.7500000000000004E-2</v>
      </c>
      <c r="C5102">
        <f>7.222/(100)</f>
        <v>7.2220000000000006E-2</v>
      </c>
    </row>
    <row r="5103" spans="1:3" x14ac:dyDescent="0.3">
      <c r="A5103" s="2">
        <v>42358</v>
      </c>
      <c r="B5103">
        <f>6.75/(100)</f>
        <v>6.7500000000000004E-2</v>
      </c>
      <c r="C5103">
        <f>7.222/(100)</f>
        <v>7.2220000000000006E-2</v>
      </c>
    </row>
    <row r="5104" spans="1:3" x14ac:dyDescent="0.3">
      <c r="A5104" s="2">
        <v>42359</v>
      </c>
      <c r="B5104">
        <f>6.75/(100)</f>
        <v>6.7500000000000004E-2</v>
      </c>
      <c r="C5104">
        <f>7.238/(100)</f>
        <v>7.238E-2</v>
      </c>
    </row>
    <row r="5105" spans="1:3" x14ac:dyDescent="0.3">
      <c r="A5105" s="2">
        <v>42360</v>
      </c>
      <c r="B5105">
        <f>6.75/(100)</f>
        <v>6.7500000000000004E-2</v>
      </c>
      <c r="C5105">
        <f>7.239/(100)</f>
        <v>7.2389999999999996E-2</v>
      </c>
    </row>
    <row r="5106" spans="1:3" x14ac:dyDescent="0.3">
      <c r="A5106" s="2">
        <v>42361</v>
      </c>
      <c r="B5106">
        <f>6.75/(100)</f>
        <v>6.7500000000000004E-2</v>
      </c>
      <c r="C5106">
        <f>7.23/(100)</f>
        <v>7.2300000000000003E-2</v>
      </c>
    </row>
    <row r="5107" spans="1:3" x14ac:dyDescent="0.3">
      <c r="A5107" s="2">
        <v>42362</v>
      </c>
      <c r="B5107">
        <f>6.75/(100)</f>
        <v>6.7500000000000004E-2</v>
      </c>
      <c r="C5107">
        <f>7.229/(100)</f>
        <v>7.2290000000000007E-2</v>
      </c>
    </row>
    <row r="5108" spans="1:3" x14ac:dyDescent="0.3">
      <c r="A5108" s="2">
        <v>42363</v>
      </c>
      <c r="B5108">
        <f>6.75/(100)</f>
        <v>6.7500000000000004E-2</v>
      </c>
      <c r="C5108">
        <f>7.229/(100)</f>
        <v>7.2290000000000007E-2</v>
      </c>
    </row>
    <row r="5109" spans="1:3" x14ac:dyDescent="0.3">
      <c r="A5109" s="2">
        <v>42364</v>
      </c>
      <c r="B5109">
        <f>6.75/(100)</f>
        <v>6.7500000000000004E-2</v>
      </c>
      <c r="C5109">
        <f>7.229/(100)</f>
        <v>7.2290000000000007E-2</v>
      </c>
    </row>
    <row r="5110" spans="1:3" x14ac:dyDescent="0.3">
      <c r="A5110" s="2">
        <v>42365</v>
      </c>
      <c r="B5110">
        <f>6.75/(100)</f>
        <v>6.7500000000000004E-2</v>
      </c>
      <c r="C5110">
        <f>7.229/(100)</f>
        <v>7.2290000000000007E-2</v>
      </c>
    </row>
    <row r="5111" spans="1:3" x14ac:dyDescent="0.3">
      <c r="A5111" s="2">
        <v>42366</v>
      </c>
      <c r="B5111">
        <f>6.75/(100)</f>
        <v>6.7500000000000004E-2</v>
      </c>
      <c r="C5111">
        <f>7.241/(100)</f>
        <v>7.2410000000000002E-2</v>
      </c>
    </row>
    <row r="5112" spans="1:3" x14ac:dyDescent="0.3">
      <c r="A5112" s="2">
        <v>42367</v>
      </c>
      <c r="B5112">
        <f>6.75/(100)</f>
        <v>6.7500000000000004E-2</v>
      </c>
      <c r="C5112">
        <f>7.277/(100)</f>
        <v>7.2770000000000001E-2</v>
      </c>
    </row>
    <row r="5113" spans="1:3" x14ac:dyDescent="0.3">
      <c r="A5113" s="2">
        <v>42368</v>
      </c>
      <c r="B5113">
        <f>6.75/(100)</f>
        <v>6.7500000000000004E-2</v>
      </c>
      <c r="C5113">
        <f>7.295/(100)</f>
        <v>7.2950000000000001E-2</v>
      </c>
    </row>
    <row r="5114" spans="1:3" x14ac:dyDescent="0.3">
      <c r="A5114" s="2">
        <v>42369</v>
      </c>
      <c r="B5114">
        <f>6.75/(100)</f>
        <v>6.7500000000000004E-2</v>
      </c>
      <c r="C5114">
        <f>7.297/(100)</f>
        <v>7.2969999999999993E-2</v>
      </c>
    </row>
    <row r="5115" spans="1:3" x14ac:dyDescent="0.3">
      <c r="A5115" s="2">
        <v>42370</v>
      </c>
      <c r="B5115">
        <f>6.75/(100)</f>
        <v>6.7500000000000004E-2</v>
      </c>
      <c r="C5115">
        <f>7.325/(100)</f>
        <v>7.3249999999999996E-2</v>
      </c>
    </row>
    <row r="5116" spans="1:3" x14ac:dyDescent="0.3">
      <c r="A5116" s="2">
        <v>42371</v>
      </c>
      <c r="B5116">
        <f>6.75/(100)</f>
        <v>6.7500000000000004E-2</v>
      </c>
      <c r="C5116">
        <f>7.325/(100)</f>
        <v>7.3249999999999996E-2</v>
      </c>
    </row>
    <row r="5117" spans="1:3" x14ac:dyDescent="0.3">
      <c r="A5117" s="2">
        <v>42372</v>
      </c>
      <c r="B5117">
        <f>6.75/(100)</f>
        <v>6.7500000000000004E-2</v>
      </c>
      <c r="C5117">
        <f>7.325/(100)</f>
        <v>7.3249999999999996E-2</v>
      </c>
    </row>
    <row r="5118" spans="1:3" x14ac:dyDescent="0.3">
      <c r="A5118" s="2">
        <v>42373</v>
      </c>
      <c r="B5118">
        <f>6.75/(100)</f>
        <v>6.7500000000000004E-2</v>
      </c>
      <c r="C5118">
        <f>7.272/(100)</f>
        <v>7.2720000000000007E-2</v>
      </c>
    </row>
    <row r="5119" spans="1:3" x14ac:dyDescent="0.3">
      <c r="A5119" s="2">
        <v>42374</v>
      </c>
      <c r="B5119">
        <f>6.75/(100)</f>
        <v>6.7500000000000004E-2</v>
      </c>
      <c r="C5119">
        <f>7.257/(100)</f>
        <v>7.2569999999999996E-2</v>
      </c>
    </row>
    <row r="5120" spans="1:3" x14ac:dyDescent="0.3">
      <c r="A5120" s="2">
        <v>42375</v>
      </c>
      <c r="B5120">
        <f>6.75/(100)</f>
        <v>6.7500000000000004E-2</v>
      </c>
      <c r="C5120">
        <f>7.306/(100)</f>
        <v>7.306E-2</v>
      </c>
    </row>
    <row r="5121" spans="1:3" x14ac:dyDescent="0.3">
      <c r="A5121" s="2">
        <v>42376</v>
      </c>
      <c r="B5121">
        <f>6.75/(100)</f>
        <v>6.7500000000000004E-2</v>
      </c>
      <c r="C5121">
        <f>7.259/(100)</f>
        <v>7.2590000000000002E-2</v>
      </c>
    </row>
    <row r="5122" spans="1:3" x14ac:dyDescent="0.3">
      <c r="A5122" s="2">
        <v>42377</v>
      </c>
      <c r="B5122">
        <f>6.75/(100)</f>
        <v>6.7500000000000004E-2</v>
      </c>
      <c r="C5122">
        <f>7.279/(100)</f>
        <v>7.2789999999999994E-2</v>
      </c>
    </row>
    <row r="5123" spans="1:3" x14ac:dyDescent="0.3">
      <c r="A5123" s="2">
        <v>42378</v>
      </c>
      <c r="B5123">
        <f>6.75/(100)</f>
        <v>6.7500000000000004E-2</v>
      </c>
      <c r="C5123">
        <f>7.279/(100)</f>
        <v>7.2789999999999994E-2</v>
      </c>
    </row>
    <row r="5124" spans="1:3" x14ac:dyDescent="0.3">
      <c r="A5124" s="2">
        <v>42379</v>
      </c>
      <c r="B5124">
        <f>6.75/(100)</f>
        <v>6.7500000000000004E-2</v>
      </c>
      <c r="C5124">
        <f>7.279/(100)</f>
        <v>7.2789999999999994E-2</v>
      </c>
    </row>
    <row r="5125" spans="1:3" x14ac:dyDescent="0.3">
      <c r="A5125" s="2">
        <v>42380</v>
      </c>
      <c r="B5125">
        <f>6.75/(100)</f>
        <v>6.7500000000000004E-2</v>
      </c>
      <c r="C5125">
        <f>7.266/(100)</f>
        <v>7.2660000000000002E-2</v>
      </c>
    </row>
    <row r="5126" spans="1:3" x14ac:dyDescent="0.3">
      <c r="A5126" s="2">
        <v>42381</v>
      </c>
      <c r="B5126">
        <f>6.75/(100)</f>
        <v>6.7500000000000004E-2</v>
      </c>
      <c r="C5126">
        <f>7.248/(100)</f>
        <v>7.2480000000000003E-2</v>
      </c>
    </row>
    <row r="5127" spans="1:3" x14ac:dyDescent="0.3">
      <c r="A5127" s="2">
        <v>42382</v>
      </c>
      <c r="B5127">
        <f>6.75/(100)</f>
        <v>6.7500000000000004E-2</v>
      </c>
      <c r="C5127">
        <f>7.251/(100)</f>
        <v>7.2510000000000005E-2</v>
      </c>
    </row>
    <row r="5128" spans="1:3" x14ac:dyDescent="0.3">
      <c r="A5128" s="2">
        <v>42383</v>
      </c>
      <c r="B5128">
        <f>6.75/(100)</f>
        <v>6.7500000000000004E-2</v>
      </c>
      <c r="C5128">
        <f>7.251/(100)</f>
        <v>7.2510000000000005E-2</v>
      </c>
    </row>
    <row r="5129" spans="1:3" x14ac:dyDescent="0.3">
      <c r="A5129" s="2">
        <v>42384</v>
      </c>
      <c r="B5129">
        <f>6.75/(100)</f>
        <v>6.7500000000000004E-2</v>
      </c>
      <c r="C5129">
        <f>7.255/(100)</f>
        <v>7.2550000000000003E-2</v>
      </c>
    </row>
    <row r="5130" spans="1:3" x14ac:dyDescent="0.3">
      <c r="A5130" s="2">
        <v>42385</v>
      </c>
      <c r="B5130">
        <f>6.75/(100)</f>
        <v>6.7500000000000004E-2</v>
      </c>
      <c r="C5130">
        <f>7.255/(100)</f>
        <v>7.2550000000000003E-2</v>
      </c>
    </row>
    <row r="5131" spans="1:3" x14ac:dyDescent="0.3">
      <c r="A5131" s="2">
        <v>42386</v>
      </c>
      <c r="B5131">
        <f>6.75/(100)</f>
        <v>6.7500000000000004E-2</v>
      </c>
      <c r="C5131">
        <f>7.255/(100)</f>
        <v>7.2550000000000003E-2</v>
      </c>
    </row>
    <row r="5132" spans="1:3" x14ac:dyDescent="0.3">
      <c r="A5132" s="2">
        <v>42387</v>
      </c>
      <c r="B5132">
        <f>6.75/(100)</f>
        <v>6.7500000000000004E-2</v>
      </c>
      <c r="C5132">
        <f>7.258/(100)</f>
        <v>7.2580000000000006E-2</v>
      </c>
    </row>
    <row r="5133" spans="1:3" x14ac:dyDescent="0.3">
      <c r="A5133" s="2">
        <v>42388</v>
      </c>
      <c r="B5133">
        <f>6.75/(100)</f>
        <v>6.7500000000000004E-2</v>
      </c>
      <c r="C5133">
        <f>7.242/(100)</f>
        <v>7.2419999999999998E-2</v>
      </c>
    </row>
    <row r="5134" spans="1:3" x14ac:dyDescent="0.3">
      <c r="A5134" s="2">
        <v>42389</v>
      </c>
      <c r="B5134">
        <f>6.75/(100)</f>
        <v>6.7500000000000004E-2</v>
      </c>
      <c r="C5134">
        <f>7.225/(100)</f>
        <v>7.2249999999999995E-2</v>
      </c>
    </row>
    <row r="5135" spans="1:3" x14ac:dyDescent="0.3">
      <c r="A5135" s="2">
        <v>42390</v>
      </c>
      <c r="B5135">
        <f>6.75/(100)</f>
        <v>6.7500000000000004E-2</v>
      </c>
      <c r="C5135">
        <f>7.227/(100)</f>
        <v>7.2270000000000001E-2</v>
      </c>
    </row>
    <row r="5136" spans="1:3" x14ac:dyDescent="0.3">
      <c r="A5136" s="2">
        <v>42391</v>
      </c>
      <c r="B5136">
        <f>6.75/(100)</f>
        <v>6.7500000000000004E-2</v>
      </c>
      <c r="C5136">
        <f>7.241/(100)</f>
        <v>7.2410000000000002E-2</v>
      </c>
    </row>
    <row r="5137" spans="1:3" x14ac:dyDescent="0.3">
      <c r="A5137" s="2">
        <v>42392</v>
      </c>
      <c r="B5137">
        <f>6.75/(100)</f>
        <v>6.7500000000000004E-2</v>
      </c>
      <c r="C5137">
        <f>7.241/(100)</f>
        <v>7.2410000000000002E-2</v>
      </c>
    </row>
    <row r="5138" spans="1:3" x14ac:dyDescent="0.3">
      <c r="A5138" s="2">
        <v>42393</v>
      </c>
      <c r="B5138">
        <f>6.75/(100)</f>
        <v>6.7500000000000004E-2</v>
      </c>
      <c r="C5138">
        <f>7.241/(100)</f>
        <v>7.2410000000000002E-2</v>
      </c>
    </row>
    <row r="5139" spans="1:3" x14ac:dyDescent="0.3">
      <c r="A5139" s="2">
        <v>42394</v>
      </c>
      <c r="B5139">
        <f>6.75/(100)</f>
        <v>6.7500000000000004E-2</v>
      </c>
      <c r="C5139">
        <f>7.214/(100)</f>
        <v>7.214000000000001E-2</v>
      </c>
    </row>
    <row r="5140" spans="1:3" x14ac:dyDescent="0.3">
      <c r="A5140" s="2">
        <v>42395</v>
      </c>
      <c r="B5140">
        <f>6.75/(100)</f>
        <v>6.7500000000000004E-2</v>
      </c>
      <c r="C5140">
        <f>7.214/(100)</f>
        <v>7.214000000000001E-2</v>
      </c>
    </row>
    <row r="5141" spans="1:3" x14ac:dyDescent="0.3">
      <c r="A5141" s="2">
        <v>42396</v>
      </c>
      <c r="B5141">
        <f>6.75/(100)</f>
        <v>6.7500000000000004E-2</v>
      </c>
      <c r="C5141">
        <f>7.216/(100)</f>
        <v>7.2160000000000002E-2</v>
      </c>
    </row>
    <row r="5142" spans="1:3" x14ac:dyDescent="0.3">
      <c r="A5142" s="2">
        <v>42397</v>
      </c>
      <c r="B5142">
        <f>6.75/(100)</f>
        <v>6.7500000000000004E-2</v>
      </c>
      <c r="C5142">
        <f>7.213/(100)</f>
        <v>7.213E-2</v>
      </c>
    </row>
    <row r="5143" spans="1:3" x14ac:dyDescent="0.3">
      <c r="A5143" s="2">
        <v>42398</v>
      </c>
      <c r="B5143">
        <f>6.75/(100)</f>
        <v>6.7500000000000004E-2</v>
      </c>
      <c r="C5143">
        <f>7.254/(100)</f>
        <v>7.2539999999999993E-2</v>
      </c>
    </row>
    <row r="5144" spans="1:3" x14ac:dyDescent="0.3">
      <c r="A5144" s="2">
        <v>42399</v>
      </c>
      <c r="B5144">
        <f>6.75/(100)</f>
        <v>6.7500000000000004E-2</v>
      </c>
      <c r="C5144">
        <f>7.254/(100)</f>
        <v>7.2539999999999993E-2</v>
      </c>
    </row>
    <row r="5145" spans="1:3" x14ac:dyDescent="0.3">
      <c r="A5145" s="2">
        <v>42400</v>
      </c>
      <c r="B5145">
        <f>6.75/(100)</f>
        <v>6.7500000000000004E-2</v>
      </c>
      <c r="C5145">
        <f>7.254/(100)</f>
        <v>7.2539999999999993E-2</v>
      </c>
    </row>
    <row r="5146" spans="1:3" x14ac:dyDescent="0.3">
      <c r="A5146" s="2">
        <v>42401</v>
      </c>
      <c r="B5146">
        <f>6.75/(100)</f>
        <v>6.7500000000000004E-2</v>
      </c>
      <c r="C5146">
        <f>7.217/(100)</f>
        <v>7.2169999999999998E-2</v>
      </c>
    </row>
    <row r="5147" spans="1:3" x14ac:dyDescent="0.3">
      <c r="A5147" s="2">
        <v>42402</v>
      </c>
      <c r="B5147">
        <f>6.75/(100)</f>
        <v>6.7500000000000004E-2</v>
      </c>
      <c r="C5147">
        <f>7.264/(100)</f>
        <v>7.2639999999999996E-2</v>
      </c>
    </row>
    <row r="5148" spans="1:3" x14ac:dyDescent="0.3">
      <c r="A5148" s="2">
        <v>42403</v>
      </c>
      <c r="B5148">
        <f>6.75/(100)</f>
        <v>6.7500000000000004E-2</v>
      </c>
      <c r="C5148">
        <f>7.261/(100)</f>
        <v>7.2610000000000008E-2</v>
      </c>
    </row>
    <row r="5149" spans="1:3" x14ac:dyDescent="0.3">
      <c r="A5149" s="2">
        <v>42404</v>
      </c>
      <c r="B5149">
        <f>6.75/(100)</f>
        <v>6.7500000000000004E-2</v>
      </c>
      <c r="C5149">
        <f>7.27/(100)</f>
        <v>7.2700000000000001E-2</v>
      </c>
    </row>
    <row r="5150" spans="1:3" x14ac:dyDescent="0.3">
      <c r="A5150" s="2">
        <v>42405</v>
      </c>
      <c r="B5150">
        <f>6.75/(100)</f>
        <v>6.7500000000000004E-2</v>
      </c>
      <c r="C5150">
        <f>7.241/(100)</f>
        <v>7.2410000000000002E-2</v>
      </c>
    </row>
    <row r="5151" spans="1:3" x14ac:dyDescent="0.3">
      <c r="A5151" s="2">
        <v>42406</v>
      </c>
      <c r="B5151">
        <f>6.75/(100)</f>
        <v>6.7500000000000004E-2</v>
      </c>
      <c r="C5151">
        <f>7.241/(100)</f>
        <v>7.2410000000000002E-2</v>
      </c>
    </row>
    <row r="5152" spans="1:3" x14ac:dyDescent="0.3">
      <c r="A5152" s="2">
        <v>42407</v>
      </c>
      <c r="B5152">
        <f>6.75/(100)</f>
        <v>6.7500000000000004E-2</v>
      </c>
      <c r="C5152">
        <f>7.241/(100)</f>
        <v>7.2410000000000002E-2</v>
      </c>
    </row>
    <row r="5153" spans="1:3" x14ac:dyDescent="0.3">
      <c r="A5153" s="2">
        <v>42408</v>
      </c>
      <c r="B5153">
        <f>6.75/(100)</f>
        <v>6.7500000000000004E-2</v>
      </c>
      <c r="C5153">
        <f>7.307/(100)</f>
        <v>7.307000000000001E-2</v>
      </c>
    </row>
    <row r="5154" spans="1:3" x14ac:dyDescent="0.3">
      <c r="A5154" s="2">
        <v>42409</v>
      </c>
      <c r="B5154">
        <f>6.75/(100)</f>
        <v>6.7500000000000004E-2</v>
      </c>
      <c r="C5154">
        <f>7.256/(100)</f>
        <v>7.2559999999999999E-2</v>
      </c>
    </row>
    <row r="5155" spans="1:3" x14ac:dyDescent="0.3">
      <c r="A5155" s="2">
        <v>42410</v>
      </c>
      <c r="B5155">
        <f>6.75/(100)</f>
        <v>6.7500000000000004E-2</v>
      </c>
      <c r="C5155">
        <f>7.271/(100)</f>
        <v>7.2709999999999997E-2</v>
      </c>
    </row>
    <row r="5156" spans="1:3" x14ac:dyDescent="0.3">
      <c r="A5156" s="2">
        <v>42411</v>
      </c>
      <c r="B5156">
        <f>6.75/(100)</f>
        <v>6.7500000000000004E-2</v>
      </c>
      <c r="C5156">
        <f>7.268/(100)</f>
        <v>7.2679999999999995E-2</v>
      </c>
    </row>
    <row r="5157" spans="1:3" x14ac:dyDescent="0.3">
      <c r="A5157" s="2">
        <v>42412</v>
      </c>
      <c r="B5157">
        <f>6.75/(100)</f>
        <v>6.7500000000000004E-2</v>
      </c>
      <c r="C5157">
        <f>7.284/(100)</f>
        <v>7.2840000000000002E-2</v>
      </c>
    </row>
    <row r="5158" spans="1:3" x14ac:dyDescent="0.3">
      <c r="A5158" s="2">
        <v>42413</v>
      </c>
      <c r="B5158">
        <f>6.75/(100)</f>
        <v>6.7500000000000004E-2</v>
      </c>
      <c r="C5158">
        <f>7.284/(100)</f>
        <v>7.2840000000000002E-2</v>
      </c>
    </row>
    <row r="5159" spans="1:3" x14ac:dyDescent="0.3">
      <c r="A5159" s="2">
        <v>42414</v>
      </c>
      <c r="B5159">
        <f>6.75/(100)</f>
        <v>6.7500000000000004E-2</v>
      </c>
      <c r="C5159">
        <f>7.284/(100)</f>
        <v>7.2840000000000002E-2</v>
      </c>
    </row>
    <row r="5160" spans="1:3" x14ac:dyDescent="0.3">
      <c r="A5160" s="2">
        <v>42415</v>
      </c>
      <c r="B5160">
        <f>6.75/(100)</f>
        <v>6.7500000000000004E-2</v>
      </c>
      <c r="C5160">
        <f>7.267/(100)</f>
        <v>7.2669999999999998E-2</v>
      </c>
    </row>
    <row r="5161" spans="1:3" x14ac:dyDescent="0.3">
      <c r="A5161" s="2">
        <v>42416</v>
      </c>
      <c r="B5161">
        <f>6.75/(100)</f>
        <v>6.7500000000000004E-2</v>
      </c>
      <c r="C5161">
        <f>7.365/(100)</f>
        <v>7.3650000000000007E-2</v>
      </c>
    </row>
    <row r="5162" spans="1:3" x14ac:dyDescent="0.3">
      <c r="A5162" s="2">
        <v>42417</v>
      </c>
      <c r="B5162">
        <f>6.75/(100)</f>
        <v>6.7500000000000004E-2</v>
      </c>
      <c r="C5162">
        <f>7.275/(100)</f>
        <v>7.2750000000000009E-2</v>
      </c>
    </row>
    <row r="5163" spans="1:3" x14ac:dyDescent="0.3">
      <c r="A5163" s="2">
        <v>42418</v>
      </c>
      <c r="B5163">
        <f>6.75/(100)</f>
        <v>6.7500000000000004E-2</v>
      </c>
      <c r="C5163">
        <f>7.318/(100)</f>
        <v>7.3179999999999995E-2</v>
      </c>
    </row>
    <row r="5164" spans="1:3" x14ac:dyDescent="0.3">
      <c r="A5164" s="2">
        <v>42419</v>
      </c>
      <c r="B5164">
        <f>6.75/(100)</f>
        <v>6.7500000000000004E-2</v>
      </c>
      <c r="C5164">
        <f>7.319/(100)</f>
        <v>7.3190000000000005E-2</v>
      </c>
    </row>
    <row r="5165" spans="1:3" x14ac:dyDescent="0.3">
      <c r="A5165" s="2">
        <v>42420</v>
      </c>
      <c r="B5165">
        <f>6.75/(100)</f>
        <v>6.7500000000000004E-2</v>
      </c>
      <c r="C5165">
        <f>7.319/(100)</f>
        <v>7.3190000000000005E-2</v>
      </c>
    </row>
    <row r="5166" spans="1:3" x14ac:dyDescent="0.3">
      <c r="A5166" s="2">
        <v>42421</v>
      </c>
      <c r="B5166">
        <f>6.75/(100)</f>
        <v>6.7500000000000004E-2</v>
      </c>
      <c r="C5166">
        <f>7.319/(100)</f>
        <v>7.3190000000000005E-2</v>
      </c>
    </row>
    <row r="5167" spans="1:3" x14ac:dyDescent="0.3">
      <c r="A5167" s="2">
        <v>42422</v>
      </c>
      <c r="B5167">
        <f>6.75/(100)</f>
        <v>6.7500000000000004E-2</v>
      </c>
      <c r="C5167">
        <f>7.373/(100)</f>
        <v>7.3730000000000004E-2</v>
      </c>
    </row>
    <row r="5168" spans="1:3" x14ac:dyDescent="0.3">
      <c r="A5168" s="2">
        <v>42423</v>
      </c>
      <c r="B5168">
        <f>6.75/(100)</f>
        <v>6.7500000000000004E-2</v>
      </c>
      <c r="C5168">
        <f>7.367/(100)</f>
        <v>7.3669999999999999E-2</v>
      </c>
    </row>
    <row r="5169" spans="1:3" x14ac:dyDescent="0.3">
      <c r="A5169" s="2">
        <v>42424</v>
      </c>
      <c r="B5169">
        <f>6.75/(100)</f>
        <v>6.7500000000000004E-2</v>
      </c>
      <c r="C5169">
        <f>7.376/(100)</f>
        <v>7.3760000000000006E-2</v>
      </c>
    </row>
    <row r="5170" spans="1:3" x14ac:dyDescent="0.3">
      <c r="A5170" s="2">
        <v>42425</v>
      </c>
      <c r="B5170">
        <f>6.75/(100)</f>
        <v>6.7500000000000004E-2</v>
      </c>
      <c r="C5170">
        <f>7.37/(100)</f>
        <v>7.3700000000000002E-2</v>
      </c>
    </row>
    <row r="5171" spans="1:3" x14ac:dyDescent="0.3">
      <c r="A5171" s="2">
        <v>42426</v>
      </c>
      <c r="B5171">
        <f>6.75/(100)</f>
        <v>6.7500000000000004E-2</v>
      </c>
      <c r="C5171">
        <f>7.384/(100)</f>
        <v>7.3840000000000003E-2</v>
      </c>
    </row>
    <row r="5172" spans="1:3" x14ac:dyDescent="0.3">
      <c r="A5172" s="2">
        <v>42427</v>
      </c>
      <c r="B5172">
        <f>6.75/(100)</f>
        <v>6.7500000000000004E-2</v>
      </c>
      <c r="C5172">
        <f>7.384/(100)</f>
        <v>7.3840000000000003E-2</v>
      </c>
    </row>
    <row r="5173" spans="1:3" x14ac:dyDescent="0.3">
      <c r="A5173" s="2">
        <v>42428</v>
      </c>
      <c r="B5173">
        <f>6.75/(100)</f>
        <v>6.7500000000000004E-2</v>
      </c>
      <c r="C5173">
        <f>7.384/(100)</f>
        <v>7.3840000000000003E-2</v>
      </c>
    </row>
    <row r="5174" spans="1:3" x14ac:dyDescent="0.3">
      <c r="A5174" s="2">
        <v>42429</v>
      </c>
      <c r="B5174">
        <f>6.75/(100)</f>
        <v>6.7500000000000004E-2</v>
      </c>
      <c r="C5174">
        <f>7.344/(100)</f>
        <v>7.3440000000000005E-2</v>
      </c>
    </row>
    <row r="5175" spans="1:3" x14ac:dyDescent="0.3">
      <c r="A5175" s="2">
        <v>42430</v>
      </c>
      <c r="B5175">
        <f>6.75/(100)</f>
        <v>6.7500000000000004E-2</v>
      </c>
      <c r="C5175">
        <f>7.383/(100)</f>
        <v>7.3830000000000007E-2</v>
      </c>
    </row>
    <row r="5176" spans="1:3" x14ac:dyDescent="0.3">
      <c r="A5176" s="2">
        <v>42431</v>
      </c>
      <c r="B5176">
        <f>6.75/(100)</f>
        <v>6.7500000000000004E-2</v>
      </c>
      <c r="C5176">
        <f>7.27/(100)</f>
        <v>7.2700000000000001E-2</v>
      </c>
    </row>
    <row r="5177" spans="1:3" x14ac:dyDescent="0.3">
      <c r="A5177" s="2">
        <v>42432</v>
      </c>
      <c r="B5177">
        <f>6.75/(100)</f>
        <v>6.7500000000000004E-2</v>
      </c>
      <c r="C5177">
        <f>7.309/(100)</f>
        <v>7.3090000000000002E-2</v>
      </c>
    </row>
    <row r="5178" spans="1:3" x14ac:dyDescent="0.3">
      <c r="A5178" s="2">
        <v>42433</v>
      </c>
      <c r="B5178">
        <f>6.75/(100)</f>
        <v>6.7500000000000004E-2</v>
      </c>
      <c r="C5178">
        <f>7.307/(100)</f>
        <v>7.307000000000001E-2</v>
      </c>
    </row>
    <row r="5179" spans="1:3" x14ac:dyDescent="0.3">
      <c r="A5179" s="2">
        <v>42434</v>
      </c>
      <c r="B5179">
        <f>6.75/(100)</f>
        <v>6.7500000000000004E-2</v>
      </c>
      <c r="C5179">
        <f>7.307/(100)</f>
        <v>7.307000000000001E-2</v>
      </c>
    </row>
    <row r="5180" spans="1:3" x14ac:dyDescent="0.3">
      <c r="A5180" s="2">
        <v>42435</v>
      </c>
      <c r="B5180">
        <f>6.75/(100)</f>
        <v>6.7500000000000004E-2</v>
      </c>
      <c r="C5180">
        <f>7.307/(100)</f>
        <v>7.307000000000001E-2</v>
      </c>
    </row>
    <row r="5181" spans="1:3" x14ac:dyDescent="0.3">
      <c r="A5181" s="2">
        <v>42436</v>
      </c>
      <c r="B5181">
        <f>6.75/(100)</f>
        <v>6.7500000000000004E-2</v>
      </c>
      <c r="C5181">
        <f>7.307/(100)</f>
        <v>7.307000000000001E-2</v>
      </c>
    </row>
    <row r="5182" spans="1:3" x14ac:dyDescent="0.3">
      <c r="A5182" s="2">
        <v>42437</v>
      </c>
      <c r="B5182">
        <f>6.75/(100)</f>
        <v>6.7500000000000004E-2</v>
      </c>
      <c r="C5182">
        <f>7.319/(100)</f>
        <v>7.3190000000000005E-2</v>
      </c>
    </row>
    <row r="5183" spans="1:3" x14ac:dyDescent="0.3">
      <c r="A5183" s="2">
        <v>42438</v>
      </c>
      <c r="B5183">
        <f>6.75/(100)</f>
        <v>6.7500000000000004E-2</v>
      </c>
      <c r="C5183">
        <f>7.318/(100)</f>
        <v>7.3179999999999995E-2</v>
      </c>
    </row>
    <row r="5184" spans="1:3" x14ac:dyDescent="0.3">
      <c r="A5184" s="2">
        <v>42439</v>
      </c>
      <c r="B5184">
        <f>6.75/(100)</f>
        <v>6.7500000000000004E-2</v>
      </c>
      <c r="C5184">
        <f>7.338/(100)</f>
        <v>7.3380000000000001E-2</v>
      </c>
    </row>
    <row r="5185" spans="1:3" x14ac:dyDescent="0.3">
      <c r="A5185" s="2">
        <v>42440</v>
      </c>
      <c r="B5185">
        <f>6.75/(100)</f>
        <v>6.7500000000000004E-2</v>
      </c>
      <c r="C5185">
        <f>7.339/(100)</f>
        <v>7.3390000000000011E-2</v>
      </c>
    </row>
    <row r="5186" spans="1:3" x14ac:dyDescent="0.3">
      <c r="A5186" s="2">
        <v>42441</v>
      </c>
      <c r="B5186">
        <f>6.75/(100)</f>
        <v>6.7500000000000004E-2</v>
      </c>
      <c r="C5186">
        <f>7.339/(100)</f>
        <v>7.3390000000000011E-2</v>
      </c>
    </row>
    <row r="5187" spans="1:3" x14ac:dyDescent="0.3">
      <c r="A5187" s="2">
        <v>42442</v>
      </c>
      <c r="B5187">
        <f>6.75/(100)</f>
        <v>6.7500000000000004E-2</v>
      </c>
      <c r="C5187">
        <f>7.339/(100)</f>
        <v>7.3390000000000011E-2</v>
      </c>
    </row>
    <row r="5188" spans="1:3" x14ac:dyDescent="0.3">
      <c r="A5188" s="2">
        <v>42443</v>
      </c>
      <c r="B5188">
        <f>6.75/(100)</f>
        <v>6.7500000000000004E-2</v>
      </c>
      <c r="C5188">
        <f>7.371/(100)</f>
        <v>7.3709999999999998E-2</v>
      </c>
    </row>
    <row r="5189" spans="1:3" x14ac:dyDescent="0.3">
      <c r="A5189" s="2">
        <v>42444</v>
      </c>
      <c r="B5189">
        <f>6.75/(100)</f>
        <v>6.7500000000000004E-2</v>
      </c>
      <c r="C5189">
        <f>7.301/(100)</f>
        <v>7.3010000000000005E-2</v>
      </c>
    </row>
    <row r="5190" spans="1:3" x14ac:dyDescent="0.3">
      <c r="A5190" s="2">
        <v>42445</v>
      </c>
      <c r="B5190">
        <f>6.75/(100)</f>
        <v>6.7500000000000004E-2</v>
      </c>
      <c r="C5190">
        <f>7.328/(100)</f>
        <v>7.3279999999999998E-2</v>
      </c>
    </row>
    <row r="5191" spans="1:3" x14ac:dyDescent="0.3">
      <c r="A5191" s="2">
        <v>42446</v>
      </c>
      <c r="B5191">
        <f>6.75/(100)</f>
        <v>6.7500000000000004E-2</v>
      </c>
      <c r="C5191">
        <f>7.328/(100)</f>
        <v>7.3279999999999998E-2</v>
      </c>
    </row>
    <row r="5192" spans="1:3" x14ac:dyDescent="0.3">
      <c r="A5192" s="2">
        <v>42447</v>
      </c>
      <c r="B5192">
        <f>6.75/(100)</f>
        <v>6.7500000000000004E-2</v>
      </c>
      <c r="C5192">
        <f>7.35/(100)</f>
        <v>7.3499999999999996E-2</v>
      </c>
    </row>
    <row r="5193" spans="1:3" x14ac:dyDescent="0.3">
      <c r="A5193" s="2">
        <v>42448</v>
      </c>
      <c r="B5193">
        <f>6.75/(100)</f>
        <v>6.7500000000000004E-2</v>
      </c>
      <c r="C5193">
        <f>7.35/(100)</f>
        <v>7.3499999999999996E-2</v>
      </c>
    </row>
    <row r="5194" spans="1:3" x14ac:dyDescent="0.3">
      <c r="A5194" s="2">
        <v>42449</v>
      </c>
      <c r="B5194">
        <f>6.75/(100)</f>
        <v>6.7500000000000004E-2</v>
      </c>
      <c r="C5194">
        <f>7.35/(100)</f>
        <v>7.3499999999999996E-2</v>
      </c>
    </row>
    <row r="5195" spans="1:3" x14ac:dyDescent="0.3">
      <c r="A5195" s="2">
        <v>42450</v>
      </c>
      <c r="B5195">
        <f>6.75/(100)</f>
        <v>6.7500000000000004E-2</v>
      </c>
      <c r="C5195">
        <f>7.322/(100)</f>
        <v>7.3220000000000007E-2</v>
      </c>
    </row>
    <row r="5196" spans="1:3" x14ac:dyDescent="0.3">
      <c r="A5196" s="2">
        <v>42451</v>
      </c>
      <c r="B5196">
        <f>6.75/(100)</f>
        <v>6.7500000000000004E-2</v>
      </c>
      <c r="C5196">
        <f>7.317/(100)</f>
        <v>7.3169999999999999E-2</v>
      </c>
    </row>
    <row r="5197" spans="1:3" x14ac:dyDescent="0.3">
      <c r="A5197" s="2">
        <v>42452</v>
      </c>
      <c r="B5197">
        <f>6.75/(100)</f>
        <v>6.7500000000000004E-2</v>
      </c>
      <c r="C5197">
        <f>7.278/(100)</f>
        <v>7.2779999999999997E-2</v>
      </c>
    </row>
    <row r="5198" spans="1:3" x14ac:dyDescent="0.3">
      <c r="A5198" s="2">
        <v>42453</v>
      </c>
      <c r="B5198">
        <f>6.75/(100)</f>
        <v>6.7500000000000004E-2</v>
      </c>
      <c r="C5198">
        <f>7.279/(100)</f>
        <v>7.2789999999999994E-2</v>
      </c>
    </row>
    <row r="5199" spans="1:3" x14ac:dyDescent="0.3">
      <c r="A5199" s="2">
        <v>42454</v>
      </c>
      <c r="B5199">
        <f>6.75/(100)</f>
        <v>6.7500000000000004E-2</v>
      </c>
      <c r="C5199">
        <f>7.279/(100)</f>
        <v>7.2789999999999994E-2</v>
      </c>
    </row>
    <row r="5200" spans="1:3" x14ac:dyDescent="0.3">
      <c r="A5200" s="2">
        <v>42455</v>
      </c>
      <c r="B5200">
        <f>6.75/(100)</f>
        <v>6.7500000000000004E-2</v>
      </c>
      <c r="C5200">
        <f>7.279/(100)</f>
        <v>7.2789999999999994E-2</v>
      </c>
    </row>
    <row r="5201" spans="1:3" x14ac:dyDescent="0.3">
      <c r="A5201" s="2">
        <v>42456</v>
      </c>
      <c r="B5201">
        <f>6.75/(100)</f>
        <v>6.7500000000000004E-2</v>
      </c>
      <c r="C5201">
        <f>7.279/(100)</f>
        <v>7.2789999999999994E-2</v>
      </c>
    </row>
    <row r="5202" spans="1:3" x14ac:dyDescent="0.3">
      <c r="A5202" s="2">
        <v>42457</v>
      </c>
      <c r="B5202">
        <f>6.75/(100)</f>
        <v>6.7500000000000004E-2</v>
      </c>
      <c r="C5202">
        <f>7.303/(100)</f>
        <v>7.3029999999999998E-2</v>
      </c>
    </row>
    <row r="5203" spans="1:3" x14ac:dyDescent="0.3">
      <c r="A5203" s="2">
        <v>42458</v>
      </c>
      <c r="B5203">
        <f>6.75/(100)</f>
        <v>6.7500000000000004E-2</v>
      </c>
      <c r="C5203">
        <f>7.337/(100)</f>
        <v>7.3369999999999991E-2</v>
      </c>
    </row>
    <row r="5204" spans="1:3" x14ac:dyDescent="0.3">
      <c r="A5204" s="2">
        <v>42459</v>
      </c>
      <c r="B5204">
        <f>6.75/(100)</f>
        <v>6.7500000000000004E-2</v>
      </c>
      <c r="C5204">
        <f>7.293/(100)</f>
        <v>7.2929999999999995E-2</v>
      </c>
    </row>
    <row r="5205" spans="1:3" x14ac:dyDescent="0.3">
      <c r="A5205" s="2">
        <v>42460</v>
      </c>
      <c r="B5205">
        <f>6.75/(100)</f>
        <v>6.7500000000000004E-2</v>
      </c>
      <c r="C5205">
        <f>7.193/(100)</f>
        <v>7.1929999999999994E-2</v>
      </c>
    </row>
    <row r="5206" spans="1:3" x14ac:dyDescent="0.3">
      <c r="A5206" s="2">
        <v>42461</v>
      </c>
      <c r="B5206">
        <f>6.75/(100)</f>
        <v>6.7500000000000004E-2</v>
      </c>
      <c r="C5206">
        <f>7.193/(100)</f>
        <v>7.1929999999999994E-2</v>
      </c>
    </row>
    <row r="5207" spans="1:3" x14ac:dyDescent="0.3">
      <c r="A5207" s="2">
        <v>42462</v>
      </c>
      <c r="B5207">
        <f>6.75/(100)</f>
        <v>6.7500000000000004E-2</v>
      </c>
      <c r="C5207">
        <f>7.193/(100)</f>
        <v>7.1929999999999994E-2</v>
      </c>
    </row>
    <row r="5208" spans="1:3" x14ac:dyDescent="0.3">
      <c r="A5208" s="2">
        <v>42463</v>
      </c>
      <c r="B5208">
        <f>6.75/(100)</f>
        <v>6.7500000000000004E-2</v>
      </c>
      <c r="C5208">
        <f>7.193/(100)</f>
        <v>7.1929999999999994E-2</v>
      </c>
    </row>
    <row r="5209" spans="1:3" x14ac:dyDescent="0.3">
      <c r="A5209" s="2">
        <v>42464</v>
      </c>
      <c r="B5209">
        <f>6.75/(100)</f>
        <v>6.7500000000000004E-2</v>
      </c>
      <c r="C5209">
        <f>6.964/(100)</f>
        <v>6.9640000000000007E-2</v>
      </c>
    </row>
    <row r="5210" spans="1:3" x14ac:dyDescent="0.3">
      <c r="A5210" s="2">
        <v>42465</v>
      </c>
      <c r="B5210">
        <f>6.5/(100)</f>
        <v>6.5000000000000002E-2</v>
      </c>
      <c r="C5210">
        <f>6.989/(100)</f>
        <v>6.9889999999999994E-2</v>
      </c>
    </row>
    <row r="5211" spans="1:3" x14ac:dyDescent="0.3">
      <c r="A5211" s="2">
        <v>42466</v>
      </c>
      <c r="B5211">
        <f>6.5/(100)</f>
        <v>6.5000000000000002E-2</v>
      </c>
      <c r="C5211">
        <f>6.981/(100)</f>
        <v>6.9809999999999997E-2</v>
      </c>
    </row>
    <row r="5212" spans="1:3" x14ac:dyDescent="0.3">
      <c r="A5212" s="2">
        <v>42467</v>
      </c>
      <c r="B5212">
        <f>6.5/(100)</f>
        <v>6.5000000000000002E-2</v>
      </c>
      <c r="C5212">
        <f>7.055/(100)</f>
        <v>7.0550000000000002E-2</v>
      </c>
    </row>
    <row r="5213" spans="1:3" x14ac:dyDescent="0.3">
      <c r="A5213" s="2">
        <v>42468</v>
      </c>
      <c r="B5213">
        <f>6.5/(100)</f>
        <v>6.5000000000000002E-2</v>
      </c>
      <c r="C5213">
        <f>7.053/(100)</f>
        <v>7.0529999999999995E-2</v>
      </c>
    </row>
    <row r="5214" spans="1:3" x14ac:dyDescent="0.3">
      <c r="A5214" s="2">
        <v>42469</v>
      </c>
      <c r="B5214">
        <f>6.5/(100)</f>
        <v>6.5000000000000002E-2</v>
      </c>
      <c r="C5214">
        <f>7.053/(100)</f>
        <v>7.0529999999999995E-2</v>
      </c>
    </row>
    <row r="5215" spans="1:3" x14ac:dyDescent="0.3">
      <c r="A5215" s="2">
        <v>42470</v>
      </c>
      <c r="B5215">
        <f>6.5/(100)</f>
        <v>6.5000000000000002E-2</v>
      </c>
      <c r="C5215">
        <f>7.053/(100)</f>
        <v>7.0529999999999995E-2</v>
      </c>
    </row>
    <row r="5216" spans="1:3" x14ac:dyDescent="0.3">
      <c r="A5216" s="2">
        <v>42471</v>
      </c>
      <c r="B5216">
        <f>6.5/(100)</f>
        <v>6.5000000000000002E-2</v>
      </c>
      <c r="C5216">
        <f>7.052/(100)</f>
        <v>7.0519999999999999E-2</v>
      </c>
    </row>
    <row r="5217" spans="1:3" x14ac:dyDescent="0.3">
      <c r="A5217" s="2">
        <v>42472</v>
      </c>
      <c r="B5217">
        <f>6.5/(100)</f>
        <v>6.5000000000000002E-2</v>
      </c>
      <c r="C5217">
        <f>7.051/(100)</f>
        <v>7.0510000000000003E-2</v>
      </c>
    </row>
    <row r="5218" spans="1:3" x14ac:dyDescent="0.3">
      <c r="A5218" s="2">
        <v>42473</v>
      </c>
      <c r="B5218">
        <f>6.5/(100)</f>
        <v>6.5000000000000002E-2</v>
      </c>
      <c r="C5218">
        <f>7.11/(100)</f>
        <v>7.1099999999999997E-2</v>
      </c>
    </row>
    <row r="5219" spans="1:3" x14ac:dyDescent="0.3">
      <c r="A5219" s="2">
        <v>42474</v>
      </c>
      <c r="B5219">
        <f>6.5/(100)</f>
        <v>6.5000000000000002E-2</v>
      </c>
      <c r="C5219">
        <f>7.11/(100)</f>
        <v>7.1099999999999997E-2</v>
      </c>
    </row>
    <row r="5220" spans="1:3" x14ac:dyDescent="0.3">
      <c r="A5220" s="2">
        <v>42475</v>
      </c>
      <c r="B5220">
        <f>6.5/(100)</f>
        <v>6.5000000000000002E-2</v>
      </c>
      <c r="C5220">
        <f>7.11/(100)</f>
        <v>7.1099999999999997E-2</v>
      </c>
    </row>
    <row r="5221" spans="1:3" x14ac:dyDescent="0.3">
      <c r="A5221" s="2">
        <v>42476</v>
      </c>
      <c r="B5221">
        <f>6.5/(100)</f>
        <v>6.5000000000000002E-2</v>
      </c>
      <c r="C5221">
        <f>7.11/(100)</f>
        <v>7.1099999999999997E-2</v>
      </c>
    </row>
    <row r="5222" spans="1:3" x14ac:dyDescent="0.3">
      <c r="A5222" s="2">
        <v>42477</v>
      </c>
      <c r="B5222">
        <f>6.5/(100)</f>
        <v>6.5000000000000002E-2</v>
      </c>
      <c r="C5222">
        <f>7.11/(100)</f>
        <v>7.1099999999999997E-2</v>
      </c>
    </row>
    <row r="5223" spans="1:3" x14ac:dyDescent="0.3">
      <c r="A5223" s="2">
        <v>42478</v>
      </c>
      <c r="B5223">
        <f>6.5/(100)</f>
        <v>6.5000000000000002E-2</v>
      </c>
      <c r="C5223">
        <f>7.081/(100)</f>
        <v>7.0809999999999998E-2</v>
      </c>
    </row>
    <row r="5224" spans="1:3" x14ac:dyDescent="0.3">
      <c r="A5224" s="2">
        <v>42479</v>
      </c>
      <c r="B5224">
        <f>6.5/(100)</f>
        <v>6.5000000000000002E-2</v>
      </c>
      <c r="C5224">
        <f>7.081/(100)</f>
        <v>7.0809999999999998E-2</v>
      </c>
    </row>
    <row r="5225" spans="1:3" x14ac:dyDescent="0.3">
      <c r="A5225" s="2">
        <v>42480</v>
      </c>
      <c r="B5225">
        <f>6.5/(100)</f>
        <v>6.5000000000000002E-2</v>
      </c>
      <c r="C5225">
        <f>7.058/(100)</f>
        <v>7.0580000000000004E-2</v>
      </c>
    </row>
    <row r="5226" spans="1:3" x14ac:dyDescent="0.3">
      <c r="A5226" s="2">
        <v>42481</v>
      </c>
      <c r="B5226">
        <f>6.5/(100)</f>
        <v>6.5000000000000002E-2</v>
      </c>
      <c r="C5226">
        <f>7.061/(100)</f>
        <v>7.0610000000000006E-2</v>
      </c>
    </row>
    <row r="5227" spans="1:3" x14ac:dyDescent="0.3">
      <c r="A5227" s="2">
        <v>42482</v>
      </c>
      <c r="B5227">
        <f>6.5/(100)</f>
        <v>6.5000000000000002E-2</v>
      </c>
      <c r="C5227">
        <f>7.044/(100)</f>
        <v>7.0440000000000003E-2</v>
      </c>
    </row>
    <row r="5228" spans="1:3" x14ac:dyDescent="0.3">
      <c r="A5228" s="2">
        <v>42483</v>
      </c>
      <c r="B5228">
        <f>6.5/(100)</f>
        <v>6.5000000000000002E-2</v>
      </c>
      <c r="C5228">
        <f>7.044/(100)</f>
        <v>7.0440000000000003E-2</v>
      </c>
    </row>
    <row r="5229" spans="1:3" x14ac:dyDescent="0.3">
      <c r="A5229" s="2">
        <v>42484</v>
      </c>
      <c r="B5229">
        <f>6.5/(100)</f>
        <v>6.5000000000000002E-2</v>
      </c>
      <c r="C5229">
        <f>7.044/(100)</f>
        <v>7.0440000000000003E-2</v>
      </c>
    </row>
    <row r="5230" spans="1:3" x14ac:dyDescent="0.3">
      <c r="A5230" s="2">
        <v>42485</v>
      </c>
      <c r="B5230">
        <f>6.5/(100)</f>
        <v>6.5000000000000002E-2</v>
      </c>
      <c r="C5230">
        <f>7.085/(100)</f>
        <v>7.0849999999999996E-2</v>
      </c>
    </row>
    <row r="5231" spans="1:3" x14ac:dyDescent="0.3">
      <c r="A5231" s="2">
        <v>42486</v>
      </c>
      <c r="B5231">
        <f>6.5/(100)</f>
        <v>6.5000000000000002E-2</v>
      </c>
      <c r="C5231">
        <f>7.085/(100)</f>
        <v>7.0849999999999996E-2</v>
      </c>
    </row>
    <row r="5232" spans="1:3" x14ac:dyDescent="0.3">
      <c r="A5232" s="2">
        <v>42487</v>
      </c>
      <c r="B5232">
        <f>6.5/(100)</f>
        <v>6.5000000000000002E-2</v>
      </c>
      <c r="C5232">
        <f>7.085/(100)</f>
        <v>7.0849999999999996E-2</v>
      </c>
    </row>
    <row r="5233" spans="1:3" x14ac:dyDescent="0.3">
      <c r="A5233" s="2">
        <v>42488</v>
      </c>
      <c r="B5233">
        <f>6.5/(100)</f>
        <v>6.5000000000000002E-2</v>
      </c>
      <c r="C5233">
        <f>7.099/(100)</f>
        <v>7.0989999999999998E-2</v>
      </c>
    </row>
    <row r="5234" spans="1:3" x14ac:dyDescent="0.3">
      <c r="A5234" s="2">
        <v>42489</v>
      </c>
      <c r="B5234">
        <f>6.5/(100)</f>
        <v>6.5000000000000002E-2</v>
      </c>
      <c r="C5234">
        <f>7.055/(100)</f>
        <v>7.0550000000000002E-2</v>
      </c>
    </row>
    <row r="5235" spans="1:3" x14ac:dyDescent="0.3">
      <c r="A5235" s="2">
        <v>42490</v>
      </c>
      <c r="B5235">
        <f>6.5/(100)</f>
        <v>6.5000000000000002E-2</v>
      </c>
      <c r="C5235">
        <f>7.055/(100)</f>
        <v>7.0550000000000002E-2</v>
      </c>
    </row>
    <row r="5236" spans="1:3" x14ac:dyDescent="0.3">
      <c r="A5236" s="2">
        <v>42491</v>
      </c>
      <c r="B5236">
        <f>6.5/(100)</f>
        <v>6.5000000000000002E-2</v>
      </c>
      <c r="C5236">
        <f>7.055/(100)</f>
        <v>7.0550000000000002E-2</v>
      </c>
    </row>
    <row r="5237" spans="1:3" x14ac:dyDescent="0.3">
      <c r="A5237" s="2">
        <v>42492</v>
      </c>
      <c r="B5237">
        <f>6.5/(100)</f>
        <v>6.5000000000000002E-2</v>
      </c>
      <c r="C5237">
        <f>7.065/(100)</f>
        <v>7.0650000000000004E-2</v>
      </c>
    </row>
    <row r="5238" spans="1:3" x14ac:dyDescent="0.3">
      <c r="A5238" s="2">
        <v>42493</v>
      </c>
      <c r="B5238">
        <f>6.5/(100)</f>
        <v>6.5000000000000002E-2</v>
      </c>
      <c r="C5238">
        <f>7.063/(100)</f>
        <v>7.0629999999999998E-2</v>
      </c>
    </row>
    <row r="5239" spans="1:3" x14ac:dyDescent="0.3">
      <c r="A5239" s="2">
        <v>42494</v>
      </c>
      <c r="B5239">
        <f>6.5/(100)</f>
        <v>6.5000000000000002E-2</v>
      </c>
      <c r="C5239">
        <f>7.05/(100)</f>
        <v>7.0499999999999993E-2</v>
      </c>
    </row>
    <row r="5240" spans="1:3" x14ac:dyDescent="0.3">
      <c r="A5240" s="2">
        <v>42495</v>
      </c>
      <c r="B5240">
        <f>6.5/(100)</f>
        <v>6.5000000000000002E-2</v>
      </c>
      <c r="C5240">
        <f>7.049/(100)</f>
        <v>7.0489999999999997E-2</v>
      </c>
    </row>
    <row r="5241" spans="1:3" x14ac:dyDescent="0.3">
      <c r="A5241" s="2">
        <v>42496</v>
      </c>
      <c r="B5241">
        <f>6.5/(100)</f>
        <v>6.5000000000000002E-2</v>
      </c>
      <c r="C5241">
        <f>7.045/(100)</f>
        <v>7.0449999999999999E-2</v>
      </c>
    </row>
    <row r="5242" spans="1:3" x14ac:dyDescent="0.3">
      <c r="A5242" s="2">
        <v>42497</v>
      </c>
      <c r="B5242">
        <f>6.5/(100)</f>
        <v>6.5000000000000002E-2</v>
      </c>
      <c r="C5242">
        <f>7.045/(100)</f>
        <v>7.0449999999999999E-2</v>
      </c>
    </row>
    <row r="5243" spans="1:3" x14ac:dyDescent="0.3">
      <c r="A5243" s="2">
        <v>42498</v>
      </c>
      <c r="B5243">
        <f>6.5/(100)</f>
        <v>6.5000000000000002E-2</v>
      </c>
      <c r="C5243">
        <f>7.045/(100)</f>
        <v>7.0449999999999999E-2</v>
      </c>
    </row>
    <row r="5244" spans="1:3" x14ac:dyDescent="0.3">
      <c r="A5244" s="2">
        <v>42499</v>
      </c>
      <c r="B5244">
        <f>6.5/(100)</f>
        <v>6.5000000000000002E-2</v>
      </c>
      <c r="C5244">
        <f>7.042/(100)</f>
        <v>7.0419999999999996E-2</v>
      </c>
    </row>
    <row r="5245" spans="1:3" x14ac:dyDescent="0.3">
      <c r="A5245" s="2">
        <v>42500</v>
      </c>
      <c r="B5245">
        <f>6.5/(100)</f>
        <v>6.5000000000000002E-2</v>
      </c>
      <c r="C5245">
        <f>7.043/(100)</f>
        <v>7.0430000000000006E-2</v>
      </c>
    </row>
    <row r="5246" spans="1:3" x14ac:dyDescent="0.3">
      <c r="A5246" s="2">
        <v>42501</v>
      </c>
      <c r="B5246">
        <f>6.5/(100)</f>
        <v>6.5000000000000002E-2</v>
      </c>
      <c r="C5246">
        <f>7.025/(100)</f>
        <v>7.0250000000000007E-2</v>
      </c>
    </row>
    <row r="5247" spans="1:3" x14ac:dyDescent="0.3">
      <c r="A5247" s="2">
        <v>42502</v>
      </c>
      <c r="B5247">
        <f>6.5/(100)</f>
        <v>6.5000000000000002E-2</v>
      </c>
      <c r="C5247">
        <f>7.018/(100)</f>
        <v>7.0179999999999992E-2</v>
      </c>
    </row>
    <row r="5248" spans="1:3" x14ac:dyDescent="0.3">
      <c r="A5248" s="2">
        <v>42503</v>
      </c>
      <c r="B5248">
        <f>6.5/(100)</f>
        <v>6.5000000000000002E-2</v>
      </c>
      <c r="C5248">
        <f>7.042/(100)</f>
        <v>7.0419999999999996E-2</v>
      </c>
    </row>
    <row r="5249" spans="1:3" x14ac:dyDescent="0.3">
      <c r="A5249" s="2">
        <v>42504</v>
      </c>
      <c r="B5249">
        <f>6.5/(100)</f>
        <v>6.5000000000000002E-2</v>
      </c>
      <c r="C5249">
        <f>7.042/(100)</f>
        <v>7.0419999999999996E-2</v>
      </c>
    </row>
    <row r="5250" spans="1:3" x14ac:dyDescent="0.3">
      <c r="A5250" s="2">
        <v>42505</v>
      </c>
      <c r="B5250">
        <f>6.5/(100)</f>
        <v>6.5000000000000002E-2</v>
      </c>
      <c r="C5250">
        <f>7.042/(100)</f>
        <v>7.0419999999999996E-2</v>
      </c>
    </row>
    <row r="5251" spans="1:3" x14ac:dyDescent="0.3">
      <c r="A5251" s="2">
        <v>42506</v>
      </c>
      <c r="B5251">
        <f>6.5/(100)</f>
        <v>6.5000000000000002E-2</v>
      </c>
      <c r="C5251">
        <f>7.055/(100)</f>
        <v>7.0550000000000002E-2</v>
      </c>
    </row>
    <row r="5252" spans="1:3" x14ac:dyDescent="0.3">
      <c r="A5252" s="2">
        <v>42507</v>
      </c>
      <c r="B5252">
        <f>6.5/(100)</f>
        <v>6.5000000000000002E-2</v>
      </c>
      <c r="C5252">
        <f>7.033/(100)</f>
        <v>7.0330000000000004E-2</v>
      </c>
    </row>
    <row r="5253" spans="1:3" x14ac:dyDescent="0.3">
      <c r="A5253" s="2">
        <v>42508</v>
      </c>
      <c r="B5253">
        <f>6.5/(100)</f>
        <v>6.5000000000000002E-2</v>
      </c>
      <c r="C5253">
        <f>7.049/(100)</f>
        <v>7.0489999999999997E-2</v>
      </c>
    </row>
    <row r="5254" spans="1:3" x14ac:dyDescent="0.3">
      <c r="A5254" s="2">
        <v>42509</v>
      </c>
      <c r="B5254">
        <f>6.5/(100)</f>
        <v>6.5000000000000002E-2</v>
      </c>
      <c r="C5254">
        <f>7.047/(100)</f>
        <v>7.0469999999999991E-2</v>
      </c>
    </row>
    <row r="5255" spans="1:3" x14ac:dyDescent="0.3">
      <c r="A5255" s="2">
        <v>42510</v>
      </c>
      <c r="B5255">
        <f>6.5/(100)</f>
        <v>6.5000000000000002E-2</v>
      </c>
      <c r="C5255">
        <f>7.045/(100)</f>
        <v>7.0449999999999999E-2</v>
      </c>
    </row>
    <row r="5256" spans="1:3" x14ac:dyDescent="0.3">
      <c r="A5256" s="2">
        <v>42511</v>
      </c>
      <c r="B5256">
        <f>6.5/(100)</f>
        <v>6.5000000000000002E-2</v>
      </c>
      <c r="C5256">
        <f>7.045/(100)</f>
        <v>7.0449999999999999E-2</v>
      </c>
    </row>
    <row r="5257" spans="1:3" x14ac:dyDescent="0.3">
      <c r="A5257" s="2">
        <v>42512</v>
      </c>
      <c r="B5257">
        <f>6.5/(100)</f>
        <v>6.5000000000000002E-2</v>
      </c>
      <c r="C5257">
        <f>7.045/(100)</f>
        <v>7.0449999999999999E-2</v>
      </c>
    </row>
    <row r="5258" spans="1:3" x14ac:dyDescent="0.3">
      <c r="A5258" s="2">
        <v>42513</v>
      </c>
      <c r="B5258">
        <f>6.5/(100)</f>
        <v>6.5000000000000002E-2</v>
      </c>
      <c r="C5258">
        <f>7.049/(100)</f>
        <v>7.0489999999999997E-2</v>
      </c>
    </row>
    <row r="5259" spans="1:3" x14ac:dyDescent="0.3">
      <c r="A5259" s="2">
        <v>42514</v>
      </c>
      <c r="B5259">
        <f>6.5/(100)</f>
        <v>6.5000000000000002E-2</v>
      </c>
      <c r="C5259">
        <f>7.046/(100)</f>
        <v>7.0460000000000009E-2</v>
      </c>
    </row>
    <row r="5260" spans="1:3" x14ac:dyDescent="0.3">
      <c r="A5260" s="2">
        <v>42515</v>
      </c>
      <c r="B5260">
        <f>6.5/(100)</f>
        <v>6.5000000000000002E-2</v>
      </c>
      <c r="C5260">
        <f>7.081/(100)</f>
        <v>7.0809999999999998E-2</v>
      </c>
    </row>
    <row r="5261" spans="1:3" x14ac:dyDescent="0.3">
      <c r="A5261" s="2">
        <v>42516</v>
      </c>
      <c r="B5261">
        <f>6.5/(100)</f>
        <v>6.5000000000000002E-2</v>
      </c>
      <c r="C5261">
        <f>7.053/(100)</f>
        <v>7.0529999999999995E-2</v>
      </c>
    </row>
    <row r="5262" spans="1:3" x14ac:dyDescent="0.3">
      <c r="A5262" s="2">
        <v>42517</v>
      </c>
      <c r="B5262">
        <f>6.5/(100)</f>
        <v>6.5000000000000002E-2</v>
      </c>
      <c r="C5262">
        <f>7.046/(100)</f>
        <v>7.0460000000000009E-2</v>
      </c>
    </row>
    <row r="5263" spans="1:3" x14ac:dyDescent="0.3">
      <c r="A5263" s="2">
        <v>42518</v>
      </c>
      <c r="B5263">
        <f>6.5/(100)</f>
        <v>6.5000000000000002E-2</v>
      </c>
      <c r="C5263">
        <f>7.046/(100)</f>
        <v>7.0460000000000009E-2</v>
      </c>
    </row>
    <row r="5264" spans="1:3" x14ac:dyDescent="0.3">
      <c r="A5264" s="2">
        <v>42519</v>
      </c>
      <c r="B5264">
        <f>6.5/(100)</f>
        <v>6.5000000000000002E-2</v>
      </c>
      <c r="C5264">
        <f>7.046/(100)</f>
        <v>7.0460000000000009E-2</v>
      </c>
    </row>
    <row r="5265" spans="1:3" x14ac:dyDescent="0.3">
      <c r="A5265" s="2">
        <v>42520</v>
      </c>
      <c r="B5265">
        <f>6.5/(100)</f>
        <v>6.5000000000000002E-2</v>
      </c>
      <c r="C5265">
        <f>7.046/(100)</f>
        <v>7.0460000000000009E-2</v>
      </c>
    </row>
    <row r="5266" spans="1:3" x14ac:dyDescent="0.3">
      <c r="A5266" s="2">
        <v>42521</v>
      </c>
      <c r="B5266">
        <f>6.5/(100)</f>
        <v>6.5000000000000002E-2</v>
      </c>
      <c r="C5266">
        <f>7.046/(100)</f>
        <v>7.0460000000000009E-2</v>
      </c>
    </row>
    <row r="5267" spans="1:3" x14ac:dyDescent="0.3">
      <c r="A5267" s="2">
        <v>42522</v>
      </c>
      <c r="B5267">
        <f>6.5/(100)</f>
        <v>6.5000000000000002E-2</v>
      </c>
      <c r="C5267">
        <f>7.048/(100)</f>
        <v>7.0480000000000001E-2</v>
      </c>
    </row>
    <row r="5268" spans="1:3" x14ac:dyDescent="0.3">
      <c r="A5268" s="2">
        <v>42523</v>
      </c>
      <c r="B5268">
        <f>6.5/(100)</f>
        <v>6.5000000000000002E-2</v>
      </c>
      <c r="C5268">
        <f>7.044/(100)</f>
        <v>7.0440000000000003E-2</v>
      </c>
    </row>
    <row r="5269" spans="1:3" x14ac:dyDescent="0.3">
      <c r="A5269" s="2">
        <v>42524</v>
      </c>
      <c r="B5269">
        <f>6.5/(100)</f>
        <v>6.5000000000000002E-2</v>
      </c>
      <c r="C5269">
        <f>7.038/(100)</f>
        <v>7.0379999999999998E-2</v>
      </c>
    </row>
    <row r="5270" spans="1:3" x14ac:dyDescent="0.3">
      <c r="A5270" s="2">
        <v>42525</v>
      </c>
      <c r="B5270">
        <f>6.5/(100)</f>
        <v>6.5000000000000002E-2</v>
      </c>
      <c r="C5270">
        <f>7.038/(100)</f>
        <v>7.0379999999999998E-2</v>
      </c>
    </row>
    <row r="5271" spans="1:3" x14ac:dyDescent="0.3">
      <c r="A5271" s="2">
        <v>42526</v>
      </c>
      <c r="B5271">
        <f>6.5/(100)</f>
        <v>6.5000000000000002E-2</v>
      </c>
      <c r="C5271">
        <f>7.038/(100)</f>
        <v>7.0379999999999998E-2</v>
      </c>
    </row>
    <row r="5272" spans="1:3" x14ac:dyDescent="0.3">
      <c r="A5272" s="2">
        <v>42527</v>
      </c>
      <c r="B5272">
        <f>6.5/(100)</f>
        <v>6.5000000000000002E-2</v>
      </c>
      <c r="C5272">
        <f>7.036/(100)</f>
        <v>7.0359999999999992E-2</v>
      </c>
    </row>
    <row r="5273" spans="1:3" x14ac:dyDescent="0.3">
      <c r="A5273" s="2">
        <v>42528</v>
      </c>
      <c r="B5273">
        <f>6.5/(100)</f>
        <v>6.5000000000000002E-2</v>
      </c>
      <c r="C5273">
        <f>7.036/(100)</f>
        <v>7.0359999999999992E-2</v>
      </c>
    </row>
    <row r="5274" spans="1:3" x14ac:dyDescent="0.3">
      <c r="A5274" s="2">
        <v>42529</v>
      </c>
      <c r="B5274">
        <f>6.5/(100)</f>
        <v>6.5000000000000002E-2</v>
      </c>
      <c r="C5274">
        <f>7.024/(100)</f>
        <v>7.0239999999999997E-2</v>
      </c>
    </row>
    <row r="5275" spans="1:3" x14ac:dyDescent="0.3">
      <c r="A5275" s="2">
        <v>42530</v>
      </c>
      <c r="B5275">
        <f>6.5/(100)</f>
        <v>6.5000000000000002E-2</v>
      </c>
      <c r="C5275">
        <f>7.014/(100)</f>
        <v>7.0140000000000008E-2</v>
      </c>
    </row>
    <row r="5276" spans="1:3" x14ac:dyDescent="0.3">
      <c r="A5276" s="2">
        <v>42531</v>
      </c>
      <c r="B5276">
        <f>6.5/(100)</f>
        <v>6.5000000000000002E-2</v>
      </c>
      <c r="C5276">
        <f>7.019/(100)</f>
        <v>7.0190000000000002E-2</v>
      </c>
    </row>
    <row r="5277" spans="1:3" x14ac:dyDescent="0.3">
      <c r="A5277" s="2">
        <v>42532</v>
      </c>
      <c r="B5277">
        <f>6.5/(100)</f>
        <v>6.5000000000000002E-2</v>
      </c>
      <c r="C5277">
        <f>7.019/(100)</f>
        <v>7.0190000000000002E-2</v>
      </c>
    </row>
    <row r="5278" spans="1:3" x14ac:dyDescent="0.3">
      <c r="A5278" s="2">
        <v>42533</v>
      </c>
      <c r="B5278">
        <f>6.5/(100)</f>
        <v>6.5000000000000002E-2</v>
      </c>
      <c r="C5278">
        <f>7.019/(100)</f>
        <v>7.0190000000000002E-2</v>
      </c>
    </row>
    <row r="5279" spans="1:3" x14ac:dyDescent="0.3">
      <c r="A5279" s="2">
        <v>42534</v>
      </c>
      <c r="B5279">
        <f>6.5/(100)</f>
        <v>6.5000000000000002E-2</v>
      </c>
      <c r="C5279">
        <f>7.023/(100)</f>
        <v>7.0230000000000001E-2</v>
      </c>
    </row>
    <row r="5280" spans="1:3" x14ac:dyDescent="0.3">
      <c r="A5280" s="2">
        <v>42535</v>
      </c>
      <c r="B5280">
        <f>6.5/(100)</f>
        <v>6.5000000000000002E-2</v>
      </c>
      <c r="C5280">
        <f>7.01/(100)</f>
        <v>7.0099999999999996E-2</v>
      </c>
    </row>
    <row r="5281" spans="1:3" x14ac:dyDescent="0.3">
      <c r="A5281" s="2">
        <v>42536</v>
      </c>
      <c r="B5281">
        <f>6.5/(100)</f>
        <v>6.5000000000000002E-2</v>
      </c>
      <c r="C5281">
        <f>6.998/(100)</f>
        <v>6.9980000000000001E-2</v>
      </c>
    </row>
    <row r="5282" spans="1:3" x14ac:dyDescent="0.3">
      <c r="A5282" s="2">
        <v>42537</v>
      </c>
      <c r="B5282">
        <f>6.5/(100)</f>
        <v>6.5000000000000002E-2</v>
      </c>
      <c r="C5282">
        <f>7.001/(100)</f>
        <v>7.0010000000000003E-2</v>
      </c>
    </row>
    <row r="5283" spans="1:3" x14ac:dyDescent="0.3">
      <c r="A5283" s="2">
        <v>42538</v>
      </c>
      <c r="B5283">
        <f>6.5/(100)</f>
        <v>6.5000000000000002E-2</v>
      </c>
      <c r="C5283">
        <f>7.005/(100)</f>
        <v>7.0050000000000001E-2</v>
      </c>
    </row>
    <row r="5284" spans="1:3" x14ac:dyDescent="0.3">
      <c r="A5284" s="2">
        <v>42539</v>
      </c>
      <c r="B5284">
        <f>6.5/(100)</f>
        <v>6.5000000000000002E-2</v>
      </c>
      <c r="C5284">
        <f>7.005/(100)</f>
        <v>7.0050000000000001E-2</v>
      </c>
    </row>
    <row r="5285" spans="1:3" x14ac:dyDescent="0.3">
      <c r="A5285" s="2">
        <v>42540</v>
      </c>
      <c r="B5285">
        <f>6.5/(100)</f>
        <v>6.5000000000000002E-2</v>
      </c>
      <c r="C5285">
        <f>7.005/(100)</f>
        <v>7.0050000000000001E-2</v>
      </c>
    </row>
    <row r="5286" spans="1:3" x14ac:dyDescent="0.3">
      <c r="A5286" s="2">
        <v>42541</v>
      </c>
      <c r="B5286">
        <f>6.5/(100)</f>
        <v>6.5000000000000002E-2</v>
      </c>
      <c r="C5286">
        <f>7.028/(100)</f>
        <v>7.0279999999999995E-2</v>
      </c>
    </row>
    <row r="5287" spans="1:3" x14ac:dyDescent="0.3">
      <c r="A5287" s="2">
        <v>42542</v>
      </c>
      <c r="B5287">
        <f>6.5/(100)</f>
        <v>6.5000000000000002E-2</v>
      </c>
      <c r="C5287">
        <f>6.99/(100)</f>
        <v>6.9900000000000004E-2</v>
      </c>
    </row>
    <row r="5288" spans="1:3" x14ac:dyDescent="0.3">
      <c r="A5288" s="2">
        <v>42543</v>
      </c>
      <c r="B5288">
        <f>6.5/(100)</f>
        <v>6.5000000000000002E-2</v>
      </c>
      <c r="C5288">
        <f>6.99/(100)</f>
        <v>6.9900000000000004E-2</v>
      </c>
    </row>
    <row r="5289" spans="1:3" x14ac:dyDescent="0.3">
      <c r="A5289" s="2">
        <v>42544</v>
      </c>
      <c r="B5289">
        <f>6.5/(100)</f>
        <v>6.5000000000000002E-2</v>
      </c>
      <c r="C5289">
        <f>6.99/(100)</f>
        <v>6.9900000000000004E-2</v>
      </c>
    </row>
    <row r="5290" spans="1:3" x14ac:dyDescent="0.3">
      <c r="A5290" s="2">
        <v>42545</v>
      </c>
      <c r="B5290">
        <f>6.5/(100)</f>
        <v>6.5000000000000002E-2</v>
      </c>
      <c r="C5290">
        <f>7.012/(100)</f>
        <v>7.0120000000000002E-2</v>
      </c>
    </row>
    <row r="5291" spans="1:3" x14ac:dyDescent="0.3">
      <c r="A5291" s="2">
        <v>42546</v>
      </c>
      <c r="B5291">
        <f>6.5/(100)</f>
        <v>6.5000000000000002E-2</v>
      </c>
      <c r="C5291">
        <f>7.012/(100)</f>
        <v>7.0120000000000002E-2</v>
      </c>
    </row>
    <row r="5292" spans="1:3" x14ac:dyDescent="0.3">
      <c r="A5292" s="2">
        <v>42547</v>
      </c>
      <c r="B5292">
        <f>6.5/(100)</f>
        <v>6.5000000000000002E-2</v>
      </c>
      <c r="C5292">
        <f>7.012/(100)</f>
        <v>7.0120000000000002E-2</v>
      </c>
    </row>
    <row r="5293" spans="1:3" x14ac:dyDescent="0.3">
      <c r="A5293" s="2">
        <v>42548</v>
      </c>
      <c r="B5293">
        <f>6.5/(100)</f>
        <v>6.5000000000000002E-2</v>
      </c>
      <c r="C5293">
        <f>6.984/(100)</f>
        <v>6.9839999999999999E-2</v>
      </c>
    </row>
    <row r="5294" spans="1:3" x14ac:dyDescent="0.3">
      <c r="A5294" s="2">
        <v>42549</v>
      </c>
      <c r="B5294">
        <f>6.5/(100)</f>
        <v>6.5000000000000002E-2</v>
      </c>
      <c r="C5294">
        <f>6.981/(100)</f>
        <v>6.9809999999999997E-2</v>
      </c>
    </row>
    <row r="5295" spans="1:3" x14ac:dyDescent="0.3">
      <c r="A5295" s="2">
        <v>42550</v>
      </c>
      <c r="B5295">
        <f>6.5/(100)</f>
        <v>6.5000000000000002E-2</v>
      </c>
      <c r="C5295">
        <f>6.982/(100)</f>
        <v>6.9820000000000007E-2</v>
      </c>
    </row>
    <row r="5296" spans="1:3" x14ac:dyDescent="0.3">
      <c r="A5296" s="2">
        <v>42551</v>
      </c>
      <c r="B5296">
        <f>6.5/(100)</f>
        <v>6.5000000000000002E-2</v>
      </c>
      <c r="C5296">
        <f>7.032/(100)</f>
        <v>7.0319999999999994E-2</v>
      </c>
    </row>
    <row r="5297" spans="1:3" x14ac:dyDescent="0.3">
      <c r="A5297" s="2">
        <v>42552</v>
      </c>
      <c r="B5297">
        <f>6.5/(100)</f>
        <v>6.5000000000000002E-2</v>
      </c>
      <c r="C5297">
        <f>6.96/(100)</f>
        <v>6.9599999999999995E-2</v>
      </c>
    </row>
    <row r="5298" spans="1:3" x14ac:dyDescent="0.3">
      <c r="A5298" s="2">
        <v>42553</v>
      </c>
      <c r="B5298">
        <f>6.5/(100)</f>
        <v>6.5000000000000002E-2</v>
      </c>
      <c r="C5298">
        <f>6.96/(100)</f>
        <v>6.9599999999999995E-2</v>
      </c>
    </row>
    <row r="5299" spans="1:3" x14ac:dyDescent="0.3">
      <c r="A5299" s="2">
        <v>42554</v>
      </c>
      <c r="B5299">
        <f>6.5/(100)</f>
        <v>6.5000000000000002E-2</v>
      </c>
      <c r="C5299">
        <f>6.96/(100)</f>
        <v>6.9599999999999995E-2</v>
      </c>
    </row>
    <row r="5300" spans="1:3" x14ac:dyDescent="0.3">
      <c r="A5300" s="2">
        <v>42555</v>
      </c>
      <c r="B5300">
        <f>6.5/(100)</f>
        <v>6.5000000000000002E-2</v>
      </c>
      <c r="C5300">
        <f>6.96/(100)</f>
        <v>6.9599999999999995E-2</v>
      </c>
    </row>
    <row r="5301" spans="1:3" x14ac:dyDescent="0.3">
      <c r="A5301" s="2">
        <v>42556</v>
      </c>
      <c r="B5301">
        <f>6.5/(100)</f>
        <v>6.5000000000000002E-2</v>
      </c>
      <c r="C5301">
        <f>6.903/(100)</f>
        <v>6.9029999999999994E-2</v>
      </c>
    </row>
    <row r="5302" spans="1:3" x14ac:dyDescent="0.3">
      <c r="A5302" s="2">
        <v>42557</v>
      </c>
      <c r="B5302">
        <f>6.5/(100)</f>
        <v>6.5000000000000002E-2</v>
      </c>
      <c r="C5302">
        <f>6.903/(100)</f>
        <v>6.9029999999999994E-2</v>
      </c>
    </row>
    <row r="5303" spans="1:3" x14ac:dyDescent="0.3">
      <c r="A5303" s="2">
        <v>42558</v>
      </c>
      <c r="B5303">
        <f>6.5/(100)</f>
        <v>6.5000000000000002E-2</v>
      </c>
      <c r="C5303">
        <f>6.903/(100)</f>
        <v>6.9029999999999994E-2</v>
      </c>
    </row>
    <row r="5304" spans="1:3" x14ac:dyDescent="0.3">
      <c r="A5304" s="2">
        <v>42559</v>
      </c>
      <c r="B5304">
        <f>6.5/(100)</f>
        <v>6.5000000000000002E-2</v>
      </c>
      <c r="C5304">
        <f>6.903/(100)</f>
        <v>6.9029999999999994E-2</v>
      </c>
    </row>
    <row r="5305" spans="1:3" x14ac:dyDescent="0.3">
      <c r="A5305" s="2">
        <v>42560</v>
      </c>
      <c r="B5305">
        <f>6.5/(100)</f>
        <v>6.5000000000000002E-2</v>
      </c>
      <c r="C5305">
        <f>6.903/(100)</f>
        <v>6.9029999999999994E-2</v>
      </c>
    </row>
    <row r="5306" spans="1:3" x14ac:dyDescent="0.3">
      <c r="A5306" s="2">
        <v>42561</v>
      </c>
      <c r="B5306">
        <f>6.5/(100)</f>
        <v>6.5000000000000002E-2</v>
      </c>
      <c r="C5306">
        <f>6.903/(100)</f>
        <v>6.9029999999999994E-2</v>
      </c>
    </row>
    <row r="5307" spans="1:3" x14ac:dyDescent="0.3">
      <c r="A5307" s="2">
        <v>42562</v>
      </c>
      <c r="B5307">
        <f>6.5/(100)</f>
        <v>6.5000000000000002E-2</v>
      </c>
      <c r="C5307">
        <f>6.847/(100)</f>
        <v>6.8470000000000003E-2</v>
      </c>
    </row>
    <row r="5308" spans="1:3" x14ac:dyDescent="0.3">
      <c r="A5308" s="2">
        <v>42563</v>
      </c>
      <c r="B5308">
        <f>6.5/(100)</f>
        <v>6.5000000000000002E-2</v>
      </c>
      <c r="C5308">
        <f>6.811/(100)</f>
        <v>6.8110000000000004E-2</v>
      </c>
    </row>
    <row r="5309" spans="1:3" x14ac:dyDescent="0.3">
      <c r="A5309" s="2">
        <v>42564</v>
      </c>
      <c r="B5309">
        <f>6.5/(100)</f>
        <v>6.5000000000000002E-2</v>
      </c>
      <c r="C5309">
        <f>6.852/(100)</f>
        <v>6.8519999999999998E-2</v>
      </c>
    </row>
    <row r="5310" spans="1:3" x14ac:dyDescent="0.3">
      <c r="A5310" s="2">
        <v>42565</v>
      </c>
      <c r="B5310">
        <f>6.5/(100)</f>
        <v>6.5000000000000002E-2</v>
      </c>
      <c r="C5310">
        <f>6.839/(100)</f>
        <v>6.8390000000000006E-2</v>
      </c>
    </row>
    <row r="5311" spans="1:3" x14ac:dyDescent="0.3">
      <c r="A5311" s="2">
        <v>42566</v>
      </c>
      <c r="B5311">
        <f>6.5/(100)</f>
        <v>6.5000000000000002E-2</v>
      </c>
      <c r="C5311">
        <f>6.832/(100)</f>
        <v>6.8319999999999992E-2</v>
      </c>
    </row>
    <row r="5312" spans="1:3" x14ac:dyDescent="0.3">
      <c r="A5312" s="2">
        <v>42567</v>
      </c>
      <c r="B5312">
        <f>6.5/(100)</f>
        <v>6.5000000000000002E-2</v>
      </c>
      <c r="C5312">
        <f>6.832/(100)</f>
        <v>6.8319999999999992E-2</v>
      </c>
    </row>
    <row r="5313" spans="1:3" x14ac:dyDescent="0.3">
      <c r="A5313" s="2">
        <v>42568</v>
      </c>
      <c r="B5313">
        <f>6.5/(100)</f>
        <v>6.5000000000000002E-2</v>
      </c>
      <c r="C5313">
        <f>6.832/(100)</f>
        <v>6.8319999999999992E-2</v>
      </c>
    </row>
    <row r="5314" spans="1:3" x14ac:dyDescent="0.3">
      <c r="A5314" s="2">
        <v>42569</v>
      </c>
      <c r="B5314">
        <f>6.5/(100)</f>
        <v>6.5000000000000002E-2</v>
      </c>
      <c r="C5314">
        <f>6.843/(100)</f>
        <v>6.8430000000000005E-2</v>
      </c>
    </row>
    <row r="5315" spans="1:3" x14ac:dyDescent="0.3">
      <c r="A5315" s="2">
        <v>42570</v>
      </c>
      <c r="B5315">
        <f>6.5/(100)</f>
        <v>6.5000000000000002E-2</v>
      </c>
      <c r="C5315">
        <f>6.827/(100)</f>
        <v>6.8269999999999997E-2</v>
      </c>
    </row>
    <row r="5316" spans="1:3" x14ac:dyDescent="0.3">
      <c r="A5316" s="2">
        <v>42571</v>
      </c>
      <c r="B5316">
        <f>6.5/(100)</f>
        <v>6.5000000000000002E-2</v>
      </c>
      <c r="C5316">
        <f>6.81/(100)</f>
        <v>6.8099999999999994E-2</v>
      </c>
    </row>
    <row r="5317" spans="1:3" x14ac:dyDescent="0.3">
      <c r="A5317" s="2">
        <v>42572</v>
      </c>
      <c r="B5317">
        <f>6.5/(100)</f>
        <v>6.5000000000000002E-2</v>
      </c>
      <c r="C5317">
        <f>6.811/(100)</f>
        <v>6.8110000000000004E-2</v>
      </c>
    </row>
    <row r="5318" spans="1:3" x14ac:dyDescent="0.3">
      <c r="A5318" s="2">
        <v>42573</v>
      </c>
      <c r="B5318">
        <f>6.5/(100)</f>
        <v>6.5000000000000002E-2</v>
      </c>
      <c r="C5318">
        <f>6.8/(100)</f>
        <v>6.8000000000000005E-2</v>
      </c>
    </row>
    <row r="5319" spans="1:3" x14ac:dyDescent="0.3">
      <c r="A5319" s="2">
        <v>42574</v>
      </c>
      <c r="B5319">
        <f>6.5/(100)</f>
        <v>6.5000000000000002E-2</v>
      </c>
      <c r="C5319">
        <f>6.8/(100)</f>
        <v>6.8000000000000005E-2</v>
      </c>
    </row>
    <row r="5320" spans="1:3" x14ac:dyDescent="0.3">
      <c r="A5320" s="2">
        <v>42575</v>
      </c>
      <c r="B5320">
        <f>6.5/(100)</f>
        <v>6.5000000000000002E-2</v>
      </c>
      <c r="C5320">
        <f>6.8/(100)</f>
        <v>6.8000000000000005E-2</v>
      </c>
    </row>
    <row r="5321" spans="1:3" x14ac:dyDescent="0.3">
      <c r="A5321" s="2">
        <v>42576</v>
      </c>
      <c r="B5321">
        <f>6.5/(100)</f>
        <v>6.5000000000000002E-2</v>
      </c>
      <c r="C5321">
        <f>6.816/(100)</f>
        <v>6.8159999999999998E-2</v>
      </c>
    </row>
    <row r="5322" spans="1:3" x14ac:dyDescent="0.3">
      <c r="A5322" s="2">
        <v>42577</v>
      </c>
      <c r="B5322">
        <f>6.5/(100)</f>
        <v>6.5000000000000002E-2</v>
      </c>
      <c r="C5322">
        <f>6.808/(100)</f>
        <v>6.8080000000000002E-2</v>
      </c>
    </row>
    <row r="5323" spans="1:3" x14ac:dyDescent="0.3">
      <c r="A5323" s="2">
        <v>42578</v>
      </c>
      <c r="B5323">
        <f>6.5/(100)</f>
        <v>6.5000000000000002E-2</v>
      </c>
      <c r="C5323">
        <f>6.822/(100)</f>
        <v>6.8220000000000003E-2</v>
      </c>
    </row>
    <row r="5324" spans="1:3" x14ac:dyDescent="0.3">
      <c r="A5324" s="2">
        <v>42579</v>
      </c>
      <c r="B5324">
        <f>6.5/(100)</f>
        <v>6.5000000000000002E-2</v>
      </c>
      <c r="C5324">
        <f>6.828/(100)</f>
        <v>6.8280000000000007E-2</v>
      </c>
    </row>
    <row r="5325" spans="1:3" x14ac:dyDescent="0.3">
      <c r="A5325" s="2">
        <v>42580</v>
      </c>
      <c r="B5325">
        <f>6.5/(100)</f>
        <v>6.5000000000000002E-2</v>
      </c>
      <c r="C5325">
        <f>6.82/(100)</f>
        <v>6.8199999999999997E-2</v>
      </c>
    </row>
    <row r="5326" spans="1:3" x14ac:dyDescent="0.3">
      <c r="A5326" s="2">
        <v>42581</v>
      </c>
      <c r="B5326">
        <f>6.5/(100)</f>
        <v>6.5000000000000002E-2</v>
      </c>
      <c r="C5326">
        <f>6.82/(100)</f>
        <v>6.8199999999999997E-2</v>
      </c>
    </row>
    <row r="5327" spans="1:3" x14ac:dyDescent="0.3">
      <c r="A5327" s="2">
        <v>42582</v>
      </c>
      <c r="B5327">
        <f>6.5/(100)</f>
        <v>6.5000000000000002E-2</v>
      </c>
      <c r="C5327">
        <f>6.82/(100)</f>
        <v>6.8199999999999997E-2</v>
      </c>
    </row>
    <row r="5328" spans="1:3" x14ac:dyDescent="0.3">
      <c r="A5328" s="2">
        <v>42583</v>
      </c>
      <c r="B5328">
        <f>6.5/(100)</f>
        <v>6.5000000000000002E-2</v>
      </c>
      <c r="C5328">
        <f>6.842/(100)</f>
        <v>6.8419999999999995E-2</v>
      </c>
    </row>
    <row r="5329" spans="1:3" x14ac:dyDescent="0.3">
      <c r="A5329" s="2">
        <v>42584</v>
      </c>
      <c r="B5329">
        <f>6.5/(100)</f>
        <v>6.5000000000000002E-2</v>
      </c>
      <c r="C5329">
        <f>6.843/(100)</f>
        <v>6.8430000000000005E-2</v>
      </c>
    </row>
    <row r="5330" spans="1:3" x14ac:dyDescent="0.3">
      <c r="A5330" s="2">
        <v>42585</v>
      </c>
      <c r="B5330">
        <f>6.5/(100)</f>
        <v>6.5000000000000002E-2</v>
      </c>
      <c r="C5330">
        <f>6.859/(100)</f>
        <v>6.8589999999999998E-2</v>
      </c>
    </row>
    <row r="5331" spans="1:3" x14ac:dyDescent="0.3">
      <c r="A5331" s="2">
        <v>42586</v>
      </c>
      <c r="B5331">
        <f>6.5/(100)</f>
        <v>6.5000000000000002E-2</v>
      </c>
      <c r="C5331">
        <f>6.843/(100)</f>
        <v>6.8430000000000005E-2</v>
      </c>
    </row>
    <row r="5332" spans="1:3" x14ac:dyDescent="0.3">
      <c r="A5332" s="2">
        <v>42587</v>
      </c>
      <c r="B5332">
        <f>6.5/(100)</f>
        <v>6.5000000000000002E-2</v>
      </c>
      <c r="C5332">
        <f>6.837/(100)</f>
        <v>6.837E-2</v>
      </c>
    </row>
    <row r="5333" spans="1:3" x14ac:dyDescent="0.3">
      <c r="A5333" s="2">
        <v>42588</v>
      </c>
      <c r="B5333">
        <f>6.5/(100)</f>
        <v>6.5000000000000002E-2</v>
      </c>
      <c r="C5333">
        <f>6.837/(100)</f>
        <v>6.837E-2</v>
      </c>
    </row>
    <row r="5334" spans="1:3" x14ac:dyDescent="0.3">
      <c r="A5334" s="2">
        <v>42589</v>
      </c>
      <c r="B5334">
        <f>6.5/(100)</f>
        <v>6.5000000000000002E-2</v>
      </c>
      <c r="C5334">
        <f>6.837/(100)</f>
        <v>6.837E-2</v>
      </c>
    </row>
    <row r="5335" spans="1:3" x14ac:dyDescent="0.3">
      <c r="A5335" s="2">
        <v>42590</v>
      </c>
      <c r="B5335">
        <f>6.5/(100)</f>
        <v>6.5000000000000002E-2</v>
      </c>
      <c r="C5335">
        <f>6.837/(100)</f>
        <v>6.837E-2</v>
      </c>
    </row>
    <row r="5336" spans="1:3" x14ac:dyDescent="0.3">
      <c r="A5336" s="2">
        <v>42591</v>
      </c>
      <c r="B5336">
        <f>6.5/(100)</f>
        <v>6.5000000000000002E-2</v>
      </c>
      <c r="C5336">
        <f>6.847/(100)</f>
        <v>6.8470000000000003E-2</v>
      </c>
    </row>
    <row r="5337" spans="1:3" x14ac:dyDescent="0.3">
      <c r="A5337" s="2">
        <v>42592</v>
      </c>
      <c r="B5337">
        <f>6.5/(100)</f>
        <v>6.5000000000000002E-2</v>
      </c>
      <c r="C5337">
        <f>6.847/(100)</f>
        <v>6.8470000000000003E-2</v>
      </c>
    </row>
    <row r="5338" spans="1:3" x14ac:dyDescent="0.3">
      <c r="A5338" s="2">
        <v>42593</v>
      </c>
      <c r="B5338">
        <f>6.5/(100)</f>
        <v>6.5000000000000002E-2</v>
      </c>
      <c r="C5338">
        <f>6.834/(100)</f>
        <v>6.8339999999999998E-2</v>
      </c>
    </row>
    <row r="5339" spans="1:3" x14ac:dyDescent="0.3">
      <c r="A5339" s="2">
        <v>42594</v>
      </c>
      <c r="B5339">
        <f>6.5/(100)</f>
        <v>6.5000000000000002E-2</v>
      </c>
      <c r="C5339">
        <f>6.83/(100)</f>
        <v>6.83E-2</v>
      </c>
    </row>
    <row r="5340" spans="1:3" x14ac:dyDescent="0.3">
      <c r="A5340" s="2">
        <v>42595</v>
      </c>
      <c r="B5340">
        <f>6.5/(100)</f>
        <v>6.5000000000000002E-2</v>
      </c>
      <c r="C5340">
        <f>6.83/(100)</f>
        <v>6.83E-2</v>
      </c>
    </row>
    <row r="5341" spans="1:3" x14ac:dyDescent="0.3">
      <c r="A5341" s="2">
        <v>42596</v>
      </c>
      <c r="B5341">
        <f>6.5/(100)</f>
        <v>6.5000000000000002E-2</v>
      </c>
      <c r="C5341">
        <f>6.83/(100)</f>
        <v>6.83E-2</v>
      </c>
    </row>
    <row r="5342" spans="1:3" x14ac:dyDescent="0.3">
      <c r="A5342" s="2">
        <v>42597</v>
      </c>
      <c r="B5342">
        <f>6.5/(100)</f>
        <v>6.5000000000000002E-2</v>
      </c>
      <c r="C5342">
        <f>6.83/(100)</f>
        <v>6.83E-2</v>
      </c>
    </row>
    <row r="5343" spans="1:3" x14ac:dyDescent="0.3">
      <c r="A5343" s="2">
        <v>42598</v>
      </c>
      <c r="B5343">
        <f>6.5/(100)</f>
        <v>6.5000000000000002E-2</v>
      </c>
      <c r="C5343">
        <f>6.802/(100)</f>
        <v>6.8019999999999997E-2</v>
      </c>
    </row>
    <row r="5344" spans="1:3" x14ac:dyDescent="0.3">
      <c r="A5344" s="2">
        <v>42599</v>
      </c>
      <c r="B5344">
        <f>6.5/(100)</f>
        <v>6.5000000000000002E-2</v>
      </c>
      <c r="C5344">
        <f>6.802/(100)</f>
        <v>6.8019999999999997E-2</v>
      </c>
    </row>
    <row r="5345" spans="1:3" x14ac:dyDescent="0.3">
      <c r="A5345" s="2">
        <v>42600</v>
      </c>
      <c r="B5345">
        <f>6.5/(100)</f>
        <v>6.5000000000000002E-2</v>
      </c>
      <c r="C5345">
        <f>6.825/(100)</f>
        <v>6.8250000000000005E-2</v>
      </c>
    </row>
    <row r="5346" spans="1:3" x14ac:dyDescent="0.3">
      <c r="A5346" s="2">
        <v>42601</v>
      </c>
      <c r="B5346">
        <f>6.5/(100)</f>
        <v>6.5000000000000002E-2</v>
      </c>
      <c r="C5346">
        <f>6.831/(100)</f>
        <v>6.831000000000001E-2</v>
      </c>
    </row>
    <row r="5347" spans="1:3" x14ac:dyDescent="0.3">
      <c r="A5347" s="2">
        <v>42602</v>
      </c>
      <c r="B5347">
        <f>6.5/(100)</f>
        <v>6.5000000000000002E-2</v>
      </c>
      <c r="C5347">
        <f>6.831/(100)</f>
        <v>6.831000000000001E-2</v>
      </c>
    </row>
    <row r="5348" spans="1:3" x14ac:dyDescent="0.3">
      <c r="A5348" s="2">
        <v>42603</v>
      </c>
      <c r="B5348">
        <f>6.5/(100)</f>
        <v>6.5000000000000002E-2</v>
      </c>
      <c r="C5348">
        <f>6.831/(100)</f>
        <v>6.831000000000001E-2</v>
      </c>
    </row>
    <row r="5349" spans="1:3" x14ac:dyDescent="0.3">
      <c r="A5349" s="2">
        <v>42604</v>
      </c>
      <c r="B5349">
        <f>6.5/(100)</f>
        <v>6.5000000000000002E-2</v>
      </c>
      <c r="C5349">
        <f>6.82/(100)</f>
        <v>6.8199999999999997E-2</v>
      </c>
    </row>
    <row r="5350" spans="1:3" x14ac:dyDescent="0.3">
      <c r="A5350" s="2">
        <v>42605</v>
      </c>
      <c r="B5350">
        <f>6.5/(100)</f>
        <v>6.5000000000000002E-2</v>
      </c>
      <c r="C5350">
        <f>6.848/(100)</f>
        <v>6.8479999999999999E-2</v>
      </c>
    </row>
    <row r="5351" spans="1:3" x14ac:dyDescent="0.3">
      <c r="A5351" s="2">
        <v>42606</v>
      </c>
      <c r="B5351">
        <f>6.5/(100)</f>
        <v>6.5000000000000002E-2</v>
      </c>
      <c r="C5351">
        <f>6.84/(100)</f>
        <v>6.8400000000000002E-2</v>
      </c>
    </row>
    <row r="5352" spans="1:3" x14ac:dyDescent="0.3">
      <c r="A5352" s="2">
        <v>42607</v>
      </c>
      <c r="B5352">
        <f>6.5/(100)</f>
        <v>6.5000000000000002E-2</v>
      </c>
      <c r="C5352">
        <f>6.822/(100)</f>
        <v>6.8220000000000003E-2</v>
      </c>
    </row>
    <row r="5353" spans="1:3" x14ac:dyDescent="0.3">
      <c r="A5353" s="2">
        <v>42608</v>
      </c>
      <c r="B5353">
        <f>6.5/(100)</f>
        <v>6.5000000000000002E-2</v>
      </c>
      <c r="C5353">
        <f>6.815/(100)</f>
        <v>6.8150000000000002E-2</v>
      </c>
    </row>
    <row r="5354" spans="1:3" x14ac:dyDescent="0.3">
      <c r="A5354" s="2">
        <v>42609</v>
      </c>
      <c r="B5354">
        <f>6.5/(100)</f>
        <v>6.5000000000000002E-2</v>
      </c>
      <c r="C5354">
        <f>6.815/(100)</f>
        <v>6.8150000000000002E-2</v>
      </c>
    </row>
    <row r="5355" spans="1:3" x14ac:dyDescent="0.3">
      <c r="A5355" s="2">
        <v>42610</v>
      </c>
      <c r="B5355">
        <f>6.5/(100)</f>
        <v>6.5000000000000002E-2</v>
      </c>
      <c r="C5355">
        <f>6.815/(100)</f>
        <v>6.8150000000000002E-2</v>
      </c>
    </row>
    <row r="5356" spans="1:3" x14ac:dyDescent="0.3">
      <c r="A5356" s="2">
        <v>42611</v>
      </c>
      <c r="B5356">
        <f>6.5/(100)</f>
        <v>6.5000000000000002E-2</v>
      </c>
      <c r="C5356">
        <f>6.818/(100)</f>
        <v>6.8179999999999991E-2</v>
      </c>
    </row>
    <row r="5357" spans="1:3" x14ac:dyDescent="0.3">
      <c r="A5357" s="2">
        <v>42612</v>
      </c>
      <c r="B5357">
        <f>6.5/(100)</f>
        <v>6.5000000000000002E-2</v>
      </c>
      <c r="C5357">
        <f>6.849/(100)</f>
        <v>6.8489999999999995E-2</v>
      </c>
    </row>
    <row r="5358" spans="1:3" x14ac:dyDescent="0.3">
      <c r="A5358" s="2">
        <v>42613</v>
      </c>
      <c r="B5358">
        <f>6.5/(100)</f>
        <v>6.5000000000000002E-2</v>
      </c>
      <c r="C5358">
        <f>6.822/(100)</f>
        <v>6.8220000000000003E-2</v>
      </c>
    </row>
    <row r="5359" spans="1:3" x14ac:dyDescent="0.3">
      <c r="A5359" s="2">
        <v>42614</v>
      </c>
      <c r="B5359">
        <f>6.5/(100)</f>
        <v>6.5000000000000002E-2</v>
      </c>
      <c r="C5359">
        <f>6.838/(100)</f>
        <v>6.8379999999999996E-2</v>
      </c>
    </row>
    <row r="5360" spans="1:3" x14ac:dyDescent="0.3">
      <c r="A5360" s="2">
        <v>42615</v>
      </c>
      <c r="B5360">
        <f>6.5/(100)</f>
        <v>6.5000000000000002E-2</v>
      </c>
      <c r="C5360">
        <f>6.839/(100)</f>
        <v>6.8390000000000006E-2</v>
      </c>
    </row>
    <row r="5361" spans="1:3" x14ac:dyDescent="0.3">
      <c r="A5361" s="2">
        <v>42616</v>
      </c>
      <c r="B5361">
        <f>6.5/(100)</f>
        <v>6.5000000000000002E-2</v>
      </c>
      <c r="C5361">
        <f>6.839/(100)</f>
        <v>6.8390000000000006E-2</v>
      </c>
    </row>
    <row r="5362" spans="1:3" x14ac:dyDescent="0.3">
      <c r="A5362" s="2">
        <v>42617</v>
      </c>
      <c r="B5362">
        <f>6.5/(100)</f>
        <v>6.5000000000000002E-2</v>
      </c>
      <c r="C5362">
        <f>6.839/(100)</f>
        <v>6.8390000000000006E-2</v>
      </c>
    </row>
    <row r="5363" spans="1:3" x14ac:dyDescent="0.3">
      <c r="A5363" s="2">
        <v>42618</v>
      </c>
      <c r="B5363">
        <f>6.5/(100)</f>
        <v>6.5000000000000002E-2</v>
      </c>
      <c r="C5363">
        <f>6.839/(100)</f>
        <v>6.8390000000000006E-2</v>
      </c>
    </row>
    <row r="5364" spans="1:3" x14ac:dyDescent="0.3">
      <c r="A5364" s="2">
        <v>42619</v>
      </c>
      <c r="B5364">
        <f>6.5/(100)</f>
        <v>6.5000000000000002E-2</v>
      </c>
      <c r="C5364">
        <f>6.801/(100)</f>
        <v>6.8010000000000001E-2</v>
      </c>
    </row>
    <row r="5365" spans="1:3" x14ac:dyDescent="0.3">
      <c r="A5365" s="2">
        <v>42620</v>
      </c>
      <c r="B5365">
        <f>6.5/(100)</f>
        <v>6.5000000000000002E-2</v>
      </c>
      <c r="C5365">
        <f>6.762/(100)</f>
        <v>6.762E-2</v>
      </c>
    </row>
    <row r="5366" spans="1:3" x14ac:dyDescent="0.3">
      <c r="A5366" s="2">
        <v>42621</v>
      </c>
      <c r="B5366">
        <f>6.5/(100)</f>
        <v>6.5000000000000002E-2</v>
      </c>
      <c r="C5366">
        <f>6.782/(100)</f>
        <v>6.7820000000000005E-2</v>
      </c>
    </row>
    <row r="5367" spans="1:3" x14ac:dyDescent="0.3">
      <c r="A5367" s="2">
        <v>42622</v>
      </c>
      <c r="B5367">
        <f>6.5/(100)</f>
        <v>6.5000000000000002E-2</v>
      </c>
      <c r="C5367">
        <f>6.799/(100)</f>
        <v>6.7990000000000009E-2</v>
      </c>
    </row>
    <row r="5368" spans="1:3" x14ac:dyDescent="0.3">
      <c r="A5368" s="2">
        <v>42623</v>
      </c>
      <c r="B5368">
        <f>6.5/(100)</f>
        <v>6.5000000000000002E-2</v>
      </c>
      <c r="C5368">
        <f>6.799/(100)</f>
        <v>6.7990000000000009E-2</v>
      </c>
    </row>
    <row r="5369" spans="1:3" x14ac:dyDescent="0.3">
      <c r="A5369" s="2">
        <v>42624</v>
      </c>
      <c r="B5369">
        <f>6.5/(100)</f>
        <v>6.5000000000000002E-2</v>
      </c>
      <c r="C5369">
        <f>6.799/(100)</f>
        <v>6.7990000000000009E-2</v>
      </c>
    </row>
    <row r="5370" spans="1:3" x14ac:dyDescent="0.3">
      <c r="A5370" s="2">
        <v>42625</v>
      </c>
      <c r="B5370">
        <f>6.5/(100)</f>
        <v>6.5000000000000002E-2</v>
      </c>
      <c r="C5370">
        <f>6.8/(100)</f>
        <v>6.8000000000000005E-2</v>
      </c>
    </row>
    <row r="5371" spans="1:3" x14ac:dyDescent="0.3">
      <c r="A5371" s="2">
        <v>42626</v>
      </c>
      <c r="B5371">
        <f>6.5/(100)</f>
        <v>6.5000000000000002E-2</v>
      </c>
      <c r="C5371">
        <f>6.797/(100)</f>
        <v>6.7970000000000003E-2</v>
      </c>
    </row>
    <row r="5372" spans="1:3" x14ac:dyDescent="0.3">
      <c r="A5372" s="2">
        <v>42627</v>
      </c>
      <c r="B5372">
        <f>6.5/(100)</f>
        <v>6.5000000000000002E-2</v>
      </c>
      <c r="C5372">
        <f>6.799/(100)</f>
        <v>6.7990000000000009E-2</v>
      </c>
    </row>
    <row r="5373" spans="1:3" x14ac:dyDescent="0.3">
      <c r="A5373" s="2">
        <v>42628</v>
      </c>
      <c r="B5373">
        <f>6.5/(100)</f>
        <v>6.5000000000000002E-2</v>
      </c>
      <c r="C5373">
        <f>6.797/(100)</f>
        <v>6.7970000000000003E-2</v>
      </c>
    </row>
    <row r="5374" spans="1:3" x14ac:dyDescent="0.3">
      <c r="A5374" s="2">
        <v>42629</v>
      </c>
      <c r="B5374">
        <f>6.5/(100)</f>
        <v>6.5000000000000002E-2</v>
      </c>
      <c r="C5374">
        <f>6.777/(100)</f>
        <v>6.7769999999999997E-2</v>
      </c>
    </row>
    <row r="5375" spans="1:3" x14ac:dyDescent="0.3">
      <c r="A5375" s="2">
        <v>42630</v>
      </c>
      <c r="B5375">
        <f>6.5/(100)</f>
        <v>6.5000000000000002E-2</v>
      </c>
      <c r="C5375">
        <f>6.777/(100)</f>
        <v>6.7769999999999997E-2</v>
      </c>
    </row>
    <row r="5376" spans="1:3" x14ac:dyDescent="0.3">
      <c r="A5376" s="2">
        <v>42631</v>
      </c>
      <c r="B5376">
        <f>6.5/(100)</f>
        <v>6.5000000000000002E-2</v>
      </c>
      <c r="C5376">
        <f>6.777/(100)</f>
        <v>6.7769999999999997E-2</v>
      </c>
    </row>
    <row r="5377" spans="1:3" x14ac:dyDescent="0.3">
      <c r="A5377" s="2">
        <v>42632</v>
      </c>
      <c r="B5377">
        <f>6.5/(100)</f>
        <v>6.5000000000000002E-2</v>
      </c>
      <c r="C5377">
        <f>6.769/(100)</f>
        <v>6.769E-2</v>
      </c>
    </row>
    <row r="5378" spans="1:3" x14ac:dyDescent="0.3">
      <c r="A5378" s="2">
        <v>42633</v>
      </c>
      <c r="B5378">
        <f>6.5/(100)</f>
        <v>6.5000000000000002E-2</v>
      </c>
      <c r="C5378">
        <f>6.775/(100)</f>
        <v>6.7750000000000005E-2</v>
      </c>
    </row>
    <row r="5379" spans="1:3" x14ac:dyDescent="0.3">
      <c r="A5379" s="2">
        <v>42634</v>
      </c>
      <c r="B5379">
        <f>6.5/(100)</f>
        <v>6.5000000000000002E-2</v>
      </c>
      <c r="C5379">
        <f>6.763/(100)</f>
        <v>6.7629999999999996E-2</v>
      </c>
    </row>
    <row r="5380" spans="1:3" x14ac:dyDescent="0.3">
      <c r="A5380" s="2">
        <v>42635</v>
      </c>
      <c r="B5380">
        <f>6.5/(100)</f>
        <v>6.5000000000000002E-2</v>
      </c>
      <c r="C5380">
        <f>6.733/(100)</f>
        <v>6.7330000000000001E-2</v>
      </c>
    </row>
    <row r="5381" spans="1:3" x14ac:dyDescent="0.3">
      <c r="A5381" s="2">
        <v>42636</v>
      </c>
      <c r="B5381">
        <f>6.5/(100)</f>
        <v>6.5000000000000002E-2</v>
      </c>
      <c r="C5381">
        <f>6.702/(100)</f>
        <v>6.7019999999999996E-2</v>
      </c>
    </row>
    <row r="5382" spans="1:3" x14ac:dyDescent="0.3">
      <c r="A5382" s="2">
        <v>42637</v>
      </c>
      <c r="B5382">
        <f>6.5/(100)</f>
        <v>6.5000000000000002E-2</v>
      </c>
      <c r="C5382">
        <f>6.702/(100)</f>
        <v>6.7019999999999996E-2</v>
      </c>
    </row>
    <row r="5383" spans="1:3" x14ac:dyDescent="0.3">
      <c r="A5383" s="2">
        <v>42638</v>
      </c>
      <c r="B5383">
        <f>6.5/(100)</f>
        <v>6.5000000000000002E-2</v>
      </c>
      <c r="C5383">
        <f>6.702/(100)</f>
        <v>6.7019999999999996E-2</v>
      </c>
    </row>
    <row r="5384" spans="1:3" x14ac:dyDescent="0.3">
      <c r="A5384" s="2">
        <v>42639</v>
      </c>
      <c r="B5384">
        <f>6.5/(100)</f>
        <v>6.5000000000000002E-2</v>
      </c>
      <c r="C5384">
        <f>6.673/(100)</f>
        <v>6.6729999999999998E-2</v>
      </c>
    </row>
    <row r="5385" spans="1:3" x14ac:dyDescent="0.3">
      <c r="A5385" s="2">
        <v>42640</v>
      </c>
      <c r="B5385">
        <f>6.5/(100)</f>
        <v>6.5000000000000002E-2</v>
      </c>
      <c r="C5385">
        <f>6.668/(100)</f>
        <v>6.6680000000000003E-2</v>
      </c>
    </row>
    <row r="5386" spans="1:3" x14ac:dyDescent="0.3">
      <c r="A5386" s="2">
        <v>42641</v>
      </c>
      <c r="B5386">
        <f>6.5/(100)</f>
        <v>6.5000000000000002E-2</v>
      </c>
      <c r="C5386">
        <f>6.664/(100)</f>
        <v>6.6639999999999991E-2</v>
      </c>
    </row>
    <row r="5387" spans="1:3" x14ac:dyDescent="0.3">
      <c r="A5387" s="2">
        <v>42642</v>
      </c>
      <c r="B5387">
        <f>6.5/(100)</f>
        <v>6.5000000000000002E-2</v>
      </c>
      <c r="C5387">
        <f>6.698/(100)</f>
        <v>6.6979999999999998E-2</v>
      </c>
    </row>
    <row r="5388" spans="1:3" x14ac:dyDescent="0.3">
      <c r="A5388" s="2">
        <v>42643</v>
      </c>
      <c r="B5388">
        <f>6.5/(100)</f>
        <v>6.5000000000000002E-2</v>
      </c>
      <c r="C5388">
        <f>6.686/(100)</f>
        <v>6.6860000000000003E-2</v>
      </c>
    </row>
    <row r="5389" spans="1:3" x14ac:dyDescent="0.3">
      <c r="A5389" s="2">
        <v>42644</v>
      </c>
      <c r="B5389">
        <f>6.5/(100)</f>
        <v>6.5000000000000002E-2</v>
      </c>
      <c r="C5389">
        <f>6.686/(100)</f>
        <v>6.6860000000000003E-2</v>
      </c>
    </row>
    <row r="5390" spans="1:3" x14ac:dyDescent="0.3">
      <c r="A5390" s="2">
        <v>42645</v>
      </c>
      <c r="B5390">
        <f>6.5/(100)</f>
        <v>6.5000000000000002E-2</v>
      </c>
      <c r="C5390">
        <f>6.686/(100)</f>
        <v>6.6860000000000003E-2</v>
      </c>
    </row>
    <row r="5391" spans="1:3" x14ac:dyDescent="0.3">
      <c r="A5391" s="2">
        <v>42646</v>
      </c>
      <c r="B5391">
        <f>6.5/(100)</f>
        <v>6.5000000000000002E-2</v>
      </c>
      <c r="C5391">
        <f>6.649/(100)</f>
        <v>6.6489999999999994E-2</v>
      </c>
    </row>
    <row r="5392" spans="1:3" x14ac:dyDescent="0.3">
      <c r="A5392" s="2">
        <v>42647</v>
      </c>
      <c r="B5392">
        <f>6.5/(100)</f>
        <v>6.5000000000000002E-2</v>
      </c>
      <c r="C5392">
        <f>6.59/(100)</f>
        <v>6.59E-2</v>
      </c>
    </row>
    <row r="5393" spans="1:3" x14ac:dyDescent="0.3">
      <c r="A5393" s="2">
        <v>42648</v>
      </c>
      <c r="B5393">
        <f>6.25/(100)</f>
        <v>6.25E-2</v>
      </c>
      <c r="C5393">
        <f>6.581/(100)</f>
        <v>6.5810000000000007E-2</v>
      </c>
    </row>
    <row r="5394" spans="1:3" x14ac:dyDescent="0.3">
      <c r="A5394" s="2">
        <v>42649</v>
      </c>
      <c r="B5394">
        <f>6.25/(100)</f>
        <v>6.25E-2</v>
      </c>
      <c r="C5394">
        <f>6.571/(100)</f>
        <v>6.5709999999999991E-2</v>
      </c>
    </row>
    <row r="5395" spans="1:3" x14ac:dyDescent="0.3">
      <c r="A5395" s="2">
        <v>42650</v>
      </c>
      <c r="B5395">
        <f>6.25/(100)</f>
        <v>6.25E-2</v>
      </c>
      <c r="C5395">
        <f>6.536/(100)</f>
        <v>6.5360000000000001E-2</v>
      </c>
    </row>
    <row r="5396" spans="1:3" x14ac:dyDescent="0.3">
      <c r="A5396" s="2">
        <v>42651</v>
      </c>
      <c r="B5396">
        <f>6.25/(100)</f>
        <v>6.25E-2</v>
      </c>
      <c r="C5396">
        <f>6.536/(100)</f>
        <v>6.5360000000000001E-2</v>
      </c>
    </row>
    <row r="5397" spans="1:3" x14ac:dyDescent="0.3">
      <c r="A5397" s="2">
        <v>42652</v>
      </c>
      <c r="B5397">
        <f>6.25/(100)</f>
        <v>6.25E-2</v>
      </c>
      <c r="C5397">
        <f>6.536/(100)</f>
        <v>6.5360000000000001E-2</v>
      </c>
    </row>
    <row r="5398" spans="1:3" x14ac:dyDescent="0.3">
      <c r="A5398" s="2">
        <v>42653</v>
      </c>
      <c r="B5398">
        <f>6.25/(100)</f>
        <v>6.25E-2</v>
      </c>
      <c r="C5398">
        <f>6.507/(100)</f>
        <v>6.5070000000000003E-2</v>
      </c>
    </row>
    <row r="5399" spans="1:3" x14ac:dyDescent="0.3">
      <c r="A5399" s="2">
        <v>42654</v>
      </c>
      <c r="B5399">
        <f>6.25/(100)</f>
        <v>6.25E-2</v>
      </c>
      <c r="C5399">
        <f>6.507/(100)</f>
        <v>6.5070000000000003E-2</v>
      </c>
    </row>
    <row r="5400" spans="1:3" x14ac:dyDescent="0.3">
      <c r="A5400" s="2">
        <v>42655</v>
      </c>
      <c r="B5400">
        <f>6.25/(100)</f>
        <v>6.25E-2</v>
      </c>
      <c r="C5400">
        <f>6.507/(100)</f>
        <v>6.5070000000000003E-2</v>
      </c>
    </row>
    <row r="5401" spans="1:3" x14ac:dyDescent="0.3">
      <c r="A5401" s="2">
        <v>42656</v>
      </c>
      <c r="B5401">
        <f>6.25/(100)</f>
        <v>6.25E-2</v>
      </c>
      <c r="C5401">
        <f>6.542/(100)</f>
        <v>6.5419999999999992E-2</v>
      </c>
    </row>
    <row r="5402" spans="1:3" x14ac:dyDescent="0.3">
      <c r="A5402" s="2">
        <v>42657</v>
      </c>
      <c r="B5402">
        <f>6.25/(100)</f>
        <v>6.25E-2</v>
      </c>
      <c r="C5402">
        <f>6.52/(100)</f>
        <v>6.5199999999999994E-2</v>
      </c>
    </row>
    <row r="5403" spans="1:3" x14ac:dyDescent="0.3">
      <c r="A5403" s="2">
        <v>42658</v>
      </c>
      <c r="B5403">
        <f>6.25/(100)</f>
        <v>6.25E-2</v>
      </c>
      <c r="C5403">
        <f>6.52/(100)</f>
        <v>6.5199999999999994E-2</v>
      </c>
    </row>
    <row r="5404" spans="1:3" x14ac:dyDescent="0.3">
      <c r="A5404" s="2">
        <v>42659</v>
      </c>
      <c r="B5404">
        <f>6.25/(100)</f>
        <v>6.25E-2</v>
      </c>
      <c r="C5404">
        <f>6.52/(100)</f>
        <v>6.5199999999999994E-2</v>
      </c>
    </row>
    <row r="5405" spans="1:3" x14ac:dyDescent="0.3">
      <c r="A5405" s="2">
        <v>42660</v>
      </c>
      <c r="B5405">
        <f>6.25/(100)</f>
        <v>6.25E-2</v>
      </c>
      <c r="C5405">
        <f>6.549/(100)</f>
        <v>6.5490000000000007E-2</v>
      </c>
    </row>
    <row r="5406" spans="1:3" x14ac:dyDescent="0.3">
      <c r="A5406" s="2">
        <v>42661</v>
      </c>
      <c r="B5406">
        <f>6.25/(100)</f>
        <v>6.25E-2</v>
      </c>
      <c r="C5406">
        <f>6.598/(100)</f>
        <v>6.5979999999999997E-2</v>
      </c>
    </row>
    <row r="5407" spans="1:3" x14ac:dyDescent="0.3">
      <c r="A5407" s="2">
        <v>42662</v>
      </c>
      <c r="B5407">
        <f>6.25/(100)</f>
        <v>6.25E-2</v>
      </c>
      <c r="C5407">
        <f>6.612/(100)</f>
        <v>6.6119999999999998E-2</v>
      </c>
    </row>
    <row r="5408" spans="1:3" x14ac:dyDescent="0.3">
      <c r="A5408" s="2">
        <v>42663</v>
      </c>
      <c r="B5408">
        <f>6.25/(100)</f>
        <v>6.25E-2</v>
      </c>
      <c r="C5408">
        <f>6.559/(100)</f>
        <v>6.5589999999999996E-2</v>
      </c>
    </row>
    <row r="5409" spans="1:3" x14ac:dyDescent="0.3">
      <c r="A5409" s="2">
        <v>42664</v>
      </c>
      <c r="B5409">
        <f>6.25/(100)</f>
        <v>6.25E-2</v>
      </c>
      <c r="C5409">
        <f>6.555/(100)</f>
        <v>6.5549999999999997E-2</v>
      </c>
    </row>
    <row r="5410" spans="1:3" x14ac:dyDescent="0.3">
      <c r="A5410" s="2">
        <v>42665</v>
      </c>
      <c r="B5410">
        <f>6.25/(100)</f>
        <v>6.25E-2</v>
      </c>
      <c r="C5410">
        <f>6.555/(100)</f>
        <v>6.5549999999999997E-2</v>
      </c>
    </row>
    <row r="5411" spans="1:3" x14ac:dyDescent="0.3">
      <c r="A5411" s="2">
        <v>42666</v>
      </c>
      <c r="B5411">
        <f>6.25/(100)</f>
        <v>6.25E-2</v>
      </c>
      <c r="C5411">
        <f>6.555/(100)</f>
        <v>6.5549999999999997E-2</v>
      </c>
    </row>
    <row r="5412" spans="1:3" x14ac:dyDescent="0.3">
      <c r="A5412" s="2">
        <v>42667</v>
      </c>
      <c r="B5412">
        <f>6.25/(100)</f>
        <v>6.25E-2</v>
      </c>
      <c r="C5412">
        <f>6.547/(100)</f>
        <v>6.547E-2</v>
      </c>
    </row>
    <row r="5413" spans="1:3" x14ac:dyDescent="0.3">
      <c r="A5413" s="2">
        <v>42668</v>
      </c>
      <c r="B5413">
        <f>6.25/(100)</f>
        <v>6.25E-2</v>
      </c>
      <c r="C5413">
        <f>6.551/(100)</f>
        <v>6.5509999999999999E-2</v>
      </c>
    </row>
    <row r="5414" spans="1:3" x14ac:dyDescent="0.3">
      <c r="A5414" s="2">
        <v>42669</v>
      </c>
      <c r="B5414">
        <f>6.25/(100)</f>
        <v>6.25E-2</v>
      </c>
      <c r="C5414">
        <f>6.536/(100)</f>
        <v>6.5360000000000001E-2</v>
      </c>
    </row>
    <row r="5415" spans="1:3" x14ac:dyDescent="0.3">
      <c r="A5415" s="2">
        <v>42670</v>
      </c>
      <c r="B5415">
        <f>6.25/(100)</f>
        <v>6.25E-2</v>
      </c>
      <c r="C5415">
        <f>6.539/(100)</f>
        <v>6.5390000000000004E-2</v>
      </c>
    </row>
    <row r="5416" spans="1:3" x14ac:dyDescent="0.3">
      <c r="A5416" s="2">
        <v>42671</v>
      </c>
      <c r="B5416">
        <f>6.25/(100)</f>
        <v>6.25E-2</v>
      </c>
      <c r="C5416">
        <f>6.513/(100)</f>
        <v>6.5129999999999993E-2</v>
      </c>
    </row>
    <row r="5417" spans="1:3" x14ac:dyDescent="0.3">
      <c r="A5417" s="2">
        <v>42672</v>
      </c>
      <c r="B5417">
        <f>6.25/(100)</f>
        <v>6.25E-2</v>
      </c>
      <c r="C5417">
        <f>6.513/(100)</f>
        <v>6.5129999999999993E-2</v>
      </c>
    </row>
    <row r="5418" spans="1:3" x14ac:dyDescent="0.3">
      <c r="A5418" s="2">
        <v>42673</v>
      </c>
      <c r="B5418">
        <f>6.25/(100)</f>
        <v>6.25E-2</v>
      </c>
      <c r="C5418">
        <f>6.513/(100)</f>
        <v>6.5129999999999993E-2</v>
      </c>
    </row>
    <row r="5419" spans="1:3" x14ac:dyDescent="0.3">
      <c r="A5419" s="2">
        <v>42674</v>
      </c>
      <c r="B5419">
        <f>6.25/(100)</f>
        <v>6.25E-2</v>
      </c>
      <c r="C5419">
        <f>6.513/(100)</f>
        <v>6.5129999999999993E-2</v>
      </c>
    </row>
    <row r="5420" spans="1:3" x14ac:dyDescent="0.3">
      <c r="A5420" s="2">
        <v>42675</v>
      </c>
      <c r="B5420">
        <f>6.25/(100)</f>
        <v>6.25E-2</v>
      </c>
      <c r="C5420">
        <f>6.51/(100)</f>
        <v>6.5099999999999991E-2</v>
      </c>
    </row>
    <row r="5421" spans="1:3" x14ac:dyDescent="0.3">
      <c r="A5421" s="2">
        <v>42676</v>
      </c>
      <c r="B5421">
        <f>6.25/(100)</f>
        <v>6.25E-2</v>
      </c>
      <c r="C5421">
        <f>6.552/(100)</f>
        <v>6.5519999999999995E-2</v>
      </c>
    </row>
    <row r="5422" spans="1:3" x14ac:dyDescent="0.3">
      <c r="A5422" s="2">
        <v>42677</v>
      </c>
      <c r="B5422">
        <f>6.25/(100)</f>
        <v>6.25E-2</v>
      </c>
      <c r="C5422">
        <f>6.565/(100)</f>
        <v>6.565E-2</v>
      </c>
    </row>
    <row r="5423" spans="1:3" x14ac:dyDescent="0.3">
      <c r="A5423" s="2">
        <v>42678</v>
      </c>
      <c r="B5423">
        <f>6.25/(100)</f>
        <v>6.25E-2</v>
      </c>
      <c r="C5423">
        <f>6.552/(100)</f>
        <v>6.5519999999999995E-2</v>
      </c>
    </row>
    <row r="5424" spans="1:3" x14ac:dyDescent="0.3">
      <c r="A5424" s="2">
        <v>42679</v>
      </c>
      <c r="B5424">
        <f>6.25/(100)</f>
        <v>6.25E-2</v>
      </c>
      <c r="C5424">
        <f>6.552/(100)</f>
        <v>6.5519999999999995E-2</v>
      </c>
    </row>
    <row r="5425" spans="1:3" x14ac:dyDescent="0.3">
      <c r="A5425" s="2">
        <v>42680</v>
      </c>
      <c r="B5425">
        <f>6.25/(100)</f>
        <v>6.25E-2</v>
      </c>
      <c r="C5425">
        <f>6.552/(100)</f>
        <v>6.5519999999999995E-2</v>
      </c>
    </row>
    <row r="5426" spans="1:3" x14ac:dyDescent="0.3">
      <c r="A5426" s="2">
        <v>42681</v>
      </c>
      <c r="B5426">
        <f>6.25/(100)</f>
        <v>6.25E-2</v>
      </c>
      <c r="C5426">
        <f>6.538/(100)</f>
        <v>6.5380000000000008E-2</v>
      </c>
    </row>
    <row r="5427" spans="1:3" x14ac:dyDescent="0.3">
      <c r="A5427" s="2">
        <v>42682</v>
      </c>
      <c r="B5427">
        <f>6.25/(100)</f>
        <v>6.25E-2</v>
      </c>
      <c r="C5427">
        <f>6.532/(100)</f>
        <v>6.5320000000000003E-2</v>
      </c>
    </row>
    <row r="5428" spans="1:3" x14ac:dyDescent="0.3">
      <c r="A5428" s="2">
        <v>42683</v>
      </c>
      <c r="B5428">
        <f>6.25/(100)</f>
        <v>6.25E-2</v>
      </c>
      <c r="C5428">
        <f>6.451/(100)</f>
        <v>6.4509999999999998E-2</v>
      </c>
    </row>
    <row r="5429" spans="1:3" x14ac:dyDescent="0.3">
      <c r="A5429" s="2">
        <v>42684</v>
      </c>
      <c r="B5429">
        <f>6.25/(100)</f>
        <v>6.25E-2</v>
      </c>
      <c r="C5429">
        <f>6.439/(100)</f>
        <v>6.4390000000000003E-2</v>
      </c>
    </row>
    <row r="5430" spans="1:3" x14ac:dyDescent="0.3">
      <c r="A5430" s="2">
        <v>42685</v>
      </c>
      <c r="B5430">
        <f>6.25/(100)</f>
        <v>6.25E-2</v>
      </c>
      <c r="C5430">
        <f>6.407/(100)</f>
        <v>6.4070000000000002E-2</v>
      </c>
    </row>
    <row r="5431" spans="1:3" x14ac:dyDescent="0.3">
      <c r="A5431" s="2">
        <v>42686</v>
      </c>
      <c r="B5431">
        <f>6.25/(100)</f>
        <v>6.25E-2</v>
      </c>
      <c r="C5431">
        <f>6.407/(100)</f>
        <v>6.4070000000000002E-2</v>
      </c>
    </row>
    <row r="5432" spans="1:3" x14ac:dyDescent="0.3">
      <c r="A5432" s="2">
        <v>42687</v>
      </c>
      <c r="B5432">
        <f>6.25/(100)</f>
        <v>6.25E-2</v>
      </c>
      <c r="C5432">
        <f>6.407/(100)</f>
        <v>6.4070000000000002E-2</v>
      </c>
    </row>
    <row r="5433" spans="1:3" x14ac:dyDescent="0.3">
      <c r="A5433" s="2">
        <v>42688</v>
      </c>
      <c r="B5433">
        <f>6.25/(100)</f>
        <v>6.25E-2</v>
      </c>
      <c r="C5433">
        <f>6.407/(100)</f>
        <v>6.4070000000000002E-2</v>
      </c>
    </row>
    <row r="5434" spans="1:3" x14ac:dyDescent="0.3">
      <c r="A5434" s="2">
        <v>42689</v>
      </c>
      <c r="B5434">
        <f>6.25/(100)</f>
        <v>6.25E-2</v>
      </c>
      <c r="C5434">
        <f>6.279/(100)</f>
        <v>6.2789999999999999E-2</v>
      </c>
    </row>
    <row r="5435" spans="1:3" x14ac:dyDescent="0.3">
      <c r="A5435" s="2">
        <v>42690</v>
      </c>
      <c r="B5435">
        <f>6.25/(100)</f>
        <v>6.25E-2</v>
      </c>
      <c r="C5435">
        <f>6.361/(100)</f>
        <v>6.361E-2</v>
      </c>
    </row>
    <row r="5436" spans="1:3" x14ac:dyDescent="0.3">
      <c r="A5436" s="2">
        <v>42691</v>
      </c>
      <c r="B5436">
        <f>6.25/(100)</f>
        <v>6.25E-2</v>
      </c>
      <c r="C5436">
        <f>6.182/(100)</f>
        <v>6.1820000000000007E-2</v>
      </c>
    </row>
    <row r="5437" spans="1:3" x14ac:dyDescent="0.3">
      <c r="A5437" s="2">
        <v>42692</v>
      </c>
      <c r="B5437">
        <f>6.25/(100)</f>
        <v>6.25E-2</v>
      </c>
      <c r="C5437">
        <f>6.206/(100)</f>
        <v>6.2060000000000004E-2</v>
      </c>
    </row>
    <row r="5438" spans="1:3" x14ac:dyDescent="0.3">
      <c r="A5438" s="2">
        <v>42693</v>
      </c>
      <c r="B5438">
        <f>6.25/(100)</f>
        <v>6.25E-2</v>
      </c>
      <c r="C5438">
        <f>6.206/(100)</f>
        <v>6.2060000000000004E-2</v>
      </c>
    </row>
    <row r="5439" spans="1:3" x14ac:dyDescent="0.3">
      <c r="A5439" s="2">
        <v>42694</v>
      </c>
      <c r="B5439">
        <f>6.25/(100)</f>
        <v>6.25E-2</v>
      </c>
      <c r="C5439">
        <f>6.206/(100)</f>
        <v>6.2060000000000004E-2</v>
      </c>
    </row>
    <row r="5440" spans="1:3" x14ac:dyDescent="0.3">
      <c r="A5440" s="2">
        <v>42695</v>
      </c>
      <c r="B5440">
        <f>6.25/(100)</f>
        <v>6.25E-2</v>
      </c>
      <c r="C5440">
        <f>6.195/(100)</f>
        <v>6.1950000000000005E-2</v>
      </c>
    </row>
    <row r="5441" spans="1:3" x14ac:dyDescent="0.3">
      <c r="A5441" s="2">
        <v>42696</v>
      </c>
      <c r="B5441">
        <f>6.25/(100)</f>
        <v>6.25E-2</v>
      </c>
      <c r="C5441">
        <f>6.181/(100)</f>
        <v>6.1810000000000004E-2</v>
      </c>
    </row>
    <row r="5442" spans="1:3" x14ac:dyDescent="0.3">
      <c r="A5442" s="2">
        <v>42697</v>
      </c>
      <c r="B5442">
        <f>6.25/(100)</f>
        <v>6.25E-2</v>
      </c>
      <c r="C5442">
        <f>6.178/(100)</f>
        <v>6.1780000000000002E-2</v>
      </c>
    </row>
    <row r="5443" spans="1:3" x14ac:dyDescent="0.3">
      <c r="A5443" s="2">
        <v>42698</v>
      </c>
      <c r="B5443">
        <f>6.25/(100)</f>
        <v>6.25E-2</v>
      </c>
      <c r="C5443">
        <f>6.098/(100)</f>
        <v>6.0979999999999999E-2</v>
      </c>
    </row>
    <row r="5444" spans="1:3" x14ac:dyDescent="0.3">
      <c r="A5444" s="2">
        <v>42699</v>
      </c>
      <c r="B5444">
        <f>6.25/(100)</f>
        <v>6.25E-2</v>
      </c>
      <c r="C5444">
        <f>6.113/(100)</f>
        <v>6.1130000000000004E-2</v>
      </c>
    </row>
    <row r="5445" spans="1:3" x14ac:dyDescent="0.3">
      <c r="A5445" s="2">
        <v>42700</v>
      </c>
      <c r="B5445">
        <f>6.25/(100)</f>
        <v>6.25E-2</v>
      </c>
      <c r="C5445">
        <f>6.113/(100)</f>
        <v>6.1130000000000004E-2</v>
      </c>
    </row>
    <row r="5446" spans="1:3" x14ac:dyDescent="0.3">
      <c r="A5446" s="2">
        <v>42701</v>
      </c>
      <c r="B5446">
        <f>6.25/(100)</f>
        <v>6.25E-2</v>
      </c>
      <c r="C5446">
        <f>6.113/(100)</f>
        <v>6.1130000000000004E-2</v>
      </c>
    </row>
    <row r="5447" spans="1:3" x14ac:dyDescent="0.3">
      <c r="A5447" s="2">
        <v>42702</v>
      </c>
      <c r="B5447">
        <f>6.25/(100)</f>
        <v>6.25E-2</v>
      </c>
      <c r="C5447">
        <f>6.217/(100)</f>
        <v>6.2169999999999996E-2</v>
      </c>
    </row>
    <row r="5448" spans="1:3" x14ac:dyDescent="0.3">
      <c r="A5448" s="2">
        <v>42703</v>
      </c>
      <c r="B5448">
        <f>6.25/(100)</f>
        <v>6.25E-2</v>
      </c>
      <c r="C5448">
        <f>6.038/(100)</f>
        <v>6.0380000000000003E-2</v>
      </c>
    </row>
    <row r="5449" spans="1:3" x14ac:dyDescent="0.3">
      <c r="A5449" s="2">
        <v>42704</v>
      </c>
      <c r="B5449">
        <f>6.25/(100)</f>
        <v>6.25E-2</v>
      </c>
      <c r="C5449">
        <f>6.073/(100)</f>
        <v>6.0730000000000006E-2</v>
      </c>
    </row>
    <row r="5450" spans="1:3" x14ac:dyDescent="0.3">
      <c r="A5450" s="2">
        <v>42705</v>
      </c>
      <c r="B5450">
        <f>6.25/(100)</f>
        <v>6.25E-2</v>
      </c>
      <c r="C5450">
        <f>6.03/(100)</f>
        <v>6.0299999999999999E-2</v>
      </c>
    </row>
    <row r="5451" spans="1:3" x14ac:dyDescent="0.3">
      <c r="A5451" s="2">
        <v>42706</v>
      </c>
      <c r="B5451">
        <f>6.25/(100)</f>
        <v>6.25E-2</v>
      </c>
      <c r="C5451">
        <f>6.072/(100)</f>
        <v>6.0720000000000003E-2</v>
      </c>
    </row>
    <row r="5452" spans="1:3" x14ac:dyDescent="0.3">
      <c r="A5452" s="2">
        <v>42707</v>
      </c>
      <c r="B5452">
        <f>6.25/(100)</f>
        <v>6.25E-2</v>
      </c>
      <c r="C5452">
        <f>6.072/(100)</f>
        <v>6.0720000000000003E-2</v>
      </c>
    </row>
    <row r="5453" spans="1:3" x14ac:dyDescent="0.3">
      <c r="A5453" s="2">
        <v>42708</v>
      </c>
      <c r="B5453">
        <f>6.25/(100)</f>
        <v>6.25E-2</v>
      </c>
      <c r="C5453">
        <f>6.072/(100)</f>
        <v>6.0720000000000003E-2</v>
      </c>
    </row>
    <row r="5454" spans="1:3" x14ac:dyDescent="0.3">
      <c r="A5454" s="2">
        <v>42709</v>
      </c>
      <c r="B5454">
        <f>6.25/(100)</f>
        <v>6.25E-2</v>
      </c>
      <c r="C5454">
        <f>6.204/(100)</f>
        <v>6.2039999999999998E-2</v>
      </c>
    </row>
    <row r="5455" spans="1:3" x14ac:dyDescent="0.3">
      <c r="A5455" s="2">
        <v>42710</v>
      </c>
      <c r="B5455">
        <f>6.25/(100)</f>
        <v>6.25E-2</v>
      </c>
      <c r="C5455">
        <f>6.156/(100)</f>
        <v>6.1559999999999997E-2</v>
      </c>
    </row>
    <row r="5456" spans="1:3" x14ac:dyDescent="0.3">
      <c r="A5456" s="2">
        <v>42711</v>
      </c>
      <c r="B5456">
        <f>6.25/(100)</f>
        <v>6.25E-2</v>
      </c>
      <c r="C5456">
        <f>6.067/(100)</f>
        <v>6.0670000000000002E-2</v>
      </c>
    </row>
    <row r="5457" spans="1:3" x14ac:dyDescent="0.3">
      <c r="A5457" s="2">
        <v>42712</v>
      </c>
      <c r="B5457">
        <f>6.25/(100)</f>
        <v>6.25E-2</v>
      </c>
      <c r="C5457">
        <f>6.278/(100)</f>
        <v>6.2780000000000002E-2</v>
      </c>
    </row>
    <row r="5458" spans="1:3" x14ac:dyDescent="0.3">
      <c r="A5458" s="2">
        <v>42713</v>
      </c>
      <c r="B5458">
        <f>6.25/(100)</f>
        <v>6.25E-2</v>
      </c>
      <c r="C5458">
        <f>6.275/(100)</f>
        <v>6.275E-2</v>
      </c>
    </row>
    <row r="5459" spans="1:3" x14ac:dyDescent="0.3">
      <c r="A5459" s="2">
        <v>42714</v>
      </c>
      <c r="B5459">
        <f>6.25/(100)</f>
        <v>6.25E-2</v>
      </c>
      <c r="C5459">
        <f>6.275/(100)</f>
        <v>6.275E-2</v>
      </c>
    </row>
    <row r="5460" spans="1:3" x14ac:dyDescent="0.3">
      <c r="A5460" s="2">
        <v>42715</v>
      </c>
      <c r="B5460">
        <f>6.25/(100)</f>
        <v>6.25E-2</v>
      </c>
      <c r="C5460">
        <f>6.275/(100)</f>
        <v>6.275E-2</v>
      </c>
    </row>
    <row r="5461" spans="1:3" x14ac:dyDescent="0.3">
      <c r="A5461" s="2">
        <v>42716</v>
      </c>
      <c r="B5461">
        <f>6.25/(100)</f>
        <v>6.25E-2</v>
      </c>
      <c r="C5461">
        <f>6.275/(100)</f>
        <v>6.275E-2</v>
      </c>
    </row>
    <row r="5462" spans="1:3" x14ac:dyDescent="0.3">
      <c r="A5462" s="2">
        <v>42717</v>
      </c>
      <c r="B5462">
        <f>6.25/(100)</f>
        <v>6.25E-2</v>
      </c>
      <c r="C5462">
        <f>6.298/(100)</f>
        <v>6.2979999999999994E-2</v>
      </c>
    </row>
    <row r="5463" spans="1:3" x14ac:dyDescent="0.3">
      <c r="A5463" s="2">
        <v>42718</v>
      </c>
      <c r="B5463">
        <f>6.25/(100)</f>
        <v>6.25E-2</v>
      </c>
      <c r="C5463">
        <f>6.275/(100)</f>
        <v>6.275E-2</v>
      </c>
    </row>
    <row r="5464" spans="1:3" x14ac:dyDescent="0.3">
      <c r="A5464" s="2">
        <v>42719</v>
      </c>
      <c r="B5464">
        <f>6.25/(100)</f>
        <v>6.25E-2</v>
      </c>
      <c r="C5464">
        <f>6.361/(100)</f>
        <v>6.361E-2</v>
      </c>
    </row>
    <row r="5465" spans="1:3" x14ac:dyDescent="0.3">
      <c r="A5465" s="2">
        <v>42720</v>
      </c>
      <c r="B5465">
        <f>6.25/(100)</f>
        <v>6.25E-2</v>
      </c>
      <c r="C5465">
        <f>6.355/(100)</f>
        <v>6.3550000000000009E-2</v>
      </c>
    </row>
    <row r="5466" spans="1:3" x14ac:dyDescent="0.3">
      <c r="A5466" s="2">
        <v>42721</v>
      </c>
      <c r="B5466">
        <f>6.25/(100)</f>
        <v>6.25E-2</v>
      </c>
      <c r="C5466">
        <f>6.355/(100)</f>
        <v>6.3550000000000009E-2</v>
      </c>
    </row>
    <row r="5467" spans="1:3" x14ac:dyDescent="0.3">
      <c r="A5467" s="2">
        <v>42722</v>
      </c>
      <c r="B5467">
        <f>6.25/(100)</f>
        <v>6.25E-2</v>
      </c>
      <c r="C5467">
        <f>6.355/(100)</f>
        <v>6.3550000000000009E-2</v>
      </c>
    </row>
    <row r="5468" spans="1:3" x14ac:dyDescent="0.3">
      <c r="A5468" s="2">
        <v>42723</v>
      </c>
      <c r="B5468">
        <f>6.25/(100)</f>
        <v>6.25E-2</v>
      </c>
      <c r="C5468">
        <f>6.366/(100)</f>
        <v>6.3659999999999994E-2</v>
      </c>
    </row>
    <row r="5469" spans="1:3" x14ac:dyDescent="0.3">
      <c r="A5469" s="2">
        <v>42724</v>
      </c>
      <c r="B5469">
        <f>6.25/(100)</f>
        <v>6.25E-2</v>
      </c>
      <c r="C5469">
        <f>6.41/(100)</f>
        <v>6.4100000000000004E-2</v>
      </c>
    </row>
    <row r="5470" spans="1:3" x14ac:dyDescent="0.3">
      <c r="A5470" s="2">
        <v>42725</v>
      </c>
      <c r="B5470">
        <f>6.25/(100)</f>
        <v>6.25E-2</v>
      </c>
      <c r="C5470">
        <f>6.402/(100)</f>
        <v>6.4020000000000007E-2</v>
      </c>
    </row>
    <row r="5471" spans="1:3" x14ac:dyDescent="0.3">
      <c r="A5471" s="2">
        <v>42726</v>
      </c>
      <c r="B5471">
        <f>6.25/(100)</f>
        <v>6.25E-2</v>
      </c>
      <c r="C5471">
        <f>6.39/(100)</f>
        <v>6.3899999999999998E-2</v>
      </c>
    </row>
    <row r="5472" spans="1:3" x14ac:dyDescent="0.3">
      <c r="A5472" s="2">
        <v>42727</v>
      </c>
      <c r="B5472">
        <f>6.25/(100)</f>
        <v>6.25E-2</v>
      </c>
      <c r="C5472">
        <f>6.395/(100)</f>
        <v>6.3949999999999993E-2</v>
      </c>
    </row>
    <row r="5473" spans="1:3" x14ac:dyDescent="0.3">
      <c r="A5473" s="2">
        <v>42728</v>
      </c>
      <c r="B5473">
        <f>6.25/(100)</f>
        <v>6.25E-2</v>
      </c>
      <c r="C5473">
        <f>6.395/(100)</f>
        <v>6.3949999999999993E-2</v>
      </c>
    </row>
    <row r="5474" spans="1:3" x14ac:dyDescent="0.3">
      <c r="A5474" s="2">
        <v>42729</v>
      </c>
      <c r="B5474">
        <f>6.25/(100)</f>
        <v>6.25E-2</v>
      </c>
      <c r="C5474">
        <f>6.395/(100)</f>
        <v>6.3949999999999993E-2</v>
      </c>
    </row>
    <row r="5475" spans="1:3" x14ac:dyDescent="0.3">
      <c r="A5475" s="2">
        <v>42730</v>
      </c>
      <c r="B5475">
        <f>6.25/(100)</f>
        <v>6.25E-2</v>
      </c>
      <c r="C5475">
        <f>6.393/(100)</f>
        <v>6.3930000000000001E-2</v>
      </c>
    </row>
    <row r="5476" spans="1:3" x14ac:dyDescent="0.3">
      <c r="A5476" s="2">
        <v>42731</v>
      </c>
      <c r="B5476">
        <f>6.25/(100)</f>
        <v>6.25E-2</v>
      </c>
      <c r="C5476">
        <f>6.409/(100)</f>
        <v>6.4089999999999994E-2</v>
      </c>
    </row>
    <row r="5477" spans="1:3" x14ac:dyDescent="0.3">
      <c r="A5477" s="2">
        <v>42732</v>
      </c>
      <c r="B5477">
        <f>6.25/(100)</f>
        <v>6.25E-2</v>
      </c>
      <c r="C5477">
        <f>6.401/(100)</f>
        <v>6.4009999999999997E-2</v>
      </c>
    </row>
    <row r="5478" spans="1:3" x14ac:dyDescent="0.3">
      <c r="A5478" s="2">
        <v>42733</v>
      </c>
      <c r="B5478">
        <f>6.25/(100)</f>
        <v>6.25E-2</v>
      </c>
      <c r="C5478">
        <f>6.365/(100)</f>
        <v>6.3649999999999998E-2</v>
      </c>
    </row>
    <row r="5479" spans="1:3" x14ac:dyDescent="0.3">
      <c r="A5479" s="2">
        <v>42734</v>
      </c>
      <c r="B5479">
        <f>6.25/(100)</f>
        <v>6.25E-2</v>
      </c>
      <c r="C5479">
        <f>6.408/(100)</f>
        <v>6.4079999999999998E-2</v>
      </c>
    </row>
    <row r="5480" spans="1:3" x14ac:dyDescent="0.3">
      <c r="A5480" s="2">
        <v>42735</v>
      </c>
      <c r="B5480">
        <f>6.25/(100)</f>
        <v>6.25E-2</v>
      </c>
      <c r="C5480">
        <f>6.408/(100)</f>
        <v>6.4079999999999998E-2</v>
      </c>
    </row>
    <row r="5481" spans="1:3" x14ac:dyDescent="0.3">
      <c r="A5481" s="2">
        <v>42736</v>
      </c>
      <c r="B5481">
        <f>6.25/(100)</f>
        <v>6.25E-2</v>
      </c>
      <c r="C5481">
        <f>6.408/(100)</f>
        <v>6.4079999999999998E-2</v>
      </c>
    </row>
    <row r="5482" spans="1:3" x14ac:dyDescent="0.3">
      <c r="A5482" s="2">
        <v>42737</v>
      </c>
      <c r="B5482">
        <f>6.25/(100)</f>
        <v>6.25E-2</v>
      </c>
      <c r="C5482">
        <f>6.417/(100)</f>
        <v>6.4170000000000005E-2</v>
      </c>
    </row>
    <row r="5483" spans="1:3" x14ac:dyDescent="0.3">
      <c r="A5483" s="2">
        <v>42738</v>
      </c>
      <c r="B5483">
        <f>6.25/(100)</f>
        <v>6.25E-2</v>
      </c>
      <c r="C5483">
        <f>6.46/(100)</f>
        <v>6.4600000000000005E-2</v>
      </c>
    </row>
    <row r="5484" spans="1:3" x14ac:dyDescent="0.3">
      <c r="A5484" s="2">
        <v>42739</v>
      </c>
      <c r="B5484">
        <f>6.25/(100)</f>
        <v>6.25E-2</v>
      </c>
      <c r="C5484">
        <f>6.285/(100)</f>
        <v>6.2850000000000003E-2</v>
      </c>
    </row>
    <row r="5485" spans="1:3" x14ac:dyDescent="0.3">
      <c r="A5485" s="2">
        <v>42740</v>
      </c>
      <c r="B5485">
        <f>6.25/(100)</f>
        <v>6.25E-2</v>
      </c>
      <c r="C5485">
        <f>6.323/(100)</f>
        <v>6.3230000000000008E-2</v>
      </c>
    </row>
    <row r="5486" spans="1:3" x14ac:dyDescent="0.3">
      <c r="A5486" s="2">
        <v>42741</v>
      </c>
      <c r="B5486">
        <f>6.25/(100)</f>
        <v>6.25E-2</v>
      </c>
      <c r="C5486">
        <f>6.291/(100)</f>
        <v>6.2910000000000008E-2</v>
      </c>
    </row>
    <row r="5487" spans="1:3" x14ac:dyDescent="0.3">
      <c r="A5487" s="2">
        <v>42742</v>
      </c>
      <c r="B5487">
        <f>6.25/(100)</f>
        <v>6.25E-2</v>
      </c>
      <c r="C5487">
        <f>6.291/(100)</f>
        <v>6.2910000000000008E-2</v>
      </c>
    </row>
    <row r="5488" spans="1:3" x14ac:dyDescent="0.3">
      <c r="A5488" s="2">
        <v>42743</v>
      </c>
      <c r="B5488">
        <f>6.25/(100)</f>
        <v>6.25E-2</v>
      </c>
      <c r="C5488">
        <f>6.291/(100)</f>
        <v>6.2910000000000008E-2</v>
      </c>
    </row>
    <row r="5489" spans="1:3" x14ac:dyDescent="0.3">
      <c r="A5489" s="2">
        <v>42744</v>
      </c>
      <c r="B5489">
        <f>6.25/(100)</f>
        <v>6.25E-2</v>
      </c>
      <c r="C5489">
        <f>6.291/(100)</f>
        <v>6.2910000000000008E-2</v>
      </c>
    </row>
    <row r="5490" spans="1:3" x14ac:dyDescent="0.3">
      <c r="A5490" s="2">
        <v>42745</v>
      </c>
      <c r="B5490">
        <f>6.25/(100)</f>
        <v>6.25E-2</v>
      </c>
      <c r="C5490">
        <f>6.371/(100)</f>
        <v>6.3710000000000003E-2</v>
      </c>
    </row>
    <row r="5491" spans="1:3" x14ac:dyDescent="0.3">
      <c r="A5491" s="2">
        <v>42746</v>
      </c>
      <c r="B5491">
        <f>6.25/(100)</f>
        <v>6.25E-2</v>
      </c>
      <c r="C5491">
        <f>6.277/(100)</f>
        <v>6.2770000000000006E-2</v>
      </c>
    </row>
    <row r="5492" spans="1:3" x14ac:dyDescent="0.3">
      <c r="A5492" s="2">
        <v>42747</v>
      </c>
      <c r="B5492">
        <f>6.25/(100)</f>
        <v>6.25E-2</v>
      </c>
      <c r="C5492">
        <f>6.257/(100)</f>
        <v>6.2570000000000001E-2</v>
      </c>
    </row>
    <row r="5493" spans="1:3" x14ac:dyDescent="0.3">
      <c r="A5493" s="2">
        <v>42748</v>
      </c>
      <c r="B5493">
        <f>6.25/(100)</f>
        <v>6.25E-2</v>
      </c>
      <c r="C5493">
        <f>6.265/(100)</f>
        <v>6.2649999999999997E-2</v>
      </c>
    </row>
    <row r="5494" spans="1:3" x14ac:dyDescent="0.3">
      <c r="A5494" s="2">
        <v>42749</v>
      </c>
      <c r="B5494">
        <f>6.25/(100)</f>
        <v>6.25E-2</v>
      </c>
      <c r="C5494">
        <f>6.265/(100)</f>
        <v>6.2649999999999997E-2</v>
      </c>
    </row>
    <row r="5495" spans="1:3" x14ac:dyDescent="0.3">
      <c r="A5495" s="2">
        <v>42750</v>
      </c>
      <c r="B5495">
        <f>6.25/(100)</f>
        <v>6.25E-2</v>
      </c>
      <c r="C5495">
        <f>6.265/(100)</f>
        <v>6.2649999999999997E-2</v>
      </c>
    </row>
    <row r="5496" spans="1:3" x14ac:dyDescent="0.3">
      <c r="A5496" s="2">
        <v>42751</v>
      </c>
      <c r="B5496">
        <f>6.25/(100)</f>
        <v>6.25E-2</v>
      </c>
      <c r="C5496">
        <f>6.278/(100)</f>
        <v>6.2780000000000002E-2</v>
      </c>
    </row>
    <row r="5497" spans="1:3" x14ac:dyDescent="0.3">
      <c r="A5497" s="2">
        <v>42752</v>
      </c>
      <c r="B5497">
        <f>6.25/(100)</f>
        <v>6.25E-2</v>
      </c>
      <c r="C5497">
        <f>6.25/(100)</f>
        <v>6.25E-2</v>
      </c>
    </row>
    <row r="5498" spans="1:3" x14ac:dyDescent="0.3">
      <c r="A5498" s="2">
        <v>42753</v>
      </c>
      <c r="B5498">
        <f>6.25/(100)</f>
        <v>6.25E-2</v>
      </c>
      <c r="C5498">
        <f>6.264/(100)</f>
        <v>6.2640000000000001E-2</v>
      </c>
    </row>
    <row r="5499" spans="1:3" x14ac:dyDescent="0.3">
      <c r="A5499" s="2">
        <v>42754</v>
      </c>
      <c r="B5499">
        <f>6.25/(100)</f>
        <v>6.25E-2</v>
      </c>
      <c r="C5499">
        <f>6.269/(100)</f>
        <v>6.2689999999999996E-2</v>
      </c>
    </row>
    <row r="5500" spans="1:3" x14ac:dyDescent="0.3">
      <c r="A5500" s="2">
        <v>42755</v>
      </c>
      <c r="B5500">
        <f>6.25/(100)</f>
        <v>6.25E-2</v>
      </c>
      <c r="C5500">
        <f>6.302/(100)</f>
        <v>6.3019999999999993E-2</v>
      </c>
    </row>
    <row r="5501" spans="1:3" x14ac:dyDescent="0.3">
      <c r="A5501" s="2">
        <v>42756</v>
      </c>
      <c r="B5501">
        <f>6.25/(100)</f>
        <v>6.25E-2</v>
      </c>
      <c r="C5501">
        <f>6.302/(100)</f>
        <v>6.3019999999999993E-2</v>
      </c>
    </row>
    <row r="5502" spans="1:3" x14ac:dyDescent="0.3">
      <c r="A5502" s="2">
        <v>42757</v>
      </c>
      <c r="B5502">
        <f>6.25/(100)</f>
        <v>6.25E-2</v>
      </c>
      <c r="C5502">
        <f>6.302/(100)</f>
        <v>6.3019999999999993E-2</v>
      </c>
    </row>
    <row r="5503" spans="1:3" x14ac:dyDescent="0.3">
      <c r="A5503" s="2">
        <v>42758</v>
      </c>
      <c r="B5503">
        <f>6.25/(100)</f>
        <v>6.25E-2</v>
      </c>
      <c r="C5503">
        <f>6.298/(100)</f>
        <v>6.2979999999999994E-2</v>
      </c>
    </row>
    <row r="5504" spans="1:3" x14ac:dyDescent="0.3">
      <c r="A5504" s="2">
        <v>42759</v>
      </c>
      <c r="B5504">
        <f>6.25/(100)</f>
        <v>6.25E-2</v>
      </c>
      <c r="C5504">
        <f>6.277/(100)</f>
        <v>6.2770000000000006E-2</v>
      </c>
    </row>
    <row r="5505" spans="1:3" x14ac:dyDescent="0.3">
      <c r="A5505" s="2">
        <v>42760</v>
      </c>
      <c r="B5505">
        <f>6.25/(100)</f>
        <v>6.25E-2</v>
      </c>
      <c r="C5505">
        <f>6.279/(100)</f>
        <v>6.2789999999999999E-2</v>
      </c>
    </row>
    <row r="5506" spans="1:3" x14ac:dyDescent="0.3">
      <c r="A5506" s="2">
        <v>42761</v>
      </c>
      <c r="B5506">
        <f>6.25/(100)</f>
        <v>6.25E-2</v>
      </c>
      <c r="C5506">
        <f>6.279/(100)</f>
        <v>6.2789999999999999E-2</v>
      </c>
    </row>
    <row r="5507" spans="1:3" x14ac:dyDescent="0.3">
      <c r="A5507" s="2">
        <v>42762</v>
      </c>
      <c r="B5507">
        <f>6.25/(100)</f>
        <v>6.25E-2</v>
      </c>
      <c r="C5507">
        <f>6.295/(100)</f>
        <v>6.2950000000000006E-2</v>
      </c>
    </row>
    <row r="5508" spans="1:3" x14ac:dyDescent="0.3">
      <c r="A5508" s="2">
        <v>42763</v>
      </c>
      <c r="B5508">
        <f>6.25/(100)</f>
        <v>6.25E-2</v>
      </c>
      <c r="C5508">
        <f>6.295/(100)</f>
        <v>6.2950000000000006E-2</v>
      </c>
    </row>
    <row r="5509" spans="1:3" x14ac:dyDescent="0.3">
      <c r="A5509" s="2">
        <v>42764</v>
      </c>
      <c r="B5509">
        <f>6.25/(100)</f>
        <v>6.25E-2</v>
      </c>
      <c r="C5509">
        <f>6.295/(100)</f>
        <v>6.2950000000000006E-2</v>
      </c>
    </row>
    <row r="5510" spans="1:3" x14ac:dyDescent="0.3">
      <c r="A5510" s="2">
        <v>42765</v>
      </c>
      <c r="B5510">
        <f>6.25/(100)</f>
        <v>6.25E-2</v>
      </c>
      <c r="C5510">
        <f>6.266/(100)</f>
        <v>6.2659999999999993E-2</v>
      </c>
    </row>
    <row r="5511" spans="1:3" x14ac:dyDescent="0.3">
      <c r="A5511" s="2">
        <v>42766</v>
      </c>
      <c r="B5511">
        <f>6.25/(100)</f>
        <v>6.25E-2</v>
      </c>
      <c r="C5511">
        <f>6.274/(100)</f>
        <v>6.2740000000000004E-2</v>
      </c>
    </row>
    <row r="5512" spans="1:3" x14ac:dyDescent="0.3">
      <c r="A5512" s="2">
        <v>42767</v>
      </c>
      <c r="B5512">
        <f>6.25/(100)</f>
        <v>6.25E-2</v>
      </c>
      <c r="C5512">
        <f>6.249/(100)</f>
        <v>6.2489999999999997E-2</v>
      </c>
    </row>
    <row r="5513" spans="1:3" x14ac:dyDescent="0.3">
      <c r="A5513" s="2">
        <v>42768</v>
      </c>
      <c r="B5513">
        <f>6.25/(100)</f>
        <v>6.25E-2</v>
      </c>
      <c r="C5513">
        <f>6.216/(100)</f>
        <v>6.216E-2</v>
      </c>
    </row>
    <row r="5514" spans="1:3" x14ac:dyDescent="0.3">
      <c r="A5514" s="2">
        <v>42769</v>
      </c>
      <c r="B5514">
        <f>6.25/(100)</f>
        <v>6.25E-2</v>
      </c>
      <c r="C5514">
        <f>6.201/(100)</f>
        <v>6.2009999999999996E-2</v>
      </c>
    </row>
    <row r="5515" spans="1:3" x14ac:dyDescent="0.3">
      <c r="A5515" s="2">
        <v>42770</v>
      </c>
      <c r="B5515">
        <f>6.25/(100)</f>
        <v>6.25E-2</v>
      </c>
      <c r="C5515">
        <f>6.201/(100)</f>
        <v>6.2009999999999996E-2</v>
      </c>
    </row>
    <row r="5516" spans="1:3" x14ac:dyDescent="0.3">
      <c r="A5516" s="2">
        <v>42771</v>
      </c>
      <c r="B5516">
        <f>6.25/(100)</f>
        <v>6.25E-2</v>
      </c>
      <c r="C5516">
        <f>6.201/(100)</f>
        <v>6.2009999999999996E-2</v>
      </c>
    </row>
    <row r="5517" spans="1:3" x14ac:dyDescent="0.3">
      <c r="A5517" s="2">
        <v>42772</v>
      </c>
      <c r="B5517">
        <f>6.25/(100)</f>
        <v>6.25E-2</v>
      </c>
      <c r="C5517">
        <f>6.209/(100)</f>
        <v>6.2089999999999999E-2</v>
      </c>
    </row>
    <row r="5518" spans="1:3" x14ac:dyDescent="0.3">
      <c r="A5518" s="2">
        <v>42773</v>
      </c>
      <c r="B5518">
        <f>6.25/(100)</f>
        <v>6.25E-2</v>
      </c>
      <c r="C5518">
        <f>6.205/(100)</f>
        <v>6.2050000000000001E-2</v>
      </c>
    </row>
    <row r="5519" spans="1:3" x14ac:dyDescent="0.3">
      <c r="A5519" s="2">
        <v>42774</v>
      </c>
      <c r="B5519">
        <f>6.25/(100)</f>
        <v>6.25E-2</v>
      </c>
      <c r="C5519">
        <f>6.422/(100)</f>
        <v>6.4219999999999999E-2</v>
      </c>
    </row>
    <row r="5520" spans="1:3" x14ac:dyDescent="0.3">
      <c r="A5520" s="2">
        <v>42775</v>
      </c>
      <c r="B5520">
        <f>6.25/(100)</f>
        <v>6.25E-2</v>
      </c>
      <c r="C5520">
        <f>6.454/(100)</f>
        <v>6.454E-2</v>
      </c>
    </row>
    <row r="5521" spans="1:3" x14ac:dyDescent="0.3">
      <c r="A5521" s="2">
        <v>42776</v>
      </c>
      <c r="B5521">
        <f>6.25/(100)</f>
        <v>6.25E-2</v>
      </c>
      <c r="C5521">
        <f>6.43/(100)</f>
        <v>6.4299999999999996E-2</v>
      </c>
    </row>
    <row r="5522" spans="1:3" x14ac:dyDescent="0.3">
      <c r="A5522" s="2">
        <v>42777</v>
      </c>
      <c r="B5522">
        <f>6.25/(100)</f>
        <v>6.25E-2</v>
      </c>
      <c r="C5522">
        <f>6.43/(100)</f>
        <v>6.4299999999999996E-2</v>
      </c>
    </row>
    <row r="5523" spans="1:3" x14ac:dyDescent="0.3">
      <c r="A5523" s="2">
        <v>42778</v>
      </c>
      <c r="B5523">
        <f>6.25/(100)</f>
        <v>6.25E-2</v>
      </c>
      <c r="C5523">
        <f>6.43/(100)</f>
        <v>6.4299999999999996E-2</v>
      </c>
    </row>
    <row r="5524" spans="1:3" x14ac:dyDescent="0.3">
      <c r="A5524" s="2">
        <v>42779</v>
      </c>
      <c r="B5524">
        <f>6.25/(100)</f>
        <v>6.25E-2</v>
      </c>
      <c r="C5524">
        <f>6.391/(100)</f>
        <v>6.3909999999999995E-2</v>
      </c>
    </row>
    <row r="5525" spans="1:3" x14ac:dyDescent="0.3">
      <c r="A5525" s="2">
        <v>42780</v>
      </c>
      <c r="B5525">
        <f>6.25/(100)</f>
        <v>6.25E-2</v>
      </c>
      <c r="C5525">
        <f>6.408/(100)</f>
        <v>6.4079999999999998E-2</v>
      </c>
    </row>
    <row r="5526" spans="1:3" x14ac:dyDescent="0.3">
      <c r="A5526" s="2">
        <v>42781</v>
      </c>
      <c r="B5526">
        <f>6.25/(100)</f>
        <v>6.25E-2</v>
      </c>
      <c r="C5526">
        <f>6.369/(100)</f>
        <v>6.3689999999999997E-2</v>
      </c>
    </row>
    <row r="5527" spans="1:3" x14ac:dyDescent="0.3">
      <c r="A5527" s="2">
        <v>42782</v>
      </c>
      <c r="B5527">
        <f>6.25/(100)</f>
        <v>6.25E-2</v>
      </c>
      <c r="C5527">
        <f>6.318/(100)</f>
        <v>6.318E-2</v>
      </c>
    </row>
    <row r="5528" spans="1:3" x14ac:dyDescent="0.3">
      <c r="A5528" s="2">
        <v>42783</v>
      </c>
      <c r="B5528">
        <f>6.25/(100)</f>
        <v>6.25E-2</v>
      </c>
      <c r="C5528">
        <f>6.363/(100)</f>
        <v>6.3630000000000006E-2</v>
      </c>
    </row>
    <row r="5529" spans="1:3" x14ac:dyDescent="0.3">
      <c r="A5529" s="2">
        <v>42784</v>
      </c>
      <c r="B5529">
        <f>6.25/(100)</f>
        <v>6.25E-2</v>
      </c>
      <c r="C5529">
        <f>6.363/(100)</f>
        <v>6.3630000000000006E-2</v>
      </c>
    </row>
    <row r="5530" spans="1:3" x14ac:dyDescent="0.3">
      <c r="A5530" s="2">
        <v>42785</v>
      </c>
      <c r="B5530">
        <f>6.25/(100)</f>
        <v>6.25E-2</v>
      </c>
      <c r="C5530">
        <f>6.363/(100)</f>
        <v>6.3630000000000006E-2</v>
      </c>
    </row>
    <row r="5531" spans="1:3" x14ac:dyDescent="0.3">
      <c r="A5531" s="2">
        <v>42786</v>
      </c>
      <c r="B5531">
        <f>6.25/(100)</f>
        <v>6.25E-2</v>
      </c>
      <c r="C5531">
        <f>6.406/(100)</f>
        <v>6.4059999999999992E-2</v>
      </c>
    </row>
    <row r="5532" spans="1:3" x14ac:dyDescent="0.3">
      <c r="A5532" s="2">
        <v>42787</v>
      </c>
      <c r="B5532">
        <f>6.25/(100)</f>
        <v>6.25E-2</v>
      </c>
      <c r="C5532">
        <f>6.406/(100)</f>
        <v>6.4059999999999992E-2</v>
      </c>
    </row>
    <row r="5533" spans="1:3" x14ac:dyDescent="0.3">
      <c r="A5533" s="2">
        <v>42788</v>
      </c>
      <c r="B5533">
        <f>6.25/(100)</f>
        <v>6.25E-2</v>
      </c>
      <c r="C5533">
        <f>6.38/(100)</f>
        <v>6.3799999999999996E-2</v>
      </c>
    </row>
    <row r="5534" spans="1:3" x14ac:dyDescent="0.3">
      <c r="A5534" s="2">
        <v>42789</v>
      </c>
      <c r="B5534">
        <f>6.25/(100)</f>
        <v>6.25E-2</v>
      </c>
      <c r="C5534">
        <f>6.371/(100)</f>
        <v>6.3710000000000003E-2</v>
      </c>
    </row>
    <row r="5535" spans="1:3" x14ac:dyDescent="0.3">
      <c r="A5535" s="2">
        <v>42790</v>
      </c>
      <c r="B5535">
        <f>6.25/(100)</f>
        <v>6.25E-2</v>
      </c>
      <c r="C5535">
        <f>6.371/(100)</f>
        <v>6.3710000000000003E-2</v>
      </c>
    </row>
    <row r="5536" spans="1:3" x14ac:dyDescent="0.3">
      <c r="A5536" s="2">
        <v>42791</v>
      </c>
      <c r="B5536">
        <f>6.25/(100)</f>
        <v>6.25E-2</v>
      </c>
      <c r="C5536">
        <f>6.371/(100)</f>
        <v>6.3710000000000003E-2</v>
      </c>
    </row>
    <row r="5537" spans="1:3" x14ac:dyDescent="0.3">
      <c r="A5537" s="2">
        <v>42792</v>
      </c>
      <c r="B5537">
        <f>6.25/(100)</f>
        <v>6.25E-2</v>
      </c>
      <c r="C5537">
        <f>6.371/(100)</f>
        <v>6.3710000000000003E-2</v>
      </c>
    </row>
    <row r="5538" spans="1:3" x14ac:dyDescent="0.3">
      <c r="A5538" s="2">
        <v>42793</v>
      </c>
      <c r="B5538">
        <f>6.25/(100)</f>
        <v>6.25E-2</v>
      </c>
      <c r="C5538">
        <f>6.318/(100)</f>
        <v>6.318E-2</v>
      </c>
    </row>
    <row r="5539" spans="1:3" x14ac:dyDescent="0.3">
      <c r="A5539" s="2">
        <v>42794</v>
      </c>
      <c r="B5539">
        <f>6.25/(100)</f>
        <v>6.25E-2</v>
      </c>
      <c r="C5539">
        <f>6.343/(100)</f>
        <v>6.343E-2</v>
      </c>
    </row>
    <row r="5540" spans="1:3" x14ac:dyDescent="0.3">
      <c r="A5540" s="2">
        <v>42795</v>
      </c>
      <c r="B5540">
        <f>6.25/(100)</f>
        <v>6.25E-2</v>
      </c>
      <c r="C5540">
        <f>6.386/(100)</f>
        <v>6.386E-2</v>
      </c>
    </row>
    <row r="5541" spans="1:3" x14ac:dyDescent="0.3">
      <c r="A5541" s="2">
        <v>42796</v>
      </c>
      <c r="B5541">
        <f>6.25/(100)</f>
        <v>6.25E-2</v>
      </c>
      <c r="C5541">
        <f>6.382/(100)</f>
        <v>6.3820000000000002E-2</v>
      </c>
    </row>
    <row r="5542" spans="1:3" x14ac:dyDescent="0.3">
      <c r="A5542" s="2">
        <v>42797</v>
      </c>
      <c r="B5542">
        <f>6.25/(100)</f>
        <v>6.25E-2</v>
      </c>
      <c r="C5542">
        <f>6.364/(100)</f>
        <v>6.3640000000000002E-2</v>
      </c>
    </row>
    <row r="5543" spans="1:3" x14ac:dyDescent="0.3">
      <c r="A5543" s="2">
        <v>42798</v>
      </c>
      <c r="B5543">
        <f>6.25/(100)</f>
        <v>6.25E-2</v>
      </c>
      <c r="C5543">
        <f>6.364/(100)</f>
        <v>6.3640000000000002E-2</v>
      </c>
    </row>
    <row r="5544" spans="1:3" x14ac:dyDescent="0.3">
      <c r="A5544" s="2">
        <v>42799</v>
      </c>
      <c r="B5544">
        <f>6.25/(100)</f>
        <v>6.25E-2</v>
      </c>
      <c r="C5544">
        <f>6.364/(100)</f>
        <v>6.3640000000000002E-2</v>
      </c>
    </row>
    <row r="5545" spans="1:3" x14ac:dyDescent="0.3">
      <c r="A5545" s="2">
        <v>42800</v>
      </c>
      <c r="B5545">
        <f>6.25/(100)</f>
        <v>6.25E-2</v>
      </c>
      <c r="C5545">
        <f>6.359/(100)</f>
        <v>6.3589999999999994E-2</v>
      </c>
    </row>
    <row r="5546" spans="1:3" x14ac:dyDescent="0.3">
      <c r="A5546" s="2">
        <v>42801</v>
      </c>
      <c r="B5546">
        <f>6.25/(100)</f>
        <v>6.25E-2</v>
      </c>
      <c r="C5546">
        <f>6.366/(100)</f>
        <v>6.3659999999999994E-2</v>
      </c>
    </row>
    <row r="5547" spans="1:3" x14ac:dyDescent="0.3">
      <c r="A5547" s="2">
        <v>42802</v>
      </c>
      <c r="B5547">
        <f>6.25/(100)</f>
        <v>6.25E-2</v>
      </c>
      <c r="C5547">
        <f>6.355/(100)</f>
        <v>6.3550000000000009E-2</v>
      </c>
    </row>
    <row r="5548" spans="1:3" x14ac:dyDescent="0.3">
      <c r="A5548" s="2">
        <v>42803</v>
      </c>
      <c r="B5548">
        <f>6.25/(100)</f>
        <v>6.25E-2</v>
      </c>
      <c r="C5548">
        <f>6.347/(100)</f>
        <v>6.3469999999999999E-2</v>
      </c>
    </row>
    <row r="5549" spans="1:3" x14ac:dyDescent="0.3">
      <c r="A5549" s="2">
        <v>42804</v>
      </c>
      <c r="B5549">
        <f>6.25/(100)</f>
        <v>6.25E-2</v>
      </c>
      <c r="C5549">
        <f>6.365/(100)</f>
        <v>6.3649999999999998E-2</v>
      </c>
    </row>
    <row r="5550" spans="1:3" x14ac:dyDescent="0.3">
      <c r="A5550" s="2">
        <v>42805</v>
      </c>
      <c r="B5550">
        <f>6.25/(100)</f>
        <v>6.25E-2</v>
      </c>
      <c r="C5550">
        <f>6.365/(100)</f>
        <v>6.3649999999999998E-2</v>
      </c>
    </row>
    <row r="5551" spans="1:3" x14ac:dyDescent="0.3">
      <c r="A5551" s="2">
        <v>42806</v>
      </c>
      <c r="B5551">
        <f>6.25/(100)</f>
        <v>6.25E-2</v>
      </c>
      <c r="C5551">
        <f>6.365/(100)</f>
        <v>6.3649999999999998E-2</v>
      </c>
    </row>
    <row r="5552" spans="1:3" x14ac:dyDescent="0.3">
      <c r="A5552" s="2">
        <v>42807</v>
      </c>
      <c r="B5552">
        <f>6.25/(100)</f>
        <v>6.25E-2</v>
      </c>
      <c r="C5552">
        <f>6.365/(100)</f>
        <v>6.3649999999999998E-2</v>
      </c>
    </row>
    <row r="5553" spans="1:3" x14ac:dyDescent="0.3">
      <c r="A5553" s="2">
        <v>42808</v>
      </c>
      <c r="B5553">
        <f>6.25/(100)</f>
        <v>6.25E-2</v>
      </c>
      <c r="C5553">
        <f>6.353/(100)</f>
        <v>6.3530000000000003E-2</v>
      </c>
    </row>
    <row r="5554" spans="1:3" x14ac:dyDescent="0.3">
      <c r="A5554" s="2">
        <v>42809</v>
      </c>
      <c r="B5554">
        <f>6.25/(100)</f>
        <v>6.25E-2</v>
      </c>
      <c r="C5554">
        <f>6.341/(100)</f>
        <v>6.3410000000000008E-2</v>
      </c>
    </row>
    <row r="5555" spans="1:3" x14ac:dyDescent="0.3">
      <c r="A5555" s="2">
        <v>42810</v>
      </c>
      <c r="B5555">
        <f>6.25/(100)</f>
        <v>6.25E-2</v>
      </c>
      <c r="C5555">
        <f>6.345/(100)</f>
        <v>6.3449999999999993E-2</v>
      </c>
    </row>
    <row r="5556" spans="1:3" x14ac:dyDescent="0.3">
      <c r="A5556" s="2">
        <v>42811</v>
      </c>
      <c r="B5556">
        <f>6.25/(100)</f>
        <v>6.25E-2</v>
      </c>
      <c r="C5556">
        <f>6.335/(100)</f>
        <v>6.3350000000000004E-2</v>
      </c>
    </row>
    <row r="5557" spans="1:3" x14ac:dyDescent="0.3">
      <c r="A5557" s="2">
        <v>42812</v>
      </c>
      <c r="B5557">
        <f>6.25/(100)</f>
        <v>6.25E-2</v>
      </c>
      <c r="C5557">
        <f>6.335/(100)</f>
        <v>6.3350000000000004E-2</v>
      </c>
    </row>
    <row r="5558" spans="1:3" x14ac:dyDescent="0.3">
      <c r="A5558" s="2">
        <v>42813</v>
      </c>
      <c r="B5558">
        <f>6.25/(100)</f>
        <v>6.25E-2</v>
      </c>
      <c r="C5558">
        <f>6.335/(100)</f>
        <v>6.3350000000000004E-2</v>
      </c>
    </row>
    <row r="5559" spans="1:3" x14ac:dyDescent="0.3">
      <c r="A5559" s="2">
        <v>42814</v>
      </c>
      <c r="B5559">
        <f>6.25/(100)</f>
        <v>6.25E-2</v>
      </c>
      <c r="C5559">
        <f>6.329/(100)</f>
        <v>6.3289999999999999E-2</v>
      </c>
    </row>
    <row r="5560" spans="1:3" x14ac:dyDescent="0.3">
      <c r="A5560" s="2">
        <v>42815</v>
      </c>
      <c r="B5560">
        <f>6.25/(100)</f>
        <v>6.25E-2</v>
      </c>
      <c r="C5560">
        <f>6.319/(100)</f>
        <v>6.3189999999999996E-2</v>
      </c>
    </row>
    <row r="5561" spans="1:3" x14ac:dyDescent="0.3">
      <c r="A5561" s="2">
        <v>42816</v>
      </c>
      <c r="B5561">
        <f>6.25/(100)</f>
        <v>6.25E-2</v>
      </c>
      <c r="C5561">
        <f>6.305/(100)</f>
        <v>6.3049999999999995E-2</v>
      </c>
    </row>
    <row r="5562" spans="1:3" x14ac:dyDescent="0.3">
      <c r="A5562" s="2">
        <v>42817</v>
      </c>
      <c r="B5562">
        <f>6.25/(100)</f>
        <v>6.25E-2</v>
      </c>
      <c r="C5562">
        <f>6.312/(100)</f>
        <v>6.3120000000000009E-2</v>
      </c>
    </row>
    <row r="5563" spans="1:3" x14ac:dyDescent="0.3">
      <c r="A5563" s="2">
        <v>42818</v>
      </c>
      <c r="B5563">
        <f>6.25/(100)</f>
        <v>6.25E-2</v>
      </c>
      <c r="C5563">
        <f>6.252/(100)</f>
        <v>6.2519999999999992E-2</v>
      </c>
    </row>
    <row r="5564" spans="1:3" x14ac:dyDescent="0.3">
      <c r="A5564" s="2">
        <v>42819</v>
      </c>
      <c r="B5564">
        <f>6.25/(100)</f>
        <v>6.25E-2</v>
      </c>
      <c r="C5564">
        <f>6.252/(100)</f>
        <v>6.2519999999999992E-2</v>
      </c>
    </row>
    <row r="5565" spans="1:3" x14ac:dyDescent="0.3">
      <c r="A5565" s="2">
        <v>42820</v>
      </c>
      <c r="B5565">
        <f>6.25/(100)</f>
        <v>6.25E-2</v>
      </c>
      <c r="C5565">
        <f>6.252/(100)</f>
        <v>6.2519999999999992E-2</v>
      </c>
    </row>
    <row r="5566" spans="1:3" x14ac:dyDescent="0.3">
      <c r="A5566" s="2">
        <v>42821</v>
      </c>
      <c r="B5566">
        <f>6.25/(100)</f>
        <v>6.25E-2</v>
      </c>
      <c r="C5566">
        <f>6.273/(100)</f>
        <v>6.2729999999999994E-2</v>
      </c>
    </row>
    <row r="5567" spans="1:3" x14ac:dyDescent="0.3">
      <c r="A5567" s="2">
        <v>42822</v>
      </c>
      <c r="B5567">
        <f>6.25/(100)</f>
        <v>6.25E-2</v>
      </c>
      <c r="C5567">
        <f>6.273/(100)</f>
        <v>6.2729999999999994E-2</v>
      </c>
    </row>
    <row r="5568" spans="1:3" x14ac:dyDescent="0.3">
      <c r="A5568" s="2">
        <v>42823</v>
      </c>
      <c r="B5568">
        <f>6.25/(100)</f>
        <v>6.25E-2</v>
      </c>
      <c r="C5568">
        <f>6.281/(100)</f>
        <v>6.2809999999999991E-2</v>
      </c>
    </row>
    <row r="5569" spans="1:3" x14ac:dyDescent="0.3">
      <c r="A5569" s="2">
        <v>42824</v>
      </c>
      <c r="B5569">
        <f>6.25/(100)</f>
        <v>6.25E-2</v>
      </c>
      <c r="C5569">
        <f>6.281/(100)</f>
        <v>6.2809999999999991E-2</v>
      </c>
    </row>
    <row r="5570" spans="1:3" x14ac:dyDescent="0.3">
      <c r="A5570" s="2">
        <v>42825</v>
      </c>
      <c r="B5570">
        <f>6.25/(100)</f>
        <v>6.25E-2</v>
      </c>
      <c r="C5570">
        <f>6.263/(100)</f>
        <v>6.2630000000000005E-2</v>
      </c>
    </row>
    <row r="5571" spans="1:3" x14ac:dyDescent="0.3">
      <c r="A5571" s="2">
        <v>42826</v>
      </c>
      <c r="B5571">
        <f>6.25/(100)</f>
        <v>6.25E-2</v>
      </c>
      <c r="C5571">
        <f>6.263/(100)</f>
        <v>6.2630000000000005E-2</v>
      </c>
    </row>
    <row r="5572" spans="1:3" x14ac:dyDescent="0.3">
      <c r="A5572" s="2">
        <v>42827</v>
      </c>
      <c r="B5572">
        <f>6.25/(100)</f>
        <v>6.25E-2</v>
      </c>
      <c r="C5572">
        <f>6.263/(100)</f>
        <v>6.2630000000000005E-2</v>
      </c>
    </row>
    <row r="5573" spans="1:3" x14ac:dyDescent="0.3">
      <c r="A5573" s="2">
        <v>42828</v>
      </c>
      <c r="B5573">
        <f>6.25/(100)</f>
        <v>6.25E-2</v>
      </c>
      <c r="C5573">
        <f>6.252/(100)</f>
        <v>6.2519999999999992E-2</v>
      </c>
    </row>
    <row r="5574" spans="1:3" x14ac:dyDescent="0.3">
      <c r="A5574" s="2">
        <v>42829</v>
      </c>
      <c r="B5574">
        <f>6.25/(100)</f>
        <v>6.25E-2</v>
      </c>
      <c r="C5574">
        <f>6.252/(100)</f>
        <v>6.2519999999999992E-2</v>
      </c>
    </row>
    <row r="5575" spans="1:3" x14ac:dyDescent="0.3">
      <c r="A5575" s="2">
        <v>42830</v>
      </c>
      <c r="B5575">
        <f>6.25/(100)</f>
        <v>6.25E-2</v>
      </c>
      <c r="C5575">
        <f>6.278/(100)</f>
        <v>6.2780000000000002E-2</v>
      </c>
    </row>
    <row r="5576" spans="1:3" x14ac:dyDescent="0.3">
      <c r="A5576" s="2">
        <v>42831</v>
      </c>
      <c r="B5576">
        <f>6.25/(100)</f>
        <v>6.25E-2</v>
      </c>
      <c r="C5576">
        <f>6.48/(100)</f>
        <v>6.480000000000001E-2</v>
      </c>
    </row>
    <row r="5577" spans="1:3" x14ac:dyDescent="0.3">
      <c r="A5577" s="2">
        <v>42832</v>
      </c>
      <c r="B5577">
        <f>6.25/(100)</f>
        <v>6.25E-2</v>
      </c>
      <c r="C5577">
        <f>6.423/(100)</f>
        <v>6.4229999999999995E-2</v>
      </c>
    </row>
    <row r="5578" spans="1:3" x14ac:dyDescent="0.3">
      <c r="A5578" s="2">
        <v>42833</v>
      </c>
      <c r="B5578">
        <f>6.25/(100)</f>
        <v>6.25E-2</v>
      </c>
      <c r="C5578">
        <f>6.423/(100)</f>
        <v>6.4229999999999995E-2</v>
      </c>
    </row>
    <row r="5579" spans="1:3" x14ac:dyDescent="0.3">
      <c r="A5579" s="2">
        <v>42834</v>
      </c>
      <c r="B5579">
        <f>6.25/(100)</f>
        <v>6.25E-2</v>
      </c>
      <c r="C5579">
        <f>6.423/(100)</f>
        <v>6.4229999999999995E-2</v>
      </c>
    </row>
    <row r="5580" spans="1:3" x14ac:dyDescent="0.3">
      <c r="A5580" s="2">
        <v>42835</v>
      </c>
      <c r="B5580">
        <f>6.25/(100)</f>
        <v>6.25E-2</v>
      </c>
      <c r="C5580">
        <f>6.385/(100)</f>
        <v>6.3850000000000004E-2</v>
      </c>
    </row>
    <row r="5581" spans="1:3" x14ac:dyDescent="0.3">
      <c r="A5581" s="2">
        <v>42836</v>
      </c>
      <c r="B5581">
        <f>6.25/(100)</f>
        <v>6.25E-2</v>
      </c>
      <c r="C5581">
        <f>6.385/(100)</f>
        <v>6.3850000000000004E-2</v>
      </c>
    </row>
    <row r="5582" spans="1:3" x14ac:dyDescent="0.3">
      <c r="A5582" s="2">
        <v>42837</v>
      </c>
      <c r="B5582">
        <f>6.25/(100)</f>
        <v>6.25E-2</v>
      </c>
      <c r="C5582">
        <f>6.405/(100)</f>
        <v>6.4049999999999996E-2</v>
      </c>
    </row>
    <row r="5583" spans="1:3" x14ac:dyDescent="0.3">
      <c r="A5583" s="2">
        <v>42838</v>
      </c>
      <c r="B5583">
        <f>6.25/(100)</f>
        <v>6.25E-2</v>
      </c>
      <c r="C5583">
        <f>6.393/(100)</f>
        <v>6.3930000000000001E-2</v>
      </c>
    </row>
    <row r="5584" spans="1:3" x14ac:dyDescent="0.3">
      <c r="A5584" s="2">
        <v>42839</v>
      </c>
      <c r="B5584">
        <f>6.25/(100)</f>
        <v>6.25E-2</v>
      </c>
      <c r="C5584">
        <f>6.393/(100)</f>
        <v>6.3930000000000001E-2</v>
      </c>
    </row>
    <row r="5585" spans="1:3" x14ac:dyDescent="0.3">
      <c r="A5585" s="2">
        <v>42840</v>
      </c>
      <c r="B5585">
        <f>6.25/(100)</f>
        <v>6.25E-2</v>
      </c>
      <c r="C5585">
        <f>6.393/(100)</f>
        <v>6.3930000000000001E-2</v>
      </c>
    </row>
    <row r="5586" spans="1:3" x14ac:dyDescent="0.3">
      <c r="A5586" s="2">
        <v>42841</v>
      </c>
      <c r="B5586">
        <f>6.25/(100)</f>
        <v>6.25E-2</v>
      </c>
      <c r="C5586">
        <f>6.393/(100)</f>
        <v>6.3930000000000001E-2</v>
      </c>
    </row>
    <row r="5587" spans="1:3" x14ac:dyDescent="0.3">
      <c r="A5587" s="2">
        <v>42842</v>
      </c>
      <c r="B5587">
        <f>6.25/(100)</f>
        <v>6.25E-2</v>
      </c>
      <c r="C5587">
        <f>6.417/(100)</f>
        <v>6.4170000000000005E-2</v>
      </c>
    </row>
    <row r="5588" spans="1:3" x14ac:dyDescent="0.3">
      <c r="A5588" s="2">
        <v>42843</v>
      </c>
      <c r="B5588">
        <f>6.25/(100)</f>
        <v>6.25E-2</v>
      </c>
      <c r="C5588">
        <f>6.48/(100)</f>
        <v>6.480000000000001E-2</v>
      </c>
    </row>
    <row r="5589" spans="1:3" x14ac:dyDescent="0.3">
      <c r="A5589" s="2">
        <v>42844</v>
      </c>
      <c r="B5589">
        <f>6.25/(100)</f>
        <v>6.25E-2</v>
      </c>
      <c r="C5589">
        <f>6.4/(100)</f>
        <v>6.4000000000000001E-2</v>
      </c>
    </row>
    <row r="5590" spans="1:3" x14ac:dyDescent="0.3">
      <c r="A5590" s="2">
        <v>42845</v>
      </c>
      <c r="B5590">
        <f>6.25/(100)</f>
        <v>6.25E-2</v>
      </c>
      <c r="C5590">
        <f>6.394/(100)</f>
        <v>6.3939999999999997E-2</v>
      </c>
    </row>
    <row r="5591" spans="1:3" x14ac:dyDescent="0.3">
      <c r="A5591" s="2">
        <v>42846</v>
      </c>
      <c r="B5591">
        <f>6.25/(100)</f>
        <v>6.25E-2</v>
      </c>
      <c r="C5591">
        <f>6.445/(100)</f>
        <v>6.4450000000000007E-2</v>
      </c>
    </row>
    <row r="5592" spans="1:3" x14ac:dyDescent="0.3">
      <c r="A5592" s="2">
        <v>42847</v>
      </c>
      <c r="B5592">
        <f>6.25/(100)</f>
        <v>6.25E-2</v>
      </c>
      <c r="C5592">
        <f>6.445/(100)</f>
        <v>6.4450000000000007E-2</v>
      </c>
    </row>
    <row r="5593" spans="1:3" x14ac:dyDescent="0.3">
      <c r="A5593" s="2">
        <v>42848</v>
      </c>
      <c r="B5593">
        <f>6.25/(100)</f>
        <v>6.25E-2</v>
      </c>
      <c r="C5593">
        <f>6.445/(100)</f>
        <v>6.4450000000000007E-2</v>
      </c>
    </row>
    <row r="5594" spans="1:3" x14ac:dyDescent="0.3">
      <c r="A5594" s="2">
        <v>42849</v>
      </c>
      <c r="B5594">
        <f>6.25/(100)</f>
        <v>6.25E-2</v>
      </c>
      <c r="C5594">
        <f>6.431/(100)</f>
        <v>6.4310000000000006E-2</v>
      </c>
    </row>
    <row r="5595" spans="1:3" x14ac:dyDescent="0.3">
      <c r="A5595" s="2">
        <v>42850</v>
      </c>
      <c r="B5595">
        <f>6.25/(100)</f>
        <v>6.25E-2</v>
      </c>
      <c r="C5595">
        <f>6.459/(100)</f>
        <v>6.4589999999999995E-2</v>
      </c>
    </row>
    <row r="5596" spans="1:3" x14ac:dyDescent="0.3">
      <c r="A5596" s="2">
        <v>42851</v>
      </c>
      <c r="B5596">
        <f>6.25/(100)</f>
        <v>6.25E-2</v>
      </c>
      <c r="C5596">
        <f>6.527/(100)</f>
        <v>6.5269999999999995E-2</v>
      </c>
    </row>
    <row r="5597" spans="1:3" x14ac:dyDescent="0.3">
      <c r="A5597" s="2">
        <v>42852</v>
      </c>
      <c r="B5597">
        <f>6.25/(100)</f>
        <v>6.25E-2</v>
      </c>
      <c r="C5597">
        <f>6.553/(100)</f>
        <v>6.5530000000000005E-2</v>
      </c>
    </row>
    <row r="5598" spans="1:3" x14ac:dyDescent="0.3">
      <c r="A5598" s="2">
        <v>42853</v>
      </c>
      <c r="B5598">
        <f>6.25/(100)</f>
        <v>6.25E-2</v>
      </c>
      <c r="C5598">
        <f>6.542/(100)</f>
        <v>6.5419999999999992E-2</v>
      </c>
    </row>
    <row r="5599" spans="1:3" x14ac:dyDescent="0.3">
      <c r="A5599" s="2">
        <v>42854</v>
      </c>
      <c r="B5599">
        <f>6.25/(100)</f>
        <v>6.25E-2</v>
      </c>
      <c r="C5599">
        <f>6.542/(100)</f>
        <v>6.5419999999999992E-2</v>
      </c>
    </row>
    <row r="5600" spans="1:3" x14ac:dyDescent="0.3">
      <c r="A5600" s="2">
        <v>42855</v>
      </c>
      <c r="B5600">
        <f>6.25/(100)</f>
        <v>6.25E-2</v>
      </c>
      <c r="C5600">
        <f>6.542/(100)</f>
        <v>6.5419999999999992E-2</v>
      </c>
    </row>
    <row r="5601" spans="1:3" x14ac:dyDescent="0.3">
      <c r="A5601" s="2">
        <v>42856</v>
      </c>
      <c r="B5601">
        <f>6.25/(100)</f>
        <v>6.25E-2</v>
      </c>
      <c r="C5601">
        <f>6.542/(100)</f>
        <v>6.5419999999999992E-2</v>
      </c>
    </row>
    <row r="5602" spans="1:3" x14ac:dyDescent="0.3">
      <c r="A5602" s="2">
        <v>42857</v>
      </c>
      <c r="B5602">
        <f>6.25/(100)</f>
        <v>6.25E-2</v>
      </c>
      <c r="C5602">
        <f>6.521/(100)</f>
        <v>6.5210000000000004E-2</v>
      </c>
    </row>
    <row r="5603" spans="1:3" x14ac:dyDescent="0.3">
      <c r="A5603" s="2">
        <v>42858</v>
      </c>
      <c r="B5603">
        <f>6.25/(100)</f>
        <v>6.25E-2</v>
      </c>
      <c r="C5603">
        <f>6.566/(100)</f>
        <v>6.5659999999999996E-2</v>
      </c>
    </row>
    <row r="5604" spans="1:3" x14ac:dyDescent="0.3">
      <c r="A5604" s="2">
        <v>42859</v>
      </c>
      <c r="B5604">
        <f>6.25/(100)</f>
        <v>6.25E-2</v>
      </c>
      <c r="C5604">
        <f>6.55/(100)</f>
        <v>6.5500000000000003E-2</v>
      </c>
    </row>
    <row r="5605" spans="1:3" x14ac:dyDescent="0.3">
      <c r="A5605" s="2">
        <v>42860</v>
      </c>
      <c r="B5605">
        <f>6.25/(100)</f>
        <v>6.25E-2</v>
      </c>
      <c r="C5605">
        <f>6.523/(100)</f>
        <v>6.5229999999999996E-2</v>
      </c>
    </row>
    <row r="5606" spans="1:3" x14ac:dyDescent="0.3">
      <c r="A5606" s="2">
        <v>42861</v>
      </c>
      <c r="B5606">
        <f>6.25/(100)</f>
        <v>6.25E-2</v>
      </c>
      <c r="C5606">
        <f>6.523/(100)</f>
        <v>6.5229999999999996E-2</v>
      </c>
    </row>
    <row r="5607" spans="1:3" x14ac:dyDescent="0.3">
      <c r="A5607" s="2">
        <v>42862</v>
      </c>
      <c r="B5607">
        <f>6.25/(100)</f>
        <v>6.25E-2</v>
      </c>
      <c r="C5607">
        <f>6.523/(100)</f>
        <v>6.5229999999999996E-2</v>
      </c>
    </row>
    <row r="5608" spans="1:3" x14ac:dyDescent="0.3">
      <c r="A5608" s="2">
        <v>42863</v>
      </c>
      <c r="B5608">
        <f>6.25/(100)</f>
        <v>6.25E-2</v>
      </c>
      <c r="C5608">
        <f>6.566/(100)</f>
        <v>6.5659999999999996E-2</v>
      </c>
    </row>
    <row r="5609" spans="1:3" x14ac:dyDescent="0.3">
      <c r="A5609" s="2">
        <v>42864</v>
      </c>
      <c r="B5609">
        <f>6.25/(100)</f>
        <v>6.25E-2</v>
      </c>
      <c r="C5609">
        <f>6.527/(100)</f>
        <v>6.5269999999999995E-2</v>
      </c>
    </row>
    <row r="5610" spans="1:3" x14ac:dyDescent="0.3">
      <c r="A5610" s="2">
        <v>42865</v>
      </c>
      <c r="B5610">
        <f>6.25/(100)</f>
        <v>6.25E-2</v>
      </c>
      <c r="C5610">
        <f>6.527/(100)</f>
        <v>6.5269999999999995E-2</v>
      </c>
    </row>
    <row r="5611" spans="1:3" x14ac:dyDescent="0.3">
      <c r="A5611" s="2">
        <v>42866</v>
      </c>
      <c r="B5611">
        <f>6.25/(100)</f>
        <v>6.25E-2</v>
      </c>
      <c r="C5611">
        <f>6.447/(100)</f>
        <v>6.447E-2</v>
      </c>
    </row>
    <row r="5612" spans="1:3" x14ac:dyDescent="0.3">
      <c r="A5612" s="2">
        <v>42867</v>
      </c>
      <c r="B5612">
        <f>6.25/(100)</f>
        <v>6.25E-2</v>
      </c>
      <c r="C5612">
        <f>6.495/(100)</f>
        <v>6.4950000000000008E-2</v>
      </c>
    </row>
    <row r="5613" spans="1:3" x14ac:dyDescent="0.3">
      <c r="A5613" s="2">
        <v>42868</v>
      </c>
      <c r="B5613">
        <f>6.25/(100)</f>
        <v>6.25E-2</v>
      </c>
      <c r="C5613">
        <f>6.495/(100)</f>
        <v>6.4950000000000008E-2</v>
      </c>
    </row>
    <row r="5614" spans="1:3" x14ac:dyDescent="0.3">
      <c r="A5614" s="2">
        <v>42869</v>
      </c>
      <c r="B5614">
        <f>6.25/(100)</f>
        <v>6.25E-2</v>
      </c>
      <c r="C5614">
        <f>6.495/(100)</f>
        <v>6.4950000000000008E-2</v>
      </c>
    </row>
    <row r="5615" spans="1:3" x14ac:dyDescent="0.3">
      <c r="A5615" s="2">
        <v>42870</v>
      </c>
      <c r="B5615">
        <f>6.25/(100)</f>
        <v>6.25E-2</v>
      </c>
      <c r="C5615">
        <f>6.436/(100)</f>
        <v>6.4360000000000001E-2</v>
      </c>
    </row>
    <row r="5616" spans="1:3" x14ac:dyDescent="0.3">
      <c r="A5616" s="2">
        <v>42871</v>
      </c>
      <c r="B5616">
        <f>6.25/(100)</f>
        <v>6.25E-2</v>
      </c>
      <c r="C5616">
        <f>6.429/(100)</f>
        <v>6.429E-2</v>
      </c>
    </row>
    <row r="5617" spans="1:3" x14ac:dyDescent="0.3">
      <c r="A5617" s="2">
        <v>42872</v>
      </c>
      <c r="B5617">
        <f>6.25/(100)</f>
        <v>6.25E-2</v>
      </c>
      <c r="C5617">
        <f>6.478/(100)</f>
        <v>6.4780000000000004E-2</v>
      </c>
    </row>
    <row r="5618" spans="1:3" x14ac:dyDescent="0.3">
      <c r="A5618" s="2">
        <v>42873</v>
      </c>
      <c r="B5618">
        <f>6.25/(100)</f>
        <v>6.25E-2</v>
      </c>
      <c r="C5618">
        <f>6.529/(100)</f>
        <v>6.5290000000000001E-2</v>
      </c>
    </row>
    <row r="5619" spans="1:3" x14ac:dyDescent="0.3">
      <c r="A5619" s="2">
        <v>42874</v>
      </c>
      <c r="B5619">
        <f>6.25/(100)</f>
        <v>6.25E-2</v>
      </c>
      <c r="C5619">
        <f>6.52/(100)</f>
        <v>6.5199999999999994E-2</v>
      </c>
    </row>
    <row r="5620" spans="1:3" x14ac:dyDescent="0.3">
      <c r="A5620" s="2">
        <v>42875</v>
      </c>
      <c r="B5620">
        <f>6.25/(100)</f>
        <v>6.25E-2</v>
      </c>
      <c r="C5620">
        <f>6.52/(100)</f>
        <v>6.5199999999999994E-2</v>
      </c>
    </row>
    <row r="5621" spans="1:3" x14ac:dyDescent="0.3">
      <c r="A5621" s="2">
        <v>42876</v>
      </c>
      <c r="B5621">
        <f>6.25/(100)</f>
        <v>6.25E-2</v>
      </c>
      <c r="C5621">
        <f>6.52/(100)</f>
        <v>6.5199999999999994E-2</v>
      </c>
    </row>
    <row r="5622" spans="1:3" x14ac:dyDescent="0.3">
      <c r="A5622" s="2">
        <v>42877</v>
      </c>
      <c r="B5622">
        <f>6.25/(100)</f>
        <v>6.25E-2</v>
      </c>
      <c r="C5622">
        <f>6.515/(100)</f>
        <v>6.515E-2</v>
      </c>
    </row>
    <row r="5623" spans="1:3" x14ac:dyDescent="0.3">
      <c r="A5623" s="2">
        <v>42878</v>
      </c>
      <c r="B5623">
        <f>6.25/(100)</f>
        <v>6.25E-2</v>
      </c>
      <c r="C5623">
        <f>6.51/(100)</f>
        <v>6.5099999999999991E-2</v>
      </c>
    </row>
    <row r="5624" spans="1:3" x14ac:dyDescent="0.3">
      <c r="A5624" s="2">
        <v>42879</v>
      </c>
      <c r="B5624">
        <f>6.25/(100)</f>
        <v>6.25E-2</v>
      </c>
      <c r="C5624">
        <f>6.465/(100)</f>
        <v>6.4649999999999999E-2</v>
      </c>
    </row>
    <row r="5625" spans="1:3" x14ac:dyDescent="0.3">
      <c r="A5625" s="2">
        <v>42880</v>
      </c>
      <c r="B5625">
        <f>6.25/(100)</f>
        <v>6.25E-2</v>
      </c>
      <c r="C5625">
        <f>6.483/(100)</f>
        <v>6.4829999999999999E-2</v>
      </c>
    </row>
    <row r="5626" spans="1:3" x14ac:dyDescent="0.3">
      <c r="A5626" s="2">
        <v>42881</v>
      </c>
      <c r="B5626">
        <f>6.25/(100)</f>
        <v>6.25E-2</v>
      </c>
      <c r="C5626">
        <f>6.497/(100)</f>
        <v>6.497E-2</v>
      </c>
    </row>
    <row r="5627" spans="1:3" x14ac:dyDescent="0.3">
      <c r="A5627" s="2">
        <v>42882</v>
      </c>
      <c r="B5627">
        <f>6.25/(100)</f>
        <v>6.25E-2</v>
      </c>
      <c r="C5627">
        <f>6.497/(100)</f>
        <v>6.497E-2</v>
      </c>
    </row>
    <row r="5628" spans="1:3" x14ac:dyDescent="0.3">
      <c r="A5628" s="2">
        <v>42883</v>
      </c>
      <c r="B5628">
        <f>6.25/(100)</f>
        <v>6.25E-2</v>
      </c>
      <c r="C5628">
        <f>6.497/(100)</f>
        <v>6.497E-2</v>
      </c>
    </row>
    <row r="5629" spans="1:3" x14ac:dyDescent="0.3">
      <c r="A5629" s="2">
        <v>42884</v>
      </c>
      <c r="B5629">
        <f>6.25/(100)</f>
        <v>6.25E-2</v>
      </c>
      <c r="C5629">
        <f>6.556/(100)</f>
        <v>6.5560000000000007E-2</v>
      </c>
    </row>
    <row r="5630" spans="1:3" x14ac:dyDescent="0.3">
      <c r="A5630" s="2">
        <v>42885</v>
      </c>
      <c r="B5630">
        <f>6.25/(100)</f>
        <v>6.25E-2</v>
      </c>
      <c r="C5630">
        <f>6.546/(100)</f>
        <v>6.5460000000000004E-2</v>
      </c>
    </row>
    <row r="5631" spans="1:3" x14ac:dyDescent="0.3">
      <c r="A5631" s="2">
        <v>42886</v>
      </c>
      <c r="B5631">
        <f>6.25/(100)</f>
        <v>6.25E-2</v>
      </c>
      <c r="C5631">
        <f>6.529/(100)</f>
        <v>6.5290000000000001E-2</v>
      </c>
    </row>
    <row r="5632" spans="1:3" x14ac:dyDescent="0.3">
      <c r="A5632" s="2">
        <v>42887</v>
      </c>
      <c r="B5632">
        <f>6.25/(100)</f>
        <v>6.25E-2</v>
      </c>
      <c r="C5632">
        <f>6.51/(100)</f>
        <v>6.5099999999999991E-2</v>
      </c>
    </row>
    <row r="5633" spans="1:3" x14ac:dyDescent="0.3">
      <c r="A5633" s="2">
        <v>42888</v>
      </c>
      <c r="B5633">
        <f>6.25/(100)</f>
        <v>6.25E-2</v>
      </c>
      <c r="C5633">
        <f>6.543/(100)</f>
        <v>6.5430000000000002E-2</v>
      </c>
    </row>
    <row r="5634" spans="1:3" x14ac:dyDescent="0.3">
      <c r="A5634" s="2">
        <v>42889</v>
      </c>
      <c r="B5634">
        <f>6.25/(100)</f>
        <v>6.25E-2</v>
      </c>
      <c r="C5634">
        <f>6.543/(100)</f>
        <v>6.5430000000000002E-2</v>
      </c>
    </row>
    <row r="5635" spans="1:3" x14ac:dyDescent="0.3">
      <c r="A5635" s="2">
        <v>42890</v>
      </c>
      <c r="B5635">
        <f>6.25/(100)</f>
        <v>6.25E-2</v>
      </c>
      <c r="C5635">
        <f>6.543/(100)</f>
        <v>6.5430000000000002E-2</v>
      </c>
    </row>
    <row r="5636" spans="1:3" x14ac:dyDescent="0.3">
      <c r="A5636" s="2">
        <v>42891</v>
      </c>
      <c r="B5636">
        <f>6.25/(100)</f>
        <v>6.25E-2</v>
      </c>
      <c r="C5636">
        <f>6.52/(100)</f>
        <v>6.5199999999999994E-2</v>
      </c>
    </row>
    <row r="5637" spans="1:3" x14ac:dyDescent="0.3">
      <c r="A5637" s="2">
        <v>42892</v>
      </c>
      <c r="B5637">
        <f>6.25/(100)</f>
        <v>6.25E-2</v>
      </c>
      <c r="C5637">
        <f>6.514/(100)</f>
        <v>6.5140000000000003E-2</v>
      </c>
    </row>
    <row r="5638" spans="1:3" x14ac:dyDescent="0.3">
      <c r="A5638" s="2">
        <v>42893</v>
      </c>
      <c r="B5638">
        <f>6.25/(100)</f>
        <v>6.25E-2</v>
      </c>
      <c r="C5638">
        <f>6.453/(100)</f>
        <v>6.4530000000000004E-2</v>
      </c>
    </row>
    <row r="5639" spans="1:3" x14ac:dyDescent="0.3">
      <c r="A5639" s="2">
        <v>42894</v>
      </c>
      <c r="B5639">
        <f>6.25/(100)</f>
        <v>6.25E-2</v>
      </c>
      <c r="C5639">
        <f>6.411/(100)</f>
        <v>6.411E-2</v>
      </c>
    </row>
    <row r="5640" spans="1:3" x14ac:dyDescent="0.3">
      <c r="A5640" s="2">
        <v>42895</v>
      </c>
      <c r="B5640">
        <f>6.25/(100)</f>
        <v>6.25E-2</v>
      </c>
      <c r="C5640">
        <f>6.429/(100)</f>
        <v>6.429E-2</v>
      </c>
    </row>
    <row r="5641" spans="1:3" x14ac:dyDescent="0.3">
      <c r="A5641" s="2">
        <v>42896</v>
      </c>
      <c r="B5641">
        <f>6.25/(100)</f>
        <v>6.25E-2</v>
      </c>
      <c r="C5641">
        <f>6.429/(100)</f>
        <v>6.429E-2</v>
      </c>
    </row>
    <row r="5642" spans="1:3" x14ac:dyDescent="0.3">
      <c r="A5642" s="2">
        <v>42897</v>
      </c>
      <c r="B5642">
        <f>6.25/(100)</f>
        <v>6.25E-2</v>
      </c>
      <c r="C5642">
        <f>6.429/(100)</f>
        <v>6.429E-2</v>
      </c>
    </row>
    <row r="5643" spans="1:3" x14ac:dyDescent="0.3">
      <c r="A5643" s="2">
        <v>42898</v>
      </c>
      <c r="B5643">
        <f>6.25/(100)</f>
        <v>6.25E-2</v>
      </c>
      <c r="C5643">
        <f>6.404/(100)</f>
        <v>6.404E-2</v>
      </c>
    </row>
    <row r="5644" spans="1:3" x14ac:dyDescent="0.3">
      <c r="A5644" s="2">
        <v>42899</v>
      </c>
      <c r="B5644">
        <f>6.25/(100)</f>
        <v>6.25E-2</v>
      </c>
      <c r="C5644">
        <f>6.393/(100)</f>
        <v>6.3930000000000001E-2</v>
      </c>
    </row>
    <row r="5645" spans="1:3" x14ac:dyDescent="0.3">
      <c r="A5645" s="2">
        <v>42900</v>
      </c>
      <c r="B5645">
        <f>6.25/(100)</f>
        <v>6.25E-2</v>
      </c>
      <c r="C5645">
        <f>6.397/(100)</f>
        <v>6.3969999999999999E-2</v>
      </c>
    </row>
    <row r="5646" spans="1:3" x14ac:dyDescent="0.3">
      <c r="A5646" s="2">
        <v>42901</v>
      </c>
      <c r="B5646">
        <f>6.25/(100)</f>
        <v>6.25E-2</v>
      </c>
      <c r="C5646">
        <f>6.397/(100)</f>
        <v>6.3969999999999999E-2</v>
      </c>
    </row>
    <row r="5647" spans="1:3" x14ac:dyDescent="0.3">
      <c r="A5647" s="2">
        <v>42902</v>
      </c>
      <c r="B5647">
        <f>6.25/(100)</f>
        <v>6.25E-2</v>
      </c>
      <c r="C5647">
        <f>6.386/(100)</f>
        <v>6.386E-2</v>
      </c>
    </row>
    <row r="5648" spans="1:3" x14ac:dyDescent="0.3">
      <c r="A5648" s="2">
        <v>42903</v>
      </c>
      <c r="B5648">
        <f>6.25/(100)</f>
        <v>6.25E-2</v>
      </c>
      <c r="C5648">
        <f>6.386/(100)</f>
        <v>6.386E-2</v>
      </c>
    </row>
    <row r="5649" spans="1:3" x14ac:dyDescent="0.3">
      <c r="A5649" s="2">
        <v>42904</v>
      </c>
      <c r="B5649">
        <f>6.25/(100)</f>
        <v>6.25E-2</v>
      </c>
      <c r="C5649">
        <f>6.386/(100)</f>
        <v>6.386E-2</v>
      </c>
    </row>
    <row r="5650" spans="1:3" x14ac:dyDescent="0.3">
      <c r="A5650" s="2">
        <v>42905</v>
      </c>
      <c r="B5650">
        <f>6.25/(100)</f>
        <v>6.25E-2</v>
      </c>
      <c r="C5650">
        <f>6.39/(100)</f>
        <v>6.3899999999999998E-2</v>
      </c>
    </row>
    <row r="5651" spans="1:3" x14ac:dyDescent="0.3">
      <c r="A5651" s="2">
        <v>42906</v>
      </c>
      <c r="B5651">
        <f>6.25/(100)</f>
        <v>6.25E-2</v>
      </c>
      <c r="C5651">
        <f>6.379/(100)</f>
        <v>6.3789999999999999E-2</v>
      </c>
    </row>
    <row r="5652" spans="1:3" x14ac:dyDescent="0.3">
      <c r="A5652" s="2">
        <v>42907</v>
      </c>
      <c r="B5652">
        <f>6.25/(100)</f>
        <v>6.25E-2</v>
      </c>
      <c r="C5652">
        <f>6.394/(100)</f>
        <v>6.3939999999999997E-2</v>
      </c>
    </row>
    <row r="5653" spans="1:3" x14ac:dyDescent="0.3">
      <c r="A5653" s="2">
        <v>42908</v>
      </c>
      <c r="B5653">
        <f>6.25/(100)</f>
        <v>6.25E-2</v>
      </c>
      <c r="C5653">
        <f>6.4/(100)</f>
        <v>6.4000000000000001E-2</v>
      </c>
    </row>
    <row r="5654" spans="1:3" x14ac:dyDescent="0.3">
      <c r="A5654" s="2">
        <v>42909</v>
      </c>
      <c r="B5654">
        <f>6.25/(100)</f>
        <v>6.25E-2</v>
      </c>
      <c r="C5654">
        <f>6.401/(100)</f>
        <v>6.4009999999999997E-2</v>
      </c>
    </row>
    <row r="5655" spans="1:3" x14ac:dyDescent="0.3">
      <c r="A5655" s="2">
        <v>42910</v>
      </c>
      <c r="B5655">
        <f>6.25/(100)</f>
        <v>6.25E-2</v>
      </c>
      <c r="C5655">
        <f>6.401/(100)</f>
        <v>6.4009999999999997E-2</v>
      </c>
    </row>
    <row r="5656" spans="1:3" x14ac:dyDescent="0.3">
      <c r="A5656" s="2">
        <v>42911</v>
      </c>
      <c r="B5656">
        <f>6.25/(100)</f>
        <v>6.25E-2</v>
      </c>
      <c r="C5656">
        <f>6.401/(100)</f>
        <v>6.4009999999999997E-2</v>
      </c>
    </row>
    <row r="5657" spans="1:3" x14ac:dyDescent="0.3">
      <c r="A5657" s="2">
        <v>42912</v>
      </c>
      <c r="B5657">
        <f>6.25/(100)</f>
        <v>6.25E-2</v>
      </c>
      <c r="C5657">
        <f>6.401/(100)</f>
        <v>6.4009999999999997E-2</v>
      </c>
    </row>
    <row r="5658" spans="1:3" x14ac:dyDescent="0.3">
      <c r="A5658" s="2">
        <v>42913</v>
      </c>
      <c r="B5658">
        <f>6.25/(100)</f>
        <v>6.25E-2</v>
      </c>
      <c r="C5658">
        <f>6.405/(100)</f>
        <v>6.4049999999999996E-2</v>
      </c>
    </row>
    <row r="5659" spans="1:3" x14ac:dyDescent="0.3">
      <c r="A5659" s="2">
        <v>42914</v>
      </c>
      <c r="B5659">
        <f>6.25/(100)</f>
        <v>6.25E-2</v>
      </c>
      <c r="C5659">
        <f>6.415/(100)</f>
        <v>6.4149999999999999E-2</v>
      </c>
    </row>
    <row r="5660" spans="1:3" x14ac:dyDescent="0.3">
      <c r="A5660" s="2">
        <v>42915</v>
      </c>
      <c r="B5660">
        <f>6.25/(100)</f>
        <v>6.25E-2</v>
      </c>
      <c r="C5660">
        <f>6.422/(100)</f>
        <v>6.4219999999999999E-2</v>
      </c>
    </row>
    <row r="5661" spans="1:3" x14ac:dyDescent="0.3">
      <c r="A5661" s="2">
        <v>42916</v>
      </c>
      <c r="B5661">
        <f>6.25/(100)</f>
        <v>6.25E-2</v>
      </c>
      <c r="C5661">
        <f>6.422/(100)</f>
        <v>6.4219999999999999E-2</v>
      </c>
    </row>
    <row r="5662" spans="1:3" x14ac:dyDescent="0.3">
      <c r="A5662" s="2">
        <v>42917</v>
      </c>
      <c r="B5662">
        <f>6.25/(100)</f>
        <v>6.25E-2</v>
      </c>
      <c r="C5662">
        <f>6.422/(100)</f>
        <v>6.4219999999999999E-2</v>
      </c>
    </row>
    <row r="5663" spans="1:3" x14ac:dyDescent="0.3">
      <c r="A5663" s="2">
        <v>42918</v>
      </c>
      <c r="B5663">
        <f>6.25/(100)</f>
        <v>6.25E-2</v>
      </c>
      <c r="C5663">
        <f>6.422/(100)</f>
        <v>6.4219999999999999E-2</v>
      </c>
    </row>
    <row r="5664" spans="1:3" x14ac:dyDescent="0.3">
      <c r="A5664" s="2">
        <v>42919</v>
      </c>
      <c r="B5664">
        <f>6.25/(100)</f>
        <v>6.25E-2</v>
      </c>
      <c r="C5664">
        <f>6.417/(100)</f>
        <v>6.4170000000000005E-2</v>
      </c>
    </row>
    <row r="5665" spans="1:3" x14ac:dyDescent="0.3">
      <c r="A5665" s="2">
        <v>42920</v>
      </c>
      <c r="B5665">
        <f>6.25/(100)</f>
        <v>6.25E-2</v>
      </c>
      <c r="C5665">
        <f>6.424/(100)</f>
        <v>6.4240000000000005E-2</v>
      </c>
    </row>
    <row r="5666" spans="1:3" x14ac:dyDescent="0.3">
      <c r="A5666" s="2">
        <v>42921</v>
      </c>
      <c r="B5666">
        <f>6.25/(100)</f>
        <v>6.25E-2</v>
      </c>
      <c r="C5666">
        <f>6.421/(100)</f>
        <v>6.4210000000000003E-2</v>
      </c>
    </row>
    <row r="5667" spans="1:3" x14ac:dyDescent="0.3">
      <c r="A5667" s="2">
        <v>42922</v>
      </c>
      <c r="B5667">
        <f>6.25/(100)</f>
        <v>6.25E-2</v>
      </c>
      <c r="C5667">
        <f>6.415/(100)</f>
        <v>6.4149999999999999E-2</v>
      </c>
    </row>
    <row r="5668" spans="1:3" x14ac:dyDescent="0.3">
      <c r="A5668" s="2">
        <v>42923</v>
      </c>
      <c r="B5668">
        <f>6.25/(100)</f>
        <v>6.25E-2</v>
      </c>
      <c r="C5668">
        <f>6.433/(100)</f>
        <v>6.4329999999999998E-2</v>
      </c>
    </row>
    <row r="5669" spans="1:3" x14ac:dyDescent="0.3">
      <c r="A5669" s="2">
        <v>42924</v>
      </c>
      <c r="B5669">
        <f>6.25/(100)</f>
        <v>6.25E-2</v>
      </c>
      <c r="C5669">
        <f>6.433/(100)</f>
        <v>6.4329999999999998E-2</v>
      </c>
    </row>
    <row r="5670" spans="1:3" x14ac:dyDescent="0.3">
      <c r="A5670" s="2">
        <v>42925</v>
      </c>
      <c r="B5670">
        <f>6.25/(100)</f>
        <v>6.25E-2</v>
      </c>
      <c r="C5670">
        <f>6.433/(100)</f>
        <v>6.4329999999999998E-2</v>
      </c>
    </row>
    <row r="5671" spans="1:3" x14ac:dyDescent="0.3">
      <c r="A5671" s="2">
        <v>42926</v>
      </c>
      <c r="B5671">
        <f>6.25/(100)</f>
        <v>6.25E-2</v>
      </c>
      <c r="C5671">
        <f>6.421/(100)</f>
        <v>6.4210000000000003E-2</v>
      </c>
    </row>
    <row r="5672" spans="1:3" x14ac:dyDescent="0.3">
      <c r="A5672" s="2">
        <v>42927</v>
      </c>
      <c r="B5672">
        <f>6.25/(100)</f>
        <v>6.25E-2</v>
      </c>
      <c r="C5672">
        <f>6.391/(100)</f>
        <v>6.3909999999999995E-2</v>
      </c>
    </row>
    <row r="5673" spans="1:3" x14ac:dyDescent="0.3">
      <c r="A5673" s="2">
        <v>42928</v>
      </c>
      <c r="B5673">
        <f>6.25/(100)</f>
        <v>6.25E-2</v>
      </c>
      <c r="C5673">
        <f>6.433/(100)</f>
        <v>6.4329999999999998E-2</v>
      </c>
    </row>
    <row r="5674" spans="1:3" x14ac:dyDescent="0.3">
      <c r="A5674" s="2">
        <v>42929</v>
      </c>
      <c r="B5674">
        <f>6.25/(100)</f>
        <v>6.25E-2</v>
      </c>
      <c r="C5674">
        <f>6.42/(100)</f>
        <v>6.4199999999999993E-2</v>
      </c>
    </row>
    <row r="5675" spans="1:3" x14ac:dyDescent="0.3">
      <c r="A5675" s="2">
        <v>42930</v>
      </c>
      <c r="B5675">
        <f>6.25/(100)</f>
        <v>6.25E-2</v>
      </c>
      <c r="C5675">
        <f>6.418/(100)</f>
        <v>6.4180000000000001E-2</v>
      </c>
    </row>
    <row r="5676" spans="1:3" x14ac:dyDescent="0.3">
      <c r="A5676" s="2">
        <v>42931</v>
      </c>
      <c r="B5676">
        <f>6.25/(100)</f>
        <v>6.25E-2</v>
      </c>
      <c r="C5676">
        <f>6.418/(100)</f>
        <v>6.4180000000000001E-2</v>
      </c>
    </row>
    <row r="5677" spans="1:3" x14ac:dyDescent="0.3">
      <c r="A5677" s="2">
        <v>42932</v>
      </c>
      <c r="B5677">
        <f>6.25/(100)</f>
        <v>6.25E-2</v>
      </c>
      <c r="C5677">
        <f>6.418/(100)</f>
        <v>6.4180000000000001E-2</v>
      </c>
    </row>
    <row r="5678" spans="1:3" x14ac:dyDescent="0.3">
      <c r="A5678" s="2">
        <v>42933</v>
      </c>
      <c r="B5678">
        <f>6.25/(100)</f>
        <v>6.25E-2</v>
      </c>
      <c r="C5678">
        <f>6.455/(100)</f>
        <v>6.4549999999999996E-2</v>
      </c>
    </row>
    <row r="5679" spans="1:3" x14ac:dyDescent="0.3">
      <c r="A5679" s="2">
        <v>42934</v>
      </c>
      <c r="B5679">
        <f>6.25/(100)</f>
        <v>6.25E-2</v>
      </c>
      <c r="C5679">
        <f>6.436/(100)</f>
        <v>6.4360000000000001E-2</v>
      </c>
    </row>
    <row r="5680" spans="1:3" x14ac:dyDescent="0.3">
      <c r="A5680" s="2">
        <v>42935</v>
      </c>
      <c r="B5680">
        <f>6.25/(100)</f>
        <v>6.25E-2</v>
      </c>
      <c r="C5680">
        <f>6.377/(100)</f>
        <v>6.3769999999999993E-2</v>
      </c>
    </row>
    <row r="5681" spans="1:3" x14ac:dyDescent="0.3">
      <c r="A5681" s="2">
        <v>42936</v>
      </c>
      <c r="B5681">
        <f>6.25/(100)</f>
        <v>6.25E-2</v>
      </c>
      <c r="C5681">
        <f>6.381/(100)</f>
        <v>6.3810000000000006E-2</v>
      </c>
    </row>
    <row r="5682" spans="1:3" x14ac:dyDescent="0.3">
      <c r="A5682" s="2">
        <v>42937</v>
      </c>
      <c r="B5682">
        <f>6.25/(100)</f>
        <v>6.25E-2</v>
      </c>
      <c r="C5682">
        <f>6.34/(100)</f>
        <v>6.3399999999999998E-2</v>
      </c>
    </row>
    <row r="5683" spans="1:3" x14ac:dyDescent="0.3">
      <c r="A5683" s="2">
        <v>42938</v>
      </c>
      <c r="B5683">
        <f>6.25/(100)</f>
        <v>6.25E-2</v>
      </c>
      <c r="C5683">
        <f>6.34/(100)</f>
        <v>6.3399999999999998E-2</v>
      </c>
    </row>
    <row r="5684" spans="1:3" x14ac:dyDescent="0.3">
      <c r="A5684" s="2">
        <v>42939</v>
      </c>
      <c r="B5684">
        <f>6.25/(100)</f>
        <v>6.25E-2</v>
      </c>
      <c r="C5684">
        <f>6.34/(100)</f>
        <v>6.3399999999999998E-2</v>
      </c>
    </row>
    <row r="5685" spans="1:3" x14ac:dyDescent="0.3">
      <c r="A5685" s="2">
        <v>42940</v>
      </c>
      <c r="B5685">
        <f>6.25/(100)</f>
        <v>6.25E-2</v>
      </c>
      <c r="C5685">
        <f>6.338/(100)</f>
        <v>6.3380000000000006E-2</v>
      </c>
    </row>
    <row r="5686" spans="1:3" x14ac:dyDescent="0.3">
      <c r="A5686" s="2">
        <v>42941</v>
      </c>
      <c r="B5686">
        <f>6.25/(100)</f>
        <v>6.25E-2</v>
      </c>
      <c r="C5686">
        <f>6.33/(100)</f>
        <v>6.3299999999999995E-2</v>
      </c>
    </row>
    <row r="5687" spans="1:3" x14ac:dyDescent="0.3">
      <c r="A5687" s="2">
        <v>42942</v>
      </c>
      <c r="B5687">
        <f>6.25/(100)</f>
        <v>6.25E-2</v>
      </c>
      <c r="C5687">
        <f>6.329/(100)</f>
        <v>6.3289999999999999E-2</v>
      </c>
    </row>
    <row r="5688" spans="1:3" x14ac:dyDescent="0.3">
      <c r="A5688" s="2">
        <v>42943</v>
      </c>
      <c r="B5688">
        <f>6.25/(100)</f>
        <v>6.25E-2</v>
      </c>
      <c r="C5688">
        <f>6.302/(100)</f>
        <v>6.3019999999999993E-2</v>
      </c>
    </row>
    <row r="5689" spans="1:3" x14ac:dyDescent="0.3">
      <c r="A5689" s="2">
        <v>42944</v>
      </c>
      <c r="B5689">
        <f>6.25/(100)</f>
        <v>6.25E-2</v>
      </c>
      <c r="C5689">
        <f>6.29/(100)</f>
        <v>6.2899999999999998E-2</v>
      </c>
    </row>
    <row r="5690" spans="1:3" x14ac:dyDescent="0.3">
      <c r="A5690" s="2">
        <v>42945</v>
      </c>
      <c r="B5690">
        <f>6.25/(100)</f>
        <v>6.25E-2</v>
      </c>
      <c r="C5690">
        <f>6.29/(100)</f>
        <v>6.2899999999999998E-2</v>
      </c>
    </row>
    <row r="5691" spans="1:3" x14ac:dyDescent="0.3">
      <c r="A5691" s="2">
        <v>42946</v>
      </c>
      <c r="B5691">
        <f>6.25/(100)</f>
        <v>6.25E-2</v>
      </c>
      <c r="C5691">
        <f>6.29/(100)</f>
        <v>6.2899999999999998E-2</v>
      </c>
    </row>
    <row r="5692" spans="1:3" x14ac:dyDescent="0.3">
      <c r="A5692" s="2">
        <v>42947</v>
      </c>
      <c r="B5692">
        <f>6.25/(100)</f>
        <v>6.25E-2</v>
      </c>
      <c r="C5692">
        <f>6.295/(100)</f>
        <v>6.2950000000000006E-2</v>
      </c>
    </row>
    <row r="5693" spans="1:3" x14ac:dyDescent="0.3">
      <c r="A5693" s="2">
        <v>42948</v>
      </c>
      <c r="B5693">
        <f>6.25/(100)</f>
        <v>6.25E-2</v>
      </c>
      <c r="C5693">
        <f>6.284/(100)</f>
        <v>6.2839999999999993E-2</v>
      </c>
    </row>
    <row r="5694" spans="1:3" x14ac:dyDescent="0.3">
      <c r="A5694" s="2">
        <v>42949</v>
      </c>
      <c r="B5694">
        <f>6/(100)</f>
        <v>0.06</v>
      </c>
      <c r="C5694">
        <f>6.262/(100)</f>
        <v>6.2619999999999995E-2</v>
      </c>
    </row>
    <row r="5695" spans="1:3" x14ac:dyDescent="0.3">
      <c r="A5695" s="2">
        <v>42950</v>
      </c>
      <c r="B5695">
        <f>6/(100)</f>
        <v>0.06</v>
      </c>
      <c r="C5695">
        <f>6.276/(100)</f>
        <v>6.2759999999999996E-2</v>
      </c>
    </row>
    <row r="5696" spans="1:3" x14ac:dyDescent="0.3">
      <c r="A5696" s="2">
        <v>42951</v>
      </c>
      <c r="B5696">
        <f>6/(100)</f>
        <v>0.06</v>
      </c>
      <c r="C5696">
        <f>6.185/(100)</f>
        <v>6.1849999999999995E-2</v>
      </c>
    </row>
    <row r="5697" spans="1:3" x14ac:dyDescent="0.3">
      <c r="A5697" s="2">
        <v>42952</v>
      </c>
      <c r="B5697">
        <f>6/(100)</f>
        <v>0.06</v>
      </c>
      <c r="C5697">
        <f>6.185/(100)</f>
        <v>6.1849999999999995E-2</v>
      </c>
    </row>
    <row r="5698" spans="1:3" x14ac:dyDescent="0.3">
      <c r="A5698" s="2">
        <v>42953</v>
      </c>
      <c r="B5698">
        <f>6/(100)</f>
        <v>0.06</v>
      </c>
      <c r="C5698">
        <f>6.185/(100)</f>
        <v>6.1849999999999995E-2</v>
      </c>
    </row>
    <row r="5699" spans="1:3" x14ac:dyDescent="0.3">
      <c r="A5699" s="2">
        <v>42954</v>
      </c>
      <c r="B5699">
        <f>6/(100)</f>
        <v>0.06</v>
      </c>
      <c r="C5699">
        <f>6.185/(100)</f>
        <v>6.1849999999999995E-2</v>
      </c>
    </row>
    <row r="5700" spans="1:3" x14ac:dyDescent="0.3">
      <c r="A5700" s="2">
        <v>42955</v>
      </c>
      <c r="B5700">
        <f>6/(100)</f>
        <v>0.06</v>
      </c>
      <c r="C5700">
        <f>6.257/(100)</f>
        <v>6.2570000000000001E-2</v>
      </c>
    </row>
    <row r="5701" spans="1:3" x14ac:dyDescent="0.3">
      <c r="A5701" s="2">
        <v>42956</v>
      </c>
      <c r="B5701">
        <f>6/(100)</f>
        <v>0.06</v>
      </c>
      <c r="C5701">
        <f>6.245/(100)</f>
        <v>6.2449999999999999E-2</v>
      </c>
    </row>
    <row r="5702" spans="1:3" x14ac:dyDescent="0.3">
      <c r="A5702" s="2">
        <v>42957</v>
      </c>
      <c r="B5702">
        <f>6/(100)</f>
        <v>0.06</v>
      </c>
      <c r="C5702">
        <f>6.246/(100)</f>
        <v>6.2460000000000002E-2</v>
      </c>
    </row>
    <row r="5703" spans="1:3" x14ac:dyDescent="0.3">
      <c r="A5703" s="2">
        <v>42958</v>
      </c>
      <c r="B5703">
        <f>6/(100)</f>
        <v>0.06</v>
      </c>
      <c r="C5703">
        <f>6.291/(100)</f>
        <v>6.2910000000000008E-2</v>
      </c>
    </row>
    <row r="5704" spans="1:3" x14ac:dyDescent="0.3">
      <c r="A5704" s="2">
        <v>42959</v>
      </c>
      <c r="B5704">
        <f>6/(100)</f>
        <v>0.06</v>
      </c>
      <c r="C5704">
        <f>6.291/(100)</f>
        <v>6.2910000000000008E-2</v>
      </c>
    </row>
    <row r="5705" spans="1:3" x14ac:dyDescent="0.3">
      <c r="A5705" s="2">
        <v>42960</v>
      </c>
      <c r="B5705">
        <f>6/(100)</f>
        <v>0.06</v>
      </c>
      <c r="C5705">
        <f>6.291/(100)</f>
        <v>6.2910000000000008E-2</v>
      </c>
    </row>
    <row r="5706" spans="1:3" x14ac:dyDescent="0.3">
      <c r="A5706" s="2">
        <v>42961</v>
      </c>
      <c r="B5706">
        <f>6/(100)</f>
        <v>0.06</v>
      </c>
      <c r="C5706">
        <f>6.254/(100)</f>
        <v>6.2539999999999998E-2</v>
      </c>
    </row>
    <row r="5707" spans="1:3" x14ac:dyDescent="0.3">
      <c r="A5707" s="2">
        <v>42962</v>
      </c>
      <c r="B5707">
        <f>6/(100)</f>
        <v>0.06</v>
      </c>
      <c r="C5707">
        <f>6.254/(100)</f>
        <v>6.2539999999999998E-2</v>
      </c>
    </row>
    <row r="5708" spans="1:3" x14ac:dyDescent="0.3">
      <c r="A5708" s="2">
        <v>42963</v>
      </c>
      <c r="B5708">
        <f>6/(100)</f>
        <v>0.06</v>
      </c>
      <c r="C5708">
        <f>6.28/(100)</f>
        <v>6.2800000000000009E-2</v>
      </c>
    </row>
    <row r="5709" spans="1:3" x14ac:dyDescent="0.3">
      <c r="A5709" s="2">
        <v>42964</v>
      </c>
      <c r="B5709">
        <f>6/(100)</f>
        <v>0.06</v>
      </c>
      <c r="C5709">
        <f>6.28/(100)</f>
        <v>6.2800000000000009E-2</v>
      </c>
    </row>
    <row r="5710" spans="1:3" x14ac:dyDescent="0.3">
      <c r="A5710" s="2">
        <v>42965</v>
      </c>
      <c r="B5710">
        <f>6/(100)</f>
        <v>0.06</v>
      </c>
      <c r="C5710">
        <f>6.28/(100)</f>
        <v>6.2800000000000009E-2</v>
      </c>
    </row>
    <row r="5711" spans="1:3" x14ac:dyDescent="0.3">
      <c r="A5711" s="2">
        <v>42966</v>
      </c>
      <c r="B5711">
        <f>6/(100)</f>
        <v>0.06</v>
      </c>
      <c r="C5711">
        <f>6.28/(100)</f>
        <v>6.2800000000000009E-2</v>
      </c>
    </row>
    <row r="5712" spans="1:3" x14ac:dyDescent="0.3">
      <c r="A5712" s="2">
        <v>42967</v>
      </c>
      <c r="B5712">
        <f>6/(100)</f>
        <v>0.06</v>
      </c>
      <c r="C5712">
        <f>6.28/(100)</f>
        <v>6.2800000000000009E-2</v>
      </c>
    </row>
    <row r="5713" spans="1:3" x14ac:dyDescent="0.3">
      <c r="A5713" s="2">
        <v>42968</v>
      </c>
      <c r="B5713">
        <f>6/(100)</f>
        <v>0.06</v>
      </c>
      <c r="C5713">
        <f>6.28/(100)</f>
        <v>6.2800000000000009E-2</v>
      </c>
    </row>
    <row r="5714" spans="1:3" x14ac:dyDescent="0.3">
      <c r="A5714" s="2">
        <v>42969</v>
      </c>
      <c r="B5714">
        <f>6/(100)</f>
        <v>0.06</v>
      </c>
      <c r="C5714">
        <f>6.262/(100)</f>
        <v>6.2619999999999995E-2</v>
      </c>
    </row>
    <row r="5715" spans="1:3" x14ac:dyDescent="0.3">
      <c r="A5715" s="2">
        <v>42970</v>
      </c>
      <c r="B5715">
        <f>6/(100)</f>
        <v>0.06</v>
      </c>
      <c r="C5715">
        <f>6.262/(100)</f>
        <v>6.2619999999999995E-2</v>
      </c>
    </row>
    <row r="5716" spans="1:3" x14ac:dyDescent="0.3">
      <c r="A5716" s="2">
        <v>42971</v>
      </c>
      <c r="B5716">
        <f>6/(100)</f>
        <v>0.06</v>
      </c>
      <c r="C5716">
        <f>6.175/(100)</f>
        <v>6.1749999999999999E-2</v>
      </c>
    </row>
    <row r="5717" spans="1:3" x14ac:dyDescent="0.3">
      <c r="A5717" s="2">
        <v>42972</v>
      </c>
      <c r="B5717">
        <f>6/(100)</f>
        <v>0.06</v>
      </c>
      <c r="C5717">
        <f>6.175/(100)</f>
        <v>6.1749999999999999E-2</v>
      </c>
    </row>
    <row r="5718" spans="1:3" x14ac:dyDescent="0.3">
      <c r="A5718" s="2">
        <v>42973</v>
      </c>
      <c r="B5718">
        <f>6/(100)</f>
        <v>0.06</v>
      </c>
      <c r="C5718">
        <f>6.175/(100)</f>
        <v>6.1749999999999999E-2</v>
      </c>
    </row>
    <row r="5719" spans="1:3" x14ac:dyDescent="0.3">
      <c r="A5719" s="2">
        <v>42974</v>
      </c>
      <c r="B5719">
        <f>6/(100)</f>
        <v>0.06</v>
      </c>
      <c r="C5719">
        <f>6.175/(100)</f>
        <v>6.1749999999999999E-2</v>
      </c>
    </row>
    <row r="5720" spans="1:3" x14ac:dyDescent="0.3">
      <c r="A5720" s="2">
        <v>42975</v>
      </c>
      <c r="B5720">
        <f>6/(100)</f>
        <v>0.06</v>
      </c>
      <c r="C5720">
        <f>6.135/(100)</f>
        <v>6.1349999999999995E-2</v>
      </c>
    </row>
    <row r="5721" spans="1:3" x14ac:dyDescent="0.3">
      <c r="A5721" s="2">
        <v>42976</v>
      </c>
      <c r="B5721">
        <f>6/(100)</f>
        <v>0.06</v>
      </c>
      <c r="C5721">
        <f>6.135/(100)</f>
        <v>6.1349999999999995E-2</v>
      </c>
    </row>
    <row r="5722" spans="1:3" x14ac:dyDescent="0.3">
      <c r="A5722" s="2">
        <v>42977</v>
      </c>
      <c r="B5722">
        <f>6/(100)</f>
        <v>0.06</v>
      </c>
      <c r="C5722">
        <f>6.121/(100)</f>
        <v>6.1210000000000007E-2</v>
      </c>
    </row>
    <row r="5723" spans="1:3" x14ac:dyDescent="0.3">
      <c r="A5723" s="2">
        <v>42978</v>
      </c>
      <c r="B5723">
        <f>6/(100)</f>
        <v>0.06</v>
      </c>
      <c r="C5723">
        <f>6.142/(100)</f>
        <v>6.1420000000000002E-2</v>
      </c>
    </row>
    <row r="5724" spans="1:3" x14ac:dyDescent="0.3">
      <c r="A5724" s="2">
        <v>42979</v>
      </c>
      <c r="B5724">
        <f>6/(100)</f>
        <v>0.06</v>
      </c>
      <c r="C5724">
        <f>6.121/(100)</f>
        <v>6.1210000000000007E-2</v>
      </c>
    </row>
    <row r="5725" spans="1:3" x14ac:dyDescent="0.3">
      <c r="A5725" s="2">
        <v>42980</v>
      </c>
      <c r="B5725">
        <f>6/(100)</f>
        <v>0.06</v>
      </c>
      <c r="C5725">
        <f>6.121/(100)</f>
        <v>6.1210000000000007E-2</v>
      </c>
    </row>
    <row r="5726" spans="1:3" x14ac:dyDescent="0.3">
      <c r="A5726" s="2">
        <v>42981</v>
      </c>
      <c r="B5726">
        <f>6/(100)</f>
        <v>0.06</v>
      </c>
      <c r="C5726">
        <f>6.121/(100)</f>
        <v>6.1210000000000007E-2</v>
      </c>
    </row>
    <row r="5727" spans="1:3" x14ac:dyDescent="0.3">
      <c r="A5727" s="2">
        <v>42982</v>
      </c>
      <c r="B5727">
        <f>6/(100)</f>
        <v>0.06</v>
      </c>
      <c r="C5727">
        <f>6.133/(100)</f>
        <v>6.1330000000000003E-2</v>
      </c>
    </row>
    <row r="5728" spans="1:3" x14ac:dyDescent="0.3">
      <c r="A5728" s="2">
        <v>42983</v>
      </c>
      <c r="B5728">
        <f>6/(100)</f>
        <v>0.06</v>
      </c>
      <c r="C5728">
        <f>6.154/(100)</f>
        <v>6.1539999999999997E-2</v>
      </c>
    </row>
    <row r="5729" spans="1:3" x14ac:dyDescent="0.3">
      <c r="A5729" s="2">
        <v>42984</v>
      </c>
      <c r="B5729">
        <f>6/(100)</f>
        <v>0.06</v>
      </c>
      <c r="C5729">
        <f>6.105/(100)</f>
        <v>6.1050000000000007E-2</v>
      </c>
    </row>
    <row r="5730" spans="1:3" x14ac:dyDescent="0.3">
      <c r="A5730" s="2">
        <v>42985</v>
      </c>
      <c r="B5730">
        <f>6/(100)</f>
        <v>0.06</v>
      </c>
      <c r="C5730">
        <f>6.224/(100)</f>
        <v>6.2240000000000004E-2</v>
      </c>
    </row>
    <row r="5731" spans="1:3" x14ac:dyDescent="0.3">
      <c r="A5731" s="2">
        <v>42986</v>
      </c>
      <c r="B5731">
        <f>6/(100)</f>
        <v>0.06</v>
      </c>
      <c r="C5731">
        <f>6.224/(100)</f>
        <v>6.2240000000000004E-2</v>
      </c>
    </row>
    <row r="5732" spans="1:3" x14ac:dyDescent="0.3">
      <c r="A5732" s="2">
        <v>42987</v>
      </c>
      <c r="B5732">
        <f>6/(100)</f>
        <v>0.06</v>
      </c>
      <c r="C5732">
        <f>6.224/(100)</f>
        <v>6.2240000000000004E-2</v>
      </c>
    </row>
    <row r="5733" spans="1:3" x14ac:dyDescent="0.3">
      <c r="A5733" s="2">
        <v>42988</v>
      </c>
      <c r="B5733">
        <f>6/(100)</f>
        <v>0.06</v>
      </c>
      <c r="C5733">
        <f>6.224/(100)</f>
        <v>6.2240000000000004E-2</v>
      </c>
    </row>
    <row r="5734" spans="1:3" x14ac:dyDescent="0.3">
      <c r="A5734" s="2">
        <v>42989</v>
      </c>
      <c r="B5734">
        <f>6/(100)</f>
        <v>0.06</v>
      </c>
      <c r="C5734">
        <f>6.231/(100)</f>
        <v>6.2309999999999997E-2</v>
      </c>
    </row>
    <row r="5735" spans="1:3" x14ac:dyDescent="0.3">
      <c r="A5735" s="2">
        <v>42990</v>
      </c>
      <c r="B5735">
        <f>6/(100)</f>
        <v>0.06</v>
      </c>
      <c r="C5735">
        <f>6.241/(100)</f>
        <v>6.2409999999999993E-2</v>
      </c>
    </row>
    <row r="5736" spans="1:3" x14ac:dyDescent="0.3">
      <c r="A5736" s="2">
        <v>42991</v>
      </c>
      <c r="B5736">
        <f>6/(100)</f>
        <v>0.06</v>
      </c>
      <c r="C5736">
        <f>6.216/(100)</f>
        <v>6.216E-2</v>
      </c>
    </row>
    <row r="5737" spans="1:3" x14ac:dyDescent="0.3">
      <c r="A5737" s="2">
        <v>42992</v>
      </c>
      <c r="B5737">
        <f>6/(100)</f>
        <v>0.06</v>
      </c>
      <c r="C5737">
        <f>6.216/(100)</f>
        <v>6.216E-2</v>
      </c>
    </row>
    <row r="5738" spans="1:3" x14ac:dyDescent="0.3">
      <c r="A5738" s="2">
        <v>42993</v>
      </c>
      <c r="B5738">
        <f>6/(100)</f>
        <v>0.06</v>
      </c>
      <c r="C5738">
        <f>6.216/(100)</f>
        <v>6.216E-2</v>
      </c>
    </row>
    <row r="5739" spans="1:3" x14ac:dyDescent="0.3">
      <c r="A5739" s="2">
        <v>42994</v>
      </c>
      <c r="B5739">
        <f>6/(100)</f>
        <v>0.06</v>
      </c>
      <c r="C5739">
        <f>6.216/(100)</f>
        <v>6.216E-2</v>
      </c>
    </row>
    <row r="5740" spans="1:3" x14ac:dyDescent="0.3">
      <c r="A5740" s="2">
        <v>42995</v>
      </c>
      <c r="B5740">
        <f>6/(100)</f>
        <v>0.06</v>
      </c>
      <c r="C5740">
        <f>6.216/(100)</f>
        <v>6.216E-2</v>
      </c>
    </row>
    <row r="5741" spans="1:3" x14ac:dyDescent="0.3">
      <c r="A5741" s="2">
        <v>42996</v>
      </c>
      <c r="B5741">
        <f>6/(100)</f>
        <v>0.06</v>
      </c>
      <c r="C5741">
        <f>6.226/(100)</f>
        <v>6.2260000000000003E-2</v>
      </c>
    </row>
    <row r="5742" spans="1:3" x14ac:dyDescent="0.3">
      <c r="A5742" s="2">
        <v>42997</v>
      </c>
      <c r="B5742">
        <f>6/(100)</f>
        <v>0.06</v>
      </c>
      <c r="C5742">
        <f>6.236/(100)</f>
        <v>6.2359999999999999E-2</v>
      </c>
    </row>
    <row r="5743" spans="1:3" x14ac:dyDescent="0.3">
      <c r="A5743" s="2">
        <v>42998</v>
      </c>
      <c r="B5743">
        <f>6/(100)</f>
        <v>0.06</v>
      </c>
      <c r="C5743">
        <f>6.211/(100)</f>
        <v>6.2110000000000005E-2</v>
      </c>
    </row>
    <row r="5744" spans="1:3" x14ac:dyDescent="0.3">
      <c r="A5744" s="2">
        <v>42999</v>
      </c>
      <c r="B5744">
        <f>6/(100)</f>
        <v>0.06</v>
      </c>
      <c r="C5744">
        <f>6.268/(100)</f>
        <v>6.268E-2</v>
      </c>
    </row>
    <row r="5745" spans="1:3" x14ac:dyDescent="0.3">
      <c r="A5745" s="2">
        <v>43000</v>
      </c>
      <c r="B5745">
        <f>6/(100)</f>
        <v>0.06</v>
      </c>
      <c r="C5745">
        <f>6.268/(100)</f>
        <v>6.268E-2</v>
      </c>
    </row>
    <row r="5746" spans="1:3" x14ac:dyDescent="0.3">
      <c r="A5746" s="2">
        <v>43001</v>
      </c>
      <c r="B5746">
        <f>6/(100)</f>
        <v>0.06</v>
      </c>
      <c r="C5746">
        <f>6.268/(100)</f>
        <v>6.268E-2</v>
      </c>
    </row>
    <row r="5747" spans="1:3" x14ac:dyDescent="0.3">
      <c r="A5747" s="2">
        <v>43002</v>
      </c>
      <c r="B5747">
        <f>6/(100)</f>
        <v>0.06</v>
      </c>
      <c r="C5747">
        <f>6.268/(100)</f>
        <v>6.268E-2</v>
      </c>
    </row>
    <row r="5748" spans="1:3" x14ac:dyDescent="0.3">
      <c r="A5748" s="2">
        <v>43003</v>
      </c>
      <c r="B5748">
        <f>6/(100)</f>
        <v>0.06</v>
      </c>
      <c r="C5748">
        <f>6.277/(100)</f>
        <v>6.2770000000000006E-2</v>
      </c>
    </row>
    <row r="5749" spans="1:3" x14ac:dyDescent="0.3">
      <c r="A5749" s="2">
        <v>43004</v>
      </c>
      <c r="B5749">
        <f>6/(100)</f>
        <v>0.06</v>
      </c>
      <c r="C5749">
        <f>6.277/(100)</f>
        <v>6.2770000000000006E-2</v>
      </c>
    </row>
    <row r="5750" spans="1:3" x14ac:dyDescent="0.3">
      <c r="A5750" s="2">
        <v>43005</v>
      </c>
      <c r="B5750">
        <f>6/(100)</f>
        <v>0.06</v>
      </c>
      <c r="C5750">
        <f>6.277/(100)</f>
        <v>6.2770000000000006E-2</v>
      </c>
    </row>
    <row r="5751" spans="1:3" x14ac:dyDescent="0.3">
      <c r="A5751" s="2">
        <v>43006</v>
      </c>
      <c r="B5751">
        <f>6/(100)</f>
        <v>0.06</v>
      </c>
      <c r="C5751">
        <f>6.277/(100)</f>
        <v>6.2770000000000006E-2</v>
      </c>
    </row>
    <row r="5752" spans="1:3" x14ac:dyDescent="0.3">
      <c r="A5752" s="2">
        <v>43007</v>
      </c>
      <c r="B5752">
        <f>6/(100)</f>
        <v>0.06</v>
      </c>
      <c r="C5752">
        <f>6.277/(100)</f>
        <v>6.2770000000000006E-2</v>
      </c>
    </row>
    <row r="5753" spans="1:3" x14ac:dyDescent="0.3">
      <c r="A5753" s="2">
        <v>43008</v>
      </c>
      <c r="B5753">
        <f>6/(100)</f>
        <v>0.06</v>
      </c>
      <c r="C5753">
        <f>6.277/(100)</f>
        <v>6.2770000000000006E-2</v>
      </c>
    </row>
    <row r="5754" spans="1:3" x14ac:dyDescent="0.3">
      <c r="A5754" s="2">
        <v>43009</v>
      </c>
      <c r="B5754">
        <f>6/(100)</f>
        <v>0.06</v>
      </c>
      <c r="C5754">
        <f>6.277/(100)</f>
        <v>6.2770000000000006E-2</v>
      </c>
    </row>
    <row r="5755" spans="1:3" x14ac:dyDescent="0.3">
      <c r="A5755" s="2">
        <v>43010</v>
      </c>
      <c r="B5755">
        <f>6/(100)</f>
        <v>0.06</v>
      </c>
      <c r="C5755">
        <f>6.277/(100)</f>
        <v>6.2770000000000006E-2</v>
      </c>
    </row>
    <row r="5756" spans="1:3" x14ac:dyDescent="0.3">
      <c r="A5756" s="2">
        <v>43011</v>
      </c>
      <c r="B5756">
        <f>6/(100)</f>
        <v>0.06</v>
      </c>
      <c r="C5756">
        <f>6.276/(100)</f>
        <v>6.2759999999999996E-2</v>
      </c>
    </row>
    <row r="5757" spans="1:3" x14ac:dyDescent="0.3">
      <c r="A5757" s="2">
        <v>43012</v>
      </c>
      <c r="B5757">
        <f>6/(100)</f>
        <v>0.06</v>
      </c>
      <c r="C5757">
        <f>6.276/(100)</f>
        <v>6.2759999999999996E-2</v>
      </c>
    </row>
    <row r="5758" spans="1:3" x14ac:dyDescent="0.3">
      <c r="A5758" s="2">
        <v>43013</v>
      </c>
      <c r="B5758">
        <f>6/(100)</f>
        <v>0.06</v>
      </c>
      <c r="C5758">
        <f>6.173/(100)</f>
        <v>6.173E-2</v>
      </c>
    </row>
    <row r="5759" spans="1:3" x14ac:dyDescent="0.3">
      <c r="A5759" s="2">
        <v>43014</v>
      </c>
      <c r="B5759">
        <f>6/(100)</f>
        <v>0.06</v>
      </c>
      <c r="C5759">
        <f>6.154/(100)</f>
        <v>6.1539999999999997E-2</v>
      </c>
    </row>
    <row r="5760" spans="1:3" x14ac:dyDescent="0.3">
      <c r="A5760" s="2">
        <v>43015</v>
      </c>
      <c r="B5760">
        <f>6/(100)</f>
        <v>0.06</v>
      </c>
      <c r="C5760">
        <f>6.154/(100)</f>
        <v>6.1539999999999997E-2</v>
      </c>
    </row>
    <row r="5761" spans="1:3" x14ac:dyDescent="0.3">
      <c r="A5761" s="2">
        <v>43016</v>
      </c>
      <c r="B5761">
        <f>6/(100)</f>
        <v>0.06</v>
      </c>
      <c r="C5761">
        <f>6.154/(100)</f>
        <v>6.1539999999999997E-2</v>
      </c>
    </row>
    <row r="5762" spans="1:3" x14ac:dyDescent="0.3">
      <c r="A5762" s="2">
        <v>43017</v>
      </c>
      <c r="B5762">
        <f>6/(100)</f>
        <v>0.06</v>
      </c>
      <c r="C5762">
        <f>6.2/(100)</f>
        <v>6.2E-2</v>
      </c>
    </row>
    <row r="5763" spans="1:3" x14ac:dyDescent="0.3">
      <c r="A5763" s="2">
        <v>43018</v>
      </c>
      <c r="B5763">
        <f>6/(100)</f>
        <v>0.06</v>
      </c>
      <c r="C5763">
        <f>6.156/(100)</f>
        <v>6.1559999999999997E-2</v>
      </c>
    </row>
    <row r="5764" spans="1:3" x14ac:dyDescent="0.3">
      <c r="A5764" s="2">
        <v>43019</v>
      </c>
      <c r="B5764">
        <f>6/(100)</f>
        <v>0.06</v>
      </c>
      <c r="C5764">
        <f>6.147/(100)</f>
        <v>6.1470000000000004E-2</v>
      </c>
    </row>
    <row r="5765" spans="1:3" x14ac:dyDescent="0.3">
      <c r="A5765" s="2">
        <v>43020</v>
      </c>
      <c r="B5765">
        <f>6/(100)</f>
        <v>0.06</v>
      </c>
      <c r="C5765">
        <f>6.126/(100)</f>
        <v>6.1260000000000002E-2</v>
      </c>
    </row>
    <row r="5766" spans="1:3" x14ac:dyDescent="0.3">
      <c r="A5766" s="2">
        <v>43021</v>
      </c>
      <c r="B5766">
        <f>6/(100)</f>
        <v>0.06</v>
      </c>
      <c r="C5766">
        <f>6.14/(100)</f>
        <v>6.1399999999999996E-2</v>
      </c>
    </row>
    <row r="5767" spans="1:3" x14ac:dyDescent="0.3">
      <c r="A5767" s="2">
        <v>43022</v>
      </c>
      <c r="B5767">
        <f>6/(100)</f>
        <v>0.06</v>
      </c>
      <c r="C5767">
        <f>6.14/(100)</f>
        <v>6.1399999999999996E-2</v>
      </c>
    </row>
    <row r="5768" spans="1:3" x14ac:dyDescent="0.3">
      <c r="A5768" s="2">
        <v>43023</v>
      </c>
      <c r="B5768">
        <f>6/(100)</f>
        <v>0.06</v>
      </c>
      <c r="C5768">
        <f>6.14/(100)</f>
        <v>6.1399999999999996E-2</v>
      </c>
    </row>
    <row r="5769" spans="1:3" x14ac:dyDescent="0.3">
      <c r="A5769" s="2">
        <v>43024</v>
      </c>
      <c r="B5769">
        <f>6/(100)</f>
        <v>0.06</v>
      </c>
      <c r="C5769">
        <f>6.141/(100)</f>
        <v>6.1409999999999999E-2</v>
      </c>
    </row>
    <row r="5770" spans="1:3" x14ac:dyDescent="0.3">
      <c r="A5770" s="2">
        <v>43025</v>
      </c>
      <c r="B5770">
        <f>6/(100)</f>
        <v>0.06</v>
      </c>
      <c r="C5770">
        <f>6.142/(100)</f>
        <v>6.1420000000000002E-2</v>
      </c>
    </row>
    <row r="5771" spans="1:3" x14ac:dyDescent="0.3">
      <c r="A5771" s="2">
        <v>43026</v>
      </c>
      <c r="B5771">
        <f>6/(100)</f>
        <v>0.06</v>
      </c>
      <c r="C5771">
        <f>6.142/(100)</f>
        <v>6.1420000000000002E-2</v>
      </c>
    </row>
    <row r="5772" spans="1:3" x14ac:dyDescent="0.3">
      <c r="A5772" s="2">
        <v>43027</v>
      </c>
      <c r="B5772">
        <f>6/(100)</f>
        <v>0.06</v>
      </c>
      <c r="C5772">
        <f>6.142/(100)</f>
        <v>6.1420000000000002E-2</v>
      </c>
    </row>
    <row r="5773" spans="1:3" x14ac:dyDescent="0.3">
      <c r="A5773" s="2">
        <v>43028</v>
      </c>
      <c r="B5773">
        <f>6/(100)</f>
        <v>0.06</v>
      </c>
      <c r="C5773">
        <f>6.142/(100)</f>
        <v>6.1420000000000002E-2</v>
      </c>
    </row>
    <row r="5774" spans="1:3" x14ac:dyDescent="0.3">
      <c r="A5774" s="2">
        <v>43029</v>
      </c>
      <c r="B5774">
        <f>6/(100)</f>
        <v>0.06</v>
      </c>
      <c r="C5774">
        <f>6.142/(100)</f>
        <v>6.1420000000000002E-2</v>
      </c>
    </row>
    <row r="5775" spans="1:3" x14ac:dyDescent="0.3">
      <c r="A5775" s="2">
        <v>43030</v>
      </c>
      <c r="B5775">
        <f>6/(100)</f>
        <v>0.06</v>
      </c>
      <c r="C5775">
        <f>6.142/(100)</f>
        <v>6.1420000000000002E-2</v>
      </c>
    </row>
    <row r="5776" spans="1:3" x14ac:dyDescent="0.3">
      <c r="A5776" s="2">
        <v>43031</v>
      </c>
      <c r="B5776">
        <f>6/(100)</f>
        <v>0.06</v>
      </c>
      <c r="C5776">
        <f>6.183/(100)</f>
        <v>6.1829999999999996E-2</v>
      </c>
    </row>
    <row r="5777" spans="1:3" x14ac:dyDescent="0.3">
      <c r="A5777" s="2">
        <v>43032</v>
      </c>
      <c r="B5777">
        <f>6/(100)</f>
        <v>0.06</v>
      </c>
      <c r="C5777">
        <f>6.161/(100)</f>
        <v>6.1609999999999998E-2</v>
      </c>
    </row>
    <row r="5778" spans="1:3" x14ac:dyDescent="0.3">
      <c r="A5778" s="2">
        <v>43033</v>
      </c>
      <c r="B5778">
        <f>6/(100)</f>
        <v>0.06</v>
      </c>
      <c r="C5778">
        <f>6.151/(100)</f>
        <v>6.1509999999999995E-2</v>
      </c>
    </row>
    <row r="5779" spans="1:3" x14ac:dyDescent="0.3">
      <c r="A5779" s="2">
        <v>43034</v>
      </c>
      <c r="B5779">
        <f>6/(100)</f>
        <v>0.06</v>
      </c>
      <c r="C5779">
        <f>6.17/(100)</f>
        <v>6.1699999999999998E-2</v>
      </c>
    </row>
    <row r="5780" spans="1:3" x14ac:dyDescent="0.3">
      <c r="A5780" s="2">
        <v>43035</v>
      </c>
      <c r="B5780">
        <f>6/(100)</f>
        <v>0.06</v>
      </c>
      <c r="C5780">
        <f>6.168/(100)</f>
        <v>6.1679999999999999E-2</v>
      </c>
    </row>
    <row r="5781" spans="1:3" x14ac:dyDescent="0.3">
      <c r="A5781" s="2">
        <v>43036</v>
      </c>
      <c r="B5781">
        <f>6/(100)</f>
        <v>0.06</v>
      </c>
      <c r="C5781">
        <f>6.168/(100)</f>
        <v>6.1679999999999999E-2</v>
      </c>
    </row>
    <row r="5782" spans="1:3" x14ac:dyDescent="0.3">
      <c r="A5782" s="2">
        <v>43037</v>
      </c>
      <c r="B5782">
        <f>6/(100)</f>
        <v>0.06</v>
      </c>
      <c r="C5782">
        <f>6.168/(100)</f>
        <v>6.1679999999999999E-2</v>
      </c>
    </row>
    <row r="5783" spans="1:3" x14ac:dyDescent="0.3">
      <c r="A5783" s="2">
        <v>43038</v>
      </c>
      <c r="B5783">
        <f>6/(100)</f>
        <v>0.06</v>
      </c>
      <c r="C5783">
        <f>6.161/(100)</f>
        <v>6.1609999999999998E-2</v>
      </c>
    </row>
    <row r="5784" spans="1:3" x14ac:dyDescent="0.3">
      <c r="A5784" s="2">
        <v>43039</v>
      </c>
      <c r="B5784">
        <f>6/(100)</f>
        <v>0.06</v>
      </c>
      <c r="C5784">
        <f>6.168/(100)</f>
        <v>6.1679999999999999E-2</v>
      </c>
    </row>
    <row r="5785" spans="1:3" x14ac:dyDescent="0.3">
      <c r="A5785" s="2">
        <v>43040</v>
      </c>
      <c r="B5785">
        <f>6/(100)</f>
        <v>0.06</v>
      </c>
      <c r="C5785">
        <f>6.17/(100)</f>
        <v>6.1699999999999998E-2</v>
      </c>
    </row>
    <row r="5786" spans="1:3" x14ac:dyDescent="0.3">
      <c r="A5786" s="2">
        <v>43041</v>
      </c>
      <c r="B5786">
        <f>6/(100)</f>
        <v>0.06</v>
      </c>
      <c r="C5786">
        <f>6.17/(100)</f>
        <v>6.1699999999999998E-2</v>
      </c>
    </row>
    <row r="5787" spans="1:3" x14ac:dyDescent="0.3">
      <c r="A5787" s="2">
        <v>43042</v>
      </c>
      <c r="B5787">
        <f>6/(100)</f>
        <v>0.06</v>
      </c>
      <c r="C5787">
        <f>6.173/(100)</f>
        <v>6.173E-2</v>
      </c>
    </row>
    <row r="5788" spans="1:3" x14ac:dyDescent="0.3">
      <c r="A5788" s="2">
        <v>43043</v>
      </c>
      <c r="B5788">
        <f>6/(100)</f>
        <v>0.06</v>
      </c>
      <c r="C5788">
        <f>6.173/(100)</f>
        <v>6.173E-2</v>
      </c>
    </row>
    <row r="5789" spans="1:3" x14ac:dyDescent="0.3">
      <c r="A5789" s="2">
        <v>43044</v>
      </c>
      <c r="B5789">
        <f>6/(100)</f>
        <v>0.06</v>
      </c>
      <c r="C5789">
        <f>6.173/(100)</f>
        <v>6.173E-2</v>
      </c>
    </row>
    <row r="5790" spans="1:3" x14ac:dyDescent="0.3">
      <c r="A5790" s="2">
        <v>43045</v>
      </c>
      <c r="B5790">
        <f>6/(100)</f>
        <v>0.06</v>
      </c>
      <c r="C5790">
        <f>6.189/(100)</f>
        <v>6.1890000000000001E-2</v>
      </c>
    </row>
    <row r="5791" spans="1:3" x14ac:dyDescent="0.3">
      <c r="A5791" s="2">
        <v>43046</v>
      </c>
      <c r="B5791">
        <f>6/(100)</f>
        <v>0.06</v>
      </c>
      <c r="C5791">
        <f>6.189/(100)</f>
        <v>6.1890000000000001E-2</v>
      </c>
    </row>
    <row r="5792" spans="1:3" x14ac:dyDescent="0.3">
      <c r="A5792" s="2">
        <v>43047</v>
      </c>
      <c r="B5792">
        <f>6/(100)</f>
        <v>0.06</v>
      </c>
      <c r="C5792">
        <f>6.18/(100)</f>
        <v>6.1799999999999994E-2</v>
      </c>
    </row>
    <row r="5793" spans="1:3" x14ac:dyDescent="0.3">
      <c r="A5793" s="2">
        <v>43048</v>
      </c>
      <c r="B5793">
        <f>6/(100)</f>
        <v>0.06</v>
      </c>
      <c r="C5793">
        <f>6.18/(100)</f>
        <v>6.1799999999999994E-2</v>
      </c>
    </row>
    <row r="5794" spans="1:3" x14ac:dyDescent="0.3">
      <c r="A5794" s="2">
        <v>43049</v>
      </c>
      <c r="B5794">
        <f>6/(100)</f>
        <v>0.06</v>
      </c>
      <c r="C5794">
        <f>6.215/(100)</f>
        <v>6.2149999999999997E-2</v>
      </c>
    </row>
    <row r="5795" spans="1:3" x14ac:dyDescent="0.3">
      <c r="A5795" s="2">
        <v>43050</v>
      </c>
      <c r="B5795">
        <f>6/(100)</f>
        <v>0.06</v>
      </c>
      <c r="C5795">
        <f>6.215/(100)</f>
        <v>6.2149999999999997E-2</v>
      </c>
    </row>
    <row r="5796" spans="1:3" x14ac:dyDescent="0.3">
      <c r="A5796" s="2">
        <v>43051</v>
      </c>
      <c r="B5796">
        <f>6/(100)</f>
        <v>0.06</v>
      </c>
      <c r="C5796">
        <f>6.215/(100)</f>
        <v>6.2149999999999997E-2</v>
      </c>
    </row>
    <row r="5797" spans="1:3" x14ac:dyDescent="0.3">
      <c r="A5797" s="2">
        <v>43052</v>
      </c>
      <c r="B5797">
        <f>6/(100)</f>
        <v>0.06</v>
      </c>
      <c r="C5797">
        <f>6.215/(100)</f>
        <v>6.2149999999999997E-2</v>
      </c>
    </row>
    <row r="5798" spans="1:3" x14ac:dyDescent="0.3">
      <c r="A5798" s="2">
        <v>43053</v>
      </c>
      <c r="B5798">
        <f>6/(100)</f>
        <v>0.06</v>
      </c>
      <c r="C5798">
        <f>6.2/(100)</f>
        <v>6.2E-2</v>
      </c>
    </row>
    <row r="5799" spans="1:3" x14ac:dyDescent="0.3">
      <c r="A5799" s="2">
        <v>43054</v>
      </c>
      <c r="B5799">
        <f>6/(100)</f>
        <v>0.06</v>
      </c>
      <c r="C5799">
        <f>6.2/(100)</f>
        <v>6.2E-2</v>
      </c>
    </row>
    <row r="5800" spans="1:3" x14ac:dyDescent="0.3">
      <c r="A5800" s="2">
        <v>43055</v>
      </c>
      <c r="B5800">
        <f>6/(100)</f>
        <v>0.06</v>
      </c>
      <c r="C5800">
        <f>6.185/(100)</f>
        <v>6.1849999999999995E-2</v>
      </c>
    </row>
    <row r="5801" spans="1:3" x14ac:dyDescent="0.3">
      <c r="A5801" s="2">
        <v>43056</v>
      </c>
      <c r="B5801">
        <f>6/(100)</f>
        <v>0.06</v>
      </c>
      <c r="C5801">
        <f>6.185/(100)</f>
        <v>6.1849999999999995E-2</v>
      </c>
    </row>
    <row r="5802" spans="1:3" x14ac:dyDescent="0.3">
      <c r="A5802" s="2">
        <v>43057</v>
      </c>
      <c r="B5802">
        <f>6/(100)</f>
        <v>0.06</v>
      </c>
      <c r="C5802">
        <f>6.185/(100)</f>
        <v>6.1849999999999995E-2</v>
      </c>
    </row>
    <row r="5803" spans="1:3" x14ac:dyDescent="0.3">
      <c r="A5803" s="2">
        <v>43058</v>
      </c>
      <c r="B5803">
        <f>6/(100)</f>
        <v>0.06</v>
      </c>
      <c r="C5803">
        <f>6.185/(100)</f>
        <v>6.1849999999999995E-2</v>
      </c>
    </row>
    <row r="5804" spans="1:3" x14ac:dyDescent="0.3">
      <c r="A5804" s="2">
        <v>43059</v>
      </c>
      <c r="B5804">
        <f>6/(100)</f>
        <v>0.06</v>
      </c>
      <c r="C5804">
        <f>6.184/(100)</f>
        <v>6.1839999999999999E-2</v>
      </c>
    </row>
    <row r="5805" spans="1:3" x14ac:dyDescent="0.3">
      <c r="A5805" s="2">
        <v>43060</v>
      </c>
      <c r="B5805">
        <f>6/(100)</f>
        <v>0.06</v>
      </c>
      <c r="C5805">
        <f>6.273/(100)</f>
        <v>6.2729999999999994E-2</v>
      </c>
    </row>
    <row r="5806" spans="1:3" x14ac:dyDescent="0.3">
      <c r="A5806" s="2">
        <v>43061</v>
      </c>
      <c r="B5806">
        <f>6/(100)</f>
        <v>0.06</v>
      </c>
      <c r="C5806">
        <f>6.273/(100)</f>
        <v>6.2729999999999994E-2</v>
      </c>
    </row>
    <row r="5807" spans="1:3" x14ac:dyDescent="0.3">
      <c r="A5807" s="2">
        <v>43062</v>
      </c>
      <c r="B5807">
        <f>6/(100)</f>
        <v>0.06</v>
      </c>
      <c r="C5807">
        <f>6.201/(100)</f>
        <v>6.2009999999999996E-2</v>
      </c>
    </row>
    <row r="5808" spans="1:3" x14ac:dyDescent="0.3">
      <c r="A5808" s="2">
        <v>43063</v>
      </c>
      <c r="B5808">
        <f>6/(100)</f>
        <v>0.06</v>
      </c>
      <c r="C5808">
        <f>6.2/(100)</f>
        <v>6.2E-2</v>
      </c>
    </row>
    <row r="5809" spans="1:3" x14ac:dyDescent="0.3">
      <c r="A5809" s="2">
        <v>43064</v>
      </c>
      <c r="B5809">
        <f>6/(100)</f>
        <v>0.06</v>
      </c>
      <c r="C5809">
        <f>6.2/(100)</f>
        <v>6.2E-2</v>
      </c>
    </row>
    <row r="5810" spans="1:3" x14ac:dyDescent="0.3">
      <c r="A5810" s="2">
        <v>43065</v>
      </c>
      <c r="B5810">
        <f>6/(100)</f>
        <v>0.06</v>
      </c>
      <c r="C5810">
        <f>6.2/(100)</f>
        <v>6.2E-2</v>
      </c>
    </row>
    <row r="5811" spans="1:3" x14ac:dyDescent="0.3">
      <c r="A5811" s="2">
        <v>43066</v>
      </c>
      <c r="B5811">
        <f>6/(100)</f>
        <v>0.06</v>
      </c>
      <c r="C5811">
        <f>6.2/(100)</f>
        <v>6.2E-2</v>
      </c>
    </row>
    <row r="5812" spans="1:3" x14ac:dyDescent="0.3">
      <c r="A5812" s="2">
        <v>43067</v>
      </c>
      <c r="B5812">
        <f>6/(100)</f>
        <v>0.06</v>
      </c>
      <c r="C5812">
        <f>6.197/(100)</f>
        <v>6.1969999999999997E-2</v>
      </c>
    </row>
    <row r="5813" spans="1:3" x14ac:dyDescent="0.3">
      <c r="A5813" s="2">
        <v>43068</v>
      </c>
      <c r="B5813">
        <f>6/(100)</f>
        <v>0.06</v>
      </c>
      <c r="C5813">
        <f>6.197/(100)</f>
        <v>6.1969999999999997E-2</v>
      </c>
    </row>
    <row r="5814" spans="1:3" x14ac:dyDescent="0.3">
      <c r="A5814" s="2">
        <v>43069</v>
      </c>
      <c r="B5814">
        <f>6/(100)</f>
        <v>0.06</v>
      </c>
      <c r="C5814">
        <f>6.197/(100)</f>
        <v>6.1969999999999997E-2</v>
      </c>
    </row>
    <row r="5815" spans="1:3" x14ac:dyDescent="0.3">
      <c r="A5815" s="2">
        <v>43070</v>
      </c>
      <c r="B5815">
        <f>6/(100)</f>
        <v>0.06</v>
      </c>
      <c r="C5815">
        <f>6.197/(100)</f>
        <v>6.1969999999999997E-2</v>
      </c>
    </row>
    <row r="5816" spans="1:3" x14ac:dyDescent="0.3">
      <c r="A5816" s="2">
        <v>43071</v>
      </c>
      <c r="B5816">
        <f>6/(100)</f>
        <v>0.06</v>
      </c>
      <c r="C5816">
        <f>6.197/(100)</f>
        <v>6.1969999999999997E-2</v>
      </c>
    </row>
    <row r="5817" spans="1:3" x14ac:dyDescent="0.3">
      <c r="A5817" s="2">
        <v>43072</v>
      </c>
      <c r="B5817">
        <f>6/(100)</f>
        <v>0.06</v>
      </c>
      <c r="C5817">
        <f>6.197/(100)</f>
        <v>6.1969999999999997E-2</v>
      </c>
    </row>
    <row r="5818" spans="1:3" x14ac:dyDescent="0.3">
      <c r="A5818" s="2">
        <v>43073</v>
      </c>
      <c r="B5818">
        <f>6/(100)</f>
        <v>0.06</v>
      </c>
      <c r="C5818">
        <f>6.265/(100)</f>
        <v>6.2649999999999997E-2</v>
      </c>
    </row>
    <row r="5819" spans="1:3" x14ac:dyDescent="0.3">
      <c r="A5819" s="2">
        <v>43074</v>
      </c>
      <c r="B5819">
        <f>6/(100)</f>
        <v>0.06</v>
      </c>
      <c r="C5819">
        <f>6.227/(100)</f>
        <v>6.2270000000000006E-2</v>
      </c>
    </row>
    <row r="5820" spans="1:3" x14ac:dyDescent="0.3">
      <c r="A5820" s="2">
        <v>43075</v>
      </c>
      <c r="B5820">
        <f>6/(100)</f>
        <v>0.06</v>
      </c>
      <c r="C5820">
        <f>6.307/(100)</f>
        <v>6.3070000000000001E-2</v>
      </c>
    </row>
    <row r="5821" spans="1:3" x14ac:dyDescent="0.3">
      <c r="A5821" s="2">
        <v>43076</v>
      </c>
      <c r="B5821">
        <f>6/(100)</f>
        <v>0.06</v>
      </c>
      <c r="C5821">
        <f>6.224/(100)</f>
        <v>6.2240000000000004E-2</v>
      </c>
    </row>
    <row r="5822" spans="1:3" x14ac:dyDescent="0.3">
      <c r="A5822" s="2">
        <v>43077</v>
      </c>
      <c r="B5822">
        <f>6/(100)</f>
        <v>0.06</v>
      </c>
      <c r="C5822">
        <f>6.262/(100)</f>
        <v>6.2619999999999995E-2</v>
      </c>
    </row>
    <row r="5823" spans="1:3" x14ac:dyDescent="0.3">
      <c r="A5823" s="2">
        <v>43078</v>
      </c>
      <c r="B5823">
        <f>6/(100)</f>
        <v>0.06</v>
      </c>
      <c r="C5823">
        <f>6.262/(100)</f>
        <v>6.2619999999999995E-2</v>
      </c>
    </row>
    <row r="5824" spans="1:3" x14ac:dyDescent="0.3">
      <c r="A5824" s="2">
        <v>43079</v>
      </c>
      <c r="B5824">
        <f>6/(100)</f>
        <v>0.06</v>
      </c>
      <c r="C5824">
        <f>6.262/(100)</f>
        <v>6.2619999999999995E-2</v>
      </c>
    </row>
    <row r="5825" spans="1:3" x14ac:dyDescent="0.3">
      <c r="A5825" s="2">
        <v>43080</v>
      </c>
      <c r="B5825">
        <f>6/(100)</f>
        <v>0.06</v>
      </c>
      <c r="C5825">
        <f>6.285/(100)</f>
        <v>6.2850000000000003E-2</v>
      </c>
    </row>
    <row r="5826" spans="1:3" x14ac:dyDescent="0.3">
      <c r="A5826" s="2">
        <v>43081</v>
      </c>
      <c r="B5826">
        <f>6/(100)</f>
        <v>0.06</v>
      </c>
      <c r="C5826">
        <f>6.293/(100)</f>
        <v>6.293E-2</v>
      </c>
    </row>
    <row r="5827" spans="1:3" x14ac:dyDescent="0.3">
      <c r="A5827" s="2">
        <v>43082</v>
      </c>
      <c r="B5827">
        <f>6/(100)</f>
        <v>0.06</v>
      </c>
      <c r="C5827">
        <f>6.275/(100)</f>
        <v>6.275E-2</v>
      </c>
    </row>
    <row r="5828" spans="1:3" x14ac:dyDescent="0.3">
      <c r="A5828" s="2">
        <v>43083</v>
      </c>
      <c r="B5828">
        <f>6/(100)</f>
        <v>0.06</v>
      </c>
      <c r="C5828">
        <f>6.275/(100)</f>
        <v>6.275E-2</v>
      </c>
    </row>
    <row r="5829" spans="1:3" x14ac:dyDescent="0.3">
      <c r="A5829" s="2">
        <v>43084</v>
      </c>
      <c r="B5829">
        <f>6/(100)</f>
        <v>0.06</v>
      </c>
      <c r="C5829">
        <f>6.275/(100)</f>
        <v>6.275E-2</v>
      </c>
    </row>
    <row r="5830" spans="1:3" x14ac:dyDescent="0.3">
      <c r="A5830" s="2">
        <v>43085</v>
      </c>
      <c r="B5830">
        <f>6/(100)</f>
        <v>0.06</v>
      </c>
      <c r="C5830">
        <f>6.275/(100)</f>
        <v>6.275E-2</v>
      </c>
    </row>
    <row r="5831" spans="1:3" x14ac:dyDescent="0.3">
      <c r="A5831" s="2">
        <v>43086</v>
      </c>
      <c r="B5831">
        <f>6/(100)</f>
        <v>0.06</v>
      </c>
      <c r="C5831">
        <f>6.275/(100)</f>
        <v>6.275E-2</v>
      </c>
    </row>
    <row r="5832" spans="1:3" x14ac:dyDescent="0.3">
      <c r="A5832" s="2">
        <v>43087</v>
      </c>
      <c r="B5832">
        <f>6/(100)</f>
        <v>0.06</v>
      </c>
      <c r="C5832">
        <f>6.286/(100)</f>
        <v>6.2859999999999999E-2</v>
      </c>
    </row>
    <row r="5833" spans="1:3" x14ac:dyDescent="0.3">
      <c r="A5833" s="2">
        <v>43088</v>
      </c>
      <c r="B5833">
        <f>6/(100)</f>
        <v>0.06</v>
      </c>
      <c r="C5833">
        <f>6.286/(100)</f>
        <v>6.2859999999999999E-2</v>
      </c>
    </row>
    <row r="5834" spans="1:3" x14ac:dyDescent="0.3">
      <c r="A5834" s="2">
        <v>43089</v>
      </c>
      <c r="B5834">
        <f>6/(100)</f>
        <v>0.06</v>
      </c>
      <c r="C5834">
        <f>6.286/(100)</f>
        <v>6.2859999999999999E-2</v>
      </c>
    </row>
    <row r="5835" spans="1:3" x14ac:dyDescent="0.3">
      <c r="A5835" s="2">
        <v>43090</v>
      </c>
      <c r="B5835">
        <f>6/(100)</f>
        <v>0.06</v>
      </c>
      <c r="C5835">
        <f>6.223/(100)</f>
        <v>6.2230000000000001E-2</v>
      </c>
    </row>
    <row r="5836" spans="1:3" x14ac:dyDescent="0.3">
      <c r="A5836" s="2">
        <v>43091</v>
      </c>
      <c r="B5836">
        <f>6/(100)</f>
        <v>0.06</v>
      </c>
      <c r="C5836">
        <f>6.273/(100)</f>
        <v>6.2729999999999994E-2</v>
      </c>
    </row>
    <row r="5837" spans="1:3" x14ac:dyDescent="0.3">
      <c r="A5837" s="2">
        <v>43092</v>
      </c>
      <c r="B5837">
        <f>6/(100)</f>
        <v>0.06</v>
      </c>
      <c r="C5837">
        <f>6.273/(100)</f>
        <v>6.2729999999999994E-2</v>
      </c>
    </row>
    <row r="5838" spans="1:3" x14ac:dyDescent="0.3">
      <c r="A5838" s="2">
        <v>43093</v>
      </c>
      <c r="B5838">
        <f>6/(100)</f>
        <v>0.06</v>
      </c>
      <c r="C5838">
        <f>6.273/(100)</f>
        <v>6.2729999999999994E-2</v>
      </c>
    </row>
    <row r="5839" spans="1:3" x14ac:dyDescent="0.3">
      <c r="A5839" s="2">
        <v>43094</v>
      </c>
      <c r="B5839">
        <f>6/(100)</f>
        <v>0.06</v>
      </c>
      <c r="C5839">
        <f>6.273/(100)</f>
        <v>6.2729999999999994E-2</v>
      </c>
    </row>
    <row r="5840" spans="1:3" x14ac:dyDescent="0.3">
      <c r="A5840" s="2">
        <v>43095</v>
      </c>
      <c r="B5840">
        <f>6/(100)</f>
        <v>0.06</v>
      </c>
      <c r="C5840">
        <f>6.273/(100)</f>
        <v>6.2729999999999994E-2</v>
      </c>
    </row>
    <row r="5841" spans="1:3" x14ac:dyDescent="0.3">
      <c r="A5841" s="2">
        <v>43096</v>
      </c>
      <c r="B5841">
        <f>6/(100)</f>
        <v>0.06</v>
      </c>
      <c r="C5841">
        <f>6.305/(100)</f>
        <v>6.3049999999999995E-2</v>
      </c>
    </row>
    <row r="5842" spans="1:3" x14ac:dyDescent="0.3">
      <c r="A5842" s="2">
        <v>43097</v>
      </c>
      <c r="B5842">
        <f>6/(100)</f>
        <v>0.06</v>
      </c>
      <c r="C5842">
        <f>6.343/(100)</f>
        <v>6.343E-2</v>
      </c>
    </row>
    <row r="5843" spans="1:3" x14ac:dyDescent="0.3">
      <c r="A5843" s="2">
        <v>43098</v>
      </c>
      <c r="B5843">
        <f>6/(100)</f>
        <v>0.06</v>
      </c>
      <c r="C5843">
        <f>6.277/(100)</f>
        <v>6.2770000000000006E-2</v>
      </c>
    </row>
    <row r="5844" spans="1:3" x14ac:dyDescent="0.3">
      <c r="A5844" s="2">
        <v>43099</v>
      </c>
      <c r="B5844">
        <f>6/(100)</f>
        <v>0.06</v>
      </c>
      <c r="C5844">
        <f>6.277/(100)</f>
        <v>6.2770000000000006E-2</v>
      </c>
    </row>
    <row r="5845" spans="1:3" x14ac:dyDescent="0.3">
      <c r="A5845" s="2">
        <v>43100</v>
      </c>
      <c r="B5845">
        <f>6/(100)</f>
        <v>0.06</v>
      </c>
      <c r="C5845">
        <f>6.277/(100)</f>
        <v>6.2770000000000006E-2</v>
      </c>
    </row>
    <row r="5846" spans="1:3" x14ac:dyDescent="0.3">
      <c r="A5846" s="2">
        <v>43101</v>
      </c>
      <c r="B5846">
        <f>6/(100)</f>
        <v>0.06</v>
      </c>
      <c r="C5846">
        <f>6.314/(100)</f>
        <v>6.3140000000000002E-2</v>
      </c>
    </row>
    <row r="5847" spans="1:3" x14ac:dyDescent="0.3">
      <c r="A5847" s="2">
        <v>43102</v>
      </c>
      <c r="B5847">
        <f>6/(100)</f>
        <v>0.06</v>
      </c>
      <c r="C5847">
        <f>6.396/(100)</f>
        <v>6.3960000000000003E-2</v>
      </c>
    </row>
    <row r="5848" spans="1:3" x14ac:dyDescent="0.3">
      <c r="A5848" s="2">
        <v>43103</v>
      </c>
      <c r="B5848">
        <f>6/(100)</f>
        <v>0.06</v>
      </c>
      <c r="C5848">
        <f>6.391/(100)</f>
        <v>6.3909999999999995E-2</v>
      </c>
    </row>
    <row r="5849" spans="1:3" x14ac:dyDescent="0.3">
      <c r="A5849" s="2">
        <v>43104</v>
      </c>
      <c r="B5849">
        <f>6/(100)</f>
        <v>0.06</v>
      </c>
      <c r="C5849">
        <f>6.365/(100)</f>
        <v>6.3649999999999998E-2</v>
      </c>
    </row>
    <row r="5850" spans="1:3" x14ac:dyDescent="0.3">
      <c r="A5850" s="2">
        <v>43105</v>
      </c>
      <c r="B5850">
        <f>6/(100)</f>
        <v>0.06</v>
      </c>
      <c r="C5850">
        <f>6.351/(100)</f>
        <v>6.3509999999999997E-2</v>
      </c>
    </row>
    <row r="5851" spans="1:3" x14ac:dyDescent="0.3">
      <c r="A5851" s="2">
        <v>43106</v>
      </c>
      <c r="B5851">
        <f>6/(100)</f>
        <v>0.06</v>
      </c>
      <c r="C5851">
        <f>6.351/(100)</f>
        <v>6.3509999999999997E-2</v>
      </c>
    </row>
    <row r="5852" spans="1:3" x14ac:dyDescent="0.3">
      <c r="A5852" s="2">
        <v>43107</v>
      </c>
      <c r="B5852">
        <f>6/(100)</f>
        <v>0.06</v>
      </c>
      <c r="C5852">
        <f>6.351/(100)</f>
        <v>6.3509999999999997E-2</v>
      </c>
    </row>
    <row r="5853" spans="1:3" x14ac:dyDescent="0.3">
      <c r="A5853" s="2">
        <v>43108</v>
      </c>
      <c r="B5853">
        <f>6/(100)</f>
        <v>0.06</v>
      </c>
      <c r="C5853">
        <f>6.351/(100)</f>
        <v>6.3509999999999997E-2</v>
      </c>
    </row>
    <row r="5854" spans="1:3" x14ac:dyDescent="0.3">
      <c r="A5854" s="2">
        <v>43109</v>
      </c>
      <c r="B5854">
        <f>6/(100)</f>
        <v>0.06</v>
      </c>
      <c r="C5854">
        <f>6.378/(100)</f>
        <v>6.3780000000000003E-2</v>
      </c>
    </row>
    <row r="5855" spans="1:3" x14ac:dyDescent="0.3">
      <c r="A5855" s="2">
        <v>43110</v>
      </c>
      <c r="B5855">
        <f>6/(100)</f>
        <v>0.06</v>
      </c>
      <c r="C5855">
        <f>6.677/(100)</f>
        <v>6.6769999999999996E-2</v>
      </c>
    </row>
    <row r="5856" spans="1:3" x14ac:dyDescent="0.3">
      <c r="A5856" s="2">
        <v>43111</v>
      </c>
      <c r="B5856">
        <f>6/(100)</f>
        <v>0.06</v>
      </c>
      <c r="C5856">
        <f>6.608/(100)</f>
        <v>6.608E-2</v>
      </c>
    </row>
    <row r="5857" spans="1:3" x14ac:dyDescent="0.3">
      <c r="A5857" s="2">
        <v>43112</v>
      </c>
      <c r="B5857">
        <f>6/(100)</f>
        <v>0.06</v>
      </c>
      <c r="C5857">
        <f>6.611/(100)</f>
        <v>6.6110000000000002E-2</v>
      </c>
    </row>
    <row r="5858" spans="1:3" x14ac:dyDescent="0.3">
      <c r="A5858" s="2">
        <v>43113</v>
      </c>
      <c r="B5858">
        <f>6/(100)</f>
        <v>0.06</v>
      </c>
      <c r="C5858">
        <f>6.611/(100)</f>
        <v>6.6110000000000002E-2</v>
      </c>
    </row>
    <row r="5859" spans="1:3" x14ac:dyDescent="0.3">
      <c r="A5859" s="2">
        <v>43114</v>
      </c>
      <c r="B5859">
        <f>6/(100)</f>
        <v>0.06</v>
      </c>
      <c r="C5859">
        <f>6.611/(100)</f>
        <v>6.6110000000000002E-2</v>
      </c>
    </row>
    <row r="5860" spans="1:3" x14ac:dyDescent="0.3">
      <c r="A5860" s="2">
        <v>43115</v>
      </c>
      <c r="B5860">
        <f>6/(100)</f>
        <v>0.06</v>
      </c>
      <c r="C5860">
        <f>6.61/(100)</f>
        <v>6.6100000000000006E-2</v>
      </c>
    </row>
    <row r="5861" spans="1:3" x14ac:dyDescent="0.3">
      <c r="A5861" s="2">
        <v>43116</v>
      </c>
      <c r="B5861">
        <f>6/(100)</f>
        <v>0.06</v>
      </c>
      <c r="C5861">
        <f>6.624/(100)</f>
        <v>6.6239999999999993E-2</v>
      </c>
    </row>
    <row r="5862" spans="1:3" x14ac:dyDescent="0.3">
      <c r="A5862" s="2">
        <v>43117</v>
      </c>
      <c r="B5862">
        <f>6/(100)</f>
        <v>0.06</v>
      </c>
      <c r="C5862">
        <f>6.624/(100)</f>
        <v>6.6239999999999993E-2</v>
      </c>
    </row>
    <row r="5863" spans="1:3" x14ac:dyDescent="0.3">
      <c r="A5863" s="2">
        <v>43118</v>
      </c>
      <c r="B5863">
        <f>6/(100)</f>
        <v>0.06</v>
      </c>
      <c r="C5863">
        <f>6.59/(100)</f>
        <v>6.59E-2</v>
      </c>
    </row>
    <row r="5864" spans="1:3" x14ac:dyDescent="0.3">
      <c r="A5864" s="2">
        <v>43119</v>
      </c>
      <c r="B5864">
        <f>6/(100)</f>
        <v>0.06</v>
      </c>
      <c r="C5864">
        <f>6.593/(100)</f>
        <v>6.5930000000000002E-2</v>
      </c>
    </row>
    <row r="5865" spans="1:3" x14ac:dyDescent="0.3">
      <c r="A5865" s="2">
        <v>43120</v>
      </c>
      <c r="B5865">
        <f>6/(100)</f>
        <v>0.06</v>
      </c>
      <c r="C5865">
        <f>6.593/(100)</f>
        <v>6.5930000000000002E-2</v>
      </c>
    </row>
    <row r="5866" spans="1:3" x14ac:dyDescent="0.3">
      <c r="A5866" s="2">
        <v>43121</v>
      </c>
      <c r="B5866">
        <f>6/(100)</f>
        <v>0.06</v>
      </c>
      <c r="C5866">
        <f>6.593/(100)</f>
        <v>6.5930000000000002E-2</v>
      </c>
    </row>
    <row r="5867" spans="1:3" x14ac:dyDescent="0.3">
      <c r="A5867" s="2">
        <v>43122</v>
      </c>
      <c r="B5867">
        <f>6/(100)</f>
        <v>0.06</v>
      </c>
      <c r="C5867">
        <f>6.615/(100)</f>
        <v>6.615E-2</v>
      </c>
    </row>
    <row r="5868" spans="1:3" x14ac:dyDescent="0.3">
      <c r="A5868" s="2">
        <v>43123</v>
      </c>
      <c r="B5868">
        <f>6/(100)</f>
        <v>0.06</v>
      </c>
      <c r="C5868">
        <f>6.584/(100)</f>
        <v>6.5839999999999996E-2</v>
      </c>
    </row>
    <row r="5869" spans="1:3" x14ac:dyDescent="0.3">
      <c r="A5869" s="2">
        <v>43124</v>
      </c>
      <c r="B5869">
        <f>6/(100)</f>
        <v>0.06</v>
      </c>
      <c r="C5869">
        <f>6.609/(100)</f>
        <v>6.6089999999999996E-2</v>
      </c>
    </row>
    <row r="5870" spans="1:3" x14ac:dyDescent="0.3">
      <c r="A5870" s="2">
        <v>43125</v>
      </c>
      <c r="B5870">
        <f>6/(100)</f>
        <v>0.06</v>
      </c>
      <c r="C5870">
        <f>6.609/(100)</f>
        <v>6.6089999999999996E-2</v>
      </c>
    </row>
    <row r="5871" spans="1:3" x14ac:dyDescent="0.3">
      <c r="A5871" s="2">
        <v>43126</v>
      </c>
      <c r="B5871">
        <f>6/(100)</f>
        <v>0.06</v>
      </c>
      <c r="C5871">
        <f>6.609/(100)</f>
        <v>6.6089999999999996E-2</v>
      </c>
    </row>
    <row r="5872" spans="1:3" x14ac:dyDescent="0.3">
      <c r="A5872" s="2">
        <v>43127</v>
      </c>
      <c r="B5872">
        <f>6/(100)</f>
        <v>0.06</v>
      </c>
      <c r="C5872">
        <f>6.609/(100)</f>
        <v>6.6089999999999996E-2</v>
      </c>
    </row>
    <row r="5873" spans="1:3" x14ac:dyDescent="0.3">
      <c r="A5873" s="2">
        <v>43128</v>
      </c>
      <c r="B5873">
        <f>6/(100)</f>
        <v>0.06</v>
      </c>
      <c r="C5873">
        <f>6.609/(100)</f>
        <v>6.6089999999999996E-2</v>
      </c>
    </row>
    <row r="5874" spans="1:3" x14ac:dyDescent="0.3">
      <c r="A5874" s="2">
        <v>43129</v>
      </c>
      <c r="B5874">
        <f>6/(100)</f>
        <v>0.06</v>
      </c>
      <c r="C5874">
        <f>6.759/(100)</f>
        <v>6.7589999999999997E-2</v>
      </c>
    </row>
    <row r="5875" spans="1:3" x14ac:dyDescent="0.3">
      <c r="A5875" s="2">
        <v>43130</v>
      </c>
      <c r="B5875">
        <f>6/(100)</f>
        <v>0.06</v>
      </c>
      <c r="C5875">
        <f>6.684/(100)</f>
        <v>6.6839999999999997E-2</v>
      </c>
    </row>
    <row r="5876" spans="1:3" x14ac:dyDescent="0.3">
      <c r="A5876" s="2">
        <v>43131</v>
      </c>
      <c r="B5876">
        <f>6/(100)</f>
        <v>0.06</v>
      </c>
      <c r="C5876">
        <f>6.667/(100)</f>
        <v>6.6669999999999993E-2</v>
      </c>
    </row>
    <row r="5877" spans="1:3" x14ac:dyDescent="0.3">
      <c r="A5877" s="2">
        <v>43132</v>
      </c>
      <c r="B5877">
        <f>6/(100)</f>
        <v>0.06</v>
      </c>
      <c r="C5877">
        <f>6.603/(100)</f>
        <v>6.6029999999999991E-2</v>
      </c>
    </row>
    <row r="5878" spans="1:3" x14ac:dyDescent="0.3">
      <c r="A5878" s="2">
        <v>43133</v>
      </c>
      <c r="B5878">
        <f>6/(100)</f>
        <v>0.06</v>
      </c>
      <c r="C5878">
        <f>6.67/(100)</f>
        <v>6.6699999999999995E-2</v>
      </c>
    </row>
    <row r="5879" spans="1:3" x14ac:dyDescent="0.3">
      <c r="A5879" s="2">
        <v>43134</v>
      </c>
      <c r="B5879">
        <f>6/(100)</f>
        <v>0.06</v>
      </c>
      <c r="C5879">
        <f>6.67/(100)</f>
        <v>6.6699999999999995E-2</v>
      </c>
    </row>
    <row r="5880" spans="1:3" x14ac:dyDescent="0.3">
      <c r="A5880" s="2">
        <v>43135</v>
      </c>
      <c r="B5880">
        <f>6/(100)</f>
        <v>0.06</v>
      </c>
      <c r="C5880">
        <f>6.67/(100)</f>
        <v>6.6699999999999995E-2</v>
      </c>
    </row>
    <row r="5881" spans="1:3" x14ac:dyDescent="0.3">
      <c r="A5881" s="2">
        <v>43136</v>
      </c>
      <c r="B5881">
        <f>6/(100)</f>
        <v>0.06</v>
      </c>
      <c r="C5881">
        <f>6.739/(100)</f>
        <v>6.7390000000000005E-2</v>
      </c>
    </row>
    <row r="5882" spans="1:3" x14ac:dyDescent="0.3">
      <c r="A5882" s="2">
        <v>43137</v>
      </c>
      <c r="B5882">
        <f>6/(100)</f>
        <v>0.06</v>
      </c>
      <c r="C5882">
        <f>6.693/(100)</f>
        <v>6.692999999999999E-2</v>
      </c>
    </row>
    <row r="5883" spans="1:3" x14ac:dyDescent="0.3">
      <c r="A5883" s="2">
        <v>43138</v>
      </c>
      <c r="B5883">
        <f>6/(100)</f>
        <v>0.06</v>
      </c>
      <c r="C5883">
        <f>6.657/(100)</f>
        <v>6.6570000000000004E-2</v>
      </c>
    </row>
    <row r="5884" spans="1:3" x14ac:dyDescent="0.3">
      <c r="A5884" s="2">
        <v>43139</v>
      </c>
      <c r="B5884">
        <f>6/(100)</f>
        <v>0.06</v>
      </c>
      <c r="C5884">
        <f>6.615/(100)</f>
        <v>6.615E-2</v>
      </c>
    </row>
    <row r="5885" spans="1:3" x14ac:dyDescent="0.3">
      <c r="A5885" s="2">
        <v>43140</v>
      </c>
      <c r="B5885">
        <f>6/(100)</f>
        <v>0.06</v>
      </c>
      <c r="C5885">
        <f>6.641/(100)</f>
        <v>6.6409999999999997E-2</v>
      </c>
    </row>
    <row r="5886" spans="1:3" x14ac:dyDescent="0.3">
      <c r="A5886" s="2">
        <v>43141</v>
      </c>
      <c r="B5886">
        <f>6/(100)</f>
        <v>0.06</v>
      </c>
      <c r="C5886">
        <f>6.641/(100)</f>
        <v>6.6409999999999997E-2</v>
      </c>
    </row>
    <row r="5887" spans="1:3" x14ac:dyDescent="0.3">
      <c r="A5887" s="2">
        <v>43142</v>
      </c>
      <c r="B5887">
        <f>6/(100)</f>
        <v>0.06</v>
      </c>
      <c r="C5887">
        <f>6.641/(100)</f>
        <v>6.6409999999999997E-2</v>
      </c>
    </row>
    <row r="5888" spans="1:3" x14ac:dyDescent="0.3">
      <c r="A5888" s="2">
        <v>43143</v>
      </c>
      <c r="B5888">
        <f>6/(100)</f>
        <v>0.06</v>
      </c>
      <c r="C5888">
        <f>6.6/(100)</f>
        <v>6.6000000000000003E-2</v>
      </c>
    </row>
    <row r="5889" spans="1:3" x14ac:dyDescent="0.3">
      <c r="A5889" s="2">
        <v>43144</v>
      </c>
      <c r="B5889">
        <f>6/(100)</f>
        <v>0.06</v>
      </c>
      <c r="C5889">
        <f>6.6/(100)</f>
        <v>6.6000000000000003E-2</v>
      </c>
    </row>
    <row r="5890" spans="1:3" x14ac:dyDescent="0.3">
      <c r="A5890" s="2">
        <v>43145</v>
      </c>
      <c r="B5890">
        <f>6/(100)</f>
        <v>0.06</v>
      </c>
      <c r="C5890">
        <f>6.582/(100)</f>
        <v>6.5820000000000004E-2</v>
      </c>
    </row>
    <row r="5891" spans="1:3" x14ac:dyDescent="0.3">
      <c r="A5891" s="2">
        <v>43146</v>
      </c>
      <c r="B5891">
        <f>6/(100)</f>
        <v>0.06</v>
      </c>
      <c r="C5891">
        <f>6.597/(100)</f>
        <v>6.5970000000000001E-2</v>
      </c>
    </row>
    <row r="5892" spans="1:3" x14ac:dyDescent="0.3">
      <c r="A5892" s="2">
        <v>43147</v>
      </c>
      <c r="B5892">
        <f>6/(100)</f>
        <v>0.06</v>
      </c>
      <c r="C5892">
        <f>6.613/(100)</f>
        <v>6.6130000000000008E-2</v>
      </c>
    </row>
    <row r="5893" spans="1:3" x14ac:dyDescent="0.3">
      <c r="A5893" s="2">
        <v>43148</v>
      </c>
      <c r="B5893">
        <f>6/(100)</f>
        <v>0.06</v>
      </c>
      <c r="C5893">
        <f>6.613/(100)</f>
        <v>6.6130000000000008E-2</v>
      </c>
    </row>
    <row r="5894" spans="1:3" x14ac:dyDescent="0.3">
      <c r="A5894" s="2">
        <v>43149</v>
      </c>
      <c r="B5894">
        <f>6/(100)</f>
        <v>0.06</v>
      </c>
      <c r="C5894">
        <f>6.613/(100)</f>
        <v>6.6130000000000008E-2</v>
      </c>
    </row>
    <row r="5895" spans="1:3" x14ac:dyDescent="0.3">
      <c r="A5895" s="2">
        <v>43150</v>
      </c>
      <c r="B5895">
        <f>6/(100)</f>
        <v>0.06</v>
      </c>
      <c r="C5895">
        <f>6.613/(100)</f>
        <v>6.6130000000000008E-2</v>
      </c>
    </row>
    <row r="5896" spans="1:3" x14ac:dyDescent="0.3">
      <c r="A5896" s="2">
        <v>43151</v>
      </c>
      <c r="B5896">
        <f>6/(100)</f>
        <v>0.06</v>
      </c>
      <c r="C5896">
        <f>6.648/(100)</f>
        <v>6.6479999999999997E-2</v>
      </c>
    </row>
    <row r="5897" spans="1:3" x14ac:dyDescent="0.3">
      <c r="A5897" s="2">
        <v>43152</v>
      </c>
      <c r="B5897">
        <f>6/(100)</f>
        <v>0.06</v>
      </c>
      <c r="C5897">
        <f>6.655/(100)</f>
        <v>6.6549999999999998E-2</v>
      </c>
    </row>
    <row r="5898" spans="1:3" x14ac:dyDescent="0.3">
      <c r="A5898" s="2">
        <v>43153</v>
      </c>
      <c r="B5898">
        <f>6/(100)</f>
        <v>0.06</v>
      </c>
      <c r="C5898">
        <f>6.657/(100)</f>
        <v>6.6570000000000004E-2</v>
      </c>
    </row>
    <row r="5899" spans="1:3" x14ac:dyDescent="0.3">
      <c r="A5899" s="2">
        <v>43154</v>
      </c>
      <c r="B5899">
        <f>6/(100)</f>
        <v>0.06</v>
      </c>
      <c r="C5899">
        <f>6.661/(100)</f>
        <v>6.6610000000000003E-2</v>
      </c>
    </row>
    <row r="5900" spans="1:3" x14ac:dyDescent="0.3">
      <c r="A5900" s="2">
        <v>43155</v>
      </c>
      <c r="B5900">
        <f>6/(100)</f>
        <v>0.06</v>
      </c>
      <c r="C5900">
        <f>6.661/(100)</f>
        <v>6.6610000000000003E-2</v>
      </c>
    </row>
    <row r="5901" spans="1:3" x14ac:dyDescent="0.3">
      <c r="A5901" s="2">
        <v>43156</v>
      </c>
      <c r="B5901">
        <f>6/(100)</f>
        <v>0.06</v>
      </c>
      <c r="C5901">
        <f>6.661/(100)</f>
        <v>6.6610000000000003E-2</v>
      </c>
    </row>
    <row r="5902" spans="1:3" x14ac:dyDescent="0.3">
      <c r="A5902" s="2">
        <v>43157</v>
      </c>
      <c r="B5902">
        <f>6/(100)</f>
        <v>0.06</v>
      </c>
      <c r="C5902">
        <f>6.677/(100)</f>
        <v>6.6769999999999996E-2</v>
      </c>
    </row>
    <row r="5903" spans="1:3" x14ac:dyDescent="0.3">
      <c r="A5903" s="2">
        <v>43158</v>
      </c>
      <c r="B5903">
        <f>6/(100)</f>
        <v>0.06</v>
      </c>
      <c r="C5903">
        <f>6.659/(100)</f>
        <v>6.6589999999999996E-2</v>
      </c>
    </row>
    <row r="5904" spans="1:3" x14ac:dyDescent="0.3">
      <c r="A5904" s="2">
        <v>43159</v>
      </c>
      <c r="B5904">
        <f>6/(100)</f>
        <v>0.06</v>
      </c>
      <c r="C5904">
        <f>6.683/(100)</f>
        <v>6.6830000000000001E-2</v>
      </c>
    </row>
    <row r="5905" spans="1:3" x14ac:dyDescent="0.3">
      <c r="A5905" s="2">
        <v>43160</v>
      </c>
      <c r="B5905">
        <f>6/(100)</f>
        <v>0.06</v>
      </c>
      <c r="C5905">
        <f>6.713/(100)</f>
        <v>6.7129999999999995E-2</v>
      </c>
    </row>
    <row r="5906" spans="1:3" x14ac:dyDescent="0.3">
      <c r="A5906" s="2">
        <v>43161</v>
      </c>
      <c r="B5906">
        <f>6/(100)</f>
        <v>0.06</v>
      </c>
      <c r="C5906">
        <f>6.713/(100)</f>
        <v>6.7129999999999995E-2</v>
      </c>
    </row>
    <row r="5907" spans="1:3" x14ac:dyDescent="0.3">
      <c r="A5907" s="2">
        <v>43162</v>
      </c>
      <c r="B5907">
        <f>6/(100)</f>
        <v>0.06</v>
      </c>
      <c r="C5907">
        <f>6.713/(100)</f>
        <v>6.7129999999999995E-2</v>
      </c>
    </row>
    <row r="5908" spans="1:3" x14ac:dyDescent="0.3">
      <c r="A5908" s="2">
        <v>43163</v>
      </c>
      <c r="B5908">
        <f>6/(100)</f>
        <v>0.06</v>
      </c>
      <c r="C5908">
        <f>6.713/(100)</f>
        <v>6.7129999999999995E-2</v>
      </c>
    </row>
    <row r="5909" spans="1:3" x14ac:dyDescent="0.3">
      <c r="A5909" s="2">
        <v>43164</v>
      </c>
      <c r="B5909">
        <f>6/(100)</f>
        <v>0.06</v>
      </c>
      <c r="C5909">
        <f>6.687/(100)</f>
        <v>6.6869999999999999E-2</v>
      </c>
    </row>
    <row r="5910" spans="1:3" x14ac:dyDescent="0.3">
      <c r="A5910" s="2">
        <v>43165</v>
      </c>
      <c r="B5910">
        <f>6/(100)</f>
        <v>0.06</v>
      </c>
      <c r="C5910">
        <f>6.714/(100)</f>
        <v>6.7140000000000005E-2</v>
      </c>
    </row>
    <row r="5911" spans="1:3" x14ac:dyDescent="0.3">
      <c r="A5911" s="2">
        <v>43166</v>
      </c>
      <c r="B5911">
        <f>6/(100)</f>
        <v>0.06</v>
      </c>
      <c r="C5911">
        <f>6.695/(100)</f>
        <v>6.695000000000001E-2</v>
      </c>
    </row>
    <row r="5912" spans="1:3" x14ac:dyDescent="0.3">
      <c r="A5912" s="2">
        <v>43167</v>
      </c>
      <c r="B5912">
        <f>6/(100)</f>
        <v>0.06</v>
      </c>
      <c r="C5912">
        <f>6.685/(100)</f>
        <v>6.6849999999999993E-2</v>
      </c>
    </row>
    <row r="5913" spans="1:3" x14ac:dyDescent="0.3">
      <c r="A5913" s="2">
        <v>43168</v>
      </c>
      <c r="B5913">
        <f>6/(100)</f>
        <v>0.06</v>
      </c>
      <c r="C5913">
        <f>6.688/(100)</f>
        <v>6.6879999999999995E-2</v>
      </c>
    </row>
    <row r="5914" spans="1:3" x14ac:dyDescent="0.3">
      <c r="A5914" s="2">
        <v>43169</v>
      </c>
      <c r="B5914">
        <f>6/(100)</f>
        <v>0.06</v>
      </c>
      <c r="C5914">
        <f>6.688/(100)</f>
        <v>6.6879999999999995E-2</v>
      </c>
    </row>
    <row r="5915" spans="1:3" x14ac:dyDescent="0.3">
      <c r="A5915" s="2">
        <v>43170</v>
      </c>
      <c r="B5915">
        <f>6/(100)</f>
        <v>0.06</v>
      </c>
      <c r="C5915">
        <f>6.688/(100)</f>
        <v>6.6879999999999995E-2</v>
      </c>
    </row>
    <row r="5916" spans="1:3" x14ac:dyDescent="0.3">
      <c r="A5916" s="2">
        <v>43171</v>
      </c>
      <c r="B5916">
        <f>6/(100)</f>
        <v>0.06</v>
      </c>
      <c r="C5916">
        <f>6.63/(100)</f>
        <v>6.6299999999999998E-2</v>
      </c>
    </row>
    <row r="5917" spans="1:3" x14ac:dyDescent="0.3">
      <c r="A5917" s="2">
        <v>43172</v>
      </c>
      <c r="B5917">
        <f>6/(100)</f>
        <v>0.06</v>
      </c>
      <c r="C5917">
        <f>6.632/(100)</f>
        <v>6.631999999999999E-2</v>
      </c>
    </row>
    <row r="5918" spans="1:3" x14ac:dyDescent="0.3">
      <c r="A5918" s="2">
        <v>43173</v>
      </c>
      <c r="B5918">
        <f>6/(100)</f>
        <v>0.06</v>
      </c>
      <c r="C5918">
        <f>6.624/(100)</f>
        <v>6.6239999999999993E-2</v>
      </c>
    </row>
    <row r="5919" spans="1:3" x14ac:dyDescent="0.3">
      <c r="A5919" s="2">
        <v>43174</v>
      </c>
      <c r="B5919">
        <f>6/(100)</f>
        <v>0.06</v>
      </c>
      <c r="C5919">
        <f>6.516/(100)</f>
        <v>6.5159999999999996E-2</v>
      </c>
    </row>
    <row r="5920" spans="1:3" x14ac:dyDescent="0.3">
      <c r="A5920" s="2">
        <v>43175</v>
      </c>
      <c r="B5920">
        <f>6/(100)</f>
        <v>0.06</v>
      </c>
      <c r="C5920">
        <f>6.604/(100)</f>
        <v>6.6040000000000001E-2</v>
      </c>
    </row>
    <row r="5921" spans="1:3" x14ac:dyDescent="0.3">
      <c r="A5921" s="2">
        <v>43176</v>
      </c>
      <c r="B5921">
        <f>6/(100)</f>
        <v>0.06</v>
      </c>
      <c r="C5921">
        <f>6.604/(100)</f>
        <v>6.6040000000000001E-2</v>
      </c>
    </row>
    <row r="5922" spans="1:3" x14ac:dyDescent="0.3">
      <c r="A5922" s="2">
        <v>43177</v>
      </c>
      <c r="B5922">
        <f>6/(100)</f>
        <v>0.06</v>
      </c>
      <c r="C5922">
        <f>6.604/(100)</f>
        <v>6.6040000000000001E-2</v>
      </c>
    </row>
    <row r="5923" spans="1:3" x14ac:dyDescent="0.3">
      <c r="A5923" s="2">
        <v>43178</v>
      </c>
      <c r="B5923">
        <f>6/(100)</f>
        <v>0.06</v>
      </c>
      <c r="C5923">
        <f>6.524/(100)</f>
        <v>6.5240000000000006E-2</v>
      </c>
    </row>
    <row r="5924" spans="1:3" x14ac:dyDescent="0.3">
      <c r="A5924" s="2">
        <v>43179</v>
      </c>
      <c r="B5924">
        <f>6/(100)</f>
        <v>0.06</v>
      </c>
      <c r="C5924">
        <f>6.525/(100)</f>
        <v>6.5250000000000002E-2</v>
      </c>
    </row>
    <row r="5925" spans="1:3" x14ac:dyDescent="0.3">
      <c r="A5925" s="2">
        <v>43180</v>
      </c>
      <c r="B5925">
        <f>6/(100)</f>
        <v>0.06</v>
      </c>
      <c r="C5925">
        <f>6.576/(100)</f>
        <v>6.5759999999999999E-2</v>
      </c>
    </row>
    <row r="5926" spans="1:3" x14ac:dyDescent="0.3">
      <c r="A5926" s="2">
        <v>43181</v>
      </c>
      <c r="B5926">
        <f>6/(100)</f>
        <v>0.06</v>
      </c>
      <c r="C5926">
        <f>6.574/(100)</f>
        <v>6.5739999999999993E-2</v>
      </c>
    </row>
    <row r="5927" spans="1:3" x14ac:dyDescent="0.3">
      <c r="A5927" s="2">
        <v>43182</v>
      </c>
      <c r="B5927">
        <f>6/(100)</f>
        <v>0.06</v>
      </c>
      <c r="C5927">
        <f>6.541/(100)</f>
        <v>6.541000000000001E-2</v>
      </c>
    </row>
    <row r="5928" spans="1:3" x14ac:dyDescent="0.3">
      <c r="A5928" s="2">
        <v>43183</v>
      </c>
      <c r="B5928">
        <f>6/(100)</f>
        <v>0.06</v>
      </c>
      <c r="C5928">
        <f>6.541/(100)</f>
        <v>6.541000000000001E-2</v>
      </c>
    </row>
    <row r="5929" spans="1:3" x14ac:dyDescent="0.3">
      <c r="A5929" s="2">
        <v>43184</v>
      </c>
      <c r="B5929">
        <f>6/(100)</f>
        <v>0.06</v>
      </c>
      <c r="C5929">
        <f>6.541/(100)</f>
        <v>6.541000000000001E-2</v>
      </c>
    </row>
    <row r="5930" spans="1:3" x14ac:dyDescent="0.3">
      <c r="A5930" s="2">
        <v>43185</v>
      </c>
      <c r="B5930">
        <f>6/(100)</f>
        <v>0.06</v>
      </c>
      <c r="C5930">
        <f>6.546/(100)</f>
        <v>6.5460000000000004E-2</v>
      </c>
    </row>
    <row r="5931" spans="1:3" x14ac:dyDescent="0.3">
      <c r="A5931" s="2">
        <v>43186</v>
      </c>
      <c r="B5931">
        <f>6/(100)</f>
        <v>0.06</v>
      </c>
      <c r="C5931">
        <f>6.473/(100)</f>
        <v>6.4729999999999996E-2</v>
      </c>
    </row>
    <row r="5932" spans="1:3" x14ac:dyDescent="0.3">
      <c r="A5932" s="2">
        <v>43187</v>
      </c>
      <c r="B5932">
        <f>6/(100)</f>
        <v>0.06</v>
      </c>
      <c r="C5932">
        <f>6.448/(100)</f>
        <v>6.448000000000001E-2</v>
      </c>
    </row>
    <row r="5933" spans="1:3" x14ac:dyDescent="0.3">
      <c r="A5933" s="2">
        <v>43188</v>
      </c>
      <c r="B5933">
        <f>6/(100)</f>
        <v>0.06</v>
      </c>
      <c r="C5933">
        <f>6.448/(100)</f>
        <v>6.448000000000001E-2</v>
      </c>
    </row>
    <row r="5934" spans="1:3" x14ac:dyDescent="0.3">
      <c r="A5934" s="2">
        <v>43189</v>
      </c>
      <c r="B5934">
        <f>6/(100)</f>
        <v>0.06</v>
      </c>
      <c r="C5934">
        <f>6.448/(100)</f>
        <v>6.448000000000001E-2</v>
      </c>
    </row>
    <row r="5935" spans="1:3" x14ac:dyDescent="0.3">
      <c r="A5935" s="2">
        <v>43190</v>
      </c>
      <c r="B5935">
        <f>6/(100)</f>
        <v>0.06</v>
      </c>
      <c r="C5935">
        <f>6.448/(100)</f>
        <v>6.448000000000001E-2</v>
      </c>
    </row>
    <row r="5936" spans="1:3" x14ac:dyDescent="0.3">
      <c r="A5936" s="2">
        <v>43191</v>
      </c>
      <c r="B5936">
        <f>6/(100)</f>
        <v>0.06</v>
      </c>
      <c r="C5936">
        <f>6.448/(100)</f>
        <v>6.448000000000001E-2</v>
      </c>
    </row>
    <row r="5937" spans="1:3" x14ac:dyDescent="0.3">
      <c r="A5937" s="2">
        <v>43192</v>
      </c>
      <c r="B5937">
        <f>6/(100)</f>
        <v>0.06</v>
      </c>
      <c r="C5937">
        <f>6.448/(100)</f>
        <v>6.448000000000001E-2</v>
      </c>
    </row>
    <row r="5938" spans="1:3" x14ac:dyDescent="0.3">
      <c r="A5938" s="2">
        <v>43193</v>
      </c>
      <c r="B5938">
        <f>6/(100)</f>
        <v>0.06</v>
      </c>
      <c r="C5938">
        <f>6.44/(100)</f>
        <v>6.4399999999999999E-2</v>
      </c>
    </row>
    <row r="5939" spans="1:3" x14ac:dyDescent="0.3">
      <c r="A5939" s="2">
        <v>43194</v>
      </c>
      <c r="B5939">
        <f>6/(100)</f>
        <v>0.06</v>
      </c>
      <c r="C5939">
        <f>6.431/(100)</f>
        <v>6.4310000000000006E-2</v>
      </c>
    </row>
    <row r="5940" spans="1:3" x14ac:dyDescent="0.3">
      <c r="A5940" s="2">
        <v>43195</v>
      </c>
      <c r="B5940">
        <f>6/(100)</f>
        <v>0.06</v>
      </c>
      <c r="C5940">
        <f>6.391/(100)</f>
        <v>6.3909999999999995E-2</v>
      </c>
    </row>
    <row r="5941" spans="1:3" x14ac:dyDescent="0.3">
      <c r="A5941" s="2">
        <v>43196</v>
      </c>
      <c r="B5941">
        <f>6/(100)</f>
        <v>0.06</v>
      </c>
      <c r="C5941">
        <f>6.417/(100)</f>
        <v>6.4170000000000005E-2</v>
      </c>
    </row>
    <row r="5942" spans="1:3" x14ac:dyDescent="0.3">
      <c r="A5942" s="2">
        <v>43197</v>
      </c>
      <c r="B5942">
        <f>6/(100)</f>
        <v>0.06</v>
      </c>
      <c r="C5942">
        <f>6.417/(100)</f>
        <v>6.4170000000000005E-2</v>
      </c>
    </row>
    <row r="5943" spans="1:3" x14ac:dyDescent="0.3">
      <c r="A5943" s="2">
        <v>43198</v>
      </c>
      <c r="B5943">
        <f>6/(100)</f>
        <v>0.06</v>
      </c>
      <c r="C5943">
        <f>6.417/(100)</f>
        <v>6.4170000000000005E-2</v>
      </c>
    </row>
    <row r="5944" spans="1:3" x14ac:dyDescent="0.3">
      <c r="A5944" s="2">
        <v>43199</v>
      </c>
      <c r="B5944">
        <f>6/(100)</f>
        <v>0.06</v>
      </c>
      <c r="C5944">
        <f>6.421/(100)</f>
        <v>6.4210000000000003E-2</v>
      </c>
    </row>
    <row r="5945" spans="1:3" x14ac:dyDescent="0.3">
      <c r="A5945" s="2">
        <v>43200</v>
      </c>
      <c r="B5945">
        <f>6/(100)</f>
        <v>0.06</v>
      </c>
      <c r="C5945">
        <f>6.422/(100)</f>
        <v>6.4219999999999999E-2</v>
      </c>
    </row>
    <row r="5946" spans="1:3" x14ac:dyDescent="0.3">
      <c r="A5946" s="2">
        <v>43201</v>
      </c>
      <c r="B5946">
        <f>6/(100)</f>
        <v>0.06</v>
      </c>
      <c r="C5946">
        <f>6.501/(100)</f>
        <v>6.5009999999999998E-2</v>
      </c>
    </row>
    <row r="5947" spans="1:3" x14ac:dyDescent="0.3">
      <c r="A5947" s="2">
        <v>43202</v>
      </c>
      <c r="B5947">
        <f>6/(100)</f>
        <v>0.06</v>
      </c>
      <c r="C5947">
        <f>6.451/(100)</f>
        <v>6.4509999999999998E-2</v>
      </c>
    </row>
    <row r="5948" spans="1:3" x14ac:dyDescent="0.3">
      <c r="A5948" s="2">
        <v>43203</v>
      </c>
      <c r="B5948">
        <f>6/(100)</f>
        <v>0.06</v>
      </c>
      <c r="C5948">
        <f>6.5/(100)</f>
        <v>6.5000000000000002E-2</v>
      </c>
    </row>
    <row r="5949" spans="1:3" x14ac:dyDescent="0.3">
      <c r="A5949" s="2">
        <v>43204</v>
      </c>
      <c r="B5949">
        <f>6/(100)</f>
        <v>0.06</v>
      </c>
      <c r="C5949">
        <f>6.5/(100)</f>
        <v>6.5000000000000002E-2</v>
      </c>
    </row>
    <row r="5950" spans="1:3" x14ac:dyDescent="0.3">
      <c r="A5950" s="2">
        <v>43205</v>
      </c>
      <c r="B5950">
        <f>6/(100)</f>
        <v>0.06</v>
      </c>
      <c r="C5950">
        <f>6.5/(100)</f>
        <v>6.5000000000000002E-2</v>
      </c>
    </row>
    <row r="5951" spans="1:3" x14ac:dyDescent="0.3">
      <c r="A5951" s="2">
        <v>43206</v>
      </c>
      <c r="B5951">
        <f>6/(100)</f>
        <v>0.06</v>
      </c>
      <c r="C5951">
        <f>6.482/(100)</f>
        <v>6.4820000000000003E-2</v>
      </c>
    </row>
    <row r="5952" spans="1:3" x14ac:dyDescent="0.3">
      <c r="A5952" s="2">
        <v>43207</v>
      </c>
      <c r="B5952">
        <f>6/(100)</f>
        <v>0.06</v>
      </c>
      <c r="C5952">
        <f>6.523/(100)</f>
        <v>6.5229999999999996E-2</v>
      </c>
    </row>
    <row r="5953" spans="1:3" x14ac:dyDescent="0.3">
      <c r="A5953" s="2">
        <v>43208</v>
      </c>
      <c r="B5953">
        <f>6/(100)</f>
        <v>0.06</v>
      </c>
      <c r="C5953">
        <f>6.531/(100)</f>
        <v>6.5309999999999993E-2</v>
      </c>
    </row>
    <row r="5954" spans="1:3" x14ac:dyDescent="0.3">
      <c r="A5954" s="2">
        <v>43209</v>
      </c>
      <c r="B5954">
        <f>6/(100)</f>
        <v>0.06</v>
      </c>
      <c r="C5954">
        <f>6.6/(100)</f>
        <v>6.6000000000000003E-2</v>
      </c>
    </row>
    <row r="5955" spans="1:3" x14ac:dyDescent="0.3">
      <c r="A5955" s="2">
        <v>43210</v>
      </c>
      <c r="B5955">
        <f>6/(100)</f>
        <v>0.06</v>
      </c>
      <c r="C5955">
        <f>6.679/(100)</f>
        <v>6.6790000000000002E-2</v>
      </c>
    </row>
    <row r="5956" spans="1:3" x14ac:dyDescent="0.3">
      <c r="A5956" s="2">
        <v>43211</v>
      </c>
      <c r="B5956">
        <f>6/(100)</f>
        <v>0.06</v>
      </c>
      <c r="C5956">
        <f>6.679/(100)</f>
        <v>6.6790000000000002E-2</v>
      </c>
    </row>
    <row r="5957" spans="1:3" x14ac:dyDescent="0.3">
      <c r="A5957" s="2">
        <v>43212</v>
      </c>
      <c r="B5957">
        <f>6/(100)</f>
        <v>0.06</v>
      </c>
      <c r="C5957">
        <f>6.679/(100)</f>
        <v>6.6790000000000002E-2</v>
      </c>
    </row>
    <row r="5958" spans="1:3" x14ac:dyDescent="0.3">
      <c r="A5958" s="2">
        <v>43213</v>
      </c>
      <c r="B5958">
        <f>6/(100)</f>
        <v>0.06</v>
      </c>
      <c r="C5958">
        <f>6.722/(100)</f>
        <v>6.7220000000000002E-2</v>
      </c>
    </row>
    <row r="5959" spans="1:3" x14ac:dyDescent="0.3">
      <c r="A5959" s="2">
        <v>43214</v>
      </c>
      <c r="B5959">
        <f>6/(100)</f>
        <v>0.06</v>
      </c>
      <c r="C5959">
        <f>6.656/(100)</f>
        <v>6.6559999999999994E-2</v>
      </c>
    </row>
    <row r="5960" spans="1:3" x14ac:dyDescent="0.3">
      <c r="A5960" s="2">
        <v>43215</v>
      </c>
      <c r="B5960">
        <f>6/(100)</f>
        <v>0.06</v>
      </c>
      <c r="C5960">
        <f>6.713/(100)</f>
        <v>6.7129999999999995E-2</v>
      </c>
    </row>
    <row r="5961" spans="1:3" x14ac:dyDescent="0.3">
      <c r="A5961" s="2">
        <v>43216</v>
      </c>
      <c r="B5961">
        <f>6/(100)</f>
        <v>0.06</v>
      </c>
      <c r="C5961">
        <f>6.674/(100)</f>
        <v>6.6740000000000008E-2</v>
      </c>
    </row>
    <row r="5962" spans="1:3" x14ac:dyDescent="0.3">
      <c r="A5962" s="2">
        <v>43217</v>
      </c>
      <c r="B5962">
        <f>6/(100)</f>
        <v>0.06</v>
      </c>
      <c r="C5962">
        <f>6.7/(100)</f>
        <v>6.7000000000000004E-2</v>
      </c>
    </row>
    <row r="5963" spans="1:3" x14ac:dyDescent="0.3">
      <c r="A5963" s="2">
        <v>43218</v>
      </c>
      <c r="B5963">
        <f>6/(100)</f>
        <v>0.06</v>
      </c>
      <c r="C5963">
        <f>6.7/(100)</f>
        <v>6.7000000000000004E-2</v>
      </c>
    </row>
    <row r="5964" spans="1:3" x14ac:dyDescent="0.3">
      <c r="A5964" s="2">
        <v>43219</v>
      </c>
      <c r="B5964">
        <f>6/(100)</f>
        <v>0.06</v>
      </c>
      <c r="C5964">
        <f>6.7/(100)</f>
        <v>6.7000000000000004E-2</v>
      </c>
    </row>
    <row r="5965" spans="1:3" x14ac:dyDescent="0.3">
      <c r="A5965" s="2">
        <v>43220</v>
      </c>
      <c r="B5965">
        <f>6/(100)</f>
        <v>0.06</v>
      </c>
      <c r="C5965">
        <f>6.7/(100)</f>
        <v>6.7000000000000004E-2</v>
      </c>
    </row>
    <row r="5966" spans="1:3" x14ac:dyDescent="0.3">
      <c r="A5966" s="2">
        <v>43221</v>
      </c>
      <c r="B5966">
        <f>6/(100)</f>
        <v>0.06</v>
      </c>
      <c r="C5966">
        <f>6.7/(100)</f>
        <v>6.7000000000000004E-2</v>
      </c>
    </row>
    <row r="5967" spans="1:3" x14ac:dyDescent="0.3">
      <c r="A5967" s="2">
        <v>43222</v>
      </c>
      <c r="B5967">
        <f>6/(100)</f>
        <v>0.06</v>
      </c>
      <c r="C5967">
        <f>6.751/(100)</f>
        <v>6.7510000000000001E-2</v>
      </c>
    </row>
    <row r="5968" spans="1:3" x14ac:dyDescent="0.3">
      <c r="A5968" s="2">
        <v>43223</v>
      </c>
      <c r="B5968">
        <f>6/(100)</f>
        <v>0.06</v>
      </c>
      <c r="C5968">
        <f>6.774/(100)</f>
        <v>6.7739999999999995E-2</v>
      </c>
    </row>
    <row r="5969" spans="1:3" x14ac:dyDescent="0.3">
      <c r="A5969" s="2">
        <v>43224</v>
      </c>
      <c r="B5969">
        <f>6/(100)</f>
        <v>0.06</v>
      </c>
      <c r="C5969">
        <f>6.797/(100)</f>
        <v>6.7970000000000003E-2</v>
      </c>
    </row>
    <row r="5970" spans="1:3" x14ac:dyDescent="0.3">
      <c r="A5970" s="2">
        <v>43225</v>
      </c>
      <c r="B5970">
        <f>6/(100)</f>
        <v>0.06</v>
      </c>
      <c r="C5970">
        <f>6.797/(100)</f>
        <v>6.7970000000000003E-2</v>
      </c>
    </row>
    <row r="5971" spans="1:3" x14ac:dyDescent="0.3">
      <c r="A5971" s="2">
        <v>43226</v>
      </c>
      <c r="B5971">
        <f>6/(100)</f>
        <v>0.06</v>
      </c>
      <c r="C5971">
        <f>6.797/(100)</f>
        <v>6.7970000000000003E-2</v>
      </c>
    </row>
    <row r="5972" spans="1:3" x14ac:dyDescent="0.3">
      <c r="A5972" s="2">
        <v>43227</v>
      </c>
      <c r="B5972">
        <f>6/(100)</f>
        <v>0.06</v>
      </c>
      <c r="C5972">
        <f>6.743/(100)</f>
        <v>6.7430000000000004E-2</v>
      </c>
    </row>
    <row r="5973" spans="1:3" x14ac:dyDescent="0.3">
      <c r="A5973" s="2">
        <v>43228</v>
      </c>
      <c r="B5973">
        <f>6/(100)</f>
        <v>0.06</v>
      </c>
      <c r="C5973">
        <f>6.717/(100)</f>
        <v>6.7169999999999994E-2</v>
      </c>
    </row>
    <row r="5974" spans="1:3" x14ac:dyDescent="0.3">
      <c r="A5974" s="2">
        <v>43229</v>
      </c>
      <c r="B5974">
        <f>6/(100)</f>
        <v>0.06</v>
      </c>
      <c r="C5974">
        <f>6.762/(100)</f>
        <v>6.762E-2</v>
      </c>
    </row>
    <row r="5975" spans="1:3" x14ac:dyDescent="0.3">
      <c r="A5975" s="2">
        <v>43230</v>
      </c>
      <c r="B5975">
        <f>6/(100)</f>
        <v>0.06</v>
      </c>
      <c r="C5975">
        <f>6.815/(100)</f>
        <v>6.8150000000000002E-2</v>
      </c>
    </row>
    <row r="5976" spans="1:3" x14ac:dyDescent="0.3">
      <c r="A5976" s="2">
        <v>43231</v>
      </c>
      <c r="B5976">
        <f>6/(100)</f>
        <v>0.06</v>
      </c>
      <c r="C5976">
        <f>6.788/(100)</f>
        <v>6.7879999999999996E-2</v>
      </c>
    </row>
    <row r="5977" spans="1:3" x14ac:dyDescent="0.3">
      <c r="A5977" s="2">
        <v>43232</v>
      </c>
      <c r="B5977">
        <f>6/(100)</f>
        <v>0.06</v>
      </c>
      <c r="C5977">
        <f>6.788/(100)</f>
        <v>6.7879999999999996E-2</v>
      </c>
    </row>
    <row r="5978" spans="1:3" x14ac:dyDescent="0.3">
      <c r="A5978" s="2">
        <v>43233</v>
      </c>
      <c r="B5978">
        <f>6/(100)</f>
        <v>0.06</v>
      </c>
      <c r="C5978">
        <f>6.788/(100)</f>
        <v>6.7879999999999996E-2</v>
      </c>
    </row>
    <row r="5979" spans="1:3" x14ac:dyDescent="0.3">
      <c r="A5979" s="2">
        <v>43234</v>
      </c>
      <c r="B5979">
        <f>6/(100)</f>
        <v>0.06</v>
      </c>
      <c r="C5979">
        <f>6.834/(100)</f>
        <v>6.8339999999999998E-2</v>
      </c>
    </row>
    <row r="5980" spans="1:3" x14ac:dyDescent="0.3">
      <c r="A5980" s="2">
        <v>43235</v>
      </c>
      <c r="B5980">
        <f>6/(100)</f>
        <v>0.06</v>
      </c>
      <c r="C5980">
        <f>6.852/(100)</f>
        <v>6.8519999999999998E-2</v>
      </c>
    </row>
    <row r="5981" spans="1:3" x14ac:dyDescent="0.3">
      <c r="A5981" s="2">
        <v>43236</v>
      </c>
      <c r="B5981">
        <f>6/(100)</f>
        <v>0.06</v>
      </c>
      <c r="C5981">
        <f>6.914/(100)</f>
        <v>6.9139999999999993E-2</v>
      </c>
    </row>
    <row r="5982" spans="1:3" x14ac:dyDescent="0.3">
      <c r="A5982" s="2">
        <v>43237</v>
      </c>
      <c r="B5982">
        <f>6/(100)</f>
        <v>0.06</v>
      </c>
      <c r="C5982">
        <f>6.955/(100)</f>
        <v>6.9550000000000001E-2</v>
      </c>
    </row>
    <row r="5983" spans="1:3" x14ac:dyDescent="0.3">
      <c r="A5983" s="2">
        <v>43238</v>
      </c>
      <c r="B5983">
        <f>6/(100)</f>
        <v>0.06</v>
      </c>
      <c r="C5983">
        <f>6.793/(100)</f>
        <v>6.7930000000000004E-2</v>
      </c>
    </row>
    <row r="5984" spans="1:3" x14ac:dyDescent="0.3">
      <c r="A5984" s="2">
        <v>43239</v>
      </c>
      <c r="B5984">
        <f>6/(100)</f>
        <v>0.06</v>
      </c>
      <c r="C5984">
        <f>6.793/(100)</f>
        <v>6.7930000000000004E-2</v>
      </c>
    </row>
    <row r="5985" spans="1:3" x14ac:dyDescent="0.3">
      <c r="A5985" s="2">
        <v>43240</v>
      </c>
      <c r="B5985">
        <f>6/(100)</f>
        <v>0.06</v>
      </c>
      <c r="C5985">
        <f>6.793/(100)</f>
        <v>6.7930000000000004E-2</v>
      </c>
    </row>
    <row r="5986" spans="1:3" x14ac:dyDescent="0.3">
      <c r="A5986" s="2">
        <v>43241</v>
      </c>
      <c r="B5986">
        <f>6/(100)</f>
        <v>0.06</v>
      </c>
      <c r="C5986">
        <f>6.875/(100)</f>
        <v>6.8750000000000006E-2</v>
      </c>
    </row>
    <row r="5987" spans="1:3" x14ac:dyDescent="0.3">
      <c r="A5987" s="2">
        <v>43242</v>
      </c>
      <c r="B5987">
        <f>6/(100)</f>
        <v>0.06</v>
      </c>
      <c r="C5987">
        <f>6.901/(100)</f>
        <v>6.9010000000000002E-2</v>
      </c>
    </row>
    <row r="5988" spans="1:3" x14ac:dyDescent="0.3">
      <c r="A5988" s="2">
        <v>43243</v>
      </c>
      <c r="B5988">
        <f>6/(100)</f>
        <v>0.06</v>
      </c>
      <c r="C5988">
        <f>6.908/(100)</f>
        <v>6.9080000000000003E-2</v>
      </c>
    </row>
    <row r="5989" spans="1:3" x14ac:dyDescent="0.3">
      <c r="A5989" s="2">
        <v>43244</v>
      </c>
      <c r="B5989">
        <f>6/(100)</f>
        <v>0.06</v>
      </c>
      <c r="C5989">
        <f>6.912/(100)</f>
        <v>6.9120000000000001E-2</v>
      </c>
    </row>
    <row r="5990" spans="1:3" x14ac:dyDescent="0.3">
      <c r="A5990" s="2">
        <v>43245</v>
      </c>
      <c r="B5990">
        <f>6/(100)</f>
        <v>0.06</v>
      </c>
      <c r="C5990">
        <f>6.88/(100)</f>
        <v>6.88E-2</v>
      </c>
    </row>
    <row r="5991" spans="1:3" x14ac:dyDescent="0.3">
      <c r="A5991" s="2">
        <v>43246</v>
      </c>
      <c r="B5991">
        <f>6/(100)</f>
        <v>0.06</v>
      </c>
      <c r="C5991">
        <f>6.88/(100)</f>
        <v>6.88E-2</v>
      </c>
    </row>
    <row r="5992" spans="1:3" x14ac:dyDescent="0.3">
      <c r="A5992" s="2">
        <v>43247</v>
      </c>
      <c r="B5992">
        <f>6/(100)</f>
        <v>0.06</v>
      </c>
      <c r="C5992">
        <f>6.88/(100)</f>
        <v>6.88E-2</v>
      </c>
    </row>
    <row r="5993" spans="1:3" x14ac:dyDescent="0.3">
      <c r="A5993" s="2">
        <v>43248</v>
      </c>
      <c r="B5993">
        <f>6/(100)</f>
        <v>0.06</v>
      </c>
      <c r="C5993">
        <f>6.915/(100)</f>
        <v>6.9150000000000003E-2</v>
      </c>
    </row>
    <row r="5994" spans="1:3" x14ac:dyDescent="0.3">
      <c r="A5994" s="2">
        <v>43249</v>
      </c>
      <c r="B5994">
        <f>6/(100)</f>
        <v>0.06</v>
      </c>
      <c r="C5994">
        <f>6.883/(100)</f>
        <v>6.8830000000000002E-2</v>
      </c>
    </row>
    <row r="5995" spans="1:3" x14ac:dyDescent="0.3">
      <c r="A5995" s="2">
        <v>43250</v>
      </c>
      <c r="B5995">
        <f>6/(100)</f>
        <v>0.06</v>
      </c>
      <c r="C5995">
        <f>6.883/(100)</f>
        <v>6.8830000000000002E-2</v>
      </c>
    </row>
    <row r="5996" spans="1:3" x14ac:dyDescent="0.3">
      <c r="A5996" s="2">
        <v>43251</v>
      </c>
      <c r="B5996">
        <f>6/(100)</f>
        <v>0.06</v>
      </c>
      <c r="C5996">
        <f>6.91/(100)</f>
        <v>6.9099999999999995E-2</v>
      </c>
    </row>
    <row r="5997" spans="1:3" x14ac:dyDescent="0.3">
      <c r="A5997" s="2">
        <v>43252</v>
      </c>
      <c r="B5997">
        <f>6/(100)</f>
        <v>0.06</v>
      </c>
      <c r="C5997">
        <f>6.913/(100)</f>
        <v>6.9129999999999997E-2</v>
      </c>
    </row>
    <row r="5998" spans="1:3" x14ac:dyDescent="0.3">
      <c r="A5998" s="2">
        <v>43253</v>
      </c>
      <c r="B5998">
        <f>6/(100)</f>
        <v>0.06</v>
      </c>
      <c r="C5998">
        <f>6.913/(100)</f>
        <v>6.9129999999999997E-2</v>
      </c>
    </row>
    <row r="5999" spans="1:3" x14ac:dyDescent="0.3">
      <c r="A5999" s="2">
        <v>43254</v>
      </c>
      <c r="B5999">
        <f>6/(100)</f>
        <v>0.06</v>
      </c>
      <c r="C5999">
        <f>6.913/(100)</f>
        <v>6.9129999999999997E-2</v>
      </c>
    </row>
    <row r="6000" spans="1:3" x14ac:dyDescent="0.3">
      <c r="A6000" s="2">
        <v>43255</v>
      </c>
      <c r="B6000">
        <f>6/(100)</f>
        <v>0.06</v>
      </c>
      <c r="C6000">
        <f>6.901/(100)</f>
        <v>6.9010000000000002E-2</v>
      </c>
    </row>
    <row r="6001" spans="1:3" x14ac:dyDescent="0.3">
      <c r="A6001" s="2">
        <v>43256</v>
      </c>
      <c r="B6001">
        <f>6/(100)</f>
        <v>0.06</v>
      </c>
      <c r="C6001">
        <f>6.881/(100)</f>
        <v>6.8809999999999996E-2</v>
      </c>
    </row>
    <row r="6002" spans="1:3" x14ac:dyDescent="0.3">
      <c r="A6002" s="2">
        <v>43257</v>
      </c>
      <c r="B6002">
        <f>6.25/(100)</f>
        <v>6.25E-2</v>
      </c>
      <c r="C6002">
        <f>6.853/(100)</f>
        <v>6.8529999999999994E-2</v>
      </c>
    </row>
    <row r="6003" spans="1:3" x14ac:dyDescent="0.3">
      <c r="A6003" s="2">
        <v>43258</v>
      </c>
      <c r="B6003">
        <f>6.25/(100)</f>
        <v>6.25E-2</v>
      </c>
      <c r="C6003">
        <f>6.921/(100)</f>
        <v>6.9210000000000008E-2</v>
      </c>
    </row>
    <row r="6004" spans="1:3" x14ac:dyDescent="0.3">
      <c r="A6004" s="2">
        <v>43259</v>
      </c>
      <c r="B6004">
        <f>6.25/(100)</f>
        <v>6.25E-2</v>
      </c>
      <c r="C6004">
        <f>6.867/(100)</f>
        <v>6.8669999999999995E-2</v>
      </c>
    </row>
    <row r="6005" spans="1:3" x14ac:dyDescent="0.3">
      <c r="A6005" s="2">
        <v>43260</v>
      </c>
      <c r="B6005">
        <f>6.25/(100)</f>
        <v>6.25E-2</v>
      </c>
      <c r="C6005">
        <f>6.867/(100)</f>
        <v>6.8669999999999995E-2</v>
      </c>
    </row>
    <row r="6006" spans="1:3" x14ac:dyDescent="0.3">
      <c r="A6006" s="2">
        <v>43261</v>
      </c>
      <c r="B6006">
        <f>6.25/(100)</f>
        <v>6.25E-2</v>
      </c>
      <c r="C6006">
        <f>6.867/(100)</f>
        <v>6.8669999999999995E-2</v>
      </c>
    </row>
    <row r="6007" spans="1:3" x14ac:dyDescent="0.3">
      <c r="A6007" s="2">
        <v>43262</v>
      </c>
      <c r="B6007">
        <f>6.25/(100)</f>
        <v>6.25E-2</v>
      </c>
      <c r="C6007">
        <f>6.875/(100)</f>
        <v>6.8750000000000006E-2</v>
      </c>
    </row>
    <row r="6008" spans="1:3" x14ac:dyDescent="0.3">
      <c r="A6008" s="2">
        <v>43263</v>
      </c>
      <c r="B6008">
        <f>6.25/(100)</f>
        <v>6.25E-2</v>
      </c>
      <c r="C6008">
        <f>6.871/(100)</f>
        <v>6.8710000000000007E-2</v>
      </c>
    </row>
    <row r="6009" spans="1:3" x14ac:dyDescent="0.3">
      <c r="A6009" s="2">
        <v>43264</v>
      </c>
      <c r="B6009">
        <f>6.25/(100)</f>
        <v>6.25E-2</v>
      </c>
      <c r="C6009">
        <f>6.903/(100)</f>
        <v>6.9029999999999994E-2</v>
      </c>
    </row>
    <row r="6010" spans="1:3" x14ac:dyDescent="0.3">
      <c r="A6010" s="2">
        <v>43265</v>
      </c>
      <c r="B6010">
        <f>6.25/(100)</f>
        <v>6.25E-2</v>
      </c>
      <c r="C6010">
        <f>6.907/(100)</f>
        <v>6.9070000000000006E-2</v>
      </c>
    </row>
    <row r="6011" spans="1:3" x14ac:dyDescent="0.3">
      <c r="A6011" s="2">
        <v>43266</v>
      </c>
      <c r="B6011">
        <f>6.25/(100)</f>
        <v>6.25E-2</v>
      </c>
      <c r="C6011">
        <f>6.886/(100)</f>
        <v>6.8860000000000005E-2</v>
      </c>
    </row>
    <row r="6012" spans="1:3" x14ac:dyDescent="0.3">
      <c r="A6012" s="2">
        <v>43267</v>
      </c>
      <c r="B6012">
        <f>6.25/(100)</f>
        <v>6.25E-2</v>
      </c>
      <c r="C6012">
        <f>6.886/(100)</f>
        <v>6.8860000000000005E-2</v>
      </c>
    </row>
    <row r="6013" spans="1:3" x14ac:dyDescent="0.3">
      <c r="A6013" s="2">
        <v>43268</v>
      </c>
      <c r="B6013">
        <f>6.25/(100)</f>
        <v>6.25E-2</v>
      </c>
      <c r="C6013">
        <f>6.886/(100)</f>
        <v>6.8860000000000005E-2</v>
      </c>
    </row>
    <row r="6014" spans="1:3" x14ac:dyDescent="0.3">
      <c r="A6014" s="2">
        <v>43269</v>
      </c>
      <c r="B6014">
        <f>6.25/(100)</f>
        <v>6.25E-2</v>
      </c>
      <c r="C6014">
        <f>6.885/(100)</f>
        <v>6.8849999999999995E-2</v>
      </c>
    </row>
    <row r="6015" spans="1:3" x14ac:dyDescent="0.3">
      <c r="A6015" s="2">
        <v>43270</v>
      </c>
      <c r="B6015">
        <f>6.25/(100)</f>
        <v>6.25E-2</v>
      </c>
      <c r="C6015">
        <f>6.877/(100)</f>
        <v>6.8769999999999998E-2</v>
      </c>
    </row>
    <row r="6016" spans="1:3" x14ac:dyDescent="0.3">
      <c r="A6016" s="2">
        <v>43271</v>
      </c>
      <c r="B6016">
        <f>6.25/(100)</f>
        <v>6.25E-2</v>
      </c>
      <c r="C6016">
        <f>6.863/(100)</f>
        <v>6.863000000000001E-2</v>
      </c>
    </row>
    <row r="6017" spans="1:3" x14ac:dyDescent="0.3">
      <c r="A6017" s="2">
        <v>43272</v>
      </c>
      <c r="B6017">
        <f>6.25/(100)</f>
        <v>6.25E-2</v>
      </c>
      <c r="C6017">
        <f>6.816/(100)</f>
        <v>6.8159999999999998E-2</v>
      </c>
    </row>
    <row r="6018" spans="1:3" x14ac:dyDescent="0.3">
      <c r="A6018" s="2">
        <v>43273</v>
      </c>
      <c r="B6018">
        <f>6.25/(100)</f>
        <v>6.25E-2</v>
      </c>
      <c r="C6018">
        <f>6.832/(100)</f>
        <v>6.8319999999999992E-2</v>
      </c>
    </row>
    <row r="6019" spans="1:3" x14ac:dyDescent="0.3">
      <c r="A6019" s="2">
        <v>43274</v>
      </c>
      <c r="B6019">
        <f>6.25/(100)</f>
        <v>6.25E-2</v>
      </c>
      <c r="C6019">
        <f>6.832/(100)</f>
        <v>6.8319999999999992E-2</v>
      </c>
    </row>
    <row r="6020" spans="1:3" x14ac:dyDescent="0.3">
      <c r="A6020" s="2">
        <v>43275</v>
      </c>
      <c r="B6020">
        <f>6.25/(100)</f>
        <v>6.25E-2</v>
      </c>
      <c r="C6020">
        <f>6.832/(100)</f>
        <v>6.8319999999999992E-2</v>
      </c>
    </row>
    <row r="6021" spans="1:3" x14ac:dyDescent="0.3">
      <c r="A6021" s="2">
        <v>43276</v>
      </c>
      <c r="B6021">
        <f>6.25/(100)</f>
        <v>6.25E-2</v>
      </c>
      <c r="C6021">
        <f>6.896/(100)</f>
        <v>6.8959999999999994E-2</v>
      </c>
    </row>
    <row r="6022" spans="1:3" x14ac:dyDescent="0.3">
      <c r="A6022" s="2">
        <v>43277</v>
      </c>
      <c r="B6022">
        <f>6.25/(100)</f>
        <v>6.25E-2</v>
      </c>
      <c r="C6022">
        <f>6.844/(100)</f>
        <v>6.8440000000000001E-2</v>
      </c>
    </row>
    <row r="6023" spans="1:3" x14ac:dyDescent="0.3">
      <c r="A6023" s="2">
        <v>43278</v>
      </c>
      <c r="B6023">
        <f>6.25/(100)</f>
        <v>6.25E-2</v>
      </c>
      <c r="C6023">
        <f>6.879/(100)</f>
        <v>6.878999999999999E-2</v>
      </c>
    </row>
    <row r="6024" spans="1:3" x14ac:dyDescent="0.3">
      <c r="A6024" s="2">
        <v>43279</v>
      </c>
      <c r="B6024">
        <f>6.25/(100)</f>
        <v>6.25E-2</v>
      </c>
      <c r="C6024">
        <f>6.896/(100)</f>
        <v>6.8959999999999994E-2</v>
      </c>
    </row>
    <row r="6025" spans="1:3" x14ac:dyDescent="0.3">
      <c r="A6025" s="2">
        <v>43280</v>
      </c>
      <c r="B6025">
        <f>6.25/(100)</f>
        <v>6.25E-2</v>
      </c>
      <c r="C6025">
        <f>6.944/(100)</f>
        <v>6.9440000000000002E-2</v>
      </c>
    </row>
    <row r="6026" spans="1:3" x14ac:dyDescent="0.3">
      <c r="A6026" s="2">
        <v>43281</v>
      </c>
      <c r="B6026">
        <f>6.25/(100)</f>
        <v>6.25E-2</v>
      </c>
      <c r="C6026">
        <f>6.944/(100)</f>
        <v>6.9440000000000002E-2</v>
      </c>
    </row>
    <row r="6027" spans="1:3" x14ac:dyDescent="0.3">
      <c r="A6027" s="2">
        <v>43282</v>
      </c>
      <c r="B6027">
        <f>6.25/(100)</f>
        <v>6.25E-2</v>
      </c>
      <c r="C6027">
        <f>6.944/(100)</f>
        <v>6.9440000000000002E-2</v>
      </c>
    </row>
    <row r="6028" spans="1:3" x14ac:dyDescent="0.3">
      <c r="A6028" s="2">
        <v>43283</v>
      </c>
      <c r="B6028">
        <f>6.25/(100)</f>
        <v>6.25E-2</v>
      </c>
      <c r="C6028">
        <f>6.936/(100)</f>
        <v>6.9360000000000005E-2</v>
      </c>
    </row>
    <row r="6029" spans="1:3" x14ac:dyDescent="0.3">
      <c r="A6029" s="2">
        <v>43284</v>
      </c>
      <c r="B6029">
        <f>6.25/(100)</f>
        <v>6.25E-2</v>
      </c>
      <c r="C6029">
        <f>6.913/(100)</f>
        <v>6.9129999999999997E-2</v>
      </c>
    </row>
    <row r="6030" spans="1:3" x14ac:dyDescent="0.3">
      <c r="A6030" s="2">
        <v>43285</v>
      </c>
      <c r="B6030">
        <f>6.25/(100)</f>
        <v>6.25E-2</v>
      </c>
      <c r="C6030">
        <f>6.913/(100)</f>
        <v>6.9129999999999997E-2</v>
      </c>
    </row>
    <row r="6031" spans="1:3" x14ac:dyDescent="0.3">
      <c r="A6031" s="2">
        <v>43286</v>
      </c>
      <c r="B6031">
        <f>6.25/(100)</f>
        <v>6.25E-2</v>
      </c>
      <c r="C6031">
        <f>6.945/(100)</f>
        <v>6.9449999999999998E-2</v>
      </c>
    </row>
    <row r="6032" spans="1:3" x14ac:dyDescent="0.3">
      <c r="A6032" s="2">
        <v>43287</v>
      </c>
      <c r="B6032">
        <f>6.25/(100)</f>
        <v>6.25E-2</v>
      </c>
      <c r="C6032">
        <f>6.931/(100)</f>
        <v>6.9309999999999997E-2</v>
      </c>
    </row>
    <row r="6033" spans="1:3" x14ac:dyDescent="0.3">
      <c r="A6033" s="2">
        <v>43288</v>
      </c>
      <c r="B6033">
        <f>6.25/(100)</f>
        <v>6.25E-2</v>
      </c>
      <c r="C6033">
        <f>6.931/(100)</f>
        <v>6.9309999999999997E-2</v>
      </c>
    </row>
    <row r="6034" spans="1:3" x14ac:dyDescent="0.3">
      <c r="A6034" s="2">
        <v>43289</v>
      </c>
      <c r="B6034">
        <f>6.25/(100)</f>
        <v>6.25E-2</v>
      </c>
      <c r="C6034">
        <f>6.931/(100)</f>
        <v>6.9309999999999997E-2</v>
      </c>
    </row>
    <row r="6035" spans="1:3" x14ac:dyDescent="0.3">
      <c r="A6035" s="2">
        <v>43290</v>
      </c>
      <c r="B6035">
        <f>6.25/(100)</f>
        <v>6.25E-2</v>
      </c>
      <c r="C6035">
        <f>6.922/(100)</f>
        <v>6.9220000000000004E-2</v>
      </c>
    </row>
    <row r="6036" spans="1:3" x14ac:dyDescent="0.3">
      <c r="A6036" s="2">
        <v>43291</v>
      </c>
      <c r="B6036">
        <f>6.25/(100)</f>
        <v>6.25E-2</v>
      </c>
      <c r="C6036">
        <f>6.908/(100)</f>
        <v>6.9080000000000003E-2</v>
      </c>
    </row>
    <row r="6037" spans="1:3" x14ac:dyDescent="0.3">
      <c r="A6037" s="2">
        <v>43292</v>
      </c>
      <c r="B6037">
        <f>6.25/(100)</f>
        <v>6.25E-2</v>
      </c>
      <c r="C6037">
        <f>6.908/(100)</f>
        <v>6.9080000000000003E-2</v>
      </c>
    </row>
    <row r="6038" spans="1:3" x14ac:dyDescent="0.3">
      <c r="A6038" s="2">
        <v>43293</v>
      </c>
      <c r="B6038">
        <f>6.25/(100)</f>
        <v>6.25E-2</v>
      </c>
      <c r="C6038">
        <f>6.941/(100)</f>
        <v>6.9409999999999999E-2</v>
      </c>
    </row>
    <row r="6039" spans="1:3" x14ac:dyDescent="0.3">
      <c r="A6039" s="2">
        <v>43294</v>
      </c>
      <c r="B6039">
        <f>6.25/(100)</f>
        <v>6.25E-2</v>
      </c>
      <c r="C6039">
        <f>6.917/(100)</f>
        <v>6.9169999999999995E-2</v>
      </c>
    </row>
    <row r="6040" spans="1:3" x14ac:dyDescent="0.3">
      <c r="A6040" s="2">
        <v>43295</v>
      </c>
      <c r="B6040">
        <f>6.25/(100)</f>
        <v>6.25E-2</v>
      </c>
      <c r="C6040">
        <f>6.917/(100)</f>
        <v>6.9169999999999995E-2</v>
      </c>
    </row>
    <row r="6041" spans="1:3" x14ac:dyDescent="0.3">
      <c r="A6041" s="2">
        <v>43296</v>
      </c>
      <c r="B6041">
        <f>6.25/(100)</f>
        <v>6.25E-2</v>
      </c>
      <c r="C6041">
        <f>6.917/(100)</f>
        <v>6.9169999999999995E-2</v>
      </c>
    </row>
    <row r="6042" spans="1:3" x14ac:dyDescent="0.3">
      <c r="A6042" s="2">
        <v>43297</v>
      </c>
      <c r="B6042">
        <f>6.25/(100)</f>
        <v>6.25E-2</v>
      </c>
      <c r="C6042">
        <f>6.942/(100)</f>
        <v>6.9419999999999996E-2</v>
      </c>
    </row>
    <row r="6043" spans="1:3" x14ac:dyDescent="0.3">
      <c r="A6043" s="2">
        <v>43298</v>
      </c>
      <c r="B6043">
        <f>6.25/(100)</f>
        <v>6.25E-2</v>
      </c>
      <c r="C6043">
        <f>6.937/(100)</f>
        <v>6.9370000000000001E-2</v>
      </c>
    </row>
    <row r="6044" spans="1:3" x14ac:dyDescent="0.3">
      <c r="A6044" s="2">
        <v>43299</v>
      </c>
      <c r="B6044">
        <f>6.25/(100)</f>
        <v>6.25E-2</v>
      </c>
      <c r="C6044">
        <f>6.932/(100)</f>
        <v>6.9320000000000007E-2</v>
      </c>
    </row>
    <row r="6045" spans="1:3" x14ac:dyDescent="0.3">
      <c r="A6045" s="2">
        <v>43300</v>
      </c>
      <c r="B6045">
        <f>6.25/(100)</f>
        <v>6.25E-2</v>
      </c>
      <c r="C6045">
        <f>6.952/(100)</f>
        <v>6.9519999999999998E-2</v>
      </c>
    </row>
    <row r="6046" spans="1:3" x14ac:dyDescent="0.3">
      <c r="A6046" s="2">
        <v>43301</v>
      </c>
      <c r="B6046">
        <f>6.25/(100)</f>
        <v>6.25E-2</v>
      </c>
      <c r="C6046">
        <f>6.943/(100)</f>
        <v>6.9429999999999992E-2</v>
      </c>
    </row>
    <row r="6047" spans="1:3" x14ac:dyDescent="0.3">
      <c r="A6047" s="2">
        <v>43302</v>
      </c>
      <c r="B6047">
        <f>6.25/(100)</f>
        <v>6.25E-2</v>
      </c>
      <c r="C6047">
        <f>6.943/(100)</f>
        <v>6.9429999999999992E-2</v>
      </c>
    </row>
    <row r="6048" spans="1:3" x14ac:dyDescent="0.3">
      <c r="A6048" s="2">
        <v>43303</v>
      </c>
      <c r="B6048">
        <f>6.25/(100)</f>
        <v>6.25E-2</v>
      </c>
      <c r="C6048">
        <f>6.943/(100)</f>
        <v>6.9429999999999992E-2</v>
      </c>
    </row>
    <row r="6049" spans="1:3" x14ac:dyDescent="0.3">
      <c r="A6049" s="2">
        <v>43304</v>
      </c>
      <c r="B6049">
        <f>6.25/(100)</f>
        <v>6.25E-2</v>
      </c>
      <c r="C6049">
        <f>6.918/(100)</f>
        <v>6.9180000000000005E-2</v>
      </c>
    </row>
    <row r="6050" spans="1:3" x14ac:dyDescent="0.3">
      <c r="A6050" s="2">
        <v>43305</v>
      </c>
      <c r="B6050">
        <f>6.25/(100)</f>
        <v>6.25E-2</v>
      </c>
      <c r="C6050">
        <f>6.918/(100)</f>
        <v>6.9180000000000005E-2</v>
      </c>
    </row>
    <row r="6051" spans="1:3" x14ac:dyDescent="0.3">
      <c r="A6051" s="2">
        <v>43306</v>
      </c>
      <c r="B6051">
        <f>6.25/(100)</f>
        <v>6.25E-2</v>
      </c>
      <c r="C6051">
        <f>6.918/(100)</f>
        <v>6.9180000000000005E-2</v>
      </c>
    </row>
    <row r="6052" spans="1:3" x14ac:dyDescent="0.3">
      <c r="A6052" s="2">
        <v>43307</v>
      </c>
      <c r="B6052">
        <f>6.25/(100)</f>
        <v>6.25E-2</v>
      </c>
      <c r="C6052">
        <f>6.923/(100)</f>
        <v>6.923E-2</v>
      </c>
    </row>
    <row r="6053" spans="1:3" x14ac:dyDescent="0.3">
      <c r="A6053" s="2">
        <v>43308</v>
      </c>
      <c r="B6053">
        <f>6.25/(100)</f>
        <v>6.25E-2</v>
      </c>
      <c r="C6053">
        <f>6.95/(100)</f>
        <v>6.9500000000000006E-2</v>
      </c>
    </row>
    <row r="6054" spans="1:3" x14ac:dyDescent="0.3">
      <c r="A6054" s="2">
        <v>43309</v>
      </c>
      <c r="B6054">
        <f>6.25/(100)</f>
        <v>6.25E-2</v>
      </c>
      <c r="C6054">
        <f>6.95/(100)</f>
        <v>6.9500000000000006E-2</v>
      </c>
    </row>
    <row r="6055" spans="1:3" x14ac:dyDescent="0.3">
      <c r="A6055" s="2">
        <v>43310</v>
      </c>
      <c r="B6055">
        <f>6.25/(100)</f>
        <v>6.25E-2</v>
      </c>
      <c r="C6055">
        <f>6.95/(100)</f>
        <v>6.9500000000000006E-2</v>
      </c>
    </row>
    <row r="6056" spans="1:3" x14ac:dyDescent="0.3">
      <c r="A6056" s="2">
        <v>43311</v>
      </c>
      <c r="B6056">
        <f>6.25/(100)</f>
        <v>6.25E-2</v>
      </c>
      <c r="C6056">
        <f>6.97/(100)</f>
        <v>6.9699999999999998E-2</v>
      </c>
    </row>
    <row r="6057" spans="1:3" x14ac:dyDescent="0.3">
      <c r="A6057" s="2">
        <v>43312</v>
      </c>
      <c r="B6057">
        <f>6.25/(100)</f>
        <v>6.25E-2</v>
      </c>
      <c r="C6057">
        <f>6.934/(100)</f>
        <v>6.9339999999999999E-2</v>
      </c>
    </row>
    <row r="6058" spans="1:3" x14ac:dyDescent="0.3">
      <c r="A6058" s="2">
        <v>43313</v>
      </c>
      <c r="B6058">
        <f>6.5/(100)</f>
        <v>6.5000000000000002E-2</v>
      </c>
      <c r="C6058">
        <f>6.94/(100)</f>
        <v>6.9400000000000003E-2</v>
      </c>
    </row>
    <row r="6059" spans="1:3" x14ac:dyDescent="0.3">
      <c r="A6059" s="2">
        <v>43314</v>
      </c>
      <c r="B6059">
        <f>6.5/(100)</f>
        <v>6.5000000000000002E-2</v>
      </c>
      <c r="C6059">
        <f>6.896/(100)</f>
        <v>6.8959999999999994E-2</v>
      </c>
    </row>
    <row r="6060" spans="1:3" x14ac:dyDescent="0.3">
      <c r="A6060" s="2">
        <v>43315</v>
      </c>
      <c r="B6060">
        <f>6.5/(100)</f>
        <v>6.5000000000000002E-2</v>
      </c>
      <c r="C6060">
        <f>6.979/(100)</f>
        <v>6.9790000000000005E-2</v>
      </c>
    </row>
    <row r="6061" spans="1:3" x14ac:dyDescent="0.3">
      <c r="A6061" s="2">
        <v>43316</v>
      </c>
      <c r="B6061">
        <f>6.5/(100)</f>
        <v>6.5000000000000002E-2</v>
      </c>
      <c r="C6061">
        <f>6.979/(100)</f>
        <v>6.9790000000000005E-2</v>
      </c>
    </row>
    <row r="6062" spans="1:3" x14ac:dyDescent="0.3">
      <c r="A6062" s="2">
        <v>43317</v>
      </c>
      <c r="B6062">
        <f>6.5/(100)</f>
        <v>6.5000000000000002E-2</v>
      </c>
      <c r="C6062">
        <f>6.979/(100)</f>
        <v>6.9790000000000005E-2</v>
      </c>
    </row>
    <row r="6063" spans="1:3" x14ac:dyDescent="0.3">
      <c r="A6063" s="2">
        <v>43318</v>
      </c>
      <c r="B6063">
        <f>6.5/(100)</f>
        <v>6.5000000000000002E-2</v>
      </c>
      <c r="C6063">
        <f>6.977/(100)</f>
        <v>6.9769999999999999E-2</v>
      </c>
    </row>
    <row r="6064" spans="1:3" x14ac:dyDescent="0.3">
      <c r="A6064" s="2">
        <v>43319</v>
      </c>
      <c r="B6064">
        <f>6.5/(100)</f>
        <v>6.5000000000000002E-2</v>
      </c>
      <c r="C6064">
        <f>7.293/(100)</f>
        <v>7.2929999999999995E-2</v>
      </c>
    </row>
    <row r="6065" spans="1:3" x14ac:dyDescent="0.3">
      <c r="A6065" s="2">
        <v>43320</v>
      </c>
      <c r="B6065">
        <f>6.5/(100)</f>
        <v>6.5000000000000002E-2</v>
      </c>
      <c r="C6065">
        <f>7.267/(100)</f>
        <v>7.2669999999999998E-2</v>
      </c>
    </row>
    <row r="6066" spans="1:3" x14ac:dyDescent="0.3">
      <c r="A6066" s="2">
        <v>43321</v>
      </c>
      <c r="B6066">
        <f>6.5/(100)</f>
        <v>6.5000000000000002E-2</v>
      </c>
      <c r="C6066">
        <f>7.241/(100)</f>
        <v>7.2410000000000002E-2</v>
      </c>
    </row>
    <row r="6067" spans="1:3" x14ac:dyDescent="0.3">
      <c r="A6067" s="2">
        <v>43322</v>
      </c>
      <c r="B6067">
        <f>6.5/(100)</f>
        <v>6.5000000000000002E-2</v>
      </c>
      <c r="C6067">
        <f>7.247/(100)</f>
        <v>7.2469999999999993E-2</v>
      </c>
    </row>
    <row r="6068" spans="1:3" x14ac:dyDescent="0.3">
      <c r="A6068" s="2">
        <v>43323</v>
      </c>
      <c r="B6068">
        <f>6.5/(100)</f>
        <v>6.5000000000000002E-2</v>
      </c>
      <c r="C6068">
        <f>7.247/(100)</f>
        <v>7.2469999999999993E-2</v>
      </c>
    </row>
    <row r="6069" spans="1:3" x14ac:dyDescent="0.3">
      <c r="A6069" s="2">
        <v>43324</v>
      </c>
      <c r="B6069">
        <f>6.5/(100)</f>
        <v>6.5000000000000002E-2</v>
      </c>
      <c r="C6069">
        <f>7.247/(100)</f>
        <v>7.2469999999999993E-2</v>
      </c>
    </row>
    <row r="6070" spans="1:3" x14ac:dyDescent="0.3">
      <c r="A6070" s="2">
        <v>43325</v>
      </c>
      <c r="B6070">
        <f>6.5/(100)</f>
        <v>6.5000000000000002E-2</v>
      </c>
      <c r="C6070">
        <f>7.292/(100)</f>
        <v>7.2919999999999999E-2</v>
      </c>
    </row>
    <row r="6071" spans="1:3" x14ac:dyDescent="0.3">
      <c r="A6071" s="2">
        <v>43326</v>
      </c>
      <c r="B6071">
        <f>6.5/(100)</f>
        <v>6.5000000000000002E-2</v>
      </c>
      <c r="C6071">
        <f>7.286/(100)</f>
        <v>7.2859999999999994E-2</v>
      </c>
    </row>
    <row r="6072" spans="1:3" x14ac:dyDescent="0.3">
      <c r="A6072" s="2">
        <v>43327</v>
      </c>
      <c r="B6072">
        <f>6.5/(100)</f>
        <v>6.5000000000000002E-2</v>
      </c>
      <c r="C6072">
        <f>7.286/(100)</f>
        <v>7.2859999999999994E-2</v>
      </c>
    </row>
    <row r="6073" spans="1:3" x14ac:dyDescent="0.3">
      <c r="A6073" s="2">
        <v>43328</v>
      </c>
      <c r="B6073">
        <f>6.5/(100)</f>
        <v>6.5000000000000002E-2</v>
      </c>
      <c r="C6073">
        <f>7.305/(100)</f>
        <v>7.3050000000000004E-2</v>
      </c>
    </row>
    <row r="6074" spans="1:3" x14ac:dyDescent="0.3">
      <c r="A6074" s="2">
        <v>43329</v>
      </c>
      <c r="B6074">
        <f>6.5/(100)</f>
        <v>6.5000000000000002E-2</v>
      </c>
      <c r="C6074">
        <f>7.305/(100)</f>
        <v>7.3050000000000004E-2</v>
      </c>
    </row>
    <row r="6075" spans="1:3" x14ac:dyDescent="0.3">
      <c r="A6075" s="2">
        <v>43330</v>
      </c>
      <c r="B6075">
        <f>6.5/(100)</f>
        <v>6.5000000000000002E-2</v>
      </c>
      <c r="C6075">
        <f>7.305/(100)</f>
        <v>7.3050000000000004E-2</v>
      </c>
    </row>
    <row r="6076" spans="1:3" x14ac:dyDescent="0.3">
      <c r="A6076" s="2">
        <v>43331</v>
      </c>
      <c r="B6076">
        <f>6.5/(100)</f>
        <v>6.5000000000000002E-2</v>
      </c>
      <c r="C6076">
        <f>7.305/(100)</f>
        <v>7.3050000000000004E-2</v>
      </c>
    </row>
    <row r="6077" spans="1:3" x14ac:dyDescent="0.3">
      <c r="A6077" s="2">
        <v>43332</v>
      </c>
      <c r="B6077">
        <f>6.5/(100)</f>
        <v>6.5000000000000002E-2</v>
      </c>
      <c r="C6077">
        <f>7.285/(100)</f>
        <v>7.2849999999999998E-2</v>
      </c>
    </row>
    <row r="6078" spans="1:3" x14ac:dyDescent="0.3">
      <c r="A6078" s="2">
        <v>43333</v>
      </c>
      <c r="B6078">
        <f>6.5/(100)</f>
        <v>6.5000000000000002E-2</v>
      </c>
      <c r="C6078">
        <f>7.299/(100)</f>
        <v>7.2989999999999999E-2</v>
      </c>
    </row>
    <row r="6079" spans="1:3" x14ac:dyDescent="0.3">
      <c r="A6079" s="2">
        <v>43334</v>
      </c>
      <c r="B6079">
        <f>6.5/(100)</f>
        <v>6.5000000000000002E-2</v>
      </c>
      <c r="C6079">
        <f>7.299/(100)</f>
        <v>7.2989999999999999E-2</v>
      </c>
    </row>
    <row r="6080" spans="1:3" x14ac:dyDescent="0.3">
      <c r="A6080" s="2">
        <v>43335</v>
      </c>
      <c r="B6080">
        <f>6.5/(100)</f>
        <v>6.5000000000000002E-2</v>
      </c>
      <c r="C6080">
        <f>7.339/(100)</f>
        <v>7.3390000000000011E-2</v>
      </c>
    </row>
    <row r="6081" spans="1:3" x14ac:dyDescent="0.3">
      <c r="A6081" s="2">
        <v>43336</v>
      </c>
      <c r="B6081">
        <f>6.5/(100)</f>
        <v>6.5000000000000002E-2</v>
      </c>
      <c r="C6081">
        <f>7.299/(100)</f>
        <v>7.2989999999999999E-2</v>
      </c>
    </row>
    <row r="6082" spans="1:3" x14ac:dyDescent="0.3">
      <c r="A6082" s="2">
        <v>43337</v>
      </c>
      <c r="B6082">
        <f>6.5/(100)</f>
        <v>6.5000000000000002E-2</v>
      </c>
      <c r="C6082">
        <f>7.299/(100)</f>
        <v>7.2989999999999999E-2</v>
      </c>
    </row>
    <row r="6083" spans="1:3" x14ac:dyDescent="0.3">
      <c r="A6083" s="2">
        <v>43338</v>
      </c>
      <c r="B6083">
        <f>6.5/(100)</f>
        <v>6.5000000000000002E-2</v>
      </c>
      <c r="C6083">
        <f>7.299/(100)</f>
        <v>7.2989999999999999E-2</v>
      </c>
    </row>
    <row r="6084" spans="1:3" x14ac:dyDescent="0.3">
      <c r="A6084" s="2">
        <v>43339</v>
      </c>
      <c r="B6084">
        <f>6.5/(100)</f>
        <v>6.5000000000000002E-2</v>
      </c>
      <c r="C6084">
        <f>7.326/(100)</f>
        <v>7.3259999999999992E-2</v>
      </c>
    </row>
    <row r="6085" spans="1:3" x14ac:dyDescent="0.3">
      <c r="A6085" s="2">
        <v>43340</v>
      </c>
      <c r="B6085">
        <f>6.5/(100)</f>
        <v>6.5000000000000002E-2</v>
      </c>
      <c r="C6085">
        <f>7.333/(100)</f>
        <v>7.3330000000000006E-2</v>
      </c>
    </row>
    <row r="6086" spans="1:3" x14ac:dyDescent="0.3">
      <c r="A6086" s="2">
        <v>43341</v>
      </c>
      <c r="B6086">
        <f>6.5/(100)</f>
        <v>6.5000000000000002E-2</v>
      </c>
      <c r="C6086">
        <f>7.333/(100)</f>
        <v>7.3330000000000006E-2</v>
      </c>
    </row>
    <row r="6087" spans="1:3" x14ac:dyDescent="0.3">
      <c r="A6087" s="2">
        <v>43342</v>
      </c>
      <c r="B6087">
        <f>6.5/(100)</f>
        <v>6.5000000000000002E-2</v>
      </c>
      <c r="C6087">
        <f>7.326/(100)</f>
        <v>7.3259999999999992E-2</v>
      </c>
    </row>
    <row r="6088" spans="1:3" x14ac:dyDescent="0.3">
      <c r="A6088" s="2">
        <v>43343</v>
      </c>
      <c r="B6088">
        <f>6.5/(100)</f>
        <v>6.5000000000000002E-2</v>
      </c>
      <c r="C6088">
        <f>7.344/(100)</f>
        <v>7.3440000000000005E-2</v>
      </c>
    </row>
    <row r="6089" spans="1:3" x14ac:dyDescent="0.3">
      <c r="A6089" s="2">
        <v>43344</v>
      </c>
      <c r="B6089">
        <f>6.5/(100)</f>
        <v>6.5000000000000002E-2</v>
      </c>
      <c r="C6089">
        <f>7.344/(100)</f>
        <v>7.3440000000000005E-2</v>
      </c>
    </row>
    <row r="6090" spans="1:3" x14ac:dyDescent="0.3">
      <c r="A6090" s="2">
        <v>43345</v>
      </c>
      <c r="B6090">
        <f>6.5/(100)</f>
        <v>6.5000000000000002E-2</v>
      </c>
      <c r="C6090">
        <f>7.344/(100)</f>
        <v>7.3440000000000005E-2</v>
      </c>
    </row>
    <row r="6091" spans="1:3" x14ac:dyDescent="0.3">
      <c r="A6091" s="2">
        <v>43346</v>
      </c>
      <c r="B6091">
        <f>6.5/(100)</f>
        <v>6.5000000000000002E-2</v>
      </c>
      <c r="C6091">
        <f>7.341/(100)</f>
        <v>7.3410000000000003E-2</v>
      </c>
    </row>
    <row r="6092" spans="1:3" x14ac:dyDescent="0.3">
      <c r="A6092" s="2">
        <v>43347</v>
      </c>
      <c r="B6092">
        <f>6.5/(100)</f>
        <v>6.5000000000000002E-2</v>
      </c>
      <c r="C6092">
        <f>7.531/(100)</f>
        <v>7.5310000000000002E-2</v>
      </c>
    </row>
    <row r="6093" spans="1:3" x14ac:dyDescent="0.3">
      <c r="A6093" s="2">
        <v>43348</v>
      </c>
      <c r="B6093">
        <f>6.5/(100)</f>
        <v>6.5000000000000002E-2</v>
      </c>
      <c r="C6093">
        <f>7.463/(100)</f>
        <v>7.4630000000000002E-2</v>
      </c>
    </row>
    <row r="6094" spans="1:3" x14ac:dyDescent="0.3">
      <c r="A6094" s="2">
        <v>43349</v>
      </c>
      <c r="B6094">
        <f>6.5/(100)</f>
        <v>6.5000000000000002E-2</v>
      </c>
      <c r="C6094">
        <f>7.502/(100)</f>
        <v>7.5020000000000003E-2</v>
      </c>
    </row>
    <row r="6095" spans="1:3" x14ac:dyDescent="0.3">
      <c r="A6095" s="2">
        <v>43350</v>
      </c>
      <c r="B6095">
        <f>6.5/(100)</f>
        <v>6.5000000000000002E-2</v>
      </c>
      <c r="C6095">
        <f>7.507/(100)</f>
        <v>7.5069999999999998E-2</v>
      </c>
    </row>
    <row r="6096" spans="1:3" x14ac:dyDescent="0.3">
      <c r="A6096" s="2">
        <v>43351</v>
      </c>
      <c r="B6096">
        <f>6.5/(100)</f>
        <v>6.5000000000000002E-2</v>
      </c>
      <c r="C6096">
        <f>7.507/(100)</f>
        <v>7.5069999999999998E-2</v>
      </c>
    </row>
    <row r="6097" spans="1:3" x14ac:dyDescent="0.3">
      <c r="A6097" s="2">
        <v>43352</v>
      </c>
      <c r="B6097">
        <f>6.5/(100)</f>
        <v>6.5000000000000002E-2</v>
      </c>
      <c r="C6097">
        <f>7.507/(100)</f>
        <v>7.5069999999999998E-2</v>
      </c>
    </row>
    <row r="6098" spans="1:3" x14ac:dyDescent="0.3">
      <c r="A6098" s="2">
        <v>43353</v>
      </c>
      <c r="B6098">
        <f>6.5/(100)</f>
        <v>6.5000000000000002E-2</v>
      </c>
      <c r="C6098">
        <f>7.515/(100)</f>
        <v>7.5149999999999995E-2</v>
      </c>
    </row>
    <row r="6099" spans="1:3" x14ac:dyDescent="0.3">
      <c r="A6099" s="2">
        <v>43354</v>
      </c>
      <c r="B6099">
        <f>6.5/(100)</f>
        <v>6.5000000000000002E-2</v>
      </c>
      <c r="C6099">
        <f>7.523/(100)</f>
        <v>7.5229999999999991E-2</v>
      </c>
    </row>
    <row r="6100" spans="1:3" x14ac:dyDescent="0.3">
      <c r="A6100" s="2">
        <v>43355</v>
      </c>
      <c r="B6100">
        <f>6.5/(100)</f>
        <v>6.5000000000000002E-2</v>
      </c>
      <c r="C6100">
        <f>7.523/(100)</f>
        <v>7.5229999999999991E-2</v>
      </c>
    </row>
    <row r="6101" spans="1:3" x14ac:dyDescent="0.3">
      <c r="A6101" s="2">
        <v>43356</v>
      </c>
      <c r="B6101">
        <f>6.5/(100)</f>
        <v>6.5000000000000002E-2</v>
      </c>
      <c r="C6101">
        <f>7.523/(100)</f>
        <v>7.5229999999999991E-2</v>
      </c>
    </row>
    <row r="6102" spans="1:3" x14ac:dyDescent="0.3">
      <c r="A6102" s="2">
        <v>43357</v>
      </c>
      <c r="B6102">
        <f>6.5/(100)</f>
        <v>6.5000000000000002E-2</v>
      </c>
      <c r="C6102">
        <f>7.523/(100)</f>
        <v>7.5229999999999991E-2</v>
      </c>
    </row>
    <row r="6103" spans="1:3" x14ac:dyDescent="0.3">
      <c r="A6103" s="2">
        <v>43358</v>
      </c>
      <c r="B6103">
        <f>6.5/(100)</f>
        <v>6.5000000000000002E-2</v>
      </c>
      <c r="C6103">
        <f>7.523/(100)</f>
        <v>7.5229999999999991E-2</v>
      </c>
    </row>
    <row r="6104" spans="1:3" x14ac:dyDescent="0.3">
      <c r="A6104" s="2">
        <v>43359</v>
      </c>
      <c r="B6104">
        <f>6.5/(100)</f>
        <v>6.5000000000000002E-2</v>
      </c>
      <c r="C6104">
        <f>7.523/(100)</f>
        <v>7.5229999999999991E-2</v>
      </c>
    </row>
    <row r="6105" spans="1:3" x14ac:dyDescent="0.3">
      <c r="A6105" s="2">
        <v>43360</v>
      </c>
      <c r="B6105">
        <f>6.5/(100)</f>
        <v>6.5000000000000002E-2</v>
      </c>
      <c r="C6105">
        <f>7.523/(100)</f>
        <v>7.5229999999999991E-2</v>
      </c>
    </row>
    <row r="6106" spans="1:3" x14ac:dyDescent="0.3">
      <c r="A6106" s="2">
        <v>43361</v>
      </c>
      <c r="B6106">
        <f>6.5/(100)</f>
        <v>6.5000000000000002E-2</v>
      </c>
      <c r="C6106">
        <f>7.549/(100)</f>
        <v>7.5490000000000002E-2</v>
      </c>
    </row>
    <row r="6107" spans="1:3" x14ac:dyDescent="0.3">
      <c r="A6107" s="2">
        <v>43362</v>
      </c>
      <c r="B6107">
        <f>6.5/(100)</f>
        <v>6.5000000000000002E-2</v>
      </c>
      <c r="C6107">
        <f>7.549/(100)</f>
        <v>7.5490000000000002E-2</v>
      </c>
    </row>
    <row r="6108" spans="1:3" x14ac:dyDescent="0.3">
      <c r="A6108" s="2">
        <v>43363</v>
      </c>
      <c r="B6108">
        <f>6.5/(100)</f>
        <v>6.5000000000000002E-2</v>
      </c>
      <c r="C6108">
        <f>7.549/(100)</f>
        <v>7.5490000000000002E-2</v>
      </c>
    </row>
    <row r="6109" spans="1:3" x14ac:dyDescent="0.3">
      <c r="A6109" s="2">
        <v>43364</v>
      </c>
      <c r="B6109">
        <f>6.5/(100)</f>
        <v>6.5000000000000002E-2</v>
      </c>
      <c r="C6109">
        <f>7.549/(100)</f>
        <v>7.5490000000000002E-2</v>
      </c>
    </row>
    <row r="6110" spans="1:3" x14ac:dyDescent="0.3">
      <c r="A6110" s="2">
        <v>43365</v>
      </c>
      <c r="B6110">
        <f>6.5/(100)</f>
        <v>6.5000000000000002E-2</v>
      </c>
      <c r="C6110">
        <f>7.549/(100)</f>
        <v>7.5490000000000002E-2</v>
      </c>
    </row>
    <row r="6111" spans="1:3" x14ac:dyDescent="0.3">
      <c r="A6111" s="2">
        <v>43366</v>
      </c>
      <c r="B6111">
        <f>6.5/(100)</f>
        <v>6.5000000000000002E-2</v>
      </c>
      <c r="C6111">
        <f>7.549/(100)</f>
        <v>7.5490000000000002E-2</v>
      </c>
    </row>
    <row r="6112" spans="1:3" x14ac:dyDescent="0.3">
      <c r="A6112" s="2">
        <v>43367</v>
      </c>
      <c r="B6112">
        <f>6.5/(100)</f>
        <v>6.5000000000000002E-2</v>
      </c>
      <c r="C6112">
        <f>7.549/(100)</f>
        <v>7.5490000000000002E-2</v>
      </c>
    </row>
    <row r="6113" spans="1:3" x14ac:dyDescent="0.3">
      <c r="A6113" s="2">
        <v>43368</v>
      </c>
      <c r="B6113">
        <f>6.5/(100)</f>
        <v>6.5000000000000002E-2</v>
      </c>
      <c r="C6113">
        <f>7.647/(100)</f>
        <v>7.6469999999999996E-2</v>
      </c>
    </row>
    <row r="6114" spans="1:3" x14ac:dyDescent="0.3">
      <c r="A6114" s="2">
        <v>43369</v>
      </c>
      <c r="B6114">
        <f>6.5/(100)</f>
        <v>6.5000000000000002E-2</v>
      </c>
      <c r="C6114">
        <f>7.566/(100)</f>
        <v>7.5660000000000005E-2</v>
      </c>
    </row>
    <row r="6115" spans="1:3" x14ac:dyDescent="0.3">
      <c r="A6115" s="2">
        <v>43370</v>
      </c>
      <c r="B6115">
        <f>6.5/(100)</f>
        <v>6.5000000000000002E-2</v>
      </c>
      <c r="C6115">
        <f>7.566/(100)</f>
        <v>7.5660000000000005E-2</v>
      </c>
    </row>
    <row r="6116" spans="1:3" x14ac:dyDescent="0.3">
      <c r="A6116" s="2">
        <v>43371</v>
      </c>
      <c r="B6116">
        <f>6.5/(100)</f>
        <v>6.5000000000000002E-2</v>
      </c>
      <c r="C6116">
        <f>7.548/(100)</f>
        <v>7.5480000000000005E-2</v>
      </c>
    </row>
    <row r="6117" spans="1:3" x14ac:dyDescent="0.3">
      <c r="A6117" s="2">
        <v>43372</v>
      </c>
      <c r="B6117">
        <f>6.5/(100)</f>
        <v>6.5000000000000002E-2</v>
      </c>
      <c r="C6117">
        <f>7.548/(100)</f>
        <v>7.5480000000000005E-2</v>
      </c>
    </row>
    <row r="6118" spans="1:3" x14ac:dyDescent="0.3">
      <c r="A6118" s="2">
        <v>43373</v>
      </c>
      <c r="B6118">
        <f>6.5/(100)</f>
        <v>6.5000000000000002E-2</v>
      </c>
      <c r="C6118">
        <f>7.548/(100)</f>
        <v>7.5480000000000005E-2</v>
      </c>
    </row>
    <row r="6119" spans="1:3" x14ac:dyDescent="0.3">
      <c r="A6119" s="2">
        <v>43374</v>
      </c>
      <c r="B6119">
        <f>6.5/(100)</f>
        <v>6.5000000000000002E-2</v>
      </c>
      <c r="C6119">
        <f>7.566/(100)</f>
        <v>7.5660000000000005E-2</v>
      </c>
    </row>
    <row r="6120" spans="1:3" x14ac:dyDescent="0.3">
      <c r="A6120" s="2">
        <v>43375</v>
      </c>
      <c r="B6120">
        <f>6.5/(100)</f>
        <v>6.5000000000000002E-2</v>
      </c>
      <c r="C6120">
        <f>7.566/(100)</f>
        <v>7.5660000000000005E-2</v>
      </c>
    </row>
    <row r="6121" spans="1:3" x14ac:dyDescent="0.3">
      <c r="A6121" s="2">
        <v>43376</v>
      </c>
      <c r="B6121">
        <f>6.5/(100)</f>
        <v>6.5000000000000002E-2</v>
      </c>
      <c r="C6121">
        <f>7.582/(100)</f>
        <v>7.5819999999999999E-2</v>
      </c>
    </row>
    <row r="6122" spans="1:3" x14ac:dyDescent="0.3">
      <c r="A6122" s="2">
        <v>43377</v>
      </c>
      <c r="B6122">
        <f>6.5/(100)</f>
        <v>6.5000000000000002E-2</v>
      </c>
      <c r="C6122">
        <f>7.625/(100)</f>
        <v>7.6249999999999998E-2</v>
      </c>
    </row>
    <row r="6123" spans="1:3" x14ac:dyDescent="0.3">
      <c r="A6123" s="2">
        <v>43378</v>
      </c>
      <c r="B6123">
        <f>6.5/(100)</f>
        <v>6.5000000000000002E-2</v>
      </c>
      <c r="C6123">
        <f>7.495/(100)</f>
        <v>7.4950000000000003E-2</v>
      </c>
    </row>
    <row r="6124" spans="1:3" x14ac:dyDescent="0.3">
      <c r="A6124" s="2">
        <v>43379</v>
      </c>
      <c r="B6124">
        <f>6.5/(100)</f>
        <v>6.5000000000000002E-2</v>
      </c>
      <c r="C6124">
        <f>7.495/(100)</f>
        <v>7.4950000000000003E-2</v>
      </c>
    </row>
    <row r="6125" spans="1:3" x14ac:dyDescent="0.3">
      <c r="A6125" s="2">
        <v>43380</v>
      </c>
      <c r="B6125">
        <f>6.5/(100)</f>
        <v>6.5000000000000002E-2</v>
      </c>
      <c r="C6125">
        <f>7.495/(100)</f>
        <v>7.4950000000000003E-2</v>
      </c>
    </row>
    <row r="6126" spans="1:3" x14ac:dyDescent="0.3">
      <c r="A6126" s="2">
        <v>43381</v>
      </c>
      <c r="B6126">
        <f>6.5/(100)</f>
        <v>6.5000000000000002E-2</v>
      </c>
      <c r="C6126">
        <f>7.511/(100)</f>
        <v>7.5109999999999996E-2</v>
      </c>
    </row>
    <row r="6127" spans="1:3" x14ac:dyDescent="0.3">
      <c r="A6127" s="2">
        <v>43382</v>
      </c>
      <c r="B6127">
        <f>6.5/(100)</f>
        <v>6.5000000000000002E-2</v>
      </c>
      <c r="C6127">
        <f>7.558/(100)</f>
        <v>7.5579999999999994E-2</v>
      </c>
    </row>
    <row r="6128" spans="1:3" x14ac:dyDescent="0.3">
      <c r="A6128" s="2">
        <v>43383</v>
      </c>
      <c r="B6128">
        <f>6.5/(100)</f>
        <v>6.5000000000000002E-2</v>
      </c>
      <c r="C6128">
        <f>7.543/(100)</f>
        <v>7.5429999999999997E-2</v>
      </c>
    </row>
    <row r="6129" spans="1:3" x14ac:dyDescent="0.3">
      <c r="A6129" s="2">
        <v>43384</v>
      </c>
      <c r="B6129">
        <f>6.5/(100)</f>
        <v>6.5000000000000002E-2</v>
      </c>
      <c r="C6129">
        <f>7.518/(100)</f>
        <v>7.5179999999999997E-2</v>
      </c>
    </row>
    <row r="6130" spans="1:3" x14ac:dyDescent="0.3">
      <c r="A6130" s="2">
        <v>43385</v>
      </c>
      <c r="B6130">
        <f>6.5/(100)</f>
        <v>6.5000000000000002E-2</v>
      </c>
      <c r="C6130">
        <f>7.51/(100)</f>
        <v>7.51E-2</v>
      </c>
    </row>
    <row r="6131" spans="1:3" x14ac:dyDescent="0.3">
      <c r="A6131" s="2">
        <v>43386</v>
      </c>
      <c r="B6131">
        <f>6.5/(100)</f>
        <v>6.5000000000000002E-2</v>
      </c>
      <c r="C6131">
        <f>7.51/(100)</f>
        <v>7.51E-2</v>
      </c>
    </row>
    <row r="6132" spans="1:3" x14ac:dyDescent="0.3">
      <c r="A6132" s="2">
        <v>43387</v>
      </c>
      <c r="B6132">
        <f>6.5/(100)</f>
        <v>6.5000000000000002E-2</v>
      </c>
      <c r="C6132">
        <f>7.51/(100)</f>
        <v>7.51E-2</v>
      </c>
    </row>
    <row r="6133" spans="1:3" x14ac:dyDescent="0.3">
      <c r="A6133" s="2">
        <v>43388</v>
      </c>
      <c r="B6133">
        <f>6.5/(100)</f>
        <v>6.5000000000000002E-2</v>
      </c>
      <c r="C6133">
        <f>7.513/(100)</f>
        <v>7.5130000000000002E-2</v>
      </c>
    </row>
    <row r="6134" spans="1:3" x14ac:dyDescent="0.3">
      <c r="A6134" s="2">
        <v>43389</v>
      </c>
      <c r="B6134">
        <f>6.5/(100)</f>
        <v>6.5000000000000002E-2</v>
      </c>
      <c r="C6134">
        <f>7.501/(100)</f>
        <v>7.5010000000000007E-2</v>
      </c>
    </row>
    <row r="6135" spans="1:3" x14ac:dyDescent="0.3">
      <c r="A6135" s="2">
        <v>43390</v>
      </c>
      <c r="B6135">
        <f>6.5/(100)</f>
        <v>6.5000000000000002E-2</v>
      </c>
      <c r="C6135">
        <f>7.45/(100)</f>
        <v>7.4499999999999997E-2</v>
      </c>
    </row>
    <row r="6136" spans="1:3" x14ac:dyDescent="0.3">
      <c r="A6136" s="2">
        <v>43391</v>
      </c>
      <c r="B6136">
        <f>6.5/(100)</f>
        <v>6.5000000000000002E-2</v>
      </c>
      <c r="C6136">
        <f>7.45/(100)</f>
        <v>7.4499999999999997E-2</v>
      </c>
    </row>
    <row r="6137" spans="1:3" x14ac:dyDescent="0.3">
      <c r="A6137" s="2">
        <v>43392</v>
      </c>
      <c r="B6137">
        <f>6.5/(100)</f>
        <v>6.5000000000000002E-2</v>
      </c>
      <c r="C6137">
        <f>7.454/(100)</f>
        <v>7.4539999999999995E-2</v>
      </c>
    </row>
    <row r="6138" spans="1:3" x14ac:dyDescent="0.3">
      <c r="A6138" s="2">
        <v>43393</v>
      </c>
      <c r="B6138">
        <f>6.5/(100)</f>
        <v>6.5000000000000002E-2</v>
      </c>
      <c r="C6138">
        <f>7.454/(100)</f>
        <v>7.4539999999999995E-2</v>
      </c>
    </row>
    <row r="6139" spans="1:3" x14ac:dyDescent="0.3">
      <c r="A6139" s="2">
        <v>43394</v>
      </c>
      <c r="B6139">
        <f>6.5/(100)</f>
        <v>6.5000000000000002E-2</v>
      </c>
      <c r="C6139">
        <f>7.454/(100)</f>
        <v>7.4539999999999995E-2</v>
      </c>
    </row>
    <row r="6140" spans="1:3" x14ac:dyDescent="0.3">
      <c r="A6140" s="2">
        <v>43395</v>
      </c>
      <c r="B6140">
        <f>6.5/(100)</f>
        <v>6.5000000000000002E-2</v>
      </c>
      <c r="C6140">
        <f>7.464/(100)</f>
        <v>7.4639999999999998E-2</v>
      </c>
    </row>
    <row r="6141" spans="1:3" x14ac:dyDescent="0.3">
      <c r="A6141" s="2">
        <v>43396</v>
      </c>
      <c r="B6141">
        <f>6.5/(100)</f>
        <v>6.5000000000000002E-2</v>
      </c>
      <c r="C6141">
        <f>7.459/(100)</f>
        <v>7.458999999999999E-2</v>
      </c>
    </row>
    <row r="6142" spans="1:3" x14ac:dyDescent="0.3">
      <c r="A6142" s="2">
        <v>43397</v>
      </c>
      <c r="B6142">
        <f>6.5/(100)</f>
        <v>6.5000000000000002E-2</v>
      </c>
      <c r="C6142">
        <f>7.461/(100)</f>
        <v>7.461000000000001E-2</v>
      </c>
    </row>
    <row r="6143" spans="1:3" x14ac:dyDescent="0.3">
      <c r="A6143" s="2">
        <v>43398</v>
      </c>
      <c r="B6143">
        <f>6.5/(100)</f>
        <v>6.5000000000000002E-2</v>
      </c>
      <c r="C6143">
        <f>7.397/(100)</f>
        <v>7.3970000000000008E-2</v>
      </c>
    </row>
    <row r="6144" spans="1:3" x14ac:dyDescent="0.3">
      <c r="A6144" s="2">
        <v>43399</v>
      </c>
      <c r="B6144">
        <f>6.5/(100)</f>
        <v>6.5000000000000002E-2</v>
      </c>
      <c r="C6144">
        <f>7.425/(100)</f>
        <v>7.4249999999999997E-2</v>
      </c>
    </row>
    <row r="6145" spans="1:3" x14ac:dyDescent="0.3">
      <c r="A6145" s="2">
        <v>43400</v>
      </c>
      <c r="B6145">
        <f>6.5/(100)</f>
        <v>6.5000000000000002E-2</v>
      </c>
      <c r="C6145">
        <f>7.425/(100)</f>
        <v>7.4249999999999997E-2</v>
      </c>
    </row>
    <row r="6146" spans="1:3" x14ac:dyDescent="0.3">
      <c r="A6146" s="2">
        <v>43401</v>
      </c>
      <c r="B6146">
        <f>6.5/(100)</f>
        <v>6.5000000000000002E-2</v>
      </c>
      <c r="C6146">
        <f>7.425/(100)</f>
        <v>7.4249999999999997E-2</v>
      </c>
    </row>
    <row r="6147" spans="1:3" x14ac:dyDescent="0.3">
      <c r="A6147" s="2">
        <v>43402</v>
      </c>
      <c r="B6147">
        <f>6.5/(100)</f>
        <v>6.5000000000000002E-2</v>
      </c>
      <c r="C6147">
        <f>7.383/(100)</f>
        <v>7.3830000000000007E-2</v>
      </c>
    </row>
    <row r="6148" spans="1:3" x14ac:dyDescent="0.3">
      <c r="A6148" s="2">
        <v>43403</v>
      </c>
      <c r="B6148">
        <f>6.5/(100)</f>
        <v>6.5000000000000002E-2</v>
      </c>
      <c r="C6148">
        <f>7.383/(100)</f>
        <v>7.3830000000000007E-2</v>
      </c>
    </row>
    <row r="6149" spans="1:3" x14ac:dyDescent="0.3">
      <c r="A6149" s="2">
        <v>43404</v>
      </c>
      <c r="B6149">
        <f>6.5/(100)</f>
        <v>6.5000000000000002E-2</v>
      </c>
      <c r="C6149">
        <f>7.383/(100)</f>
        <v>7.3830000000000007E-2</v>
      </c>
    </row>
    <row r="6150" spans="1:3" x14ac:dyDescent="0.3">
      <c r="A6150" s="2">
        <v>43405</v>
      </c>
      <c r="B6150">
        <f>6.5/(100)</f>
        <v>6.5000000000000002E-2</v>
      </c>
      <c r="C6150">
        <f>7.387/(100)</f>
        <v>7.3869999999999991E-2</v>
      </c>
    </row>
    <row r="6151" spans="1:3" x14ac:dyDescent="0.3">
      <c r="A6151" s="2">
        <v>43406</v>
      </c>
      <c r="B6151">
        <f>6.5/(100)</f>
        <v>6.5000000000000002E-2</v>
      </c>
      <c r="C6151">
        <f>7.336/(100)</f>
        <v>7.3360000000000009E-2</v>
      </c>
    </row>
    <row r="6152" spans="1:3" x14ac:dyDescent="0.3">
      <c r="A6152" s="2">
        <v>43407</v>
      </c>
      <c r="B6152">
        <f>6.5/(100)</f>
        <v>6.5000000000000002E-2</v>
      </c>
      <c r="C6152">
        <f>7.336/(100)</f>
        <v>7.3360000000000009E-2</v>
      </c>
    </row>
    <row r="6153" spans="1:3" x14ac:dyDescent="0.3">
      <c r="A6153" s="2">
        <v>43408</v>
      </c>
      <c r="B6153">
        <f>6.5/(100)</f>
        <v>6.5000000000000002E-2</v>
      </c>
      <c r="C6153">
        <f>7.336/(100)</f>
        <v>7.3360000000000009E-2</v>
      </c>
    </row>
    <row r="6154" spans="1:3" x14ac:dyDescent="0.3">
      <c r="A6154" s="2">
        <v>43409</v>
      </c>
      <c r="B6154">
        <f>6.5/(100)</f>
        <v>6.5000000000000002E-2</v>
      </c>
      <c r="C6154">
        <f>7.41/(100)</f>
        <v>7.4099999999999999E-2</v>
      </c>
    </row>
    <row r="6155" spans="1:3" x14ac:dyDescent="0.3">
      <c r="A6155" s="2">
        <v>43410</v>
      </c>
      <c r="B6155">
        <f>6.5/(100)</f>
        <v>6.5000000000000002E-2</v>
      </c>
      <c r="C6155">
        <f>7.34/(100)</f>
        <v>7.3399999999999993E-2</v>
      </c>
    </row>
    <row r="6156" spans="1:3" x14ac:dyDescent="0.3">
      <c r="A6156" s="2">
        <v>43411</v>
      </c>
      <c r="B6156">
        <f>6.5/(100)</f>
        <v>6.5000000000000002E-2</v>
      </c>
      <c r="C6156">
        <f>7.34/(100)</f>
        <v>7.3399999999999993E-2</v>
      </c>
    </row>
    <row r="6157" spans="1:3" x14ac:dyDescent="0.3">
      <c r="A6157" s="2">
        <v>43412</v>
      </c>
      <c r="B6157">
        <f>6.5/(100)</f>
        <v>6.5000000000000002E-2</v>
      </c>
      <c r="C6157">
        <f>7.34/(100)</f>
        <v>7.3399999999999993E-2</v>
      </c>
    </row>
    <row r="6158" spans="1:3" x14ac:dyDescent="0.3">
      <c r="A6158" s="2">
        <v>43413</v>
      </c>
      <c r="B6158">
        <f>6.5/(100)</f>
        <v>6.5000000000000002E-2</v>
      </c>
      <c r="C6158">
        <f>7.346/(100)</f>
        <v>7.3459999999999998E-2</v>
      </c>
    </row>
    <row r="6159" spans="1:3" x14ac:dyDescent="0.3">
      <c r="A6159" s="2">
        <v>43414</v>
      </c>
      <c r="B6159">
        <f>6.5/(100)</f>
        <v>6.5000000000000002E-2</v>
      </c>
      <c r="C6159">
        <f>7.346/(100)</f>
        <v>7.3459999999999998E-2</v>
      </c>
    </row>
    <row r="6160" spans="1:3" x14ac:dyDescent="0.3">
      <c r="A6160" s="2">
        <v>43415</v>
      </c>
      <c r="B6160">
        <f>6.5/(100)</f>
        <v>6.5000000000000002E-2</v>
      </c>
      <c r="C6160">
        <f>7.346/(100)</f>
        <v>7.3459999999999998E-2</v>
      </c>
    </row>
    <row r="6161" spans="1:3" x14ac:dyDescent="0.3">
      <c r="A6161" s="2">
        <v>43416</v>
      </c>
      <c r="B6161">
        <f>6.5/(100)</f>
        <v>6.5000000000000002E-2</v>
      </c>
      <c r="C6161">
        <f>7.348/(100)</f>
        <v>7.3480000000000004E-2</v>
      </c>
    </row>
    <row r="6162" spans="1:3" x14ac:dyDescent="0.3">
      <c r="A6162" s="2">
        <v>43417</v>
      </c>
      <c r="B6162">
        <f>6.5/(100)</f>
        <v>6.5000000000000002E-2</v>
      </c>
      <c r="C6162">
        <f>7.318/(100)</f>
        <v>7.3179999999999995E-2</v>
      </c>
    </row>
    <row r="6163" spans="1:3" x14ac:dyDescent="0.3">
      <c r="A6163" s="2">
        <v>43418</v>
      </c>
      <c r="B6163">
        <f>6.5/(100)</f>
        <v>6.5000000000000002E-2</v>
      </c>
      <c r="C6163">
        <f>7.233/(100)</f>
        <v>7.2329999999999992E-2</v>
      </c>
    </row>
    <row r="6164" spans="1:3" x14ac:dyDescent="0.3">
      <c r="A6164" s="2">
        <v>43419</v>
      </c>
      <c r="B6164">
        <f>6.5/(100)</f>
        <v>6.5000000000000002E-2</v>
      </c>
      <c r="C6164">
        <f>7.227/(100)</f>
        <v>7.2270000000000001E-2</v>
      </c>
    </row>
    <row r="6165" spans="1:3" x14ac:dyDescent="0.3">
      <c r="A6165" s="2">
        <v>43420</v>
      </c>
      <c r="B6165">
        <f>6.5/(100)</f>
        <v>6.5000000000000002E-2</v>
      </c>
      <c r="C6165">
        <f>7.248/(100)</f>
        <v>7.2480000000000003E-2</v>
      </c>
    </row>
    <row r="6166" spans="1:3" x14ac:dyDescent="0.3">
      <c r="A6166" s="2">
        <v>43421</v>
      </c>
      <c r="B6166">
        <f>6.5/(100)</f>
        <v>6.5000000000000002E-2</v>
      </c>
      <c r="C6166">
        <f>7.248/(100)</f>
        <v>7.2480000000000003E-2</v>
      </c>
    </row>
    <row r="6167" spans="1:3" x14ac:dyDescent="0.3">
      <c r="A6167" s="2">
        <v>43422</v>
      </c>
      <c r="B6167">
        <f>6.5/(100)</f>
        <v>6.5000000000000002E-2</v>
      </c>
      <c r="C6167">
        <f>7.248/(100)</f>
        <v>7.2480000000000003E-2</v>
      </c>
    </row>
    <row r="6168" spans="1:3" x14ac:dyDescent="0.3">
      <c r="A6168" s="2">
        <v>43423</v>
      </c>
      <c r="B6168">
        <f>6.5/(100)</f>
        <v>6.5000000000000002E-2</v>
      </c>
      <c r="C6168">
        <f>7.225/(100)</f>
        <v>7.2249999999999995E-2</v>
      </c>
    </row>
    <row r="6169" spans="1:3" x14ac:dyDescent="0.3">
      <c r="A6169" s="2">
        <v>43424</v>
      </c>
      <c r="B6169">
        <f>6.5/(100)</f>
        <v>6.5000000000000002E-2</v>
      </c>
      <c r="C6169">
        <f>7.221/(100)</f>
        <v>7.2209999999999996E-2</v>
      </c>
    </row>
    <row r="6170" spans="1:3" x14ac:dyDescent="0.3">
      <c r="A6170" s="2">
        <v>43425</v>
      </c>
      <c r="B6170">
        <f>6.5/(100)</f>
        <v>6.5000000000000002E-2</v>
      </c>
      <c r="C6170">
        <f>7.221/(100)</f>
        <v>7.2209999999999996E-2</v>
      </c>
    </row>
    <row r="6171" spans="1:3" x14ac:dyDescent="0.3">
      <c r="A6171" s="2">
        <v>43426</v>
      </c>
      <c r="B6171">
        <f>6.5/(100)</f>
        <v>6.5000000000000002E-2</v>
      </c>
      <c r="C6171">
        <f>7.161/(100)</f>
        <v>7.1609999999999993E-2</v>
      </c>
    </row>
    <row r="6172" spans="1:3" x14ac:dyDescent="0.3">
      <c r="A6172" s="2">
        <v>43427</v>
      </c>
      <c r="B6172">
        <f>6.5/(100)</f>
        <v>6.5000000000000002E-2</v>
      </c>
      <c r="C6172">
        <f>7.161/(100)</f>
        <v>7.1609999999999993E-2</v>
      </c>
    </row>
    <row r="6173" spans="1:3" x14ac:dyDescent="0.3">
      <c r="A6173" s="2">
        <v>43428</v>
      </c>
      <c r="B6173">
        <f>6.5/(100)</f>
        <v>6.5000000000000002E-2</v>
      </c>
      <c r="C6173">
        <f>7.161/(100)</f>
        <v>7.1609999999999993E-2</v>
      </c>
    </row>
    <row r="6174" spans="1:3" x14ac:dyDescent="0.3">
      <c r="A6174" s="2">
        <v>43429</v>
      </c>
      <c r="B6174">
        <f>6.5/(100)</f>
        <v>6.5000000000000002E-2</v>
      </c>
      <c r="C6174">
        <f>7.161/(100)</f>
        <v>7.1609999999999993E-2</v>
      </c>
    </row>
    <row r="6175" spans="1:3" x14ac:dyDescent="0.3">
      <c r="A6175" s="2">
        <v>43430</v>
      </c>
      <c r="B6175">
        <f>6.5/(100)</f>
        <v>6.5000000000000002E-2</v>
      </c>
      <c r="C6175">
        <f>7.167/(100)</f>
        <v>7.1669999999999998E-2</v>
      </c>
    </row>
    <row r="6176" spans="1:3" x14ac:dyDescent="0.3">
      <c r="A6176" s="2">
        <v>43431</v>
      </c>
      <c r="B6176">
        <f>6.5/(100)</f>
        <v>6.5000000000000002E-2</v>
      </c>
      <c r="C6176">
        <f>7.164/(100)</f>
        <v>7.1639999999999995E-2</v>
      </c>
    </row>
    <row r="6177" spans="1:3" x14ac:dyDescent="0.3">
      <c r="A6177" s="2">
        <v>43432</v>
      </c>
      <c r="B6177">
        <f>6.5/(100)</f>
        <v>6.5000000000000002E-2</v>
      </c>
      <c r="C6177">
        <f>7.136/(100)</f>
        <v>7.1360000000000007E-2</v>
      </c>
    </row>
    <row r="6178" spans="1:3" x14ac:dyDescent="0.3">
      <c r="A6178" s="2">
        <v>43433</v>
      </c>
      <c r="B6178">
        <f>6.5/(100)</f>
        <v>6.5000000000000002E-2</v>
      </c>
      <c r="C6178">
        <f>7.129/(100)</f>
        <v>7.1289999999999992E-2</v>
      </c>
    </row>
    <row r="6179" spans="1:3" x14ac:dyDescent="0.3">
      <c r="A6179" s="2">
        <v>43434</v>
      </c>
      <c r="B6179">
        <f>6.5/(100)</f>
        <v>6.5000000000000002E-2</v>
      </c>
      <c r="C6179">
        <f>7.095/(100)</f>
        <v>7.0949999999999999E-2</v>
      </c>
    </row>
    <row r="6180" spans="1:3" x14ac:dyDescent="0.3">
      <c r="A6180" s="2">
        <v>43435</v>
      </c>
      <c r="B6180">
        <f>6.5/(100)</f>
        <v>6.5000000000000002E-2</v>
      </c>
      <c r="C6180">
        <f>7.095/(100)</f>
        <v>7.0949999999999999E-2</v>
      </c>
    </row>
    <row r="6181" spans="1:3" x14ac:dyDescent="0.3">
      <c r="A6181" s="2">
        <v>43436</v>
      </c>
      <c r="B6181">
        <f>6.5/(100)</f>
        <v>6.5000000000000002E-2</v>
      </c>
      <c r="C6181">
        <f>7.095/(100)</f>
        <v>7.0949999999999999E-2</v>
      </c>
    </row>
    <row r="6182" spans="1:3" x14ac:dyDescent="0.3">
      <c r="A6182" s="2">
        <v>43437</v>
      </c>
      <c r="B6182">
        <f>6.5/(100)</f>
        <v>6.5000000000000002E-2</v>
      </c>
      <c r="C6182">
        <f>7.122/(100)</f>
        <v>7.1220000000000006E-2</v>
      </c>
    </row>
    <row r="6183" spans="1:3" x14ac:dyDescent="0.3">
      <c r="A6183" s="2">
        <v>43438</v>
      </c>
      <c r="B6183">
        <f>6.5/(100)</f>
        <v>6.5000000000000002E-2</v>
      </c>
      <c r="C6183">
        <f>7.122/(100)</f>
        <v>7.1220000000000006E-2</v>
      </c>
    </row>
    <row r="6184" spans="1:3" x14ac:dyDescent="0.3">
      <c r="A6184" s="2">
        <v>43439</v>
      </c>
      <c r="B6184">
        <f>6.5/(100)</f>
        <v>6.5000000000000002E-2</v>
      </c>
      <c r="C6184">
        <f>7.055/(100)</f>
        <v>7.0550000000000002E-2</v>
      </c>
    </row>
    <row r="6185" spans="1:3" x14ac:dyDescent="0.3">
      <c r="A6185" s="2">
        <v>43440</v>
      </c>
      <c r="B6185">
        <f>6.5/(100)</f>
        <v>6.5000000000000002E-2</v>
      </c>
      <c r="C6185">
        <f>7.013/(100)</f>
        <v>7.0129999999999998E-2</v>
      </c>
    </row>
    <row r="6186" spans="1:3" x14ac:dyDescent="0.3">
      <c r="A6186" s="2">
        <v>43441</v>
      </c>
      <c r="B6186">
        <f>6.5/(100)</f>
        <v>6.5000000000000002E-2</v>
      </c>
      <c r="C6186">
        <f>7.007/(100)</f>
        <v>7.0069999999999993E-2</v>
      </c>
    </row>
    <row r="6187" spans="1:3" x14ac:dyDescent="0.3">
      <c r="A6187" s="2">
        <v>43442</v>
      </c>
      <c r="B6187">
        <f>6.5/(100)</f>
        <v>6.5000000000000002E-2</v>
      </c>
      <c r="C6187">
        <f>7.007/(100)</f>
        <v>7.0069999999999993E-2</v>
      </c>
    </row>
    <row r="6188" spans="1:3" x14ac:dyDescent="0.3">
      <c r="A6188" s="2">
        <v>43443</v>
      </c>
      <c r="B6188">
        <f>6.5/(100)</f>
        <v>6.5000000000000002E-2</v>
      </c>
      <c r="C6188">
        <f>7.007/(100)</f>
        <v>7.0069999999999993E-2</v>
      </c>
    </row>
    <row r="6189" spans="1:3" x14ac:dyDescent="0.3">
      <c r="A6189" s="2">
        <v>43444</v>
      </c>
      <c r="B6189">
        <f>6.5/(100)</f>
        <v>6.5000000000000002E-2</v>
      </c>
      <c r="C6189">
        <f>7.07/(100)</f>
        <v>7.0699999999999999E-2</v>
      </c>
    </row>
    <row r="6190" spans="1:3" x14ac:dyDescent="0.3">
      <c r="A6190" s="2">
        <v>43445</v>
      </c>
      <c r="B6190">
        <f>6.5/(100)</f>
        <v>6.5000000000000002E-2</v>
      </c>
      <c r="C6190">
        <f>7.027/(100)</f>
        <v>7.0269999999999999E-2</v>
      </c>
    </row>
    <row r="6191" spans="1:3" x14ac:dyDescent="0.3">
      <c r="A6191" s="2">
        <v>43446</v>
      </c>
      <c r="B6191">
        <f>6.5/(100)</f>
        <v>6.5000000000000002E-2</v>
      </c>
      <c r="C6191">
        <f>6.992/(100)</f>
        <v>6.9919999999999996E-2</v>
      </c>
    </row>
    <row r="6192" spans="1:3" x14ac:dyDescent="0.3">
      <c r="A6192" s="2">
        <v>43447</v>
      </c>
      <c r="B6192">
        <f>6.5/(100)</f>
        <v>6.5000000000000002E-2</v>
      </c>
      <c r="C6192">
        <f>6.993/(100)</f>
        <v>6.9930000000000006E-2</v>
      </c>
    </row>
    <row r="6193" spans="1:3" x14ac:dyDescent="0.3">
      <c r="A6193" s="2">
        <v>43448</v>
      </c>
      <c r="B6193">
        <f>6.5/(100)</f>
        <v>6.5000000000000002E-2</v>
      </c>
      <c r="C6193">
        <f>7.014/(100)</f>
        <v>7.0140000000000008E-2</v>
      </c>
    </row>
    <row r="6194" spans="1:3" x14ac:dyDescent="0.3">
      <c r="A6194" s="2">
        <v>43449</v>
      </c>
      <c r="B6194">
        <f>6.5/(100)</f>
        <v>6.5000000000000002E-2</v>
      </c>
      <c r="C6194">
        <f>7.014/(100)</f>
        <v>7.0140000000000008E-2</v>
      </c>
    </row>
    <row r="6195" spans="1:3" x14ac:dyDescent="0.3">
      <c r="A6195" s="2">
        <v>43450</v>
      </c>
      <c r="B6195">
        <f>6.5/(100)</f>
        <v>6.5000000000000002E-2</v>
      </c>
      <c r="C6195">
        <f>7.014/(100)</f>
        <v>7.0140000000000008E-2</v>
      </c>
    </row>
    <row r="6196" spans="1:3" x14ac:dyDescent="0.3">
      <c r="A6196" s="2">
        <v>43451</v>
      </c>
      <c r="B6196">
        <f>6.5/(100)</f>
        <v>6.5000000000000002E-2</v>
      </c>
      <c r="C6196">
        <f>7.069/(100)</f>
        <v>7.0690000000000003E-2</v>
      </c>
    </row>
    <row r="6197" spans="1:3" x14ac:dyDescent="0.3">
      <c r="A6197" s="2">
        <v>43452</v>
      </c>
      <c r="B6197">
        <f>6.5/(100)</f>
        <v>6.5000000000000002E-2</v>
      </c>
      <c r="C6197">
        <f>7.069/(100)</f>
        <v>7.0690000000000003E-2</v>
      </c>
    </row>
    <row r="6198" spans="1:3" x14ac:dyDescent="0.3">
      <c r="A6198" s="2">
        <v>43453</v>
      </c>
      <c r="B6198">
        <f>6.5/(100)</f>
        <v>6.5000000000000002E-2</v>
      </c>
      <c r="C6198">
        <f>6.961/(100)</f>
        <v>6.9610000000000005E-2</v>
      </c>
    </row>
    <row r="6199" spans="1:3" x14ac:dyDescent="0.3">
      <c r="A6199" s="2">
        <v>43454</v>
      </c>
      <c r="B6199">
        <f>6.5/(100)</f>
        <v>6.5000000000000002E-2</v>
      </c>
      <c r="C6199">
        <f>6.962/(100)</f>
        <v>6.9620000000000001E-2</v>
      </c>
    </row>
    <row r="6200" spans="1:3" x14ac:dyDescent="0.3">
      <c r="A6200" s="2">
        <v>43455</v>
      </c>
      <c r="B6200">
        <f>6.5/(100)</f>
        <v>6.5000000000000002E-2</v>
      </c>
      <c r="C6200">
        <f>6.955/(100)</f>
        <v>6.9550000000000001E-2</v>
      </c>
    </row>
    <row r="6201" spans="1:3" x14ac:dyDescent="0.3">
      <c r="A6201" s="2">
        <v>43456</v>
      </c>
      <c r="B6201">
        <f>6.5/(100)</f>
        <v>6.5000000000000002E-2</v>
      </c>
      <c r="C6201">
        <f>6.955/(100)</f>
        <v>6.9550000000000001E-2</v>
      </c>
    </row>
    <row r="6202" spans="1:3" x14ac:dyDescent="0.3">
      <c r="A6202" s="2">
        <v>43457</v>
      </c>
      <c r="B6202">
        <f>6.5/(100)</f>
        <v>6.5000000000000002E-2</v>
      </c>
      <c r="C6202">
        <f>6.955/(100)</f>
        <v>6.9550000000000001E-2</v>
      </c>
    </row>
    <row r="6203" spans="1:3" x14ac:dyDescent="0.3">
      <c r="A6203" s="2">
        <v>43458</v>
      </c>
      <c r="B6203">
        <f>6.5/(100)</f>
        <v>6.5000000000000002E-2</v>
      </c>
      <c r="C6203">
        <f>6.947/(100)</f>
        <v>6.9470000000000004E-2</v>
      </c>
    </row>
    <row r="6204" spans="1:3" x14ac:dyDescent="0.3">
      <c r="A6204" s="2">
        <v>43459</v>
      </c>
      <c r="B6204">
        <f>6.5/(100)</f>
        <v>6.5000000000000002E-2</v>
      </c>
      <c r="C6204">
        <f>6.947/(100)</f>
        <v>6.9470000000000004E-2</v>
      </c>
    </row>
    <row r="6205" spans="1:3" x14ac:dyDescent="0.3">
      <c r="A6205" s="2">
        <v>43460</v>
      </c>
      <c r="B6205">
        <f>6.5/(100)</f>
        <v>6.5000000000000002E-2</v>
      </c>
      <c r="C6205">
        <f>6.91/(100)</f>
        <v>6.9099999999999995E-2</v>
      </c>
    </row>
    <row r="6206" spans="1:3" x14ac:dyDescent="0.3">
      <c r="A6206" s="2">
        <v>43461</v>
      </c>
      <c r="B6206">
        <f>6.5/(100)</f>
        <v>6.5000000000000002E-2</v>
      </c>
      <c r="C6206">
        <f>6.911/(100)</f>
        <v>6.9109999999999991E-2</v>
      </c>
    </row>
    <row r="6207" spans="1:3" x14ac:dyDescent="0.3">
      <c r="A6207" s="2">
        <v>43462</v>
      </c>
      <c r="B6207">
        <f>6.5/(100)</f>
        <v>6.5000000000000002E-2</v>
      </c>
      <c r="C6207">
        <f>6.912/(100)</f>
        <v>6.9120000000000001E-2</v>
      </c>
    </row>
    <row r="6208" spans="1:3" x14ac:dyDescent="0.3">
      <c r="A6208" s="2">
        <v>43463</v>
      </c>
      <c r="B6208">
        <f>6.5/(100)</f>
        <v>6.5000000000000002E-2</v>
      </c>
      <c r="C6208">
        <f>6.912/(100)</f>
        <v>6.9120000000000001E-2</v>
      </c>
    </row>
    <row r="6209" spans="1:3" x14ac:dyDescent="0.3">
      <c r="A6209" s="2">
        <v>43464</v>
      </c>
      <c r="B6209">
        <f>6.5/(100)</f>
        <v>6.5000000000000002E-2</v>
      </c>
      <c r="C6209">
        <f>6.912/(100)</f>
        <v>6.9120000000000001E-2</v>
      </c>
    </row>
    <row r="6210" spans="1:3" x14ac:dyDescent="0.3">
      <c r="A6210" s="2">
        <v>43465</v>
      </c>
      <c r="B6210">
        <f>6.5/(100)</f>
        <v>6.5000000000000002E-2</v>
      </c>
      <c r="C6210">
        <f>6.907/(100)</f>
        <v>6.9070000000000006E-2</v>
      </c>
    </row>
    <row r="6211" spans="1:3" x14ac:dyDescent="0.3">
      <c r="A6211" s="2">
        <v>43466</v>
      </c>
      <c r="B6211">
        <f>6.5/(100)</f>
        <v>6.5000000000000002E-2</v>
      </c>
      <c r="C6211">
        <f>6.893/(100)</f>
        <v>6.8929999999999991E-2</v>
      </c>
    </row>
    <row r="6212" spans="1:3" x14ac:dyDescent="0.3">
      <c r="A6212" s="2">
        <v>43467</v>
      </c>
      <c r="B6212">
        <f>6.5/(100)</f>
        <v>6.5000000000000002E-2</v>
      </c>
      <c r="C6212">
        <f>6.796/(100)</f>
        <v>6.7960000000000007E-2</v>
      </c>
    </row>
    <row r="6213" spans="1:3" x14ac:dyDescent="0.3">
      <c r="A6213" s="2">
        <v>43468</v>
      </c>
      <c r="B6213">
        <f>6.5/(100)</f>
        <v>6.5000000000000002E-2</v>
      </c>
      <c r="C6213">
        <f>6.796/(100)</f>
        <v>6.7960000000000007E-2</v>
      </c>
    </row>
    <row r="6214" spans="1:3" x14ac:dyDescent="0.3">
      <c r="A6214" s="2">
        <v>43469</v>
      </c>
      <c r="B6214">
        <f>6.5/(100)</f>
        <v>6.5000000000000002E-2</v>
      </c>
      <c r="C6214">
        <f>6.796/(100)</f>
        <v>6.7960000000000007E-2</v>
      </c>
    </row>
    <row r="6215" spans="1:3" x14ac:dyDescent="0.3">
      <c r="A6215" s="2">
        <v>43470</v>
      </c>
      <c r="B6215">
        <f>6.5/(100)</f>
        <v>6.5000000000000002E-2</v>
      </c>
      <c r="C6215">
        <f>6.796/(100)</f>
        <v>6.7960000000000007E-2</v>
      </c>
    </row>
    <row r="6216" spans="1:3" x14ac:dyDescent="0.3">
      <c r="A6216" s="2">
        <v>43471</v>
      </c>
      <c r="B6216">
        <f>6.5/(100)</f>
        <v>6.5000000000000002E-2</v>
      </c>
      <c r="C6216">
        <f>6.796/(100)</f>
        <v>6.7960000000000007E-2</v>
      </c>
    </row>
    <row r="6217" spans="1:3" x14ac:dyDescent="0.3">
      <c r="A6217" s="2">
        <v>43472</v>
      </c>
      <c r="B6217">
        <f>6.5/(100)</f>
        <v>6.5000000000000002E-2</v>
      </c>
      <c r="C6217">
        <f>6.89/(100)</f>
        <v>6.8900000000000003E-2</v>
      </c>
    </row>
    <row r="6218" spans="1:3" x14ac:dyDescent="0.3">
      <c r="A6218" s="2">
        <v>43473</v>
      </c>
      <c r="B6218">
        <f>6.5/(100)</f>
        <v>6.5000000000000002E-2</v>
      </c>
      <c r="C6218">
        <f>6.833/(100)</f>
        <v>6.8330000000000002E-2</v>
      </c>
    </row>
    <row r="6219" spans="1:3" x14ac:dyDescent="0.3">
      <c r="A6219" s="2">
        <v>43474</v>
      </c>
      <c r="B6219">
        <f>6.5/(100)</f>
        <v>6.5000000000000002E-2</v>
      </c>
      <c r="C6219">
        <f>6.817/(100)</f>
        <v>6.8170000000000008E-2</v>
      </c>
    </row>
    <row r="6220" spans="1:3" x14ac:dyDescent="0.3">
      <c r="A6220" s="2">
        <v>43475</v>
      </c>
      <c r="B6220">
        <f>6.5/(100)</f>
        <v>6.5000000000000002E-2</v>
      </c>
      <c r="C6220">
        <f>6.826/(100)</f>
        <v>6.8260000000000001E-2</v>
      </c>
    </row>
    <row r="6221" spans="1:3" x14ac:dyDescent="0.3">
      <c r="A6221" s="2">
        <v>43476</v>
      </c>
      <c r="B6221">
        <f>6.5/(100)</f>
        <v>6.5000000000000002E-2</v>
      </c>
      <c r="C6221">
        <f>6.835/(100)</f>
        <v>6.8349999999999994E-2</v>
      </c>
    </row>
    <row r="6222" spans="1:3" x14ac:dyDescent="0.3">
      <c r="A6222" s="2">
        <v>43477</v>
      </c>
      <c r="B6222">
        <f>6.5/(100)</f>
        <v>6.5000000000000002E-2</v>
      </c>
      <c r="C6222">
        <f>6.835/(100)</f>
        <v>6.8349999999999994E-2</v>
      </c>
    </row>
    <row r="6223" spans="1:3" x14ac:dyDescent="0.3">
      <c r="A6223" s="2">
        <v>43478</v>
      </c>
      <c r="B6223">
        <f>6.5/(100)</f>
        <v>6.5000000000000002E-2</v>
      </c>
      <c r="C6223">
        <f>6.835/(100)</f>
        <v>6.8349999999999994E-2</v>
      </c>
    </row>
    <row r="6224" spans="1:3" x14ac:dyDescent="0.3">
      <c r="A6224" s="2">
        <v>43479</v>
      </c>
      <c r="B6224">
        <f>6.5/(100)</f>
        <v>6.5000000000000002E-2</v>
      </c>
      <c r="C6224">
        <f>6.806/(100)</f>
        <v>6.8059999999999996E-2</v>
      </c>
    </row>
    <row r="6225" spans="1:3" x14ac:dyDescent="0.3">
      <c r="A6225" s="2">
        <v>43480</v>
      </c>
      <c r="B6225">
        <f>6.5/(100)</f>
        <v>6.5000000000000002E-2</v>
      </c>
      <c r="C6225">
        <f>6.819/(100)</f>
        <v>6.8190000000000001E-2</v>
      </c>
    </row>
    <row r="6226" spans="1:3" x14ac:dyDescent="0.3">
      <c r="A6226" s="2">
        <v>43481</v>
      </c>
      <c r="B6226">
        <f>6.5/(100)</f>
        <v>6.5000000000000002E-2</v>
      </c>
      <c r="C6226">
        <f>6.837/(100)</f>
        <v>6.837E-2</v>
      </c>
    </row>
    <row r="6227" spans="1:3" x14ac:dyDescent="0.3">
      <c r="A6227" s="2">
        <v>43482</v>
      </c>
      <c r="B6227">
        <f>6.5/(100)</f>
        <v>6.5000000000000002E-2</v>
      </c>
      <c r="C6227">
        <f>6.837/(100)</f>
        <v>6.837E-2</v>
      </c>
    </row>
    <row r="6228" spans="1:3" x14ac:dyDescent="0.3">
      <c r="A6228" s="2">
        <v>43483</v>
      </c>
      <c r="B6228">
        <f>6.5/(100)</f>
        <v>6.5000000000000002E-2</v>
      </c>
      <c r="C6228">
        <f>6.838/(100)</f>
        <v>6.8379999999999996E-2</v>
      </c>
    </row>
    <row r="6229" spans="1:3" x14ac:dyDescent="0.3">
      <c r="A6229" s="2">
        <v>43484</v>
      </c>
      <c r="B6229">
        <f>6.5/(100)</f>
        <v>6.5000000000000002E-2</v>
      </c>
      <c r="C6229">
        <f>6.838/(100)</f>
        <v>6.8379999999999996E-2</v>
      </c>
    </row>
    <row r="6230" spans="1:3" x14ac:dyDescent="0.3">
      <c r="A6230" s="2">
        <v>43485</v>
      </c>
      <c r="B6230">
        <f>6.5/(100)</f>
        <v>6.5000000000000002E-2</v>
      </c>
      <c r="C6230">
        <f>6.838/(100)</f>
        <v>6.8379999999999996E-2</v>
      </c>
    </row>
    <row r="6231" spans="1:3" x14ac:dyDescent="0.3">
      <c r="A6231" s="2">
        <v>43486</v>
      </c>
      <c r="B6231">
        <f>6.5/(100)</f>
        <v>6.5000000000000002E-2</v>
      </c>
      <c r="C6231">
        <f>6.839/(100)</f>
        <v>6.8390000000000006E-2</v>
      </c>
    </row>
    <row r="6232" spans="1:3" x14ac:dyDescent="0.3">
      <c r="A6232" s="2">
        <v>43487</v>
      </c>
      <c r="B6232">
        <f>6.5/(100)</f>
        <v>6.5000000000000002E-2</v>
      </c>
      <c r="C6232">
        <f>6.826/(100)</f>
        <v>6.8260000000000001E-2</v>
      </c>
    </row>
    <row r="6233" spans="1:3" x14ac:dyDescent="0.3">
      <c r="A6233" s="2">
        <v>43488</v>
      </c>
      <c r="B6233">
        <f>6.5/(100)</f>
        <v>6.5000000000000002E-2</v>
      </c>
      <c r="C6233">
        <f>6.831/(100)</f>
        <v>6.831000000000001E-2</v>
      </c>
    </row>
    <row r="6234" spans="1:3" x14ac:dyDescent="0.3">
      <c r="A6234" s="2">
        <v>43489</v>
      </c>
      <c r="B6234">
        <f>6.5/(100)</f>
        <v>6.5000000000000002E-2</v>
      </c>
      <c r="C6234">
        <f>6.823/(100)</f>
        <v>6.8229999999999999E-2</v>
      </c>
    </row>
    <row r="6235" spans="1:3" x14ac:dyDescent="0.3">
      <c r="A6235" s="2">
        <v>43490</v>
      </c>
      <c r="B6235">
        <f>6.5/(100)</f>
        <v>6.5000000000000002E-2</v>
      </c>
      <c r="C6235">
        <f>6.824/(100)</f>
        <v>6.8239999999999995E-2</v>
      </c>
    </row>
    <row r="6236" spans="1:3" x14ac:dyDescent="0.3">
      <c r="A6236" s="2">
        <v>43491</v>
      </c>
      <c r="B6236">
        <f>6.5/(100)</f>
        <v>6.5000000000000002E-2</v>
      </c>
      <c r="C6236">
        <f>6.824/(100)</f>
        <v>6.8239999999999995E-2</v>
      </c>
    </row>
    <row r="6237" spans="1:3" x14ac:dyDescent="0.3">
      <c r="A6237" s="2">
        <v>43492</v>
      </c>
      <c r="B6237">
        <f>6.5/(100)</f>
        <v>6.5000000000000002E-2</v>
      </c>
      <c r="C6237">
        <f>6.824/(100)</f>
        <v>6.8239999999999995E-2</v>
      </c>
    </row>
    <row r="6238" spans="1:3" x14ac:dyDescent="0.3">
      <c r="A6238" s="2">
        <v>43493</v>
      </c>
      <c r="B6238">
        <f>6.5/(100)</f>
        <v>6.5000000000000002E-2</v>
      </c>
      <c r="C6238">
        <f>6.833/(100)</f>
        <v>6.8330000000000002E-2</v>
      </c>
    </row>
    <row r="6239" spans="1:3" x14ac:dyDescent="0.3">
      <c r="A6239" s="2">
        <v>43494</v>
      </c>
      <c r="B6239">
        <f>6.5/(100)</f>
        <v>6.5000000000000002E-2</v>
      </c>
      <c r="C6239">
        <f>6.834/(100)</f>
        <v>6.8339999999999998E-2</v>
      </c>
    </row>
    <row r="6240" spans="1:3" x14ac:dyDescent="0.3">
      <c r="A6240" s="2">
        <v>43495</v>
      </c>
      <c r="B6240">
        <f>6.5/(100)</f>
        <v>6.5000000000000002E-2</v>
      </c>
      <c r="C6240">
        <f>6.836/(100)</f>
        <v>6.8360000000000004E-2</v>
      </c>
    </row>
    <row r="6241" spans="1:3" x14ac:dyDescent="0.3">
      <c r="A6241" s="2">
        <v>43496</v>
      </c>
      <c r="B6241">
        <f>6.5/(100)</f>
        <v>6.5000000000000002E-2</v>
      </c>
      <c r="C6241">
        <f>6.739/(100)</f>
        <v>6.7390000000000005E-2</v>
      </c>
    </row>
    <row r="6242" spans="1:3" x14ac:dyDescent="0.3">
      <c r="A6242" s="2">
        <v>43497</v>
      </c>
      <c r="B6242">
        <f>6.5/(100)</f>
        <v>6.5000000000000002E-2</v>
      </c>
      <c r="C6242">
        <f>6.782/(100)</f>
        <v>6.7820000000000005E-2</v>
      </c>
    </row>
    <row r="6243" spans="1:3" x14ac:dyDescent="0.3">
      <c r="A6243" s="2">
        <v>43498</v>
      </c>
      <c r="B6243">
        <f>6.5/(100)</f>
        <v>6.5000000000000002E-2</v>
      </c>
      <c r="C6243">
        <f>6.782/(100)</f>
        <v>6.7820000000000005E-2</v>
      </c>
    </row>
    <row r="6244" spans="1:3" x14ac:dyDescent="0.3">
      <c r="A6244" s="2">
        <v>43499</v>
      </c>
      <c r="B6244">
        <f>6.5/(100)</f>
        <v>6.5000000000000002E-2</v>
      </c>
      <c r="C6244">
        <f>6.782/(100)</f>
        <v>6.7820000000000005E-2</v>
      </c>
    </row>
    <row r="6245" spans="1:3" x14ac:dyDescent="0.3">
      <c r="A6245" s="2">
        <v>43500</v>
      </c>
      <c r="B6245">
        <f>6.5/(100)</f>
        <v>6.5000000000000002E-2</v>
      </c>
      <c r="C6245">
        <f>6.827/(100)</f>
        <v>6.8269999999999997E-2</v>
      </c>
    </row>
    <row r="6246" spans="1:3" x14ac:dyDescent="0.3">
      <c r="A6246" s="2">
        <v>43501</v>
      </c>
      <c r="B6246">
        <f>6.5/(100)</f>
        <v>6.5000000000000002E-2</v>
      </c>
      <c r="C6246">
        <f>6.81/(100)</f>
        <v>6.8099999999999994E-2</v>
      </c>
    </row>
    <row r="6247" spans="1:3" x14ac:dyDescent="0.3">
      <c r="A6247" s="2">
        <v>43502</v>
      </c>
      <c r="B6247">
        <f>6.5/(100)</f>
        <v>6.5000000000000002E-2</v>
      </c>
      <c r="C6247">
        <f>6.783/(100)</f>
        <v>6.7830000000000001E-2</v>
      </c>
    </row>
    <row r="6248" spans="1:3" x14ac:dyDescent="0.3">
      <c r="A6248" s="2">
        <v>43503</v>
      </c>
      <c r="B6248">
        <f>6.25/(100)</f>
        <v>6.25E-2</v>
      </c>
      <c r="C6248">
        <f>6.657/(100)</f>
        <v>6.6570000000000004E-2</v>
      </c>
    </row>
    <row r="6249" spans="1:3" x14ac:dyDescent="0.3">
      <c r="A6249" s="2">
        <v>43504</v>
      </c>
      <c r="B6249">
        <f>6.25/(100)</f>
        <v>6.25E-2</v>
      </c>
      <c r="C6249">
        <f>6.614/(100)</f>
        <v>6.6140000000000004E-2</v>
      </c>
    </row>
    <row r="6250" spans="1:3" x14ac:dyDescent="0.3">
      <c r="A6250" s="2">
        <v>43505</v>
      </c>
      <c r="B6250">
        <f>6.25/(100)</f>
        <v>6.25E-2</v>
      </c>
      <c r="C6250">
        <f>6.614/(100)</f>
        <v>6.6140000000000004E-2</v>
      </c>
    </row>
    <row r="6251" spans="1:3" x14ac:dyDescent="0.3">
      <c r="A6251" s="2">
        <v>43506</v>
      </c>
      <c r="B6251">
        <f>6.25/(100)</f>
        <v>6.25E-2</v>
      </c>
      <c r="C6251">
        <f>6.614/(100)</f>
        <v>6.6140000000000004E-2</v>
      </c>
    </row>
    <row r="6252" spans="1:3" x14ac:dyDescent="0.3">
      <c r="A6252" s="2">
        <v>43507</v>
      </c>
      <c r="B6252">
        <f>6.25/(100)</f>
        <v>6.25E-2</v>
      </c>
      <c r="C6252">
        <f>6.639/(100)</f>
        <v>6.6390000000000005E-2</v>
      </c>
    </row>
    <row r="6253" spans="1:3" x14ac:dyDescent="0.3">
      <c r="A6253" s="2">
        <v>43508</v>
      </c>
      <c r="B6253">
        <f>6.25/(100)</f>
        <v>6.25E-2</v>
      </c>
      <c r="C6253">
        <f>6.635/(100)</f>
        <v>6.6349999999999992E-2</v>
      </c>
    </row>
    <row r="6254" spans="1:3" x14ac:dyDescent="0.3">
      <c r="A6254" s="2">
        <v>43509</v>
      </c>
      <c r="B6254">
        <f>6.25/(100)</f>
        <v>6.25E-2</v>
      </c>
      <c r="C6254">
        <f>6.548/(100)</f>
        <v>6.5479999999999997E-2</v>
      </c>
    </row>
    <row r="6255" spans="1:3" x14ac:dyDescent="0.3">
      <c r="A6255" s="2">
        <v>43510</v>
      </c>
      <c r="B6255">
        <f>6.25/(100)</f>
        <v>6.25E-2</v>
      </c>
      <c r="C6255">
        <f>6.539/(100)</f>
        <v>6.5390000000000004E-2</v>
      </c>
    </row>
    <row r="6256" spans="1:3" x14ac:dyDescent="0.3">
      <c r="A6256" s="2">
        <v>43511</v>
      </c>
      <c r="B6256">
        <f>6.25/(100)</f>
        <v>6.25E-2</v>
      </c>
      <c r="C6256">
        <f>6.548/(100)</f>
        <v>6.5479999999999997E-2</v>
      </c>
    </row>
    <row r="6257" spans="1:3" x14ac:dyDescent="0.3">
      <c r="A6257" s="2">
        <v>43512</v>
      </c>
      <c r="B6257">
        <f>6.25/(100)</f>
        <v>6.25E-2</v>
      </c>
      <c r="C6257">
        <f>6.548/(100)</f>
        <v>6.5479999999999997E-2</v>
      </c>
    </row>
    <row r="6258" spans="1:3" x14ac:dyDescent="0.3">
      <c r="A6258" s="2">
        <v>43513</v>
      </c>
      <c r="B6258">
        <f>6.25/(100)</f>
        <v>6.25E-2</v>
      </c>
      <c r="C6258">
        <f>6.548/(100)</f>
        <v>6.5479999999999997E-2</v>
      </c>
    </row>
    <row r="6259" spans="1:3" x14ac:dyDescent="0.3">
      <c r="A6259" s="2">
        <v>43514</v>
      </c>
      <c r="B6259">
        <f>6.25/(100)</f>
        <v>6.25E-2</v>
      </c>
      <c r="C6259">
        <f>6.564/(100)</f>
        <v>6.5640000000000004E-2</v>
      </c>
    </row>
    <row r="6260" spans="1:3" x14ac:dyDescent="0.3">
      <c r="A6260" s="2">
        <v>43515</v>
      </c>
      <c r="B6260">
        <f>6.25/(100)</f>
        <v>6.25E-2</v>
      </c>
      <c r="C6260">
        <f>6.564/(100)</f>
        <v>6.5640000000000004E-2</v>
      </c>
    </row>
    <row r="6261" spans="1:3" x14ac:dyDescent="0.3">
      <c r="A6261" s="2">
        <v>43516</v>
      </c>
      <c r="B6261">
        <f>6.25/(100)</f>
        <v>6.25E-2</v>
      </c>
      <c r="C6261">
        <f>6.575/(100)</f>
        <v>6.5750000000000003E-2</v>
      </c>
    </row>
    <row r="6262" spans="1:3" x14ac:dyDescent="0.3">
      <c r="A6262" s="2">
        <v>43517</v>
      </c>
      <c r="B6262">
        <f>6.25/(100)</f>
        <v>6.25E-2</v>
      </c>
      <c r="C6262">
        <f>6.575/(100)</f>
        <v>6.5750000000000003E-2</v>
      </c>
    </row>
    <row r="6263" spans="1:3" x14ac:dyDescent="0.3">
      <c r="A6263" s="2">
        <v>43518</v>
      </c>
      <c r="B6263">
        <f>6.25/(100)</f>
        <v>6.25E-2</v>
      </c>
      <c r="C6263">
        <f>6.566/(100)</f>
        <v>6.5659999999999996E-2</v>
      </c>
    </row>
    <row r="6264" spans="1:3" x14ac:dyDescent="0.3">
      <c r="A6264" s="2">
        <v>43519</v>
      </c>
      <c r="B6264">
        <f>6.25/(100)</f>
        <v>6.25E-2</v>
      </c>
      <c r="C6264">
        <f>6.566/(100)</f>
        <v>6.5659999999999996E-2</v>
      </c>
    </row>
    <row r="6265" spans="1:3" x14ac:dyDescent="0.3">
      <c r="A6265" s="2">
        <v>43520</v>
      </c>
      <c r="B6265">
        <f>6.25/(100)</f>
        <v>6.25E-2</v>
      </c>
      <c r="C6265">
        <f>6.566/(100)</f>
        <v>6.5659999999999996E-2</v>
      </c>
    </row>
    <row r="6266" spans="1:3" x14ac:dyDescent="0.3">
      <c r="A6266" s="2">
        <v>43521</v>
      </c>
      <c r="B6266">
        <f>6.25/(100)</f>
        <v>6.25E-2</v>
      </c>
      <c r="C6266">
        <f>6.57/(100)</f>
        <v>6.5700000000000008E-2</v>
      </c>
    </row>
    <row r="6267" spans="1:3" x14ac:dyDescent="0.3">
      <c r="A6267" s="2">
        <v>43522</v>
      </c>
      <c r="B6267">
        <f>6.25/(100)</f>
        <v>6.25E-2</v>
      </c>
      <c r="C6267">
        <f>6.565/(100)</f>
        <v>6.565E-2</v>
      </c>
    </row>
    <row r="6268" spans="1:3" x14ac:dyDescent="0.3">
      <c r="A6268" s="2">
        <v>43523</v>
      </c>
      <c r="B6268">
        <f>6.25/(100)</f>
        <v>6.25E-2</v>
      </c>
      <c r="C6268">
        <f>6.594/(100)</f>
        <v>6.5939999999999999E-2</v>
      </c>
    </row>
    <row r="6269" spans="1:3" x14ac:dyDescent="0.3">
      <c r="A6269" s="2">
        <v>43524</v>
      </c>
      <c r="B6269">
        <f>6.25/(100)</f>
        <v>6.25E-2</v>
      </c>
      <c r="C6269">
        <f>6.57/(100)</f>
        <v>6.5700000000000008E-2</v>
      </c>
    </row>
    <row r="6270" spans="1:3" x14ac:dyDescent="0.3">
      <c r="A6270" s="2">
        <v>43525</v>
      </c>
      <c r="B6270">
        <f>6.25/(100)</f>
        <v>6.25E-2</v>
      </c>
      <c r="C6270">
        <f>6.57/(100)</f>
        <v>6.5700000000000008E-2</v>
      </c>
    </row>
    <row r="6271" spans="1:3" x14ac:dyDescent="0.3">
      <c r="A6271" s="2">
        <v>43526</v>
      </c>
      <c r="B6271">
        <f>6.25/(100)</f>
        <v>6.25E-2</v>
      </c>
      <c r="C6271">
        <f>6.57/(100)</f>
        <v>6.5700000000000008E-2</v>
      </c>
    </row>
    <row r="6272" spans="1:3" x14ac:dyDescent="0.3">
      <c r="A6272" s="2">
        <v>43527</v>
      </c>
      <c r="B6272">
        <f>6.25/(100)</f>
        <v>6.25E-2</v>
      </c>
      <c r="C6272">
        <f>6.57/(100)</f>
        <v>6.5700000000000008E-2</v>
      </c>
    </row>
    <row r="6273" spans="1:3" x14ac:dyDescent="0.3">
      <c r="A6273" s="2">
        <v>43528</v>
      </c>
      <c r="B6273">
        <f>6.25/(100)</f>
        <v>6.25E-2</v>
      </c>
      <c r="C6273">
        <f>6.57/(100)</f>
        <v>6.5700000000000008E-2</v>
      </c>
    </row>
    <row r="6274" spans="1:3" x14ac:dyDescent="0.3">
      <c r="A6274" s="2">
        <v>43529</v>
      </c>
      <c r="B6274">
        <f>6.25/(100)</f>
        <v>6.25E-2</v>
      </c>
      <c r="C6274">
        <f>6.565/(100)</f>
        <v>6.565E-2</v>
      </c>
    </row>
    <row r="6275" spans="1:3" x14ac:dyDescent="0.3">
      <c r="A6275" s="2">
        <v>43530</v>
      </c>
      <c r="B6275">
        <f>6.25/(100)</f>
        <v>6.25E-2</v>
      </c>
      <c r="C6275">
        <f>6.575/(100)</f>
        <v>6.5750000000000003E-2</v>
      </c>
    </row>
    <row r="6276" spans="1:3" x14ac:dyDescent="0.3">
      <c r="A6276" s="2">
        <v>43531</v>
      </c>
      <c r="B6276">
        <f>6.25/(100)</f>
        <v>6.25E-2</v>
      </c>
      <c r="C6276">
        <f>6.584/(100)</f>
        <v>6.5839999999999996E-2</v>
      </c>
    </row>
    <row r="6277" spans="1:3" x14ac:dyDescent="0.3">
      <c r="A6277" s="2">
        <v>43532</v>
      </c>
      <c r="B6277">
        <f>6.25/(100)</f>
        <v>6.25E-2</v>
      </c>
      <c r="C6277">
        <f>6.558/(100)</f>
        <v>6.5579999999999999E-2</v>
      </c>
    </row>
    <row r="6278" spans="1:3" x14ac:dyDescent="0.3">
      <c r="A6278" s="2">
        <v>43533</v>
      </c>
      <c r="B6278">
        <f>6.25/(100)</f>
        <v>6.25E-2</v>
      </c>
      <c r="C6278">
        <f>6.558/(100)</f>
        <v>6.5579999999999999E-2</v>
      </c>
    </row>
    <row r="6279" spans="1:3" x14ac:dyDescent="0.3">
      <c r="A6279" s="2">
        <v>43534</v>
      </c>
      <c r="B6279">
        <f>6.25/(100)</f>
        <v>6.25E-2</v>
      </c>
      <c r="C6279">
        <f>6.558/(100)</f>
        <v>6.5579999999999999E-2</v>
      </c>
    </row>
    <row r="6280" spans="1:3" x14ac:dyDescent="0.3">
      <c r="A6280" s="2">
        <v>43535</v>
      </c>
      <c r="B6280">
        <f>6.25/(100)</f>
        <v>6.25E-2</v>
      </c>
      <c r="C6280">
        <f>6.545/(100)</f>
        <v>6.5449999999999994E-2</v>
      </c>
    </row>
    <row r="6281" spans="1:3" x14ac:dyDescent="0.3">
      <c r="A6281" s="2">
        <v>43536</v>
      </c>
      <c r="B6281">
        <f>6.25/(100)</f>
        <v>6.25E-2</v>
      </c>
      <c r="C6281">
        <f>6.55/(100)</f>
        <v>6.5500000000000003E-2</v>
      </c>
    </row>
    <row r="6282" spans="1:3" x14ac:dyDescent="0.3">
      <c r="A6282" s="2">
        <v>43537</v>
      </c>
      <c r="B6282">
        <f>6.25/(100)</f>
        <v>6.25E-2</v>
      </c>
      <c r="C6282">
        <f>6.56/(100)</f>
        <v>6.5599999999999992E-2</v>
      </c>
    </row>
    <row r="6283" spans="1:3" x14ac:dyDescent="0.3">
      <c r="A6283" s="2">
        <v>43538</v>
      </c>
      <c r="B6283">
        <f>6.25/(100)</f>
        <v>6.25E-2</v>
      </c>
      <c r="C6283">
        <f>6.535/(100)</f>
        <v>6.5350000000000005E-2</v>
      </c>
    </row>
    <row r="6284" spans="1:3" x14ac:dyDescent="0.3">
      <c r="A6284" s="2">
        <v>43539</v>
      </c>
      <c r="B6284">
        <f>6.25/(100)</f>
        <v>6.25E-2</v>
      </c>
      <c r="C6284">
        <f>6.515/(100)</f>
        <v>6.515E-2</v>
      </c>
    </row>
    <row r="6285" spans="1:3" x14ac:dyDescent="0.3">
      <c r="A6285" s="2">
        <v>43540</v>
      </c>
      <c r="B6285">
        <f>6.25/(100)</f>
        <v>6.25E-2</v>
      </c>
      <c r="C6285">
        <f>6.515/(100)</f>
        <v>6.515E-2</v>
      </c>
    </row>
    <row r="6286" spans="1:3" x14ac:dyDescent="0.3">
      <c r="A6286" s="2">
        <v>43541</v>
      </c>
      <c r="B6286">
        <f>6.25/(100)</f>
        <v>6.25E-2</v>
      </c>
      <c r="C6286">
        <f>6.515/(100)</f>
        <v>6.515E-2</v>
      </c>
    </row>
    <row r="6287" spans="1:3" x14ac:dyDescent="0.3">
      <c r="A6287" s="2">
        <v>43542</v>
      </c>
      <c r="B6287">
        <f>6.25/(100)</f>
        <v>6.25E-2</v>
      </c>
      <c r="C6287">
        <f>6.525/(100)</f>
        <v>6.5250000000000002E-2</v>
      </c>
    </row>
    <row r="6288" spans="1:3" x14ac:dyDescent="0.3">
      <c r="A6288" s="2">
        <v>43543</v>
      </c>
      <c r="B6288">
        <f>6.25/(100)</f>
        <v>6.25E-2</v>
      </c>
      <c r="C6288">
        <f>6.525/(100)</f>
        <v>6.5250000000000002E-2</v>
      </c>
    </row>
    <row r="6289" spans="1:3" x14ac:dyDescent="0.3">
      <c r="A6289" s="2">
        <v>43544</v>
      </c>
      <c r="B6289">
        <f>6.25/(100)</f>
        <v>6.25E-2</v>
      </c>
      <c r="C6289">
        <f>6.515/(100)</f>
        <v>6.515E-2</v>
      </c>
    </row>
    <row r="6290" spans="1:3" x14ac:dyDescent="0.3">
      <c r="A6290" s="2">
        <v>43545</v>
      </c>
      <c r="B6290">
        <f>6.25/(100)</f>
        <v>6.25E-2</v>
      </c>
      <c r="C6290">
        <f>6.515/(100)</f>
        <v>6.515E-2</v>
      </c>
    </row>
    <row r="6291" spans="1:3" x14ac:dyDescent="0.3">
      <c r="A6291" s="2">
        <v>43546</v>
      </c>
      <c r="B6291">
        <f>6.25/(100)</f>
        <v>6.25E-2</v>
      </c>
      <c r="C6291">
        <f>6.527/(100)</f>
        <v>6.5269999999999995E-2</v>
      </c>
    </row>
    <row r="6292" spans="1:3" x14ac:dyDescent="0.3">
      <c r="A6292" s="2">
        <v>43547</v>
      </c>
      <c r="B6292">
        <f>6.25/(100)</f>
        <v>6.25E-2</v>
      </c>
      <c r="C6292">
        <f>6.527/(100)</f>
        <v>6.5269999999999995E-2</v>
      </c>
    </row>
    <row r="6293" spans="1:3" x14ac:dyDescent="0.3">
      <c r="A6293" s="2">
        <v>43548</v>
      </c>
      <c r="B6293">
        <f>6.25/(100)</f>
        <v>6.25E-2</v>
      </c>
      <c r="C6293">
        <f>6.527/(100)</f>
        <v>6.5269999999999995E-2</v>
      </c>
    </row>
    <row r="6294" spans="1:3" x14ac:dyDescent="0.3">
      <c r="A6294" s="2">
        <v>43549</v>
      </c>
      <c r="B6294">
        <f>6.25/(100)</f>
        <v>6.25E-2</v>
      </c>
      <c r="C6294">
        <f>6.51/(100)</f>
        <v>6.5099999999999991E-2</v>
      </c>
    </row>
    <row r="6295" spans="1:3" x14ac:dyDescent="0.3">
      <c r="A6295" s="2">
        <v>43550</v>
      </c>
      <c r="B6295">
        <f>6.25/(100)</f>
        <v>6.25E-2</v>
      </c>
      <c r="C6295">
        <f>6.517/(100)</f>
        <v>6.5170000000000006E-2</v>
      </c>
    </row>
    <row r="6296" spans="1:3" x14ac:dyDescent="0.3">
      <c r="A6296" s="2">
        <v>43551</v>
      </c>
      <c r="B6296">
        <f>6.25/(100)</f>
        <v>6.25E-2</v>
      </c>
      <c r="C6296">
        <f>6.525/(100)</f>
        <v>6.5250000000000002E-2</v>
      </c>
    </row>
    <row r="6297" spans="1:3" x14ac:dyDescent="0.3">
      <c r="A6297" s="2">
        <v>43552</v>
      </c>
      <c r="B6297">
        <f>6.25/(100)</f>
        <v>6.25E-2</v>
      </c>
      <c r="C6297">
        <f>6.519/(100)</f>
        <v>6.5189999999999998E-2</v>
      </c>
    </row>
    <row r="6298" spans="1:3" x14ac:dyDescent="0.3">
      <c r="A6298" s="2">
        <v>43553</v>
      </c>
      <c r="B6298">
        <f>6.25/(100)</f>
        <v>6.25E-2</v>
      </c>
      <c r="C6298">
        <f>6.432/(100)</f>
        <v>6.4320000000000002E-2</v>
      </c>
    </row>
    <row r="6299" spans="1:3" x14ac:dyDescent="0.3">
      <c r="A6299" s="2">
        <v>43554</v>
      </c>
      <c r="B6299">
        <f>6.25/(100)</f>
        <v>6.25E-2</v>
      </c>
      <c r="C6299">
        <f>6.432/(100)</f>
        <v>6.4320000000000002E-2</v>
      </c>
    </row>
    <row r="6300" spans="1:3" x14ac:dyDescent="0.3">
      <c r="A6300" s="2">
        <v>43555</v>
      </c>
      <c r="B6300">
        <f>6.25/(100)</f>
        <v>6.25E-2</v>
      </c>
      <c r="C6300">
        <f>6.432/(100)</f>
        <v>6.4320000000000002E-2</v>
      </c>
    </row>
    <row r="6301" spans="1:3" x14ac:dyDescent="0.3">
      <c r="A6301" s="2">
        <v>43556</v>
      </c>
      <c r="B6301">
        <f>6.25/(100)</f>
        <v>6.25E-2</v>
      </c>
      <c r="C6301">
        <f>6.432/(100)</f>
        <v>6.4320000000000002E-2</v>
      </c>
    </row>
    <row r="6302" spans="1:3" x14ac:dyDescent="0.3">
      <c r="A6302" s="2">
        <v>43557</v>
      </c>
      <c r="B6302">
        <f>6.25/(100)</f>
        <v>6.25E-2</v>
      </c>
      <c r="C6302">
        <f>6.396/(100)</f>
        <v>6.3960000000000003E-2</v>
      </c>
    </row>
    <row r="6303" spans="1:3" x14ac:dyDescent="0.3">
      <c r="A6303" s="2">
        <v>43558</v>
      </c>
      <c r="B6303">
        <f>6.25/(100)</f>
        <v>6.25E-2</v>
      </c>
      <c r="C6303">
        <f>6.4/(100)</f>
        <v>6.4000000000000001E-2</v>
      </c>
    </row>
    <row r="6304" spans="1:3" x14ac:dyDescent="0.3">
      <c r="A6304" s="2">
        <v>43559</v>
      </c>
      <c r="B6304">
        <f>6/(100)</f>
        <v>0.06</v>
      </c>
      <c r="C6304">
        <f>6.452/(100)</f>
        <v>6.4519999999999994E-2</v>
      </c>
    </row>
    <row r="6305" spans="1:3" x14ac:dyDescent="0.3">
      <c r="A6305" s="2">
        <v>43560</v>
      </c>
      <c r="B6305">
        <f>6/(100)</f>
        <v>0.06</v>
      </c>
      <c r="C6305">
        <f>6.441/(100)</f>
        <v>6.4409999999999995E-2</v>
      </c>
    </row>
    <row r="6306" spans="1:3" x14ac:dyDescent="0.3">
      <c r="A6306" s="2">
        <v>43561</v>
      </c>
      <c r="B6306">
        <f>6/(100)</f>
        <v>0.06</v>
      </c>
      <c r="C6306">
        <f>6.441/(100)</f>
        <v>6.4409999999999995E-2</v>
      </c>
    </row>
    <row r="6307" spans="1:3" x14ac:dyDescent="0.3">
      <c r="A6307" s="2">
        <v>43562</v>
      </c>
      <c r="B6307">
        <f>6/(100)</f>
        <v>0.06</v>
      </c>
      <c r="C6307">
        <f>6.441/(100)</f>
        <v>6.4409999999999995E-2</v>
      </c>
    </row>
    <row r="6308" spans="1:3" x14ac:dyDescent="0.3">
      <c r="A6308" s="2">
        <v>43563</v>
      </c>
      <c r="B6308">
        <f>6/(100)</f>
        <v>0.06</v>
      </c>
      <c r="C6308">
        <f>6.493/(100)</f>
        <v>6.4930000000000002E-2</v>
      </c>
    </row>
    <row r="6309" spans="1:3" x14ac:dyDescent="0.3">
      <c r="A6309" s="2">
        <v>43564</v>
      </c>
      <c r="B6309">
        <f>6/(100)</f>
        <v>0.06</v>
      </c>
      <c r="C6309">
        <f>6.529/(100)</f>
        <v>6.5290000000000001E-2</v>
      </c>
    </row>
    <row r="6310" spans="1:3" x14ac:dyDescent="0.3">
      <c r="A6310" s="2">
        <v>43565</v>
      </c>
      <c r="B6310">
        <f>6/(100)</f>
        <v>0.06</v>
      </c>
      <c r="C6310">
        <f>6.491/(100)</f>
        <v>6.4909999999999995E-2</v>
      </c>
    </row>
    <row r="6311" spans="1:3" x14ac:dyDescent="0.3">
      <c r="A6311" s="2">
        <v>43566</v>
      </c>
      <c r="B6311">
        <f>6/(100)</f>
        <v>0.06</v>
      </c>
      <c r="C6311">
        <f>6.512/(100)</f>
        <v>6.5119999999999997E-2</v>
      </c>
    </row>
    <row r="6312" spans="1:3" x14ac:dyDescent="0.3">
      <c r="A6312" s="2">
        <v>43567</v>
      </c>
      <c r="B6312">
        <f>6/(100)</f>
        <v>0.06</v>
      </c>
      <c r="C6312">
        <f>6.512/(100)</f>
        <v>6.5119999999999997E-2</v>
      </c>
    </row>
    <row r="6313" spans="1:3" x14ac:dyDescent="0.3">
      <c r="A6313" s="2">
        <v>43568</v>
      </c>
      <c r="B6313">
        <f>6/(100)</f>
        <v>0.06</v>
      </c>
      <c r="C6313">
        <f>6.512/(100)</f>
        <v>6.5119999999999997E-2</v>
      </c>
    </row>
    <row r="6314" spans="1:3" x14ac:dyDescent="0.3">
      <c r="A6314" s="2">
        <v>43569</v>
      </c>
      <c r="B6314">
        <f>6/(100)</f>
        <v>0.06</v>
      </c>
      <c r="C6314">
        <f>6.512/(100)</f>
        <v>6.5119999999999997E-2</v>
      </c>
    </row>
    <row r="6315" spans="1:3" x14ac:dyDescent="0.3">
      <c r="A6315" s="2">
        <v>43570</v>
      </c>
      <c r="B6315">
        <f>6/(100)</f>
        <v>0.06</v>
      </c>
      <c r="C6315">
        <f>6.514/(100)</f>
        <v>6.5140000000000003E-2</v>
      </c>
    </row>
    <row r="6316" spans="1:3" x14ac:dyDescent="0.3">
      <c r="A6316" s="2">
        <v>43571</v>
      </c>
      <c r="B6316">
        <f>6/(100)</f>
        <v>0.06</v>
      </c>
      <c r="C6316">
        <f>6.529/(100)</f>
        <v>6.5290000000000001E-2</v>
      </c>
    </row>
    <row r="6317" spans="1:3" x14ac:dyDescent="0.3">
      <c r="A6317" s="2">
        <v>43572</v>
      </c>
      <c r="B6317">
        <f>6/(100)</f>
        <v>0.06</v>
      </c>
      <c r="C6317">
        <f>6.529/(100)</f>
        <v>6.5290000000000001E-2</v>
      </c>
    </row>
    <row r="6318" spans="1:3" x14ac:dyDescent="0.3">
      <c r="A6318" s="2">
        <v>43573</v>
      </c>
      <c r="B6318">
        <f>6/(100)</f>
        <v>0.06</v>
      </c>
      <c r="C6318">
        <f>6.537/(100)</f>
        <v>6.5369999999999998E-2</v>
      </c>
    </row>
    <row r="6319" spans="1:3" x14ac:dyDescent="0.3">
      <c r="A6319" s="2">
        <v>43574</v>
      </c>
      <c r="B6319">
        <f>6/(100)</f>
        <v>0.06</v>
      </c>
      <c r="C6319">
        <f>6.537/(100)</f>
        <v>6.5369999999999998E-2</v>
      </c>
    </row>
    <row r="6320" spans="1:3" x14ac:dyDescent="0.3">
      <c r="A6320" s="2">
        <v>43575</v>
      </c>
      <c r="B6320">
        <f>6/(100)</f>
        <v>0.06</v>
      </c>
      <c r="C6320">
        <f>6.537/(100)</f>
        <v>6.5369999999999998E-2</v>
      </c>
    </row>
    <row r="6321" spans="1:3" x14ac:dyDescent="0.3">
      <c r="A6321" s="2">
        <v>43576</v>
      </c>
      <c r="B6321">
        <f>6/(100)</f>
        <v>0.06</v>
      </c>
      <c r="C6321">
        <f>6.537/(100)</f>
        <v>6.5369999999999998E-2</v>
      </c>
    </row>
    <row r="6322" spans="1:3" x14ac:dyDescent="0.3">
      <c r="A6322" s="2">
        <v>43577</v>
      </c>
      <c r="B6322">
        <f>6/(100)</f>
        <v>0.06</v>
      </c>
      <c r="C6322">
        <f>6.569/(100)</f>
        <v>6.5689999999999998E-2</v>
      </c>
    </row>
    <row r="6323" spans="1:3" x14ac:dyDescent="0.3">
      <c r="A6323" s="2">
        <v>43578</v>
      </c>
      <c r="B6323">
        <f>6/(100)</f>
        <v>0.06</v>
      </c>
      <c r="C6323">
        <f>6.594/(100)</f>
        <v>6.5939999999999999E-2</v>
      </c>
    </row>
    <row r="6324" spans="1:3" x14ac:dyDescent="0.3">
      <c r="A6324" s="2">
        <v>43579</v>
      </c>
      <c r="B6324">
        <f>6/(100)</f>
        <v>0.06</v>
      </c>
      <c r="C6324">
        <f>6.579/(100)</f>
        <v>6.5790000000000001E-2</v>
      </c>
    </row>
    <row r="6325" spans="1:3" x14ac:dyDescent="0.3">
      <c r="A6325" s="2">
        <v>43580</v>
      </c>
      <c r="B6325">
        <f>6/(100)</f>
        <v>0.06</v>
      </c>
      <c r="C6325">
        <f>6.59/(100)</f>
        <v>6.59E-2</v>
      </c>
    </row>
    <row r="6326" spans="1:3" x14ac:dyDescent="0.3">
      <c r="A6326" s="2">
        <v>43581</v>
      </c>
      <c r="B6326">
        <f>6/(100)</f>
        <v>0.06</v>
      </c>
      <c r="C6326">
        <f>6.577/(100)</f>
        <v>6.5769999999999995E-2</v>
      </c>
    </row>
    <row r="6327" spans="1:3" x14ac:dyDescent="0.3">
      <c r="A6327" s="2">
        <v>43582</v>
      </c>
      <c r="B6327">
        <f>6/(100)</f>
        <v>0.06</v>
      </c>
      <c r="C6327">
        <f>6.577/(100)</f>
        <v>6.5769999999999995E-2</v>
      </c>
    </row>
    <row r="6328" spans="1:3" x14ac:dyDescent="0.3">
      <c r="A6328" s="2">
        <v>43583</v>
      </c>
      <c r="B6328">
        <f>6/(100)</f>
        <v>0.06</v>
      </c>
      <c r="C6328">
        <f>6.577/(100)</f>
        <v>6.5769999999999995E-2</v>
      </c>
    </row>
    <row r="6329" spans="1:3" x14ac:dyDescent="0.3">
      <c r="A6329" s="2">
        <v>43584</v>
      </c>
      <c r="B6329">
        <f>6/(100)</f>
        <v>0.06</v>
      </c>
      <c r="C6329">
        <f>6.577/(100)</f>
        <v>6.5769999999999995E-2</v>
      </c>
    </row>
    <row r="6330" spans="1:3" x14ac:dyDescent="0.3">
      <c r="A6330" s="2">
        <v>43585</v>
      </c>
      <c r="B6330">
        <f>6/(100)</f>
        <v>0.06</v>
      </c>
      <c r="C6330">
        <f>6.571/(100)</f>
        <v>6.5709999999999991E-2</v>
      </c>
    </row>
    <row r="6331" spans="1:3" x14ac:dyDescent="0.3">
      <c r="A6331" s="2">
        <v>43586</v>
      </c>
      <c r="B6331">
        <f>6/(100)</f>
        <v>0.06</v>
      </c>
      <c r="C6331">
        <f>6.571/(100)</f>
        <v>6.5709999999999991E-2</v>
      </c>
    </row>
    <row r="6332" spans="1:3" x14ac:dyDescent="0.3">
      <c r="A6332" s="2">
        <v>43587</v>
      </c>
      <c r="B6332">
        <f>6/(100)</f>
        <v>0.06</v>
      </c>
      <c r="C6332">
        <f>6.562/(100)</f>
        <v>6.5619999999999998E-2</v>
      </c>
    </row>
    <row r="6333" spans="1:3" x14ac:dyDescent="0.3">
      <c r="A6333" s="2">
        <v>43588</v>
      </c>
      <c r="B6333">
        <f>6/(100)</f>
        <v>0.06</v>
      </c>
      <c r="C6333">
        <f>6.563/(100)</f>
        <v>6.5629999999999994E-2</v>
      </c>
    </row>
    <row r="6334" spans="1:3" x14ac:dyDescent="0.3">
      <c r="A6334" s="2">
        <v>43589</v>
      </c>
      <c r="B6334">
        <f>6/(100)</f>
        <v>0.06</v>
      </c>
      <c r="C6334">
        <f>6.563/(100)</f>
        <v>6.5629999999999994E-2</v>
      </c>
    </row>
    <row r="6335" spans="1:3" x14ac:dyDescent="0.3">
      <c r="A6335" s="2">
        <v>43590</v>
      </c>
      <c r="B6335">
        <f>6/(100)</f>
        <v>0.06</v>
      </c>
      <c r="C6335">
        <f>6.563/(100)</f>
        <v>6.5629999999999994E-2</v>
      </c>
    </row>
    <row r="6336" spans="1:3" x14ac:dyDescent="0.3">
      <c r="A6336" s="2">
        <v>43591</v>
      </c>
      <c r="B6336">
        <f>6/(100)</f>
        <v>0.06</v>
      </c>
      <c r="C6336">
        <f>6.591/(100)</f>
        <v>6.5909999999999996E-2</v>
      </c>
    </row>
    <row r="6337" spans="1:3" x14ac:dyDescent="0.3">
      <c r="A6337" s="2">
        <v>43592</v>
      </c>
      <c r="B6337">
        <f>6/(100)</f>
        <v>0.06</v>
      </c>
      <c r="C6337">
        <f>6.562/(100)</f>
        <v>6.5619999999999998E-2</v>
      </c>
    </row>
    <row r="6338" spans="1:3" x14ac:dyDescent="0.3">
      <c r="A6338" s="2">
        <v>43593</v>
      </c>
      <c r="B6338">
        <f>6/(100)</f>
        <v>0.06</v>
      </c>
      <c r="C6338">
        <f>6.562/(100)</f>
        <v>6.5619999999999998E-2</v>
      </c>
    </row>
    <row r="6339" spans="1:3" x14ac:dyDescent="0.3">
      <c r="A6339" s="2">
        <v>43594</v>
      </c>
      <c r="B6339">
        <f>6/(100)</f>
        <v>0.06</v>
      </c>
      <c r="C6339">
        <f>6.561/(100)</f>
        <v>6.5610000000000002E-2</v>
      </c>
    </row>
    <row r="6340" spans="1:3" x14ac:dyDescent="0.3">
      <c r="A6340" s="2">
        <v>43595</v>
      </c>
      <c r="B6340">
        <f>6/(100)</f>
        <v>0.06</v>
      </c>
      <c r="C6340">
        <f>6.56/(100)</f>
        <v>6.5599999999999992E-2</v>
      </c>
    </row>
    <row r="6341" spans="1:3" x14ac:dyDescent="0.3">
      <c r="A6341" s="2">
        <v>43596</v>
      </c>
      <c r="B6341">
        <f>6/(100)</f>
        <v>0.06</v>
      </c>
      <c r="C6341">
        <f>6.56/(100)</f>
        <v>6.5599999999999992E-2</v>
      </c>
    </row>
    <row r="6342" spans="1:3" x14ac:dyDescent="0.3">
      <c r="A6342" s="2">
        <v>43597</v>
      </c>
      <c r="B6342">
        <f>6/(100)</f>
        <v>0.06</v>
      </c>
      <c r="C6342">
        <f>6.56/(100)</f>
        <v>6.5599999999999992E-2</v>
      </c>
    </row>
    <row r="6343" spans="1:3" x14ac:dyDescent="0.3">
      <c r="A6343" s="2">
        <v>43598</v>
      </c>
      <c r="B6343">
        <f>6/(100)</f>
        <v>0.06</v>
      </c>
      <c r="C6343">
        <f>6.513/(100)</f>
        <v>6.5129999999999993E-2</v>
      </c>
    </row>
    <row r="6344" spans="1:3" x14ac:dyDescent="0.3">
      <c r="A6344" s="2">
        <v>43599</v>
      </c>
      <c r="B6344">
        <f>6/(100)</f>
        <v>0.06</v>
      </c>
      <c r="C6344">
        <f>6.524/(100)</f>
        <v>6.5240000000000006E-2</v>
      </c>
    </row>
    <row r="6345" spans="1:3" x14ac:dyDescent="0.3">
      <c r="A6345" s="2">
        <v>43600</v>
      </c>
      <c r="B6345">
        <f>6/(100)</f>
        <v>0.06</v>
      </c>
      <c r="C6345">
        <f>6.488/(100)</f>
        <v>6.4880000000000007E-2</v>
      </c>
    </row>
    <row r="6346" spans="1:3" x14ac:dyDescent="0.3">
      <c r="A6346" s="2">
        <v>43601</v>
      </c>
      <c r="B6346">
        <f>6/(100)</f>
        <v>0.06</v>
      </c>
      <c r="C6346">
        <f>6.47/(100)</f>
        <v>6.4699999999999994E-2</v>
      </c>
    </row>
    <row r="6347" spans="1:3" x14ac:dyDescent="0.3">
      <c r="A6347" s="2">
        <v>43602</v>
      </c>
      <c r="B6347">
        <f>6/(100)</f>
        <v>0.06</v>
      </c>
      <c r="C6347">
        <f>6.468/(100)</f>
        <v>6.4680000000000001E-2</v>
      </c>
    </row>
    <row r="6348" spans="1:3" x14ac:dyDescent="0.3">
      <c r="A6348" s="2">
        <v>43603</v>
      </c>
      <c r="B6348">
        <f>6/(100)</f>
        <v>0.06</v>
      </c>
      <c r="C6348">
        <f>6.468/(100)</f>
        <v>6.4680000000000001E-2</v>
      </c>
    </row>
    <row r="6349" spans="1:3" x14ac:dyDescent="0.3">
      <c r="A6349" s="2">
        <v>43604</v>
      </c>
      <c r="B6349">
        <f>6/(100)</f>
        <v>0.06</v>
      </c>
      <c r="C6349">
        <f>6.468/(100)</f>
        <v>6.4680000000000001E-2</v>
      </c>
    </row>
    <row r="6350" spans="1:3" x14ac:dyDescent="0.3">
      <c r="A6350" s="2">
        <v>43605</v>
      </c>
      <c r="B6350">
        <f>6/(100)</f>
        <v>0.06</v>
      </c>
      <c r="C6350">
        <f>6.426/(100)</f>
        <v>6.4259999999999998E-2</v>
      </c>
    </row>
    <row r="6351" spans="1:3" x14ac:dyDescent="0.3">
      <c r="A6351" s="2">
        <v>43606</v>
      </c>
      <c r="B6351">
        <f>6/(100)</f>
        <v>0.06</v>
      </c>
      <c r="C6351">
        <f>6.416/(100)</f>
        <v>6.4160000000000009E-2</v>
      </c>
    </row>
    <row r="6352" spans="1:3" x14ac:dyDescent="0.3">
      <c r="A6352" s="2">
        <v>43607</v>
      </c>
      <c r="B6352">
        <f>6/(100)</f>
        <v>0.06</v>
      </c>
      <c r="C6352">
        <f>6.401/(100)</f>
        <v>6.4009999999999997E-2</v>
      </c>
    </row>
    <row r="6353" spans="1:3" x14ac:dyDescent="0.3">
      <c r="A6353" s="2">
        <v>43608</v>
      </c>
      <c r="B6353">
        <f>6/(100)</f>
        <v>0.06</v>
      </c>
      <c r="C6353">
        <f>6.376/(100)</f>
        <v>6.3759999999999997E-2</v>
      </c>
    </row>
    <row r="6354" spans="1:3" x14ac:dyDescent="0.3">
      <c r="A6354" s="2">
        <v>43609</v>
      </c>
      <c r="B6354">
        <f>6/(100)</f>
        <v>0.06</v>
      </c>
      <c r="C6354">
        <f>6.361/(100)</f>
        <v>6.361E-2</v>
      </c>
    </row>
    <row r="6355" spans="1:3" x14ac:dyDescent="0.3">
      <c r="A6355" s="2">
        <v>43610</v>
      </c>
      <c r="B6355">
        <f>6/(100)</f>
        <v>0.06</v>
      </c>
      <c r="C6355">
        <f>6.361/(100)</f>
        <v>6.361E-2</v>
      </c>
    </row>
    <row r="6356" spans="1:3" x14ac:dyDescent="0.3">
      <c r="A6356" s="2">
        <v>43611</v>
      </c>
      <c r="B6356">
        <f>6/(100)</f>
        <v>0.06</v>
      </c>
      <c r="C6356">
        <f>6.361/(100)</f>
        <v>6.361E-2</v>
      </c>
    </row>
    <row r="6357" spans="1:3" x14ac:dyDescent="0.3">
      <c r="A6357" s="2">
        <v>43612</v>
      </c>
      <c r="B6357">
        <f>6/(100)</f>
        <v>0.06</v>
      </c>
      <c r="C6357">
        <f>6.339/(100)</f>
        <v>6.3390000000000002E-2</v>
      </c>
    </row>
    <row r="6358" spans="1:3" x14ac:dyDescent="0.3">
      <c r="A6358" s="2">
        <v>43613</v>
      </c>
      <c r="B6358">
        <f>6/(100)</f>
        <v>0.06</v>
      </c>
      <c r="C6358">
        <f>6.359/(100)</f>
        <v>6.3589999999999994E-2</v>
      </c>
    </row>
    <row r="6359" spans="1:3" x14ac:dyDescent="0.3">
      <c r="A6359" s="2">
        <v>43614</v>
      </c>
      <c r="B6359">
        <f>6/(100)</f>
        <v>0.06</v>
      </c>
      <c r="C6359">
        <f>6.333/(100)</f>
        <v>6.3329999999999997E-2</v>
      </c>
    </row>
    <row r="6360" spans="1:3" x14ac:dyDescent="0.3">
      <c r="A6360" s="2">
        <v>43615</v>
      </c>
      <c r="B6360">
        <f>6/(100)</f>
        <v>0.06</v>
      </c>
      <c r="C6360">
        <f>6.336/(100)</f>
        <v>6.336E-2</v>
      </c>
    </row>
    <row r="6361" spans="1:3" x14ac:dyDescent="0.3">
      <c r="A6361" s="2">
        <v>43616</v>
      </c>
      <c r="B6361">
        <f>6/(100)</f>
        <v>0.06</v>
      </c>
      <c r="C6361">
        <f>6.257/(100)</f>
        <v>6.2570000000000001E-2</v>
      </c>
    </row>
    <row r="6362" spans="1:3" x14ac:dyDescent="0.3">
      <c r="A6362" s="2">
        <v>43617</v>
      </c>
      <c r="B6362">
        <f>6/(100)</f>
        <v>0.06</v>
      </c>
      <c r="C6362">
        <f>6.257/(100)</f>
        <v>6.2570000000000001E-2</v>
      </c>
    </row>
    <row r="6363" spans="1:3" x14ac:dyDescent="0.3">
      <c r="A6363" s="2">
        <v>43618</v>
      </c>
      <c r="B6363">
        <f>6/(100)</f>
        <v>0.06</v>
      </c>
      <c r="C6363">
        <f>6.257/(100)</f>
        <v>6.2570000000000001E-2</v>
      </c>
    </row>
    <row r="6364" spans="1:3" x14ac:dyDescent="0.3">
      <c r="A6364" s="2">
        <v>43619</v>
      </c>
      <c r="B6364">
        <f>6/(100)</f>
        <v>0.06</v>
      </c>
      <c r="C6364">
        <f>6.194/(100)</f>
        <v>6.1940000000000002E-2</v>
      </c>
    </row>
    <row r="6365" spans="1:3" x14ac:dyDescent="0.3">
      <c r="A6365" s="2">
        <v>43620</v>
      </c>
      <c r="B6365">
        <f>6/(100)</f>
        <v>0.06</v>
      </c>
      <c r="C6365">
        <f>6.228/(100)</f>
        <v>6.2279999999999995E-2</v>
      </c>
    </row>
    <row r="6366" spans="1:3" x14ac:dyDescent="0.3">
      <c r="A6366" s="2">
        <v>43621</v>
      </c>
      <c r="B6366">
        <f>6/(100)</f>
        <v>0.06</v>
      </c>
      <c r="C6366">
        <f>6.228/(100)</f>
        <v>6.2279999999999995E-2</v>
      </c>
    </row>
    <row r="6367" spans="1:3" x14ac:dyDescent="0.3">
      <c r="A6367" s="2">
        <v>43622</v>
      </c>
      <c r="B6367">
        <f>5.75/(100)</f>
        <v>5.7500000000000002E-2</v>
      </c>
      <c r="C6367">
        <f>6.152/(100)</f>
        <v>6.1519999999999998E-2</v>
      </c>
    </row>
    <row r="6368" spans="1:3" x14ac:dyDescent="0.3">
      <c r="A6368" s="2">
        <v>43623</v>
      </c>
      <c r="B6368">
        <f>5.75/(100)</f>
        <v>5.7500000000000002E-2</v>
      </c>
      <c r="C6368">
        <f>6.147/(100)</f>
        <v>6.1470000000000004E-2</v>
      </c>
    </row>
    <row r="6369" spans="1:3" x14ac:dyDescent="0.3">
      <c r="A6369" s="2">
        <v>43624</v>
      </c>
      <c r="B6369">
        <f>5.75/(100)</f>
        <v>5.7500000000000002E-2</v>
      </c>
      <c r="C6369">
        <f>6.147/(100)</f>
        <v>6.1470000000000004E-2</v>
      </c>
    </row>
    <row r="6370" spans="1:3" x14ac:dyDescent="0.3">
      <c r="A6370" s="2">
        <v>43625</v>
      </c>
      <c r="B6370">
        <f>5.75/(100)</f>
        <v>5.7500000000000002E-2</v>
      </c>
      <c r="C6370">
        <f>6.147/(100)</f>
        <v>6.1470000000000004E-2</v>
      </c>
    </row>
    <row r="6371" spans="1:3" x14ac:dyDescent="0.3">
      <c r="A6371" s="2">
        <v>43626</v>
      </c>
      <c r="B6371">
        <f>5.75/(100)</f>
        <v>5.7500000000000002E-2</v>
      </c>
      <c r="C6371">
        <f>6.195/(100)</f>
        <v>6.1950000000000005E-2</v>
      </c>
    </row>
    <row r="6372" spans="1:3" x14ac:dyDescent="0.3">
      <c r="A6372" s="2">
        <v>43627</v>
      </c>
      <c r="B6372">
        <f>5.75/(100)</f>
        <v>5.7500000000000002E-2</v>
      </c>
      <c r="C6372">
        <f>6.15/(100)</f>
        <v>6.1500000000000006E-2</v>
      </c>
    </row>
    <row r="6373" spans="1:3" x14ac:dyDescent="0.3">
      <c r="A6373" s="2">
        <v>43628</v>
      </c>
      <c r="B6373">
        <f>5.75/(100)</f>
        <v>5.7500000000000002E-2</v>
      </c>
      <c r="C6373">
        <f>6.148/(100)</f>
        <v>6.148E-2</v>
      </c>
    </row>
    <row r="6374" spans="1:3" x14ac:dyDescent="0.3">
      <c r="A6374" s="2">
        <v>43629</v>
      </c>
      <c r="B6374">
        <f>5.75/(100)</f>
        <v>5.7500000000000002E-2</v>
      </c>
      <c r="C6374">
        <f>6.153/(100)</f>
        <v>6.1529999999999994E-2</v>
      </c>
    </row>
    <row r="6375" spans="1:3" x14ac:dyDescent="0.3">
      <c r="A6375" s="2">
        <v>43630</v>
      </c>
      <c r="B6375">
        <f>5.75/(100)</f>
        <v>5.7500000000000002E-2</v>
      </c>
      <c r="C6375">
        <f>6.122/(100)</f>
        <v>6.1219999999999997E-2</v>
      </c>
    </row>
    <row r="6376" spans="1:3" x14ac:dyDescent="0.3">
      <c r="A6376" s="2">
        <v>43631</v>
      </c>
      <c r="B6376">
        <f>5.75/(100)</f>
        <v>5.7500000000000002E-2</v>
      </c>
      <c r="C6376">
        <f>6.122/(100)</f>
        <v>6.1219999999999997E-2</v>
      </c>
    </row>
    <row r="6377" spans="1:3" x14ac:dyDescent="0.3">
      <c r="A6377" s="2">
        <v>43632</v>
      </c>
      <c r="B6377">
        <f>5.75/(100)</f>
        <v>5.7500000000000002E-2</v>
      </c>
      <c r="C6377">
        <f>6.122/(100)</f>
        <v>6.1219999999999997E-2</v>
      </c>
    </row>
    <row r="6378" spans="1:3" x14ac:dyDescent="0.3">
      <c r="A6378" s="2">
        <v>43633</v>
      </c>
      <c r="B6378">
        <f>5.75/(100)</f>
        <v>5.7500000000000002E-2</v>
      </c>
      <c r="C6378">
        <f>6.12/(100)</f>
        <v>6.1200000000000004E-2</v>
      </c>
    </row>
    <row r="6379" spans="1:3" x14ac:dyDescent="0.3">
      <c r="A6379" s="2">
        <v>43634</v>
      </c>
      <c r="B6379">
        <f>5.75/(100)</f>
        <v>5.7500000000000002E-2</v>
      </c>
      <c r="C6379">
        <f>6.067/(100)</f>
        <v>6.0670000000000002E-2</v>
      </c>
    </row>
    <row r="6380" spans="1:3" x14ac:dyDescent="0.3">
      <c r="A6380" s="2">
        <v>43635</v>
      </c>
      <c r="B6380">
        <f>5.75/(100)</f>
        <v>5.7500000000000002E-2</v>
      </c>
      <c r="C6380">
        <f>6.103/(100)</f>
        <v>6.1030000000000001E-2</v>
      </c>
    </row>
    <row r="6381" spans="1:3" x14ac:dyDescent="0.3">
      <c r="A6381" s="2">
        <v>43636</v>
      </c>
      <c r="B6381">
        <f>5.75/(100)</f>
        <v>5.7500000000000002E-2</v>
      </c>
      <c r="C6381">
        <f>6.076/(100)</f>
        <v>6.0759999999999995E-2</v>
      </c>
    </row>
    <row r="6382" spans="1:3" x14ac:dyDescent="0.3">
      <c r="A6382" s="2">
        <v>43637</v>
      </c>
      <c r="B6382">
        <f>5.75/(100)</f>
        <v>5.7500000000000002E-2</v>
      </c>
      <c r="C6382">
        <f>6.122/(100)</f>
        <v>6.1219999999999997E-2</v>
      </c>
    </row>
    <row r="6383" spans="1:3" x14ac:dyDescent="0.3">
      <c r="A6383" s="2">
        <v>43638</v>
      </c>
      <c r="B6383">
        <f>5.75/(100)</f>
        <v>5.7500000000000002E-2</v>
      </c>
      <c r="C6383">
        <f>6.122/(100)</f>
        <v>6.1219999999999997E-2</v>
      </c>
    </row>
    <row r="6384" spans="1:3" x14ac:dyDescent="0.3">
      <c r="A6384" s="2">
        <v>43639</v>
      </c>
      <c r="B6384">
        <f>5.75/(100)</f>
        <v>5.7500000000000002E-2</v>
      </c>
      <c r="C6384">
        <f>6.122/(100)</f>
        <v>6.1219999999999997E-2</v>
      </c>
    </row>
    <row r="6385" spans="1:3" x14ac:dyDescent="0.3">
      <c r="A6385" s="2">
        <v>43640</v>
      </c>
      <c r="B6385">
        <f>5.75/(100)</f>
        <v>5.7500000000000002E-2</v>
      </c>
      <c r="C6385">
        <f>6.159/(100)</f>
        <v>6.1589999999999999E-2</v>
      </c>
    </row>
    <row r="6386" spans="1:3" x14ac:dyDescent="0.3">
      <c r="A6386" s="2">
        <v>43641</v>
      </c>
      <c r="B6386">
        <f>5.75/(100)</f>
        <v>5.7500000000000002E-2</v>
      </c>
      <c r="C6386">
        <f>6.118/(100)</f>
        <v>6.1180000000000005E-2</v>
      </c>
    </row>
    <row r="6387" spans="1:3" x14ac:dyDescent="0.3">
      <c r="A6387" s="2">
        <v>43642</v>
      </c>
      <c r="B6387">
        <f>5.75/(100)</f>
        <v>5.7500000000000002E-2</v>
      </c>
      <c r="C6387">
        <f>6.129/(100)</f>
        <v>6.1289999999999997E-2</v>
      </c>
    </row>
    <row r="6388" spans="1:3" x14ac:dyDescent="0.3">
      <c r="A6388" s="2">
        <v>43643</v>
      </c>
      <c r="B6388">
        <f>5.75/(100)</f>
        <v>5.7500000000000002E-2</v>
      </c>
      <c r="C6388">
        <f>6.114/(100)</f>
        <v>6.114E-2</v>
      </c>
    </row>
    <row r="6389" spans="1:3" x14ac:dyDescent="0.3">
      <c r="A6389" s="2">
        <v>43644</v>
      </c>
      <c r="B6389">
        <f>5.75/(100)</f>
        <v>5.7500000000000002E-2</v>
      </c>
      <c r="C6389">
        <f>6.189/(100)</f>
        <v>6.1890000000000001E-2</v>
      </c>
    </row>
    <row r="6390" spans="1:3" x14ac:dyDescent="0.3">
      <c r="A6390" s="2">
        <v>43645</v>
      </c>
      <c r="B6390">
        <f>5.75/(100)</f>
        <v>5.7500000000000002E-2</v>
      </c>
      <c r="C6390">
        <f>6.189/(100)</f>
        <v>6.1890000000000001E-2</v>
      </c>
    </row>
    <row r="6391" spans="1:3" x14ac:dyDescent="0.3">
      <c r="A6391" s="2">
        <v>43646</v>
      </c>
      <c r="B6391">
        <f>5.75/(100)</f>
        <v>5.7500000000000002E-2</v>
      </c>
      <c r="C6391">
        <f>6.189/(100)</f>
        <v>6.1890000000000001E-2</v>
      </c>
    </row>
    <row r="6392" spans="1:3" x14ac:dyDescent="0.3">
      <c r="A6392" s="2">
        <v>43647</v>
      </c>
      <c r="B6392">
        <f>5.75/(100)</f>
        <v>5.7500000000000002E-2</v>
      </c>
      <c r="C6392">
        <f>6.16/(100)</f>
        <v>6.1600000000000002E-2</v>
      </c>
    </row>
    <row r="6393" spans="1:3" x14ac:dyDescent="0.3">
      <c r="A6393" s="2">
        <v>43648</v>
      </c>
      <c r="B6393">
        <f>5.75/(100)</f>
        <v>5.7500000000000002E-2</v>
      </c>
      <c r="C6393">
        <f>6.186/(100)</f>
        <v>6.1859999999999998E-2</v>
      </c>
    </row>
    <row r="6394" spans="1:3" x14ac:dyDescent="0.3">
      <c r="A6394" s="2">
        <v>43649</v>
      </c>
      <c r="B6394">
        <f>5.75/(100)</f>
        <v>5.7500000000000002E-2</v>
      </c>
      <c r="C6394">
        <f>6.136/(100)</f>
        <v>6.1359999999999998E-2</v>
      </c>
    </row>
    <row r="6395" spans="1:3" x14ac:dyDescent="0.3">
      <c r="A6395" s="2">
        <v>43650</v>
      </c>
      <c r="B6395">
        <f>5.75/(100)</f>
        <v>5.7500000000000002E-2</v>
      </c>
      <c r="C6395">
        <f>6.101/(100)</f>
        <v>6.1010000000000002E-2</v>
      </c>
    </row>
    <row r="6396" spans="1:3" x14ac:dyDescent="0.3">
      <c r="A6396" s="2">
        <v>43651</v>
      </c>
      <c r="B6396">
        <f>5.75/(100)</f>
        <v>5.7500000000000002E-2</v>
      </c>
      <c r="C6396">
        <f>6.123/(100)</f>
        <v>6.123E-2</v>
      </c>
    </row>
    <row r="6397" spans="1:3" x14ac:dyDescent="0.3">
      <c r="A6397" s="2">
        <v>43652</v>
      </c>
      <c r="B6397">
        <f>5.75/(100)</f>
        <v>5.7500000000000002E-2</v>
      </c>
      <c r="C6397">
        <f>6.123/(100)</f>
        <v>6.123E-2</v>
      </c>
    </row>
    <row r="6398" spans="1:3" x14ac:dyDescent="0.3">
      <c r="A6398" s="2">
        <v>43653</v>
      </c>
      <c r="B6398">
        <f>5.75/(100)</f>
        <v>5.7500000000000002E-2</v>
      </c>
      <c r="C6398">
        <f>6.123/(100)</f>
        <v>6.123E-2</v>
      </c>
    </row>
    <row r="6399" spans="1:3" x14ac:dyDescent="0.3">
      <c r="A6399" s="2">
        <v>43654</v>
      </c>
      <c r="B6399">
        <f>5.75/(100)</f>
        <v>5.7500000000000002E-2</v>
      </c>
      <c r="C6399">
        <f>6.136/(100)</f>
        <v>6.1359999999999998E-2</v>
      </c>
    </row>
    <row r="6400" spans="1:3" x14ac:dyDescent="0.3">
      <c r="A6400" s="2">
        <v>43655</v>
      </c>
      <c r="B6400">
        <f>5.75/(100)</f>
        <v>5.7500000000000002E-2</v>
      </c>
      <c r="C6400">
        <f>6.091/(100)</f>
        <v>6.0909999999999999E-2</v>
      </c>
    </row>
    <row r="6401" spans="1:3" x14ac:dyDescent="0.3">
      <c r="A6401" s="2">
        <v>43656</v>
      </c>
      <c r="B6401">
        <f>5.75/(100)</f>
        <v>5.7500000000000002E-2</v>
      </c>
      <c r="C6401">
        <f>6.077/(100)</f>
        <v>6.0769999999999998E-2</v>
      </c>
    </row>
    <row r="6402" spans="1:3" x14ac:dyDescent="0.3">
      <c r="A6402" s="2">
        <v>43657</v>
      </c>
      <c r="B6402">
        <f>5.75/(100)</f>
        <v>5.7500000000000002E-2</v>
      </c>
      <c r="C6402">
        <f>6.042/(100)</f>
        <v>6.0420000000000001E-2</v>
      </c>
    </row>
    <row r="6403" spans="1:3" x14ac:dyDescent="0.3">
      <c r="A6403" s="2">
        <v>43658</v>
      </c>
      <c r="B6403">
        <f>5.75/(100)</f>
        <v>5.7500000000000002E-2</v>
      </c>
      <c r="C6403">
        <f>6.043/(100)</f>
        <v>6.0430000000000005E-2</v>
      </c>
    </row>
    <row r="6404" spans="1:3" x14ac:dyDescent="0.3">
      <c r="A6404" s="2">
        <v>43659</v>
      </c>
      <c r="B6404">
        <f>5.75/(100)</f>
        <v>5.7500000000000002E-2</v>
      </c>
      <c r="C6404">
        <f>6.043/(100)</f>
        <v>6.0430000000000005E-2</v>
      </c>
    </row>
    <row r="6405" spans="1:3" x14ac:dyDescent="0.3">
      <c r="A6405" s="2">
        <v>43660</v>
      </c>
      <c r="B6405">
        <f>5.75/(100)</f>
        <v>5.7500000000000002E-2</v>
      </c>
      <c r="C6405">
        <f>6.043/(100)</f>
        <v>6.0430000000000005E-2</v>
      </c>
    </row>
    <row r="6406" spans="1:3" x14ac:dyDescent="0.3">
      <c r="A6406" s="2">
        <v>43661</v>
      </c>
      <c r="B6406">
        <f>5.75/(100)</f>
        <v>5.7500000000000002E-2</v>
      </c>
      <c r="C6406">
        <f>6.045/(100)</f>
        <v>6.0449999999999997E-2</v>
      </c>
    </row>
    <row r="6407" spans="1:3" x14ac:dyDescent="0.3">
      <c r="A6407" s="2">
        <v>43662</v>
      </c>
      <c r="B6407">
        <f>5.75/(100)</f>
        <v>5.7500000000000002E-2</v>
      </c>
      <c r="C6407">
        <f>5.981/(100)</f>
        <v>5.9810000000000002E-2</v>
      </c>
    </row>
    <row r="6408" spans="1:3" x14ac:dyDescent="0.3">
      <c r="A6408" s="2">
        <v>43663</v>
      </c>
      <c r="B6408">
        <f>5.75/(100)</f>
        <v>5.7500000000000002E-2</v>
      </c>
      <c r="C6408">
        <f>5.861/(100)</f>
        <v>5.8609999999999995E-2</v>
      </c>
    </row>
    <row r="6409" spans="1:3" x14ac:dyDescent="0.3">
      <c r="A6409" s="2">
        <v>43664</v>
      </c>
      <c r="B6409">
        <f>5.75/(100)</f>
        <v>5.7500000000000002E-2</v>
      </c>
      <c r="C6409">
        <f>5.952/(100)</f>
        <v>5.9519999999999997E-2</v>
      </c>
    </row>
    <row r="6410" spans="1:3" x14ac:dyDescent="0.3">
      <c r="A6410" s="2">
        <v>43665</v>
      </c>
      <c r="B6410">
        <f>5.75/(100)</f>
        <v>5.7500000000000002E-2</v>
      </c>
      <c r="C6410">
        <f>5.838/(100)</f>
        <v>5.8380000000000001E-2</v>
      </c>
    </row>
    <row r="6411" spans="1:3" x14ac:dyDescent="0.3">
      <c r="A6411" s="2">
        <v>43666</v>
      </c>
      <c r="B6411">
        <f>5.75/(100)</f>
        <v>5.7500000000000002E-2</v>
      </c>
      <c r="C6411">
        <f>5.838/(100)</f>
        <v>5.8380000000000001E-2</v>
      </c>
    </row>
    <row r="6412" spans="1:3" x14ac:dyDescent="0.3">
      <c r="A6412" s="2">
        <v>43667</v>
      </c>
      <c r="B6412">
        <f>5.75/(100)</f>
        <v>5.7500000000000002E-2</v>
      </c>
      <c r="C6412">
        <f>5.838/(100)</f>
        <v>5.8380000000000001E-2</v>
      </c>
    </row>
    <row r="6413" spans="1:3" x14ac:dyDescent="0.3">
      <c r="A6413" s="2">
        <v>43668</v>
      </c>
      <c r="B6413">
        <f>5.75/(100)</f>
        <v>5.7500000000000002E-2</v>
      </c>
      <c r="C6413">
        <f>5.856/(100)</f>
        <v>5.8560000000000001E-2</v>
      </c>
    </row>
    <row r="6414" spans="1:3" x14ac:dyDescent="0.3">
      <c r="A6414" s="2">
        <v>43669</v>
      </c>
      <c r="B6414">
        <f>5.75/(100)</f>
        <v>5.7500000000000002E-2</v>
      </c>
      <c r="C6414">
        <f>5.863/(100)</f>
        <v>5.8630000000000002E-2</v>
      </c>
    </row>
    <row r="6415" spans="1:3" x14ac:dyDescent="0.3">
      <c r="A6415" s="2">
        <v>43670</v>
      </c>
      <c r="B6415">
        <f>5.75/(100)</f>
        <v>5.7500000000000002E-2</v>
      </c>
      <c r="C6415">
        <f>5.905/(100)</f>
        <v>5.9050000000000005E-2</v>
      </c>
    </row>
    <row r="6416" spans="1:3" x14ac:dyDescent="0.3">
      <c r="A6416" s="2">
        <v>43671</v>
      </c>
      <c r="B6416">
        <f>5.75/(100)</f>
        <v>5.7500000000000002E-2</v>
      </c>
      <c r="C6416">
        <f>5.901/(100)</f>
        <v>5.901E-2</v>
      </c>
    </row>
    <row r="6417" spans="1:3" x14ac:dyDescent="0.3">
      <c r="A6417" s="2">
        <v>43672</v>
      </c>
      <c r="B6417">
        <f>5.75/(100)</f>
        <v>5.7500000000000002E-2</v>
      </c>
      <c r="C6417">
        <f>5.936/(100)</f>
        <v>5.9359999999999996E-2</v>
      </c>
    </row>
    <row r="6418" spans="1:3" x14ac:dyDescent="0.3">
      <c r="A6418" s="2">
        <v>43673</v>
      </c>
      <c r="B6418">
        <f>5.75/(100)</f>
        <v>5.7500000000000002E-2</v>
      </c>
      <c r="C6418">
        <f>5.936/(100)</f>
        <v>5.9359999999999996E-2</v>
      </c>
    </row>
    <row r="6419" spans="1:3" x14ac:dyDescent="0.3">
      <c r="A6419" s="2">
        <v>43674</v>
      </c>
      <c r="B6419">
        <f>5.75/(100)</f>
        <v>5.7500000000000002E-2</v>
      </c>
      <c r="C6419">
        <f>5.936/(100)</f>
        <v>5.9359999999999996E-2</v>
      </c>
    </row>
    <row r="6420" spans="1:3" x14ac:dyDescent="0.3">
      <c r="A6420" s="2">
        <v>43675</v>
      </c>
      <c r="B6420">
        <f>5.75/(100)</f>
        <v>5.7500000000000002E-2</v>
      </c>
      <c r="C6420">
        <f>5.872/(100)</f>
        <v>5.8720000000000001E-2</v>
      </c>
    </row>
    <row r="6421" spans="1:3" x14ac:dyDescent="0.3">
      <c r="A6421" s="2">
        <v>43676</v>
      </c>
      <c r="B6421">
        <f>5.75/(100)</f>
        <v>5.7500000000000002E-2</v>
      </c>
      <c r="C6421">
        <f>5.934/(100)</f>
        <v>5.9340000000000004E-2</v>
      </c>
    </row>
    <row r="6422" spans="1:3" x14ac:dyDescent="0.3">
      <c r="A6422" s="2">
        <v>43677</v>
      </c>
      <c r="B6422">
        <f>5.75/(100)</f>
        <v>5.7500000000000002E-2</v>
      </c>
      <c r="C6422">
        <f>5.87/(100)</f>
        <v>5.8700000000000002E-2</v>
      </c>
    </row>
    <row r="6423" spans="1:3" x14ac:dyDescent="0.3">
      <c r="A6423" s="2">
        <v>43678</v>
      </c>
      <c r="B6423">
        <f>5.75/(100)</f>
        <v>5.7500000000000002E-2</v>
      </c>
      <c r="C6423">
        <f>5.841/(100)</f>
        <v>5.8410000000000004E-2</v>
      </c>
    </row>
    <row r="6424" spans="1:3" x14ac:dyDescent="0.3">
      <c r="A6424" s="2">
        <v>43679</v>
      </c>
      <c r="B6424">
        <f>5.75/(100)</f>
        <v>5.7500000000000002E-2</v>
      </c>
      <c r="C6424">
        <f>5.79/(100)</f>
        <v>5.79E-2</v>
      </c>
    </row>
    <row r="6425" spans="1:3" x14ac:dyDescent="0.3">
      <c r="A6425" s="2">
        <v>43680</v>
      </c>
      <c r="B6425">
        <f>5.75/(100)</f>
        <v>5.7500000000000002E-2</v>
      </c>
      <c r="C6425">
        <f>5.79/(100)</f>
        <v>5.79E-2</v>
      </c>
    </row>
    <row r="6426" spans="1:3" x14ac:dyDescent="0.3">
      <c r="A6426" s="2">
        <v>43681</v>
      </c>
      <c r="B6426">
        <f>5.75/(100)</f>
        <v>5.7500000000000002E-2</v>
      </c>
      <c r="C6426">
        <f>5.79/(100)</f>
        <v>5.79E-2</v>
      </c>
    </row>
    <row r="6427" spans="1:3" x14ac:dyDescent="0.3">
      <c r="A6427" s="2">
        <v>43682</v>
      </c>
      <c r="B6427">
        <f>5.75/(100)</f>
        <v>5.7500000000000002E-2</v>
      </c>
      <c r="C6427">
        <f>5.779/(100)</f>
        <v>5.7790000000000001E-2</v>
      </c>
    </row>
    <row r="6428" spans="1:3" x14ac:dyDescent="0.3">
      <c r="A6428" s="2">
        <v>43683</v>
      </c>
      <c r="B6428">
        <f>5.75/(100)</f>
        <v>5.7500000000000002E-2</v>
      </c>
      <c r="C6428">
        <f>5.788/(100)</f>
        <v>5.7880000000000001E-2</v>
      </c>
    </row>
    <row r="6429" spans="1:3" x14ac:dyDescent="0.3">
      <c r="A6429" s="2">
        <v>43684</v>
      </c>
      <c r="B6429">
        <f>5.4/(100)</f>
        <v>5.4000000000000006E-2</v>
      </c>
      <c r="C6429">
        <f>5.711/(100)</f>
        <v>5.7110000000000001E-2</v>
      </c>
    </row>
    <row r="6430" spans="1:3" x14ac:dyDescent="0.3">
      <c r="A6430" s="2">
        <v>43685</v>
      </c>
      <c r="B6430">
        <f>5.4/(100)</f>
        <v>5.4000000000000006E-2</v>
      </c>
      <c r="C6430">
        <f>5.715/(100)</f>
        <v>5.7149999999999999E-2</v>
      </c>
    </row>
    <row r="6431" spans="1:3" x14ac:dyDescent="0.3">
      <c r="A6431" s="2">
        <v>43686</v>
      </c>
      <c r="B6431">
        <f>5.4/(100)</f>
        <v>5.4000000000000006E-2</v>
      </c>
      <c r="C6431">
        <f>5.677/(100)</f>
        <v>5.6769999999999994E-2</v>
      </c>
    </row>
    <row r="6432" spans="1:3" x14ac:dyDescent="0.3">
      <c r="A6432" s="2">
        <v>43687</v>
      </c>
      <c r="B6432">
        <f>5.4/(100)</f>
        <v>5.4000000000000006E-2</v>
      </c>
      <c r="C6432">
        <f>5.677/(100)</f>
        <v>5.6769999999999994E-2</v>
      </c>
    </row>
    <row r="6433" spans="1:3" x14ac:dyDescent="0.3">
      <c r="A6433" s="2">
        <v>43688</v>
      </c>
      <c r="B6433">
        <f>5.4/(100)</f>
        <v>5.4000000000000006E-2</v>
      </c>
      <c r="C6433">
        <f>5.677/(100)</f>
        <v>5.6769999999999994E-2</v>
      </c>
    </row>
    <row r="6434" spans="1:3" x14ac:dyDescent="0.3">
      <c r="A6434" s="2">
        <v>43689</v>
      </c>
      <c r="B6434">
        <f>5.4/(100)</f>
        <v>5.4000000000000006E-2</v>
      </c>
      <c r="C6434">
        <f>5.677/(100)</f>
        <v>5.6769999999999994E-2</v>
      </c>
    </row>
    <row r="6435" spans="1:3" x14ac:dyDescent="0.3">
      <c r="A6435" s="2">
        <v>43690</v>
      </c>
      <c r="B6435">
        <f>5.4/(100)</f>
        <v>5.4000000000000006E-2</v>
      </c>
      <c r="C6435">
        <f>5.685/(100)</f>
        <v>5.6849999999999998E-2</v>
      </c>
    </row>
    <row r="6436" spans="1:3" x14ac:dyDescent="0.3">
      <c r="A6436" s="2">
        <v>43691</v>
      </c>
      <c r="B6436">
        <f>5.4/(100)</f>
        <v>5.4000000000000006E-2</v>
      </c>
      <c r="C6436">
        <f>5.756/(100)</f>
        <v>5.756E-2</v>
      </c>
    </row>
    <row r="6437" spans="1:3" x14ac:dyDescent="0.3">
      <c r="A6437" s="2">
        <v>43692</v>
      </c>
      <c r="B6437">
        <f>5.4/(100)</f>
        <v>5.4000000000000006E-2</v>
      </c>
      <c r="C6437">
        <f>5.756/(100)</f>
        <v>5.756E-2</v>
      </c>
    </row>
    <row r="6438" spans="1:3" x14ac:dyDescent="0.3">
      <c r="A6438" s="2">
        <v>43693</v>
      </c>
      <c r="B6438">
        <f>5.4/(100)</f>
        <v>5.4000000000000006E-2</v>
      </c>
      <c r="C6438">
        <f>5.673/(100)</f>
        <v>5.6730000000000003E-2</v>
      </c>
    </row>
    <row r="6439" spans="1:3" x14ac:dyDescent="0.3">
      <c r="A6439" s="2">
        <v>43694</v>
      </c>
      <c r="B6439">
        <f>5.4/(100)</f>
        <v>5.4000000000000006E-2</v>
      </c>
      <c r="C6439">
        <f>5.673/(100)</f>
        <v>5.6730000000000003E-2</v>
      </c>
    </row>
    <row r="6440" spans="1:3" x14ac:dyDescent="0.3">
      <c r="A6440" s="2">
        <v>43695</v>
      </c>
      <c r="B6440">
        <f>5.4/(100)</f>
        <v>5.4000000000000006E-2</v>
      </c>
      <c r="C6440">
        <f>5.673/(100)</f>
        <v>5.6730000000000003E-2</v>
      </c>
    </row>
    <row r="6441" spans="1:3" x14ac:dyDescent="0.3">
      <c r="A6441" s="2">
        <v>43696</v>
      </c>
      <c r="B6441">
        <f>5.4/(100)</f>
        <v>5.4000000000000006E-2</v>
      </c>
      <c r="C6441">
        <f>5.661/(100)</f>
        <v>5.6609999999999994E-2</v>
      </c>
    </row>
    <row r="6442" spans="1:3" x14ac:dyDescent="0.3">
      <c r="A6442" s="2">
        <v>43697</v>
      </c>
      <c r="B6442">
        <f>5.4/(100)</f>
        <v>5.4000000000000006E-2</v>
      </c>
      <c r="C6442">
        <f>5.657/(100)</f>
        <v>5.6570000000000002E-2</v>
      </c>
    </row>
    <row r="6443" spans="1:3" x14ac:dyDescent="0.3">
      <c r="A6443" s="2">
        <v>43698</v>
      </c>
      <c r="B6443">
        <f>5.4/(100)</f>
        <v>5.4000000000000006E-2</v>
      </c>
      <c r="C6443">
        <f>5.694/(100)</f>
        <v>5.6939999999999998E-2</v>
      </c>
    </row>
    <row r="6444" spans="1:3" x14ac:dyDescent="0.3">
      <c r="A6444" s="2">
        <v>43699</v>
      </c>
      <c r="B6444">
        <f>5.4/(100)</f>
        <v>5.4000000000000006E-2</v>
      </c>
      <c r="C6444">
        <f>5.649/(100)</f>
        <v>5.6489999999999999E-2</v>
      </c>
    </row>
    <row r="6445" spans="1:3" x14ac:dyDescent="0.3">
      <c r="A6445" s="2">
        <v>43700</v>
      </c>
      <c r="B6445">
        <f>5.4/(100)</f>
        <v>5.4000000000000006E-2</v>
      </c>
      <c r="C6445">
        <f>5.641/(100)</f>
        <v>5.6410000000000002E-2</v>
      </c>
    </row>
    <row r="6446" spans="1:3" x14ac:dyDescent="0.3">
      <c r="A6446" s="2">
        <v>43701</v>
      </c>
      <c r="B6446">
        <f>5.4/(100)</f>
        <v>5.4000000000000006E-2</v>
      </c>
      <c r="C6446">
        <f>5.641/(100)</f>
        <v>5.6410000000000002E-2</v>
      </c>
    </row>
    <row r="6447" spans="1:3" x14ac:dyDescent="0.3">
      <c r="A6447" s="2">
        <v>43702</v>
      </c>
      <c r="B6447">
        <f>5.4/(100)</f>
        <v>5.4000000000000006E-2</v>
      </c>
      <c r="C6447">
        <f>5.641/(100)</f>
        <v>5.6410000000000002E-2</v>
      </c>
    </row>
    <row r="6448" spans="1:3" x14ac:dyDescent="0.3">
      <c r="A6448" s="2">
        <v>43703</v>
      </c>
      <c r="B6448">
        <f>5.4/(100)</f>
        <v>5.4000000000000006E-2</v>
      </c>
      <c r="C6448">
        <f>5.616/(100)</f>
        <v>5.6159999999999995E-2</v>
      </c>
    </row>
    <row r="6449" spans="1:3" x14ac:dyDescent="0.3">
      <c r="A6449" s="2">
        <v>43704</v>
      </c>
      <c r="B6449">
        <f>5.4/(100)</f>
        <v>5.4000000000000006E-2</v>
      </c>
      <c r="C6449">
        <f>5.666/(100)</f>
        <v>5.6660000000000002E-2</v>
      </c>
    </row>
    <row r="6450" spans="1:3" x14ac:dyDescent="0.3">
      <c r="A6450" s="2">
        <v>43705</v>
      </c>
      <c r="B6450">
        <f>5.4/(100)</f>
        <v>5.4000000000000006E-2</v>
      </c>
      <c r="C6450">
        <f>5.699/(100)</f>
        <v>5.6989999999999999E-2</v>
      </c>
    </row>
    <row r="6451" spans="1:3" x14ac:dyDescent="0.3">
      <c r="A6451" s="2">
        <v>43706</v>
      </c>
      <c r="B6451">
        <f>5.4/(100)</f>
        <v>5.4000000000000006E-2</v>
      </c>
      <c r="C6451">
        <f>5.687/(100)</f>
        <v>5.6870000000000004E-2</v>
      </c>
    </row>
    <row r="6452" spans="1:3" x14ac:dyDescent="0.3">
      <c r="A6452" s="2">
        <v>43707</v>
      </c>
      <c r="B6452">
        <f>5.4/(100)</f>
        <v>5.4000000000000006E-2</v>
      </c>
      <c r="C6452">
        <f>5.679/(100)</f>
        <v>5.679E-2</v>
      </c>
    </row>
    <row r="6453" spans="1:3" x14ac:dyDescent="0.3">
      <c r="A6453" s="2">
        <v>43708</v>
      </c>
      <c r="B6453">
        <f>5.4/(100)</f>
        <v>5.4000000000000006E-2</v>
      </c>
      <c r="C6453">
        <f>5.679/(100)</f>
        <v>5.679E-2</v>
      </c>
    </row>
    <row r="6454" spans="1:3" x14ac:dyDescent="0.3">
      <c r="A6454" s="2">
        <v>43709</v>
      </c>
      <c r="B6454">
        <f>5.4/(100)</f>
        <v>5.4000000000000006E-2</v>
      </c>
      <c r="C6454">
        <f>5.679/(100)</f>
        <v>5.679E-2</v>
      </c>
    </row>
    <row r="6455" spans="1:3" x14ac:dyDescent="0.3">
      <c r="A6455" s="2">
        <v>43710</v>
      </c>
      <c r="B6455">
        <f>5.4/(100)</f>
        <v>5.4000000000000006E-2</v>
      </c>
      <c r="C6455">
        <f>5.679/(100)</f>
        <v>5.679E-2</v>
      </c>
    </row>
    <row r="6456" spans="1:3" x14ac:dyDescent="0.3">
      <c r="A6456" s="2">
        <v>43711</v>
      </c>
      <c r="B6456">
        <f>5.4/(100)</f>
        <v>5.4000000000000006E-2</v>
      </c>
      <c r="C6456">
        <f>5.666/(100)</f>
        <v>5.6660000000000002E-2</v>
      </c>
    </row>
    <row r="6457" spans="1:3" x14ac:dyDescent="0.3">
      <c r="A6457" s="2">
        <v>43712</v>
      </c>
      <c r="B6457">
        <f>5.4/(100)</f>
        <v>5.4000000000000006E-2</v>
      </c>
      <c r="C6457">
        <f>5.623/(100)</f>
        <v>5.6230000000000002E-2</v>
      </c>
    </row>
    <row r="6458" spans="1:3" x14ac:dyDescent="0.3">
      <c r="A6458" s="2">
        <v>43713</v>
      </c>
      <c r="B6458">
        <f>5.4/(100)</f>
        <v>5.4000000000000006E-2</v>
      </c>
      <c r="C6458">
        <f>5.632/(100)</f>
        <v>5.6319999999999995E-2</v>
      </c>
    </row>
    <row r="6459" spans="1:3" x14ac:dyDescent="0.3">
      <c r="A6459" s="2">
        <v>43714</v>
      </c>
      <c r="B6459">
        <f>5.4/(100)</f>
        <v>5.4000000000000006E-2</v>
      </c>
      <c r="C6459">
        <f>5.614/(100)</f>
        <v>5.6139999999999995E-2</v>
      </c>
    </row>
    <row r="6460" spans="1:3" x14ac:dyDescent="0.3">
      <c r="A6460" s="2">
        <v>43715</v>
      </c>
      <c r="B6460">
        <f>5.4/(100)</f>
        <v>5.4000000000000006E-2</v>
      </c>
      <c r="C6460">
        <f>5.614/(100)</f>
        <v>5.6139999999999995E-2</v>
      </c>
    </row>
    <row r="6461" spans="1:3" x14ac:dyDescent="0.3">
      <c r="A6461" s="2">
        <v>43716</v>
      </c>
      <c r="B6461">
        <f>5.4/(100)</f>
        <v>5.4000000000000006E-2</v>
      </c>
      <c r="C6461">
        <f>5.614/(100)</f>
        <v>5.6139999999999995E-2</v>
      </c>
    </row>
    <row r="6462" spans="1:3" x14ac:dyDescent="0.3">
      <c r="A6462" s="2">
        <v>43717</v>
      </c>
      <c r="B6462">
        <f>5.4/(100)</f>
        <v>5.4000000000000006E-2</v>
      </c>
      <c r="C6462">
        <f>5.641/(100)</f>
        <v>5.6410000000000002E-2</v>
      </c>
    </row>
    <row r="6463" spans="1:3" x14ac:dyDescent="0.3">
      <c r="A6463" s="2">
        <v>43718</v>
      </c>
      <c r="B6463">
        <f>5.4/(100)</f>
        <v>5.4000000000000006E-2</v>
      </c>
      <c r="C6463">
        <f>5.641/(100)</f>
        <v>5.6410000000000002E-2</v>
      </c>
    </row>
    <row r="6464" spans="1:3" x14ac:dyDescent="0.3">
      <c r="A6464" s="2">
        <v>43719</v>
      </c>
      <c r="B6464">
        <f>5.4/(100)</f>
        <v>5.4000000000000006E-2</v>
      </c>
      <c r="C6464">
        <f>5.618/(100)</f>
        <v>5.6180000000000001E-2</v>
      </c>
    </row>
    <row r="6465" spans="1:3" x14ac:dyDescent="0.3">
      <c r="A6465" s="2">
        <v>43720</v>
      </c>
      <c r="B6465">
        <f>5.4/(100)</f>
        <v>5.4000000000000006E-2</v>
      </c>
      <c r="C6465">
        <f>5.614/(100)</f>
        <v>5.6139999999999995E-2</v>
      </c>
    </row>
    <row r="6466" spans="1:3" x14ac:dyDescent="0.3">
      <c r="A6466" s="2">
        <v>43721</v>
      </c>
      <c r="B6466">
        <f>5.4/(100)</f>
        <v>5.4000000000000006E-2</v>
      </c>
      <c r="C6466">
        <f>5.627/(100)</f>
        <v>5.6270000000000001E-2</v>
      </c>
    </row>
    <row r="6467" spans="1:3" x14ac:dyDescent="0.3">
      <c r="A6467" s="2">
        <v>43722</v>
      </c>
      <c r="B6467">
        <f>5.4/(100)</f>
        <v>5.4000000000000006E-2</v>
      </c>
      <c r="C6467">
        <f>5.627/(100)</f>
        <v>5.6270000000000001E-2</v>
      </c>
    </row>
    <row r="6468" spans="1:3" x14ac:dyDescent="0.3">
      <c r="A6468" s="2">
        <v>43723</v>
      </c>
      <c r="B6468">
        <f>5.4/(100)</f>
        <v>5.4000000000000006E-2</v>
      </c>
      <c r="C6468">
        <f>5.627/(100)</f>
        <v>5.6270000000000001E-2</v>
      </c>
    </row>
    <row r="6469" spans="1:3" x14ac:dyDescent="0.3">
      <c r="A6469" s="2">
        <v>43724</v>
      </c>
      <c r="B6469">
        <f>5.4/(100)</f>
        <v>5.4000000000000006E-2</v>
      </c>
      <c r="C6469">
        <f>5.631/(100)</f>
        <v>5.6309999999999999E-2</v>
      </c>
    </row>
    <row r="6470" spans="1:3" x14ac:dyDescent="0.3">
      <c r="A6470" s="2">
        <v>43725</v>
      </c>
      <c r="B6470">
        <f>5.4/(100)</f>
        <v>5.4000000000000006E-2</v>
      </c>
      <c r="C6470">
        <f>5.645/(100)</f>
        <v>5.6449999999999993E-2</v>
      </c>
    </row>
    <row r="6471" spans="1:3" x14ac:dyDescent="0.3">
      <c r="A6471" s="2">
        <v>43726</v>
      </c>
      <c r="B6471">
        <f>5.4/(100)</f>
        <v>5.4000000000000006E-2</v>
      </c>
      <c r="C6471">
        <f>5.567/(100)</f>
        <v>5.5670000000000004E-2</v>
      </c>
    </row>
    <row r="6472" spans="1:3" x14ac:dyDescent="0.3">
      <c r="A6472" s="2">
        <v>43727</v>
      </c>
      <c r="B6472">
        <f>5.4/(100)</f>
        <v>5.4000000000000006E-2</v>
      </c>
      <c r="C6472">
        <f>5.58/(100)</f>
        <v>5.5800000000000002E-2</v>
      </c>
    </row>
    <row r="6473" spans="1:3" x14ac:dyDescent="0.3">
      <c r="A6473" s="2">
        <v>43728</v>
      </c>
      <c r="B6473">
        <f>5.4/(100)</f>
        <v>5.4000000000000006E-2</v>
      </c>
      <c r="C6473">
        <f>5.603/(100)</f>
        <v>5.6029999999999996E-2</v>
      </c>
    </row>
    <row r="6474" spans="1:3" x14ac:dyDescent="0.3">
      <c r="A6474" s="2">
        <v>43729</v>
      </c>
      <c r="B6474">
        <f>5.4/(100)</f>
        <v>5.4000000000000006E-2</v>
      </c>
      <c r="C6474">
        <f>5.603/(100)</f>
        <v>5.6029999999999996E-2</v>
      </c>
    </row>
    <row r="6475" spans="1:3" x14ac:dyDescent="0.3">
      <c r="A6475" s="2">
        <v>43730</v>
      </c>
      <c r="B6475">
        <f>5.4/(100)</f>
        <v>5.4000000000000006E-2</v>
      </c>
      <c r="C6475">
        <f>5.603/(100)</f>
        <v>5.6029999999999996E-2</v>
      </c>
    </row>
    <row r="6476" spans="1:3" x14ac:dyDescent="0.3">
      <c r="A6476" s="2">
        <v>43731</v>
      </c>
      <c r="B6476">
        <f>5.4/(100)</f>
        <v>5.4000000000000006E-2</v>
      </c>
      <c r="C6476">
        <f>5.598/(100)</f>
        <v>5.5980000000000002E-2</v>
      </c>
    </row>
    <row r="6477" spans="1:3" x14ac:dyDescent="0.3">
      <c r="A6477" s="2">
        <v>43732</v>
      </c>
      <c r="B6477">
        <f>5.4/(100)</f>
        <v>5.4000000000000006E-2</v>
      </c>
      <c r="C6477">
        <f>5.574/(100)</f>
        <v>5.5739999999999998E-2</v>
      </c>
    </row>
    <row r="6478" spans="1:3" x14ac:dyDescent="0.3">
      <c r="A6478" s="2">
        <v>43733</v>
      </c>
      <c r="B6478">
        <f>5.4/(100)</f>
        <v>5.4000000000000006E-2</v>
      </c>
      <c r="C6478">
        <f>5.627/(100)</f>
        <v>5.6270000000000001E-2</v>
      </c>
    </row>
    <row r="6479" spans="1:3" x14ac:dyDescent="0.3">
      <c r="A6479" s="2">
        <v>43734</v>
      </c>
      <c r="B6479">
        <f>5.4/(100)</f>
        <v>5.4000000000000006E-2</v>
      </c>
      <c r="C6479">
        <f>5.622/(100)</f>
        <v>5.6219999999999999E-2</v>
      </c>
    </row>
    <row r="6480" spans="1:3" x14ac:dyDescent="0.3">
      <c r="A6480" s="2">
        <v>43735</v>
      </c>
      <c r="B6480">
        <f>5.4/(100)</f>
        <v>5.4000000000000006E-2</v>
      </c>
      <c r="C6480">
        <f>5.646/(100)</f>
        <v>5.6459999999999996E-2</v>
      </c>
    </row>
    <row r="6481" spans="1:3" x14ac:dyDescent="0.3">
      <c r="A6481" s="2">
        <v>43736</v>
      </c>
      <c r="B6481">
        <f>5.4/(100)</f>
        <v>5.4000000000000006E-2</v>
      </c>
      <c r="C6481">
        <f>5.646/(100)</f>
        <v>5.6459999999999996E-2</v>
      </c>
    </row>
    <row r="6482" spans="1:3" x14ac:dyDescent="0.3">
      <c r="A6482" s="2">
        <v>43737</v>
      </c>
      <c r="B6482">
        <f>5.4/(100)</f>
        <v>5.4000000000000006E-2</v>
      </c>
      <c r="C6482">
        <f>5.646/(100)</f>
        <v>5.6459999999999996E-2</v>
      </c>
    </row>
    <row r="6483" spans="1:3" x14ac:dyDescent="0.3">
      <c r="A6483" s="2">
        <v>43738</v>
      </c>
      <c r="B6483">
        <f>5.4/(100)</f>
        <v>5.4000000000000006E-2</v>
      </c>
      <c r="C6483">
        <f>5.602/(100)</f>
        <v>5.602E-2</v>
      </c>
    </row>
    <row r="6484" spans="1:3" x14ac:dyDescent="0.3">
      <c r="A6484" s="2">
        <v>43739</v>
      </c>
      <c r="B6484">
        <f>5.4/(100)</f>
        <v>5.4000000000000006E-2</v>
      </c>
      <c r="C6484">
        <f>5.572/(100)</f>
        <v>5.5719999999999999E-2</v>
      </c>
    </row>
    <row r="6485" spans="1:3" x14ac:dyDescent="0.3">
      <c r="A6485" s="2">
        <v>43740</v>
      </c>
      <c r="B6485">
        <f>5.4/(100)</f>
        <v>5.4000000000000006E-2</v>
      </c>
      <c r="C6485">
        <f>5.572/(100)</f>
        <v>5.5719999999999999E-2</v>
      </c>
    </row>
    <row r="6486" spans="1:3" x14ac:dyDescent="0.3">
      <c r="A6486" s="2">
        <v>43741</v>
      </c>
      <c r="B6486">
        <f>5.4/(100)</f>
        <v>5.4000000000000006E-2</v>
      </c>
      <c r="C6486">
        <f>5.488/(100)</f>
        <v>5.4880000000000005E-2</v>
      </c>
    </row>
    <row r="6487" spans="1:3" x14ac:dyDescent="0.3">
      <c r="A6487" s="2">
        <v>43742</v>
      </c>
      <c r="B6487">
        <f>5.15/(100)</f>
        <v>5.1500000000000004E-2</v>
      </c>
      <c r="C6487">
        <f>5.47/(100)</f>
        <v>5.4699999999999999E-2</v>
      </c>
    </row>
    <row r="6488" spans="1:3" x14ac:dyDescent="0.3">
      <c r="A6488" s="2">
        <v>43743</v>
      </c>
      <c r="B6488">
        <f>5.15/(100)</f>
        <v>5.1500000000000004E-2</v>
      </c>
      <c r="C6488">
        <f>5.47/(100)</f>
        <v>5.4699999999999999E-2</v>
      </c>
    </row>
    <row r="6489" spans="1:3" x14ac:dyDescent="0.3">
      <c r="A6489" s="2">
        <v>43744</v>
      </c>
      <c r="B6489">
        <f>5.15/(100)</f>
        <v>5.1500000000000004E-2</v>
      </c>
      <c r="C6489">
        <f>5.47/(100)</f>
        <v>5.4699999999999999E-2</v>
      </c>
    </row>
    <row r="6490" spans="1:3" x14ac:dyDescent="0.3">
      <c r="A6490" s="2">
        <v>43745</v>
      </c>
      <c r="B6490">
        <f>5.15/(100)</f>
        <v>5.1500000000000004E-2</v>
      </c>
      <c r="C6490">
        <f>5.47/(100)</f>
        <v>5.4699999999999999E-2</v>
      </c>
    </row>
    <row r="6491" spans="1:3" x14ac:dyDescent="0.3">
      <c r="A6491" s="2">
        <v>43746</v>
      </c>
      <c r="B6491">
        <f>5.15/(100)</f>
        <v>5.1500000000000004E-2</v>
      </c>
      <c r="C6491">
        <f>5.47/(100)</f>
        <v>5.4699999999999999E-2</v>
      </c>
    </row>
    <row r="6492" spans="1:3" x14ac:dyDescent="0.3">
      <c r="A6492" s="2">
        <v>43747</v>
      </c>
      <c r="B6492">
        <f>5.15/(100)</f>
        <v>5.1500000000000004E-2</v>
      </c>
      <c r="C6492">
        <f>5.47/(100)</f>
        <v>5.4699999999999999E-2</v>
      </c>
    </row>
    <row r="6493" spans="1:3" x14ac:dyDescent="0.3">
      <c r="A6493" s="2">
        <v>43748</v>
      </c>
      <c r="B6493">
        <f>5.15/(100)</f>
        <v>5.1500000000000004E-2</v>
      </c>
      <c r="C6493">
        <f>5.47/(100)</f>
        <v>5.4699999999999999E-2</v>
      </c>
    </row>
    <row r="6494" spans="1:3" x14ac:dyDescent="0.3">
      <c r="A6494" s="2">
        <v>43749</v>
      </c>
      <c r="B6494">
        <f>5.15/(100)</f>
        <v>5.1500000000000004E-2</v>
      </c>
      <c r="C6494">
        <f>5.47/(100)</f>
        <v>5.4699999999999999E-2</v>
      </c>
    </row>
    <row r="6495" spans="1:3" x14ac:dyDescent="0.3">
      <c r="A6495" s="2">
        <v>43750</v>
      </c>
      <c r="B6495">
        <f>5.15/(100)</f>
        <v>5.1500000000000004E-2</v>
      </c>
      <c r="C6495">
        <f>5.47/(100)</f>
        <v>5.4699999999999999E-2</v>
      </c>
    </row>
    <row r="6496" spans="1:3" x14ac:dyDescent="0.3">
      <c r="A6496" s="2">
        <v>43751</v>
      </c>
      <c r="B6496">
        <f>5.15/(100)</f>
        <v>5.1500000000000004E-2</v>
      </c>
      <c r="C6496">
        <f>5.47/(100)</f>
        <v>5.4699999999999999E-2</v>
      </c>
    </row>
    <row r="6497" spans="1:3" x14ac:dyDescent="0.3">
      <c r="A6497" s="2">
        <v>43752</v>
      </c>
      <c r="B6497">
        <f>5.15/(100)</f>
        <v>5.1500000000000004E-2</v>
      </c>
      <c r="C6497">
        <f>5.47/(100)</f>
        <v>5.4699999999999999E-2</v>
      </c>
    </row>
    <row r="6498" spans="1:3" x14ac:dyDescent="0.3">
      <c r="A6498" s="2">
        <v>43753</v>
      </c>
      <c r="B6498">
        <f>5.15/(100)</f>
        <v>5.1500000000000004E-2</v>
      </c>
      <c r="C6498">
        <f>5.47/(100)</f>
        <v>5.4699999999999999E-2</v>
      </c>
    </row>
    <row r="6499" spans="1:3" x14ac:dyDescent="0.3">
      <c r="A6499" s="2">
        <v>43754</v>
      </c>
      <c r="B6499">
        <f>5.15/(100)</f>
        <v>5.1500000000000004E-2</v>
      </c>
      <c r="C6499">
        <f>5.47/(100)</f>
        <v>5.4699999999999999E-2</v>
      </c>
    </row>
    <row r="6500" spans="1:3" x14ac:dyDescent="0.3">
      <c r="A6500" s="2">
        <v>43755</v>
      </c>
      <c r="B6500">
        <f>5.15/(100)</f>
        <v>5.1500000000000004E-2</v>
      </c>
      <c r="C6500">
        <f>5.47/(100)</f>
        <v>5.4699999999999999E-2</v>
      </c>
    </row>
    <row r="6501" spans="1:3" x14ac:dyDescent="0.3">
      <c r="A6501" s="2">
        <v>43756</v>
      </c>
      <c r="B6501">
        <f>5.15/(100)</f>
        <v>5.1500000000000004E-2</v>
      </c>
      <c r="C6501">
        <f>5.47/(100)</f>
        <v>5.4699999999999999E-2</v>
      </c>
    </row>
    <row r="6502" spans="1:3" x14ac:dyDescent="0.3">
      <c r="A6502" s="2">
        <v>43757</v>
      </c>
      <c r="B6502">
        <f>5.15/(100)</f>
        <v>5.1500000000000004E-2</v>
      </c>
      <c r="C6502">
        <f>5.47/(100)</f>
        <v>5.4699999999999999E-2</v>
      </c>
    </row>
    <row r="6503" spans="1:3" x14ac:dyDescent="0.3">
      <c r="A6503" s="2">
        <v>43758</v>
      </c>
      <c r="B6503">
        <f>5.15/(100)</f>
        <v>5.1500000000000004E-2</v>
      </c>
      <c r="C6503">
        <f>5.47/(100)</f>
        <v>5.4699999999999999E-2</v>
      </c>
    </row>
    <row r="6504" spans="1:3" x14ac:dyDescent="0.3">
      <c r="A6504" s="2">
        <v>43759</v>
      </c>
      <c r="B6504">
        <f>5.15/(100)</f>
        <v>5.1500000000000004E-2</v>
      </c>
      <c r="C6504">
        <f>5.47/(100)</f>
        <v>5.4699999999999999E-2</v>
      </c>
    </row>
    <row r="6505" spans="1:3" x14ac:dyDescent="0.3">
      <c r="A6505" s="2">
        <v>43760</v>
      </c>
      <c r="B6505">
        <f>5.15/(100)</f>
        <v>5.1500000000000004E-2</v>
      </c>
      <c r="C6505">
        <f>5.47/(100)</f>
        <v>5.4699999999999999E-2</v>
      </c>
    </row>
    <row r="6506" spans="1:3" x14ac:dyDescent="0.3">
      <c r="A6506" s="2">
        <v>43761</v>
      </c>
      <c r="B6506">
        <f>5.15/(100)</f>
        <v>5.1500000000000004E-2</v>
      </c>
      <c r="C6506">
        <f>5.47/(100)</f>
        <v>5.4699999999999999E-2</v>
      </c>
    </row>
    <row r="6507" spans="1:3" x14ac:dyDescent="0.3">
      <c r="A6507" s="2">
        <v>43762</v>
      </c>
      <c r="B6507">
        <f>5.15/(100)</f>
        <v>5.1500000000000004E-2</v>
      </c>
      <c r="C6507">
        <f>5.47/(100)</f>
        <v>5.4699999999999999E-2</v>
      </c>
    </row>
    <row r="6508" spans="1:3" x14ac:dyDescent="0.3">
      <c r="A6508" s="2">
        <v>43763</v>
      </c>
      <c r="B6508">
        <f>5.15/(100)</f>
        <v>5.1500000000000004E-2</v>
      </c>
      <c r="C6508">
        <f>5.47/(100)</f>
        <v>5.4699999999999999E-2</v>
      </c>
    </row>
    <row r="6509" spans="1:3" x14ac:dyDescent="0.3">
      <c r="A6509" s="2">
        <v>43764</v>
      </c>
      <c r="B6509">
        <f>5.15/(100)</f>
        <v>5.1500000000000004E-2</v>
      </c>
      <c r="C6509">
        <f>5.47/(100)</f>
        <v>5.4699999999999999E-2</v>
      </c>
    </row>
    <row r="6510" spans="1:3" x14ac:dyDescent="0.3">
      <c r="A6510" s="2">
        <v>43765</v>
      </c>
      <c r="B6510">
        <f>5.15/(100)</f>
        <v>5.1500000000000004E-2</v>
      </c>
      <c r="C6510">
        <f>5.47/(100)</f>
        <v>5.4699999999999999E-2</v>
      </c>
    </row>
    <row r="6511" spans="1:3" x14ac:dyDescent="0.3">
      <c r="A6511" s="2">
        <v>43766</v>
      </c>
      <c r="B6511">
        <f>5.15/(100)</f>
        <v>5.1500000000000004E-2</v>
      </c>
      <c r="C6511">
        <f>5.47/(100)</f>
        <v>5.4699999999999999E-2</v>
      </c>
    </row>
    <row r="6512" spans="1:3" x14ac:dyDescent="0.3">
      <c r="A6512" s="2">
        <v>43767</v>
      </c>
      <c r="B6512">
        <f>5.15/(100)</f>
        <v>5.1500000000000004E-2</v>
      </c>
      <c r="C6512">
        <f>5.47/(100)</f>
        <v>5.4699999999999999E-2</v>
      </c>
    </row>
    <row r="6513" spans="1:3" x14ac:dyDescent="0.3">
      <c r="A6513" s="2">
        <v>43768</v>
      </c>
      <c r="B6513">
        <f>5.15/(100)</f>
        <v>5.1500000000000004E-2</v>
      </c>
      <c r="C6513">
        <f>5.47/(100)</f>
        <v>5.4699999999999999E-2</v>
      </c>
    </row>
    <row r="6514" spans="1:3" x14ac:dyDescent="0.3">
      <c r="A6514" s="2">
        <v>43769</v>
      </c>
      <c r="B6514">
        <f>5.15/(100)</f>
        <v>5.1500000000000004E-2</v>
      </c>
      <c r="C6514">
        <f>5.47/(100)</f>
        <v>5.4699999999999999E-2</v>
      </c>
    </row>
    <row r="6515" spans="1:3" x14ac:dyDescent="0.3">
      <c r="A6515" s="2">
        <v>43770</v>
      </c>
      <c r="B6515">
        <f>5.15/(100)</f>
        <v>5.1500000000000004E-2</v>
      </c>
      <c r="C6515">
        <f>5.47/(100)</f>
        <v>5.4699999999999999E-2</v>
      </c>
    </row>
    <row r="6516" spans="1:3" x14ac:dyDescent="0.3">
      <c r="A6516" s="2">
        <v>43771</v>
      </c>
      <c r="B6516">
        <f>5.15/(100)</f>
        <v>5.1500000000000004E-2</v>
      </c>
      <c r="C6516">
        <f>5.47/(100)</f>
        <v>5.4699999999999999E-2</v>
      </c>
    </row>
    <row r="6517" spans="1:3" x14ac:dyDescent="0.3">
      <c r="A6517" s="2">
        <v>43772</v>
      </c>
      <c r="B6517">
        <f>5.15/(100)</f>
        <v>5.1500000000000004E-2</v>
      </c>
      <c r="C6517">
        <f>5.47/(100)</f>
        <v>5.4699999999999999E-2</v>
      </c>
    </row>
    <row r="6518" spans="1:3" x14ac:dyDescent="0.3">
      <c r="A6518" s="2">
        <v>43773</v>
      </c>
      <c r="B6518">
        <f>5.15/(100)</f>
        <v>5.1500000000000004E-2</v>
      </c>
      <c r="C6518">
        <f>5.47/(100)</f>
        <v>5.4699999999999999E-2</v>
      </c>
    </row>
    <row r="6519" spans="1:3" x14ac:dyDescent="0.3">
      <c r="A6519" s="2">
        <v>43774</v>
      </c>
      <c r="B6519">
        <f>5.15/(100)</f>
        <v>5.1500000000000004E-2</v>
      </c>
      <c r="C6519">
        <f>5.47/(100)</f>
        <v>5.4699999999999999E-2</v>
      </c>
    </row>
    <row r="6520" spans="1:3" x14ac:dyDescent="0.3">
      <c r="A6520" s="2">
        <v>43775</v>
      </c>
      <c r="B6520">
        <f>5.15/(100)</f>
        <v>5.1500000000000004E-2</v>
      </c>
      <c r="C6520">
        <f>5.47/(100)</f>
        <v>5.4699999999999999E-2</v>
      </c>
    </row>
    <row r="6521" spans="1:3" x14ac:dyDescent="0.3">
      <c r="A6521" s="2">
        <v>43776</v>
      </c>
      <c r="B6521">
        <f>5.15/(100)</f>
        <v>5.1500000000000004E-2</v>
      </c>
      <c r="C6521">
        <f>5.47/(100)</f>
        <v>5.4699999999999999E-2</v>
      </c>
    </row>
    <row r="6522" spans="1:3" x14ac:dyDescent="0.3">
      <c r="A6522" s="2">
        <v>43777</v>
      </c>
      <c r="B6522">
        <f>5.15/(100)</f>
        <v>5.1500000000000004E-2</v>
      </c>
      <c r="C6522">
        <f>5.47/(100)</f>
        <v>5.4699999999999999E-2</v>
      </c>
    </row>
    <row r="6523" spans="1:3" x14ac:dyDescent="0.3">
      <c r="A6523" s="2">
        <v>43778</v>
      </c>
      <c r="B6523">
        <f>5.15/(100)</f>
        <v>5.1500000000000004E-2</v>
      </c>
      <c r="C6523">
        <f>5.47/(100)</f>
        <v>5.4699999999999999E-2</v>
      </c>
    </row>
    <row r="6524" spans="1:3" x14ac:dyDescent="0.3">
      <c r="A6524" s="2">
        <v>43779</v>
      </c>
      <c r="B6524">
        <f>5.15/(100)</f>
        <v>5.1500000000000004E-2</v>
      </c>
      <c r="C6524">
        <f>5.47/(100)</f>
        <v>5.4699999999999999E-2</v>
      </c>
    </row>
    <row r="6525" spans="1:3" x14ac:dyDescent="0.3">
      <c r="A6525" s="2">
        <v>43780</v>
      </c>
      <c r="B6525">
        <f>5.15/(100)</f>
        <v>5.1500000000000004E-2</v>
      </c>
      <c r="C6525">
        <f>5.47/(100)</f>
        <v>5.4699999999999999E-2</v>
      </c>
    </row>
    <row r="6526" spans="1:3" x14ac:dyDescent="0.3">
      <c r="A6526" s="2">
        <v>43781</v>
      </c>
      <c r="B6526">
        <f>5.15/(100)</f>
        <v>5.1500000000000004E-2</v>
      </c>
      <c r="C6526">
        <f>5.47/(100)</f>
        <v>5.4699999999999999E-2</v>
      </c>
    </row>
    <row r="6527" spans="1:3" x14ac:dyDescent="0.3">
      <c r="A6527" s="2">
        <v>43782</v>
      </c>
      <c r="B6527">
        <f>5.15/(100)</f>
        <v>5.1500000000000004E-2</v>
      </c>
      <c r="C6527">
        <f>5.47/(100)</f>
        <v>5.4699999999999999E-2</v>
      </c>
    </row>
    <row r="6528" spans="1:3" x14ac:dyDescent="0.3">
      <c r="A6528" s="2">
        <v>43783</v>
      </c>
      <c r="B6528">
        <f>5.15/(100)</f>
        <v>5.1500000000000004E-2</v>
      </c>
      <c r="C6528">
        <f>5.47/(100)</f>
        <v>5.4699999999999999E-2</v>
      </c>
    </row>
    <row r="6529" spans="1:3" x14ac:dyDescent="0.3">
      <c r="A6529" s="2">
        <v>43784</v>
      </c>
      <c r="B6529">
        <f>5.15/(100)</f>
        <v>5.1500000000000004E-2</v>
      </c>
      <c r="C6529">
        <f>5.47/(100)</f>
        <v>5.4699999999999999E-2</v>
      </c>
    </row>
    <row r="6530" spans="1:3" x14ac:dyDescent="0.3">
      <c r="A6530" s="2">
        <v>43785</v>
      </c>
      <c r="B6530">
        <f>5.15/(100)</f>
        <v>5.1500000000000004E-2</v>
      </c>
      <c r="C6530">
        <f>5.47/(100)</f>
        <v>5.4699999999999999E-2</v>
      </c>
    </row>
    <row r="6531" spans="1:3" x14ac:dyDescent="0.3">
      <c r="A6531" s="2">
        <v>43786</v>
      </c>
      <c r="B6531">
        <f>5.15/(100)</f>
        <v>5.1500000000000004E-2</v>
      </c>
      <c r="C6531">
        <f>5.47/(100)</f>
        <v>5.4699999999999999E-2</v>
      </c>
    </row>
    <row r="6532" spans="1:3" x14ac:dyDescent="0.3">
      <c r="A6532" s="2">
        <v>43787</v>
      </c>
      <c r="B6532">
        <f>5.15/(100)</f>
        <v>5.1500000000000004E-2</v>
      </c>
      <c r="C6532">
        <f>5.47/(100)</f>
        <v>5.4699999999999999E-2</v>
      </c>
    </row>
    <row r="6533" spans="1:3" x14ac:dyDescent="0.3">
      <c r="A6533" s="2">
        <v>43788</v>
      </c>
      <c r="B6533">
        <f>5.15/(100)</f>
        <v>5.1500000000000004E-2</v>
      </c>
      <c r="C6533">
        <f>5.47/(100)</f>
        <v>5.4699999999999999E-2</v>
      </c>
    </row>
    <row r="6534" spans="1:3" x14ac:dyDescent="0.3">
      <c r="A6534" s="2">
        <v>43789</v>
      </c>
      <c r="B6534">
        <f>5.15/(100)</f>
        <v>5.1500000000000004E-2</v>
      </c>
      <c r="C6534">
        <f>5.47/(100)</f>
        <v>5.4699999999999999E-2</v>
      </c>
    </row>
    <row r="6535" spans="1:3" x14ac:dyDescent="0.3">
      <c r="A6535" s="2">
        <v>43790</v>
      </c>
      <c r="B6535">
        <f>5.15/(100)</f>
        <v>5.1500000000000004E-2</v>
      </c>
      <c r="C6535">
        <f>5.47/(100)</f>
        <v>5.4699999999999999E-2</v>
      </c>
    </row>
    <row r="6536" spans="1:3" x14ac:dyDescent="0.3">
      <c r="A6536" s="2">
        <v>43791</v>
      </c>
      <c r="B6536">
        <f>5.15/(100)</f>
        <v>5.1500000000000004E-2</v>
      </c>
      <c r="C6536">
        <f>5.47/(100)</f>
        <v>5.4699999999999999E-2</v>
      </c>
    </row>
    <row r="6537" spans="1:3" x14ac:dyDescent="0.3">
      <c r="A6537" s="2">
        <v>43792</v>
      </c>
      <c r="B6537">
        <f>5.15/(100)</f>
        <v>5.1500000000000004E-2</v>
      </c>
      <c r="C6537">
        <f>5.47/(100)</f>
        <v>5.4699999999999999E-2</v>
      </c>
    </row>
    <row r="6538" spans="1:3" x14ac:dyDescent="0.3">
      <c r="A6538" s="2">
        <v>43793</v>
      </c>
      <c r="B6538">
        <f>5.15/(100)</f>
        <v>5.1500000000000004E-2</v>
      </c>
      <c r="C6538">
        <f>5.47/(100)</f>
        <v>5.4699999999999999E-2</v>
      </c>
    </row>
    <row r="6539" spans="1:3" x14ac:dyDescent="0.3">
      <c r="A6539" s="2">
        <v>43794</v>
      </c>
      <c r="B6539">
        <f>5.15/(100)</f>
        <v>5.1500000000000004E-2</v>
      </c>
      <c r="C6539">
        <f>5.47/(100)</f>
        <v>5.4699999999999999E-2</v>
      </c>
    </row>
    <row r="6540" spans="1:3" x14ac:dyDescent="0.3">
      <c r="A6540" s="2">
        <v>43795</v>
      </c>
      <c r="B6540">
        <f>5.15/(100)</f>
        <v>5.1500000000000004E-2</v>
      </c>
      <c r="C6540">
        <f>5.47/(100)</f>
        <v>5.4699999999999999E-2</v>
      </c>
    </row>
    <row r="6541" spans="1:3" x14ac:dyDescent="0.3">
      <c r="A6541" s="2">
        <v>43796</v>
      </c>
      <c r="B6541">
        <f>5.15/(100)</f>
        <v>5.1500000000000004E-2</v>
      </c>
      <c r="C6541">
        <f>5.47/(100)</f>
        <v>5.4699999999999999E-2</v>
      </c>
    </row>
    <row r="6542" spans="1:3" x14ac:dyDescent="0.3">
      <c r="A6542" s="2">
        <v>43797</v>
      </c>
      <c r="B6542">
        <f>5.15/(100)</f>
        <v>5.1500000000000004E-2</v>
      </c>
      <c r="C6542">
        <f>5.47/(100)</f>
        <v>5.4699999999999999E-2</v>
      </c>
    </row>
    <row r="6543" spans="1:3" x14ac:dyDescent="0.3">
      <c r="A6543" s="2">
        <v>43798</v>
      </c>
      <c r="B6543">
        <f>5.15/(100)</f>
        <v>5.1500000000000004E-2</v>
      </c>
      <c r="C6543">
        <f>5.47/(100)</f>
        <v>5.4699999999999999E-2</v>
      </c>
    </row>
    <row r="6544" spans="1:3" x14ac:dyDescent="0.3">
      <c r="A6544" s="2">
        <v>43799</v>
      </c>
      <c r="B6544">
        <f>5.15/(100)</f>
        <v>5.1500000000000004E-2</v>
      </c>
      <c r="C6544">
        <f>5.47/(100)</f>
        <v>5.4699999999999999E-2</v>
      </c>
    </row>
    <row r="6545" spans="1:3" x14ac:dyDescent="0.3">
      <c r="A6545" s="2">
        <v>43800</v>
      </c>
      <c r="B6545">
        <f>5.15/(100)</f>
        <v>5.1500000000000004E-2</v>
      </c>
      <c r="C6545">
        <f>5.47/(100)</f>
        <v>5.4699999999999999E-2</v>
      </c>
    </row>
    <row r="6546" spans="1:3" x14ac:dyDescent="0.3">
      <c r="A6546" s="2">
        <v>43801</v>
      </c>
      <c r="B6546">
        <f>5.15/(100)</f>
        <v>5.1500000000000004E-2</v>
      </c>
      <c r="C6546">
        <f>5.47/(100)</f>
        <v>5.4699999999999999E-2</v>
      </c>
    </row>
    <row r="6547" spans="1:3" x14ac:dyDescent="0.3">
      <c r="A6547" s="2">
        <v>43802</v>
      </c>
      <c r="B6547">
        <f>5.15/(100)</f>
        <v>5.1500000000000004E-2</v>
      </c>
      <c r="C6547">
        <f>5.47/(100)</f>
        <v>5.4699999999999999E-2</v>
      </c>
    </row>
    <row r="6548" spans="1:3" x14ac:dyDescent="0.3">
      <c r="A6548" s="2">
        <v>43803</v>
      </c>
      <c r="B6548">
        <f>5.15/(100)</f>
        <v>5.1500000000000004E-2</v>
      </c>
      <c r="C6548">
        <f>5.47/(100)</f>
        <v>5.4699999999999999E-2</v>
      </c>
    </row>
    <row r="6549" spans="1:3" x14ac:dyDescent="0.3">
      <c r="A6549" s="2">
        <v>43804</v>
      </c>
      <c r="B6549">
        <f>5.15/(100)</f>
        <v>5.1500000000000004E-2</v>
      </c>
      <c r="C6549">
        <f>5.506/(100)</f>
        <v>5.5060000000000005E-2</v>
      </c>
    </row>
    <row r="6550" spans="1:3" x14ac:dyDescent="0.3">
      <c r="A6550" s="2">
        <v>43805</v>
      </c>
      <c r="B6550">
        <f>5.15/(100)</f>
        <v>5.1500000000000004E-2</v>
      </c>
      <c r="C6550">
        <f>5.502/(100)</f>
        <v>5.5019999999999999E-2</v>
      </c>
    </row>
    <row r="6551" spans="1:3" x14ac:dyDescent="0.3">
      <c r="A6551" s="2">
        <v>43806</v>
      </c>
      <c r="B6551">
        <f>5.15/(100)</f>
        <v>5.1500000000000004E-2</v>
      </c>
      <c r="C6551">
        <f>5.502/(100)</f>
        <v>5.5019999999999999E-2</v>
      </c>
    </row>
    <row r="6552" spans="1:3" x14ac:dyDescent="0.3">
      <c r="A6552" s="2">
        <v>43807</v>
      </c>
      <c r="B6552">
        <f>5.15/(100)</f>
        <v>5.1500000000000004E-2</v>
      </c>
      <c r="C6552">
        <f>5.502/(100)</f>
        <v>5.5019999999999999E-2</v>
      </c>
    </row>
    <row r="6553" spans="1:3" x14ac:dyDescent="0.3">
      <c r="A6553" s="2">
        <v>43808</v>
      </c>
      <c r="B6553">
        <f>5.15/(100)</f>
        <v>5.1500000000000004E-2</v>
      </c>
      <c r="C6553">
        <f>5.516/(100)</f>
        <v>5.5160000000000001E-2</v>
      </c>
    </row>
    <row r="6554" spans="1:3" x14ac:dyDescent="0.3">
      <c r="A6554" s="2">
        <v>43809</v>
      </c>
      <c r="B6554">
        <f>5.15/(100)</f>
        <v>5.1500000000000004E-2</v>
      </c>
      <c r="C6554">
        <f>5.54/(100)</f>
        <v>5.5399999999999998E-2</v>
      </c>
    </row>
    <row r="6555" spans="1:3" x14ac:dyDescent="0.3">
      <c r="A6555" s="2">
        <v>43810</v>
      </c>
      <c r="B6555">
        <f>5.15/(100)</f>
        <v>5.1500000000000004E-2</v>
      </c>
      <c r="C6555">
        <f>5.54/(100)</f>
        <v>5.5399999999999998E-2</v>
      </c>
    </row>
    <row r="6556" spans="1:3" x14ac:dyDescent="0.3">
      <c r="A6556" s="2">
        <v>43811</v>
      </c>
      <c r="B6556">
        <f>5.15/(100)</f>
        <v>5.1500000000000004E-2</v>
      </c>
      <c r="C6556">
        <f>5.535/(100)</f>
        <v>5.5350000000000003E-2</v>
      </c>
    </row>
    <row r="6557" spans="1:3" x14ac:dyDescent="0.3">
      <c r="A6557" s="2">
        <v>43812</v>
      </c>
      <c r="B6557">
        <f>5.15/(100)</f>
        <v>5.1500000000000004E-2</v>
      </c>
      <c r="C6557">
        <f>5.576/(100)</f>
        <v>5.5759999999999997E-2</v>
      </c>
    </row>
    <row r="6558" spans="1:3" x14ac:dyDescent="0.3">
      <c r="A6558" s="2">
        <v>43813</v>
      </c>
      <c r="B6558">
        <f>5.15/(100)</f>
        <v>5.1500000000000004E-2</v>
      </c>
      <c r="C6558">
        <f>5.576/(100)</f>
        <v>5.5759999999999997E-2</v>
      </c>
    </row>
    <row r="6559" spans="1:3" x14ac:dyDescent="0.3">
      <c r="A6559" s="2">
        <v>43814</v>
      </c>
      <c r="B6559">
        <f>5.15/(100)</f>
        <v>5.1500000000000004E-2</v>
      </c>
      <c r="C6559">
        <f>5.576/(100)</f>
        <v>5.5759999999999997E-2</v>
      </c>
    </row>
    <row r="6560" spans="1:3" x14ac:dyDescent="0.3">
      <c r="A6560" s="2">
        <v>43815</v>
      </c>
      <c r="B6560">
        <f>5.15/(100)</f>
        <v>5.1500000000000004E-2</v>
      </c>
      <c r="C6560">
        <f>5.543/(100)</f>
        <v>5.543E-2</v>
      </c>
    </row>
    <row r="6561" spans="1:3" x14ac:dyDescent="0.3">
      <c r="A6561" s="2">
        <v>43816</v>
      </c>
      <c r="B6561">
        <f>5.15/(100)</f>
        <v>5.1500000000000004E-2</v>
      </c>
      <c r="C6561">
        <f>5.541/(100)</f>
        <v>5.5410000000000001E-2</v>
      </c>
    </row>
    <row r="6562" spans="1:3" x14ac:dyDescent="0.3">
      <c r="A6562" s="2">
        <v>43817</v>
      </c>
      <c r="B6562">
        <f>5.15/(100)</f>
        <v>5.1500000000000004E-2</v>
      </c>
      <c r="C6562">
        <f>5.541/(100)</f>
        <v>5.5410000000000001E-2</v>
      </c>
    </row>
    <row r="6563" spans="1:3" x14ac:dyDescent="0.3">
      <c r="A6563" s="2">
        <v>43818</v>
      </c>
      <c r="B6563">
        <f>5.15/(100)</f>
        <v>5.1500000000000004E-2</v>
      </c>
      <c r="C6563">
        <f>5.516/(100)</f>
        <v>5.5160000000000001E-2</v>
      </c>
    </row>
    <row r="6564" spans="1:3" x14ac:dyDescent="0.3">
      <c r="A6564" s="2">
        <v>43819</v>
      </c>
      <c r="B6564">
        <f>5.15/(100)</f>
        <v>5.1500000000000004E-2</v>
      </c>
      <c r="C6564">
        <f>5.516/(100)</f>
        <v>5.5160000000000001E-2</v>
      </c>
    </row>
    <row r="6565" spans="1:3" x14ac:dyDescent="0.3">
      <c r="A6565" s="2">
        <v>43820</v>
      </c>
      <c r="B6565">
        <f>5.15/(100)</f>
        <v>5.1500000000000004E-2</v>
      </c>
      <c r="C6565">
        <f>5.516/(100)</f>
        <v>5.5160000000000001E-2</v>
      </c>
    </row>
    <row r="6566" spans="1:3" x14ac:dyDescent="0.3">
      <c r="A6566" s="2">
        <v>43821</v>
      </c>
      <c r="B6566">
        <f>5.15/(100)</f>
        <v>5.1500000000000004E-2</v>
      </c>
      <c r="C6566">
        <f>5.516/(100)</f>
        <v>5.5160000000000001E-2</v>
      </c>
    </row>
    <row r="6567" spans="1:3" x14ac:dyDescent="0.3">
      <c r="A6567" s="2">
        <v>43822</v>
      </c>
      <c r="B6567">
        <f>5.15/(100)</f>
        <v>5.1500000000000004E-2</v>
      </c>
      <c r="C6567">
        <f>5.507/(100)</f>
        <v>5.5069999999999994E-2</v>
      </c>
    </row>
    <row r="6568" spans="1:3" x14ac:dyDescent="0.3">
      <c r="A6568" s="2">
        <v>43823</v>
      </c>
      <c r="B6568">
        <f>5.15/(100)</f>
        <v>5.1500000000000004E-2</v>
      </c>
      <c r="C6568">
        <f>5.524/(100)</f>
        <v>5.5239999999999997E-2</v>
      </c>
    </row>
    <row r="6569" spans="1:3" x14ac:dyDescent="0.3">
      <c r="A6569" s="2">
        <v>43824</v>
      </c>
      <c r="B6569">
        <f>5.15/(100)</f>
        <v>5.1500000000000004E-2</v>
      </c>
      <c r="C6569">
        <f>5.524/(100)</f>
        <v>5.5239999999999997E-2</v>
      </c>
    </row>
    <row r="6570" spans="1:3" x14ac:dyDescent="0.3">
      <c r="A6570" s="2">
        <v>43825</v>
      </c>
      <c r="B6570">
        <f>5.15/(100)</f>
        <v>5.1500000000000004E-2</v>
      </c>
      <c r="C6570">
        <f>5.506/(100)</f>
        <v>5.5060000000000005E-2</v>
      </c>
    </row>
    <row r="6571" spans="1:3" x14ac:dyDescent="0.3">
      <c r="A6571" s="2">
        <v>43826</v>
      </c>
      <c r="B6571">
        <f>5.15/(100)</f>
        <v>5.1500000000000004E-2</v>
      </c>
      <c r="C6571">
        <f>5.502/(100)</f>
        <v>5.5019999999999999E-2</v>
      </c>
    </row>
    <row r="6572" spans="1:3" x14ac:dyDescent="0.3">
      <c r="A6572" s="2">
        <v>43827</v>
      </c>
      <c r="B6572">
        <f>5.15/(100)</f>
        <v>5.1500000000000004E-2</v>
      </c>
      <c r="C6572">
        <f>5.502/(100)</f>
        <v>5.5019999999999999E-2</v>
      </c>
    </row>
    <row r="6573" spans="1:3" x14ac:dyDescent="0.3">
      <c r="A6573" s="2">
        <v>43828</v>
      </c>
      <c r="B6573">
        <f>5.15/(100)</f>
        <v>5.1500000000000004E-2</v>
      </c>
      <c r="C6573">
        <f>5.502/(100)</f>
        <v>5.5019999999999999E-2</v>
      </c>
    </row>
    <row r="6574" spans="1:3" x14ac:dyDescent="0.3">
      <c r="A6574" s="2">
        <v>43829</v>
      </c>
      <c r="B6574">
        <f>5.15/(100)</f>
        <v>5.1500000000000004E-2</v>
      </c>
      <c r="C6574">
        <f>5.548/(100)</f>
        <v>5.5480000000000002E-2</v>
      </c>
    </row>
    <row r="6575" spans="1:3" x14ac:dyDescent="0.3">
      <c r="A6575" s="2">
        <v>43830</v>
      </c>
      <c r="B6575">
        <f>5.15/(100)</f>
        <v>5.1500000000000004E-2</v>
      </c>
      <c r="C6575">
        <f>5.481/(100)</f>
        <v>5.4809999999999998E-2</v>
      </c>
    </row>
    <row r="6576" spans="1:3" x14ac:dyDescent="0.3">
      <c r="A6576" s="2">
        <v>43831</v>
      </c>
      <c r="B6576">
        <f>5.15/(100)</f>
        <v>5.1500000000000004E-2</v>
      </c>
      <c r="C6576">
        <f>5.484/(100)</f>
        <v>5.484E-2</v>
      </c>
    </row>
    <row r="6577" spans="1:3" x14ac:dyDescent="0.3">
      <c r="A6577" s="2">
        <v>43832</v>
      </c>
      <c r="B6577">
        <f>5.15/(100)</f>
        <v>5.1500000000000004E-2</v>
      </c>
      <c r="C6577">
        <f>5.46/(100)</f>
        <v>5.4600000000000003E-2</v>
      </c>
    </row>
    <row r="6578" spans="1:3" x14ac:dyDescent="0.3">
      <c r="A6578" s="2">
        <v>43833</v>
      </c>
      <c r="B6578">
        <f>5.15/(100)</f>
        <v>5.1500000000000004E-2</v>
      </c>
      <c r="C6578">
        <f>5.458/(100)</f>
        <v>5.4580000000000004E-2</v>
      </c>
    </row>
    <row r="6579" spans="1:3" x14ac:dyDescent="0.3">
      <c r="A6579" s="2">
        <v>43834</v>
      </c>
      <c r="B6579">
        <f>5.15/(100)</f>
        <v>5.1500000000000004E-2</v>
      </c>
      <c r="C6579">
        <f>5.458/(100)</f>
        <v>5.4580000000000004E-2</v>
      </c>
    </row>
    <row r="6580" spans="1:3" x14ac:dyDescent="0.3">
      <c r="A6580" s="2">
        <v>43835</v>
      </c>
      <c r="B6580">
        <f>5.15/(100)</f>
        <v>5.1500000000000004E-2</v>
      </c>
      <c r="C6580">
        <f>5.458/(100)</f>
        <v>5.4580000000000004E-2</v>
      </c>
    </row>
    <row r="6581" spans="1:3" x14ac:dyDescent="0.3">
      <c r="A6581" s="2">
        <v>43836</v>
      </c>
      <c r="B6581">
        <f>5.15/(100)</f>
        <v>5.1500000000000004E-2</v>
      </c>
      <c r="C6581">
        <f>5.772/(100)</f>
        <v>5.772E-2</v>
      </c>
    </row>
    <row r="6582" spans="1:3" x14ac:dyDescent="0.3">
      <c r="A6582" s="2">
        <v>43837</v>
      </c>
      <c r="B6582">
        <f>5.15/(100)</f>
        <v>5.1500000000000004E-2</v>
      </c>
      <c r="C6582">
        <f>5.737/(100)</f>
        <v>5.7370000000000004E-2</v>
      </c>
    </row>
    <row r="6583" spans="1:3" x14ac:dyDescent="0.3">
      <c r="A6583" s="2">
        <v>43838</v>
      </c>
      <c r="B6583">
        <f>5.15/(100)</f>
        <v>5.1500000000000004E-2</v>
      </c>
      <c r="C6583">
        <f>5.724/(100)</f>
        <v>5.7239999999999999E-2</v>
      </c>
    </row>
    <row r="6584" spans="1:3" x14ac:dyDescent="0.3">
      <c r="A6584" s="2">
        <v>43839</v>
      </c>
      <c r="B6584">
        <f>5.15/(100)</f>
        <v>5.1500000000000004E-2</v>
      </c>
      <c r="C6584">
        <f>5.687/(100)</f>
        <v>5.6870000000000004E-2</v>
      </c>
    </row>
    <row r="6585" spans="1:3" x14ac:dyDescent="0.3">
      <c r="A6585" s="2">
        <v>43840</v>
      </c>
      <c r="B6585">
        <f>5.15/(100)</f>
        <v>5.1500000000000004E-2</v>
      </c>
      <c r="C6585">
        <f>5.685/(100)</f>
        <v>5.6849999999999998E-2</v>
      </c>
    </row>
    <row r="6586" spans="1:3" x14ac:dyDescent="0.3">
      <c r="A6586" s="2">
        <v>43841</v>
      </c>
      <c r="B6586">
        <f>5.15/(100)</f>
        <v>5.1500000000000004E-2</v>
      </c>
      <c r="C6586">
        <f>5.685/(100)</f>
        <v>5.6849999999999998E-2</v>
      </c>
    </row>
    <row r="6587" spans="1:3" x14ac:dyDescent="0.3">
      <c r="A6587" s="2">
        <v>43842</v>
      </c>
      <c r="B6587">
        <f>5.15/(100)</f>
        <v>5.1500000000000004E-2</v>
      </c>
      <c r="C6587">
        <f>5.685/(100)</f>
        <v>5.6849999999999998E-2</v>
      </c>
    </row>
    <row r="6588" spans="1:3" x14ac:dyDescent="0.3">
      <c r="A6588" s="2">
        <v>43843</v>
      </c>
      <c r="B6588">
        <f>5.15/(100)</f>
        <v>5.1500000000000004E-2</v>
      </c>
      <c r="C6588">
        <f>5.684/(100)</f>
        <v>5.6840000000000002E-2</v>
      </c>
    </row>
    <row r="6589" spans="1:3" x14ac:dyDescent="0.3">
      <c r="A6589" s="2">
        <v>43844</v>
      </c>
      <c r="B6589">
        <f>5.15/(100)</f>
        <v>5.1500000000000004E-2</v>
      </c>
      <c r="C6589">
        <f>5.705/(100)</f>
        <v>5.7050000000000003E-2</v>
      </c>
    </row>
    <row r="6590" spans="1:3" x14ac:dyDescent="0.3">
      <c r="A6590" s="2">
        <v>43845</v>
      </c>
      <c r="B6590">
        <f>5.15/(100)</f>
        <v>5.1500000000000004E-2</v>
      </c>
      <c r="C6590">
        <f>5.704/(100)</f>
        <v>5.704E-2</v>
      </c>
    </row>
    <row r="6591" spans="1:3" x14ac:dyDescent="0.3">
      <c r="A6591" s="2">
        <v>43846</v>
      </c>
      <c r="B6591">
        <f>5.15/(100)</f>
        <v>5.1500000000000004E-2</v>
      </c>
      <c r="C6591">
        <f>5.703/(100)</f>
        <v>5.7030000000000004E-2</v>
      </c>
    </row>
    <row r="6592" spans="1:3" x14ac:dyDescent="0.3">
      <c r="A6592" s="2">
        <v>43847</v>
      </c>
      <c r="B6592">
        <f>5.15/(100)</f>
        <v>5.1500000000000004E-2</v>
      </c>
      <c r="C6592">
        <f>5.742/(100)</f>
        <v>5.7419999999999999E-2</v>
      </c>
    </row>
    <row r="6593" spans="1:3" x14ac:dyDescent="0.3">
      <c r="A6593" s="2">
        <v>43848</v>
      </c>
      <c r="B6593">
        <f>5.15/(100)</f>
        <v>5.1500000000000004E-2</v>
      </c>
      <c r="C6593">
        <f>5.742/(100)</f>
        <v>5.7419999999999999E-2</v>
      </c>
    </row>
    <row r="6594" spans="1:3" x14ac:dyDescent="0.3">
      <c r="A6594" s="2">
        <v>43849</v>
      </c>
      <c r="B6594">
        <f>5.15/(100)</f>
        <v>5.1500000000000004E-2</v>
      </c>
      <c r="C6594">
        <f>5.742/(100)</f>
        <v>5.7419999999999999E-2</v>
      </c>
    </row>
    <row r="6595" spans="1:3" x14ac:dyDescent="0.3">
      <c r="A6595" s="2">
        <v>43850</v>
      </c>
      <c r="B6595">
        <f>5.15/(100)</f>
        <v>5.1500000000000004E-2</v>
      </c>
      <c r="C6595">
        <f>5.741/(100)</f>
        <v>5.7409999999999996E-2</v>
      </c>
    </row>
    <row r="6596" spans="1:3" x14ac:dyDescent="0.3">
      <c r="A6596" s="2">
        <v>43851</v>
      </c>
      <c r="B6596">
        <f>5.15/(100)</f>
        <v>5.1500000000000004E-2</v>
      </c>
      <c r="C6596">
        <f>5.753/(100)</f>
        <v>5.7529999999999998E-2</v>
      </c>
    </row>
    <row r="6597" spans="1:3" x14ac:dyDescent="0.3">
      <c r="A6597" s="2">
        <v>43852</v>
      </c>
      <c r="B6597">
        <f>5.15/(100)</f>
        <v>5.1500000000000004E-2</v>
      </c>
      <c r="C6597">
        <f>5.75/(100)</f>
        <v>5.7500000000000002E-2</v>
      </c>
    </row>
    <row r="6598" spans="1:3" x14ac:dyDescent="0.3">
      <c r="A6598" s="2">
        <v>43853</v>
      </c>
      <c r="B6598">
        <f>5.15/(100)</f>
        <v>5.1500000000000004E-2</v>
      </c>
      <c r="C6598">
        <f>5.738/(100)</f>
        <v>5.7380000000000007E-2</v>
      </c>
    </row>
    <row r="6599" spans="1:3" x14ac:dyDescent="0.3">
      <c r="A6599" s="2">
        <v>43854</v>
      </c>
      <c r="B6599">
        <f>5.15/(100)</f>
        <v>5.1500000000000004E-2</v>
      </c>
      <c r="C6599">
        <f>5.7/(100)</f>
        <v>5.7000000000000002E-2</v>
      </c>
    </row>
    <row r="6600" spans="1:3" x14ac:dyDescent="0.3">
      <c r="A6600" s="2">
        <v>43855</v>
      </c>
      <c r="B6600">
        <f>5.15/(100)</f>
        <v>5.1500000000000004E-2</v>
      </c>
      <c r="C6600">
        <f>5.7/(100)</f>
        <v>5.7000000000000002E-2</v>
      </c>
    </row>
    <row r="6601" spans="1:3" x14ac:dyDescent="0.3">
      <c r="A6601" s="2">
        <v>43856</v>
      </c>
      <c r="B6601">
        <f>5.15/(100)</f>
        <v>5.1500000000000004E-2</v>
      </c>
      <c r="C6601">
        <f>5.7/(100)</f>
        <v>5.7000000000000002E-2</v>
      </c>
    </row>
    <row r="6602" spans="1:3" x14ac:dyDescent="0.3">
      <c r="A6602" s="2">
        <v>43857</v>
      </c>
      <c r="B6602">
        <f>5.15/(100)</f>
        <v>5.1500000000000004E-2</v>
      </c>
      <c r="C6602">
        <f>5.67/(100)</f>
        <v>5.67E-2</v>
      </c>
    </row>
    <row r="6603" spans="1:3" x14ac:dyDescent="0.3">
      <c r="A6603" s="2">
        <v>43858</v>
      </c>
      <c r="B6603">
        <f>5.15/(100)</f>
        <v>5.1500000000000004E-2</v>
      </c>
      <c r="C6603">
        <f>5.676/(100)</f>
        <v>5.6760000000000005E-2</v>
      </c>
    </row>
    <row r="6604" spans="1:3" x14ac:dyDescent="0.3">
      <c r="A6604" s="2">
        <v>43859</v>
      </c>
      <c r="B6604">
        <f>5.15/(100)</f>
        <v>5.1500000000000004E-2</v>
      </c>
      <c r="C6604">
        <f>5.675/(100)</f>
        <v>5.6749999999999995E-2</v>
      </c>
    </row>
    <row r="6605" spans="1:3" x14ac:dyDescent="0.3">
      <c r="A6605" s="2">
        <v>43860</v>
      </c>
      <c r="B6605">
        <f>5.15/(100)</f>
        <v>5.1500000000000004E-2</v>
      </c>
      <c r="C6605">
        <f>5.661/(100)</f>
        <v>5.6609999999999994E-2</v>
      </c>
    </row>
    <row r="6606" spans="1:3" x14ac:dyDescent="0.3">
      <c r="A6606" s="2">
        <v>43861</v>
      </c>
      <c r="B6606">
        <f>5.15/(100)</f>
        <v>5.1500000000000004E-2</v>
      </c>
      <c r="C6606">
        <f>5.658/(100)</f>
        <v>5.6580000000000005E-2</v>
      </c>
    </row>
    <row r="6607" spans="1:3" x14ac:dyDescent="0.3">
      <c r="A6607" s="2">
        <v>43862</v>
      </c>
      <c r="B6607">
        <f>5.15/(100)</f>
        <v>5.1500000000000004E-2</v>
      </c>
      <c r="C6607">
        <f>5.658/(100)</f>
        <v>5.6580000000000005E-2</v>
      </c>
    </row>
    <row r="6608" spans="1:3" x14ac:dyDescent="0.3">
      <c r="A6608" s="2">
        <v>43863</v>
      </c>
      <c r="B6608">
        <f>5.15/(100)</f>
        <v>5.1500000000000004E-2</v>
      </c>
      <c r="C6608">
        <f>5.658/(100)</f>
        <v>5.6580000000000005E-2</v>
      </c>
    </row>
    <row r="6609" spans="1:3" x14ac:dyDescent="0.3">
      <c r="A6609" s="2">
        <v>43864</v>
      </c>
      <c r="B6609">
        <f>5.15/(100)</f>
        <v>5.1500000000000004E-2</v>
      </c>
      <c r="C6609">
        <f>5.617/(100)</f>
        <v>5.6169999999999998E-2</v>
      </c>
    </row>
    <row r="6610" spans="1:3" x14ac:dyDescent="0.3">
      <c r="A6610" s="2">
        <v>43865</v>
      </c>
      <c r="B6610">
        <f>5.15/(100)</f>
        <v>5.1500000000000004E-2</v>
      </c>
      <c r="C6610">
        <f>5.612/(100)</f>
        <v>5.6120000000000003E-2</v>
      </c>
    </row>
    <row r="6611" spans="1:3" x14ac:dyDescent="0.3">
      <c r="A6611" s="2">
        <v>43866</v>
      </c>
      <c r="B6611">
        <f>5.15/(100)</f>
        <v>5.1500000000000004E-2</v>
      </c>
      <c r="C6611">
        <f>5.583/(100)</f>
        <v>5.5830000000000005E-2</v>
      </c>
    </row>
    <row r="6612" spans="1:3" x14ac:dyDescent="0.3">
      <c r="A6612" s="2">
        <v>43867</v>
      </c>
      <c r="B6612">
        <f>5.15/(100)</f>
        <v>5.1500000000000004E-2</v>
      </c>
      <c r="C6612">
        <f>5.522/(100)</f>
        <v>5.5220000000000005E-2</v>
      </c>
    </row>
    <row r="6613" spans="1:3" x14ac:dyDescent="0.3">
      <c r="A6613" s="2">
        <v>43868</v>
      </c>
      <c r="B6613">
        <f>5.15/(100)</f>
        <v>5.1500000000000004E-2</v>
      </c>
      <c r="C6613">
        <f>5.491/(100)</f>
        <v>5.4909999999999994E-2</v>
      </c>
    </row>
    <row r="6614" spans="1:3" x14ac:dyDescent="0.3">
      <c r="A6614" s="2">
        <v>43869</v>
      </c>
      <c r="B6614">
        <f>5.15/(100)</f>
        <v>5.1500000000000004E-2</v>
      </c>
      <c r="C6614">
        <f>5.491/(100)</f>
        <v>5.4909999999999994E-2</v>
      </c>
    </row>
    <row r="6615" spans="1:3" x14ac:dyDescent="0.3">
      <c r="A6615" s="2">
        <v>43870</v>
      </c>
      <c r="B6615">
        <f>5.15/(100)</f>
        <v>5.1500000000000004E-2</v>
      </c>
      <c r="C6615">
        <f>5.491/(100)</f>
        <v>5.4909999999999994E-2</v>
      </c>
    </row>
    <row r="6616" spans="1:3" x14ac:dyDescent="0.3">
      <c r="A6616" s="2">
        <v>43871</v>
      </c>
      <c r="B6616">
        <f>5.15/(100)</f>
        <v>5.1500000000000004E-2</v>
      </c>
      <c r="C6616">
        <f>5.498/(100)</f>
        <v>5.4980000000000001E-2</v>
      </c>
    </row>
    <row r="6617" spans="1:3" x14ac:dyDescent="0.3">
      <c r="A6617" s="2">
        <v>43872</v>
      </c>
      <c r="B6617">
        <f>5.15/(100)</f>
        <v>5.1500000000000004E-2</v>
      </c>
      <c r="C6617">
        <f>5.493/(100)</f>
        <v>5.4930000000000007E-2</v>
      </c>
    </row>
    <row r="6618" spans="1:3" x14ac:dyDescent="0.3">
      <c r="A6618" s="2">
        <v>43873</v>
      </c>
      <c r="B6618">
        <f>5.15/(100)</f>
        <v>5.1500000000000004E-2</v>
      </c>
      <c r="C6618">
        <f>5.477/(100)</f>
        <v>5.4770000000000006E-2</v>
      </c>
    </row>
    <row r="6619" spans="1:3" x14ac:dyDescent="0.3">
      <c r="A6619" s="2">
        <v>43874</v>
      </c>
      <c r="B6619">
        <f>5.15/(100)</f>
        <v>5.1500000000000004E-2</v>
      </c>
      <c r="C6619">
        <f>5.469/(100)</f>
        <v>5.4690000000000003E-2</v>
      </c>
    </row>
    <row r="6620" spans="1:3" x14ac:dyDescent="0.3">
      <c r="A6620" s="2">
        <v>43875</v>
      </c>
      <c r="B6620">
        <f>5.15/(100)</f>
        <v>5.1500000000000004E-2</v>
      </c>
      <c r="C6620">
        <f>5.438/(100)</f>
        <v>5.4379999999999998E-2</v>
      </c>
    </row>
    <row r="6621" spans="1:3" x14ac:dyDescent="0.3">
      <c r="A6621" s="2">
        <v>43876</v>
      </c>
      <c r="B6621">
        <f>5.15/(100)</f>
        <v>5.1500000000000004E-2</v>
      </c>
      <c r="C6621">
        <f>5.438/(100)</f>
        <v>5.4379999999999998E-2</v>
      </c>
    </row>
    <row r="6622" spans="1:3" x14ac:dyDescent="0.3">
      <c r="A6622" s="2">
        <v>43877</v>
      </c>
      <c r="B6622">
        <f>5.15/(100)</f>
        <v>5.1500000000000004E-2</v>
      </c>
      <c r="C6622">
        <f>5.438/(100)</f>
        <v>5.4379999999999998E-2</v>
      </c>
    </row>
    <row r="6623" spans="1:3" x14ac:dyDescent="0.3">
      <c r="A6623" s="2">
        <v>43878</v>
      </c>
      <c r="B6623">
        <f>5.15/(100)</f>
        <v>5.1500000000000004E-2</v>
      </c>
      <c r="C6623">
        <f>5.437/(100)</f>
        <v>5.4370000000000002E-2</v>
      </c>
    </row>
    <row r="6624" spans="1:3" x14ac:dyDescent="0.3">
      <c r="A6624" s="2">
        <v>43879</v>
      </c>
      <c r="B6624">
        <f>5.15/(100)</f>
        <v>5.1500000000000004E-2</v>
      </c>
      <c r="C6624">
        <f>5.434/(100)</f>
        <v>5.4339999999999999E-2</v>
      </c>
    </row>
    <row r="6625" spans="1:3" x14ac:dyDescent="0.3">
      <c r="A6625" s="2">
        <v>43880</v>
      </c>
      <c r="B6625">
        <f>5.15/(100)</f>
        <v>5.1500000000000004E-2</v>
      </c>
      <c r="C6625">
        <f>5.434/(100)</f>
        <v>5.4339999999999999E-2</v>
      </c>
    </row>
    <row r="6626" spans="1:3" x14ac:dyDescent="0.3">
      <c r="A6626" s="2">
        <v>43881</v>
      </c>
      <c r="B6626">
        <f>5.15/(100)</f>
        <v>5.1500000000000004E-2</v>
      </c>
      <c r="C6626">
        <f>5.434/(100)</f>
        <v>5.4339999999999999E-2</v>
      </c>
    </row>
    <row r="6627" spans="1:3" x14ac:dyDescent="0.3">
      <c r="A6627" s="2">
        <v>43882</v>
      </c>
      <c r="B6627">
        <f>5.15/(100)</f>
        <v>5.1500000000000004E-2</v>
      </c>
      <c r="C6627">
        <f>5.434/(100)</f>
        <v>5.4339999999999999E-2</v>
      </c>
    </row>
    <row r="6628" spans="1:3" x14ac:dyDescent="0.3">
      <c r="A6628" s="2">
        <v>43883</v>
      </c>
      <c r="B6628">
        <f>5.15/(100)</f>
        <v>5.1500000000000004E-2</v>
      </c>
      <c r="C6628">
        <f>5.434/(100)</f>
        <v>5.4339999999999999E-2</v>
      </c>
    </row>
    <row r="6629" spans="1:3" x14ac:dyDescent="0.3">
      <c r="A6629" s="2">
        <v>43884</v>
      </c>
      <c r="B6629">
        <f>5.15/(100)</f>
        <v>5.1500000000000004E-2</v>
      </c>
      <c r="C6629">
        <f>5.434/(100)</f>
        <v>5.4339999999999999E-2</v>
      </c>
    </row>
    <row r="6630" spans="1:3" x14ac:dyDescent="0.3">
      <c r="A6630" s="2">
        <v>43885</v>
      </c>
      <c r="B6630">
        <f>5.15/(100)</f>
        <v>5.1500000000000004E-2</v>
      </c>
      <c r="C6630">
        <f>5.394/(100)</f>
        <v>5.3940000000000002E-2</v>
      </c>
    </row>
    <row r="6631" spans="1:3" x14ac:dyDescent="0.3">
      <c r="A6631" s="2">
        <v>43886</v>
      </c>
      <c r="B6631">
        <f>5.15/(100)</f>
        <v>5.1500000000000004E-2</v>
      </c>
      <c r="C6631">
        <f>5.378/(100)</f>
        <v>5.3780000000000001E-2</v>
      </c>
    </row>
    <row r="6632" spans="1:3" x14ac:dyDescent="0.3">
      <c r="A6632" s="2">
        <v>43887</v>
      </c>
      <c r="B6632">
        <f>5.15/(100)</f>
        <v>5.1500000000000004E-2</v>
      </c>
      <c r="C6632">
        <f>5.359/(100)</f>
        <v>5.3589999999999999E-2</v>
      </c>
    </row>
    <row r="6633" spans="1:3" x14ac:dyDescent="0.3">
      <c r="A6633" s="2">
        <v>43888</v>
      </c>
      <c r="B6633">
        <f>5.15/(100)</f>
        <v>5.1500000000000004E-2</v>
      </c>
      <c r="C6633">
        <f>5.358/(100)</f>
        <v>5.3579999999999996E-2</v>
      </c>
    </row>
    <row r="6634" spans="1:3" x14ac:dyDescent="0.3">
      <c r="A6634" s="2">
        <v>43889</v>
      </c>
      <c r="B6634">
        <f>5.15/(100)</f>
        <v>5.1500000000000004E-2</v>
      </c>
      <c r="C6634">
        <f>5.328/(100)</f>
        <v>5.3280000000000001E-2</v>
      </c>
    </row>
    <row r="6635" spans="1:3" x14ac:dyDescent="0.3">
      <c r="A6635" s="2">
        <v>43890</v>
      </c>
      <c r="B6635">
        <f>5.15/(100)</f>
        <v>5.1500000000000004E-2</v>
      </c>
      <c r="C6635">
        <f>5.328/(100)</f>
        <v>5.3280000000000001E-2</v>
      </c>
    </row>
    <row r="6636" spans="1:3" x14ac:dyDescent="0.3">
      <c r="A6636" s="2">
        <v>43891</v>
      </c>
      <c r="B6636">
        <f>5.15/(100)</f>
        <v>5.1500000000000004E-2</v>
      </c>
      <c r="C6636">
        <f>5.328/(100)</f>
        <v>5.3280000000000001E-2</v>
      </c>
    </row>
    <row r="6637" spans="1:3" x14ac:dyDescent="0.3">
      <c r="A6637" s="2">
        <v>43892</v>
      </c>
      <c r="B6637">
        <f>5.15/(100)</f>
        <v>5.1500000000000004E-2</v>
      </c>
      <c r="C6637">
        <f>5.266/(100)</f>
        <v>5.2659999999999998E-2</v>
      </c>
    </row>
    <row r="6638" spans="1:3" x14ac:dyDescent="0.3">
      <c r="A6638" s="2">
        <v>43893</v>
      </c>
      <c r="B6638">
        <f>5.15/(100)</f>
        <v>5.1500000000000004E-2</v>
      </c>
      <c r="C6638">
        <f>5.256/(100)</f>
        <v>5.2560000000000003E-2</v>
      </c>
    </row>
    <row r="6639" spans="1:3" x14ac:dyDescent="0.3">
      <c r="A6639" s="2">
        <v>43894</v>
      </c>
      <c r="B6639">
        <f>5.15/(100)</f>
        <v>5.1500000000000004E-2</v>
      </c>
      <c r="C6639">
        <f>5.125/(100)</f>
        <v>5.1249999999999997E-2</v>
      </c>
    </row>
    <row r="6640" spans="1:3" x14ac:dyDescent="0.3">
      <c r="A6640" s="2">
        <v>43895</v>
      </c>
      <c r="B6640">
        <f>5.15/(100)</f>
        <v>5.1500000000000004E-2</v>
      </c>
      <c r="C6640">
        <f>5.176/(100)</f>
        <v>5.176E-2</v>
      </c>
    </row>
    <row r="6641" spans="1:3" x14ac:dyDescent="0.3">
      <c r="A6641" s="2">
        <v>43896</v>
      </c>
      <c r="B6641">
        <f>5.15/(100)</f>
        <v>5.1500000000000004E-2</v>
      </c>
      <c r="C6641">
        <f>5.152/(100)</f>
        <v>5.1520000000000003E-2</v>
      </c>
    </row>
    <row r="6642" spans="1:3" x14ac:dyDescent="0.3">
      <c r="A6642" s="2">
        <v>43897</v>
      </c>
      <c r="B6642">
        <f>5.15/(100)</f>
        <v>5.1500000000000004E-2</v>
      </c>
      <c r="C6642">
        <f>5.152/(100)</f>
        <v>5.1520000000000003E-2</v>
      </c>
    </row>
    <row r="6643" spans="1:3" x14ac:dyDescent="0.3">
      <c r="A6643" s="2">
        <v>43898</v>
      </c>
      <c r="B6643">
        <f>5.15/(100)</f>
        <v>5.1500000000000004E-2</v>
      </c>
      <c r="C6643">
        <f>5.152/(100)</f>
        <v>5.1520000000000003E-2</v>
      </c>
    </row>
    <row r="6644" spans="1:3" x14ac:dyDescent="0.3">
      <c r="A6644" s="2">
        <v>43899</v>
      </c>
      <c r="B6644">
        <f>5.15/(100)</f>
        <v>5.1500000000000004E-2</v>
      </c>
      <c r="C6644">
        <f>5.073/(100)</f>
        <v>5.0730000000000004E-2</v>
      </c>
    </row>
    <row r="6645" spans="1:3" x14ac:dyDescent="0.3">
      <c r="A6645" s="2">
        <v>43900</v>
      </c>
      <c r="B6645">
        <f>5.15/(100)</f>
        <v>5.1500000000000004E-2</v>
      </c>
      <c r="C6645">
        <f>5.073/(100)</f>
        <v>5.0730000000000004E-2</v>
      </c>
    </row>
    <row r="6646" spans="1:3" x14ac:dyDescent="0.3">
      <c r="A6646" s="2">
        <v>43901</v>
      </c>
      <c r="B6646">
        <f>5.15/(100)</f>
        <v>5.1500000000000004E-2</v>
      </c>
      <c r="C6646">
        <f>5.102/(100)</f>
        <v>5.1020000000000003E-2</v>
      </c>
    </row>
    <row r="6647" spans="1:3" x14ac:dyDescent="0.3">
      <c r="A6647" s="2">
        <v>43902</v>
      </c>
      <c r="B6647">
        <f>5.15/(100)</f>
        <v>5.1500000000000004E-2</v>
      </c>
      <c r="C6647">
        <f>5.148/(100)</f>
        <v>5.1479999999999998E-2</v>
      </c>
    </row>
    <row r="6648" spans="1:3" x14ac:dyDescent="0.3">
      <c r="A6648" s="2">
        <v>43903</v>
      </c>
      <c r="B6648">
        <f>5.15/(100)</f>
        <v>5.1500000000000004E-2</v>
      </c>
      <c r="C6648">
        <f>5.257/(100)</f>
        <v>5.2569999999999999E-2</v>
      </c>
    </row>
    <row r="6649" spans="1:3" x14ac:dyDescent="0.3">
      <c r="A6649" s="2">
        <v>43904</v>
      </c>
      <c r="B6649">
        <f>5.15/(100)</f>
        <v>5.1500000000000004E-2</v>
      </c>
      <c r="C6649">
        <f>5.257/(100)</f>
        <v>5.2569999999999999E-2</v>
      </c>
    </row>
    <row r="6650" spans="1:3" x14ac:dyDescent="0.3">
      <c r="A6650" s="2">
        <v>43905</v>
      </c>
      <c r="B6650">
        <f>5.15/(100)</f>
        <v>5.1500000000000004E-2</v>
      </c>
      <c r="C6650">
        <f>5.257/(100)</f>
        <v>5.2569999999999999E-2</v>
      </c>
    </row>
    <row r="6651" spans="1:3" x14ac:dyDescent="0.3">
      <c r="A6651" s="2">
        <v>43906</v>
      </c>
      <c r="B6651">
        <f>5.15/(100)</f>
        <v>5.1500000000000004E-2</v>
      </c>
      <c r="C6651">
        <f>5.138/(100)</f>
        <v>5.1380000000000002E-2</v>
      </c>
    </row>
    <row r="6652" spans="1:3" x14ac:dyDescent="0.3">
      <c r="A6652" s="2">
        <v>43907</v>
      </c>
      <c r="B6652">
        <f>5.15/(100)</f>
        <v>5.1500000000000004E-2</v>
      </c>
      <c r="C6652">
        <f>5.249/(100)</f>
        <v>5.2489999999999995E-2</v>
      </c>
    </row>
    <row r="6653" spans="1:3" x14ac:dyDescent="0.3">
      <c r="A6653" s="2">
        <v>43908</v>
      </c>
      <c r="B6653">
        <f>5.15/(100)</f>
        <v>5.1500000000000004E-2</v>
      </c>
      <c r="C6653">
        <f>5.275/(100)</f>
        <v>5.2750000000000005E-2</v>
      </c>
    </row>
    <row r="6654" spans="1:3" x14ac:dyDescent="0.3">
      <c r="A6654" s="2">
        <v>43909</v>
      </c>
      <c r="B6654">
        <f>5.15/(100)</f>
        <v>5.1500000000000004E-2</v>
      </c>
      <c r="C6654">
        <f>5.344/(100)</f>
        <v>5.3440000000000001E-2</v>
      </c>
    </row>
    <row r="6655" spans="1:3" x14ac:dyDescent="0.3">
      <c r="A6655" s="2">
        <v>43910</v>
      </c>
      <c r="B6655">
        <f>5.15/(100)</f>
        <v>5.1500000000000004E-2</v>
      </c>
      <c r="C6655">
        <f>5.344/(100)</f>
        <v>5.3440000000000001E-2</v>
      </c>
    </row>
    <row r="6656" spans="1:3" x14ac:dyDescent="0.3">
      <c r="A6656" s="2">
        <v>43911</v>
      </c>
      <c r="B6656">
        <f>5.15/(100)</f>
        <v>5.1500000000000004E-2</v>
      </c>
      <c r="C6656">
        <f>5.344/(100)</f>
        <v>5.3440000000000001E-2</v>
      </c>
    </row>
    <row r="6657" spans="1:3" x14ac:dyDescent="0.3">
      <c r="A6657" s="2">
        <v>43912</v>
      </c>
      <c r="B6657">
        <f>5.15/(100)</f>
        <v>5.1500000000000004E-2</v>
      </c>
      <c r="C6657">
        <f>5.344/(100)</f>
        <v>5.3440000000000001E-2</v>
      </c>
    </row>
    <row r="6658" spans="1:3" x14ac:dyDescent="0.3">
      <c r="A6658" s="2">
        <v>43913</v>
      </c>
      <c r="B6658">
        <f>5.15/(100)</f>
        <v>5.1500000000000004E-2</v>
      </c>
      <c r="C6658">
        <f>5.307/(100)</f>
        <v>5.3070000000000006E-2</v>
      </c>
    </row>
    <row r="6659" spans="1:3" x14ac:dyDescent="0.3">
      <c r="A6659" s="2">
        <v>43914</v>
      </c>
      <c r="B6659">
        <f>5.15/(100)</f>
        <v>5.1500000000000004E-2</v>
      </c>
      <c r="C6659">
        <f>5.307/(100)</f>
        <v>5.3070000000000006E-2</v>
      </c>
    </row>
    <row r="6660" spans="1:3" x14ac:dyDescent="0.3">
      <c r="A6660" s="2">
        <v>43915</v>
      </c>
      <c r="B6660">
        <f>5.15/(100)</f>
        <v>5.1500000000000004E-2</v>
      </c>
      <c r="C6660">
        <f>5.307/(100)</f>
        <v>5.3070000000000006E-2</v>
      </c>
    </row>
    <row r="6661" spans="1:3" x14ac:dyDescent="0.3">
      <c r="A6661" s="2">
        <v>43916</v>
      </c>
      <c r="B6661">
        <f>5.15/(100)</f>
        <v>5.1500000000000004E-2</v>
      </c>
      <c r="C6661">
        <f>5.3/(100)</f>
        <v>5.2999999999999999E-2</v>
      </c>
    </row>
    <row r="6662" spans="1:3" x14ac:dyDescent="0.3">
      <c r="A6662" s="2">
        <v>43917</v>
      </c>
      <c r="B6662">
        <f>4.4/(100)</f>
        <v>4.4000000000000004E-2</v>
      </c>
      <c r="C6662">
        <f>4.949/(100)</f>
        <v>4.9489999999999999E-2</v>
      </c>
    </row>
    <row r="6663" spans="1:3" x14ac:dyDescent="0.3">
      <c r="A6663" s="2">
        <v>43918</v>
      </c>
      <c r="B6663">
        <f>4.4/(100)</f>
        <v>4.4000000000000004E-2</v>
      </c>
      <c r="C6663">
        <f>4.949/(100)</f>
        <v>4.9489999999999999E-2</v>
      </c>
    </row>
    <row r="6664" spans="1:3" x14ac:dyDescent="0.3">
      <c r="A6664" s="2">
        <v>43919</v>
      </c>
      <c r="B6664">
        <f>4.4/(100)</f>
        <v>4.4000000000000004E-2</v>
      </c>
      <c r="C6664">
        <f>4.949/(100)</f>
        <v>4.9489999999999999E-2</v>
      </c>
    </row>
    <row r="6665" spans="1:3" x14ac:dyDescent="0.3">
      <c r="A6665" s="2">
        <v>43920</v>
      </c>
      <c r="B6665">
        <f>4.4/(100)</f>
        <v>4.4000000000000004E-2</v>
      </c>
      <c r="C6665">
        <f>5.11/(100)</f>
        <v>5.1100000000000007E-2</v>
      </c>
    </row>
    <row r="6666" spans="1:3" x14ac:dyDescent="0.3">
      <c r="A6666" s="2">
        <v>43921</v>
      </c>
      <c r="B6666">
        <f>4.4/(100)</f>
        <v>4.4000000000000004E-2</v>
      </c>
      <c r="C6666">
        <f>4.966/(100)</f>
        <v>4.9660000000000003E-2</v>
      </c>
    </row>
    <row r="6667" spans="1:3" x14ac:dyDescent="0.3">
      <c r="A6667" s="2">
        <v>43922</v>
      </c>
      <c r="B6667">
        <f>4.4/(100)</f>
        <v>4.4000000000000004E-2</v>
      </c>
      <c r="C6667">
        <f>4.966/(100)</f>
        <v>4.9660000000000003E-2</v>
      </c>
    </row>
    <row r="6668" spans="1:3" x14ac:dyDescent="0.3">
      <c r="A6668" s="2">
        <v>43923</v>
      </c>
      <c r="B6668">
        <f>4.4/(100)</f>
        <v>4.4000000000000004E-2</v>
      </c>
      <c r="C6668">
        <f>4.966/(100)</f>
        <v>4.9660000000000003E-2</v>
      </c>
    </row>
    <row r="6669" spans="1:3" x14ac:dyDescent="0.3">
      <c r="A6669" s="2">
        <v>43924</v>
      </c>
      <c r="B6669">
        <f>4.4/(100)</f>
        <v>4.4000000000000004E-2</v>
      </c>
      <c r="C6669">
        <f>4.81/(100)</f>
        <v>4.8099999999999997E-2</v>
      </c>
    </row>
    <row r="6670" spans="1:3" x14ac:dyDescent="0.3">
      <c r="A6670" s="2">
        <v>43925</v>
      </c>
      <c r="B6670">
        <f>4.4/(100)</f>
        <v>4.4000000000000004E-2</v>
      </c>
      <c r="C6670">
        <f>4.81/(100)</f>
        <v>4.8099999999999997E-2</v>
      </c>
    </row>
    <row r="6671" spans="1:3" x14ac:dyDescent="0.3">
      <c r="A6671" s="2">
        <v>43926</v>
      </c>
      <c r="B6671">
        <f>4.4/(100)</f>
        <v>4.4000000000000004E-2</v>
      </c>
      <c r="C6671">
        <f>4.81/(100)</f>
        <v>4.8099999999999997E-2</v>
      </c>
    </row>
    <row r="6672" spans="1:3" x14ac:dyDescent="0.3">
      <c r="A6672" s="2">
        <v>43927</v>
      </c>
      <c r="B6672">
        <f>4.4/(100)</f>
        <v>4.4000000000000004E-2</v>
      </c>
      <c r="C6672">
        <f>4.81/(100)</f>
        <v>4.8099999999999997E-2</v>
      </c>
    </row>
    <row r="6673" spans="1:3" x14ac:dyDescent="0.3">
      <c r="A6673" s="2">
        <v>43928</v>
      </c>
      <c r="B6673">
        <f>4.4/(100)</f>
        <v>4.4000000000000004E-2</v>
      </c>
      <c r="C6673">
        <f>4.775/(100)</f>
        <v>4.7750000000000001E-2</v>
      </c>
    </row>
    <row r="6674" spans="1:3" x14ac:dyDescent="0.3">
      <c r="A6674" s="2">
        <v>43929</v>
      </c>
      <c r="B6674">
        <f>4.4/(100)</f>
        <v>4.4000000000000004E-2</v>
      </c>
      <c r="C6674">
        <f>4.723/(100)</f>
        <v>4.7230000000000001E-2</v>
      </c>
    </row>
    <row r="6675" spans="1:3" x14ac:dyDescent="0.3">
      <c r="A6675" s="2">
        <v>43930</v>
      </c>
      <c r="B6675">
        <f>4.4/(100)</f>
        <v>4.4000000000000004E-2</v>
      </c>
      <c r="C6675">
        <f>4.727/(100)</f>
        <v>4.7270000000000006E-2</v>
      </c>
    </row>
    <row r="6676" spans="1:3" x14ac:dyDescent="0.3">
      <c r="A6676" s="2">
        <v>43931</v>
      </c>
      <c r="B6676">
        <f>4.4/(100)</f>
        <v>4.4000000000000004E-2</v>
      </c>
      <c r="C6676">
        <f>4.727/(100)</f>
        <v>4.7270000000000006E-2</v>
      </c>
    </row>
    <row r="6677" spans="1:3" x14ac:dyDescent="0.3">
      <c r="A6677" s="2">
        <v>43932</v>
      </c>
      <c r="B6677">
        <f>4.4/(100)</f>
        <v>4.4000000000000004E-2</v>
      </c>
      <c r="C6677">
        <f>4.727/(100)</f>
        <v>4.7270000000000006E-2</v>
      </c>
    </row>
    <row r="6678" spans="1:3" x14ac:dyDescent="0.3">
      <c r="A6678" s="2">
        <v>43933</v>
      </c>
      <c r="B6678">
        <f>4.4/(100)</f>
        <v>4.4000000000000004E-2</v>
      </c>
      <c r="C6678">
        <f>4.727/(100)</f>
        <v>4.7270000000000006E-2</v>
      </c>
    </row>
    <row r="6679" spans="1:3" x14ac:dyDescent="0.3">
      <c r="A6679" s="2">
        <v>43934</v>
      </c>
      <c r="B6679">
        <f>4.4/(100)</f>
        <v>4.4000000000000004E-2</v>
      </c>
      <c r="C6679">
        <f>4.69/(100)</f>
        <v>4.6900000000000004E-2</v>
      </c>
    </row>
    <row r="6680" spans="1:3" x14ac:dyDescent="0.3">
      <c r="A6680" s="2">
        <v>43935</v>
      </c>
      <c r="B6680">
        <f>4.4/(100)</f>
        <v>4.4000000000000004E-2</v>
      </c>
      <c r="C6680">
        <f>4.69/(100)</f>
        <v>4.6900000000000004E-2</v>
      </c>
    </row>
    <row r="6681" spans="1:3" x14ac:dyDescent="0.3">
      <c r="A6681" s="2">
        <v>43936</v>
      </c>
      <c r="B6681">
        <f>4.4/(100)</f>
        <v>4.4000000000000004E-2</v>
      </c>
      <c r="C6681">
        <f>4.512/(100)</f>
        <v>4.5119999999999993E-2</v>
      </c>
    </row>
    <row r="6682" spans="1:3" x14ac:dyDescent="0.3">
      <c r="A6682" s="2">
        <v>43937</v>
      </c>
      <c r="B6682">
        <f>4.4/(100)</f>
        <v>4.4000000000000004E-2</v>
      </c>
      <c r="C6682">
        <f>4.492/(100)</f>
        <v>4.4920000000000002E-2</v>
      </c>
    </row>
    <row r="6683" spans="1:3" x14ac:dyDescent="0.3">
      <c r="A6683" s="2">
        <v>43938</v>
      </c>
      <c r="B6683">
        <f>4.4/(100)</f>
        <v>4.4000000000000004E-2</v>
      </c>
      <c r="C6683">
        <f>4.275/(100)</f>
        <v>4.2750000000000003E-2</v>
      </c>
    </row>
    <row r="6684" spans="1:3" x14ac:dyDescent="0.3">
      <c r="A6684" s="2">
        <v>43939</v>
      </c>
      <c r="B6684">
        <f>4.4/(100)</f>
        <v>4.4000000000000004E-2</v>
      </c>
      <c r="C6684">
        <f>4.275/(100)</f>
        <v>4.2750000000000003E-2</v>
      </c>
    </row>
    <row r="6685" spans="1:3" x14ac:dyDescent="0.3">
      <c r="A6685" s="2">
        <v>43940</v>
      </c>
      <c r="B6685">
        <f>4.4/(100)</f>
        <v>4.4000000000000004E-2</v>
      </c>
      <c r="C6685">
        <f>4.275/(100)</f>
        <v>4.2750000000000003E-2</v>
      </c>
    </row>
    <row r="6686" spans="1:3" x14ac:dyDescent="0.3">
      <c r="A6686" s="2">
        <v>43941</v>
      </c>
      <c r="B6686">
        <f>4.4/(100)</f>
        <v>4.4000000000000004E-2</v>
      </c>
      <c r="C6686">
        <f>4.254/(100)</f>
        <v>4.2539999999999994E-2</v>
      </c>
    </row>
    <row r="6687" spans="1:3" x14ac:dyDescent="0.3">
      <c r="A6687" s="2">
        <v>43942</v>
      </c>
      <c r="B6687">
        <f>4.4/(100)</f>
        <v>4.4000000000000004E-2</v>
      </c>
      <c r="C6687">
        <f>4.234/(100)</f>
        <v>4.2340000000000003E-2</v>
      </c>
    </row>
    <row r="6688" spans="1:3" x14ac:dyDescent="0.3">
      <c r="A6688" s="2">
        <v>43943</v>
      </c>
      <c r="B6688">
        <f>4.4/(100)</f>
        <v>4.4000000000000004E-2</v>
      </c>
      <c r="C6688">
        <f>4.056/(100)</f>
        <v>4.0559999999999999E-2</v>
      </c>
    </row>
    <row r="6689" spans="1:3" x14ac:dyDescent="0.3">
      <c r="A6689" s="2">
        <v>43944</v>
      </c>
      <c r="B6689">
        <f>4.4/(100)</f>
        <v>4.4000000000000004E-2</v>
      </c>
      <c r="C6689">
        <f>4.068/(100)</f>
        <v>4.0679999999999994E-2</v>
      </c>
    </row>
    <row r="6690" spans="1:3" x14ac:dyDescent="0.3">
      <c r="A6690" s="2">
        <v>43945</v>
      </c>
      <c r="B6690">
        <f>4.4/(100)</f>
        <v>4.4000000000000004E-2</v>
      </c>
      <c r="C6690">
        <f>4.056/(100)</f>
        <v>4.0559999999999999E-2</v>
      </c>
    </row>
    <row r="6691" spans="1:3" x14ac:dyDescent="0.3">
      <c r="A6691" s="2">
        <v>43946</v>
      </c>
      <c r="B6691">
        <f>4.4/(100)</f>
        <v>4.4000000000000004E-2</v>
      </c>
      <c r="C6691">
        <f>4.056/(100)</f>
        <v>4.0559999999999999E-2</v>
      </c>
    </row>
    <row r="6692" spans="1:3" x14ac:dyDescent="0.3">
      <c r="A6692" s="2">
        <v>43947</v>
      </c>
      <c r="B6692">
        <f>4.4/(100)</f>
        <v>4.4000000000000004E-2</v>
      </c>
      <c r="C6692">
        <f>4.056/(100)</f>
        <v>4.0559999999999999E-2</v>
      </c>
    </row>
    <row r="6693" spans="1:3" x14ac:dyDescent="0.3">
      <c r="A6693" s="2">
        <v>43948</v>
      </c>
      <c r="B6693">
        <f>4.4/(100)</f>
        <v>4.4000000000000004E-2</v>
      </c>
      <c r="C6693">
        <f>4.074/(100)</f>
        <v>4.0739999999999998E-2</v>
      </c>
    </row>
    <row r="6694" spans="1:3" x14ac:dyDescent="0.3">
      <c r="A6694" s="2">
        <v>43949</v>
      </c>
      <c r="B6694">
        <f>4.4/(100)</f>
        <v>4.4000000000000004E-2</v>
      </c>
      <c r="C6694">
        <f>4.082/(100)</f>
        <v>4.0819999999999995E-2</v>
      </c>
    </row>
    <row r="6695" spans="1:3" x14ac:dyDescent="0.3">
      <c r="A6695" s="2">
        <v>43950</v>
      </c>
      <c r="B6695">
        <f>4.4/(100)</f>
        <v>4.4000000000000004E-2</v>
      </c>
      <c r="C6695">
        <f>4.09/(100)</f>
        <v>4.0899999999999999E-2</v>
      </c>
    </row>
    <row r="6696" spans="1:3" x14ac:dyDescent="0.3">
      <c r="A6696" s="2">
        <v>43951</v>
      </c>
      <c r="B6696">
        <f>4.4/(100)</f>
        <v>4.4000000000000004E-2</v>
      </c>
      <c r="C6696">
        <f>4.083/(100)</f>
        <v>4.0830000000000005E-2</v>
      </c>
    </row>
    <row r="6697" spans="1:3" x14ac:dyDescent="0.3">
      <c r="A6697" s="2">
        <v>43952</v>
      </c>
      <c r="B6697">
        <f>4.4/(100)</f>
        <v>4.4000000000000004E-2</v>
      </c>
      <c r="C6697">
        <f>4.083/(100)</f>
        <v>4.0830000000000005E-2</v>
      </c>
    </row>
    <row r="6698" spans="1:3" x14ac:dyDescent="0.3">
      <c r="A6698" s="2">
        <v>43953</v>
      </c>
      <c r="B6698">
        <f>4.4/(100)</f>
        <v>4.4000000000000004E-2</v>
      </c>
      <c r="C6698">
        <f>4.083/(100)</f>
        <v>4.0830000000000005E-2</v>
      </c>
    </row>
    <row r="6699" spans="1:3" x14ac:dyDescent="0.3">
      <c r="A6699" s="2">
        <v>43954</v>
      </c>
      <c r="B6699">
        <f>4.4/(100)</f>
        <v>4.4000000000000004E-2</v>
      </c>
      <c r="C6699">
        <f>4.083/(100)</f>
        <v>4.0830000000000005E-2</v>
      </c>
    </row>
    <row r="6700" spans="1:3" x14ac:dyDescent="0.3">
      <c r="A6700" s="2">
        <v>43955</v>
      </c>
      <c r="B6700">
        <f>4.4/(100)</f>
        <v>4.4000000000000004E-2</v>
      </c>
      <c r="C6700">
        <f>4.025/(100)</f>
        <v>4.0250000000000001E-2</v>
      </c>
    </row>
    <row r="6701" spans="1:3" x14ac:dyDescent="0.3">
      <c r="A6701" s="2">
        <v>43956</v>
      </c>
      <c r="B6701">
        <f>4.4/(100)</f>
        <v>4.4000000000000004E-2</v>
      </c>
      <c r="C6701">
        <f>4.033/(100)</f>
        <v>4.0330000000000005E-2</v>
      </c>
    </row>
    <row r="6702" spans="1:3" x14ac:dyDescent="0.3">
      <c r="A6702" s="2">
        <v>43957</v>
      </c>
      <c r="B6702">
        <f>4.4/(100)</f>
        <v>4.4000000000000004E-2</v>
      </c>
      <c r="C6702">
        <f>3.985/(100)</f>
        <v>3.9849999999999997E-2</v>
      </c>
    </row>
    <row r="6703" spans="1:3" x14ac:dyDescent="0.3">
      <c r="A6703" s="2">
        <v>43958</v>
      </c>
      <c r="B6703">
        <f>4.4/(100)</f>
        <v>4.4000000000000004E-2</v>
      </c>
      <c r="C6703">
        <f>3.985/(100)</f>
        <v>3.9849999999999997E-2</v>
      </c>
    </row>
    <row r="6704" spans="1:3" x14ac:dyDescent="0.3">
      <c r="A6704" s="2">
        <v>43959</v>
      </c>
      <c r="B6704">
        <f>4.4/(100)</f>
        <v>4.4000000000000004E-2</v>
      </c>
      <c r="C6704">
        <f>4.013/(100)</f>
        <v>4.0129999999999999E-2</v>
      </c>
    </row>
    <row r="6705" spans="1:3" x14ac:dyDescent="0.3">
      <c r="A6705" s="2">
        <v>43960</v>
      </c>
      <c r="B6705">
        <f>4.4/(100)</f>
        <v>4.4000000000000004E-2</v>
      </c>
      <c r="C6705">
        <f>4.013/(100)</f>
        <v>4.0129999999999999E-2</v>
      </c>
    </row>
    <row r="6706" spans="1:3" x14ac:dyDescent="0.3">
      <c r="A6706" s="2">
        <v>43961</v>
      </c>
      <c r="B6706">
        <f>4.4/(100)</f>
        <v>4.4000000000000004E-2</v>
      </c>
      <c r="C6706">
        <f>4.013/(100)</f>
        <v>4.0129999999999999E-2</v>
      </c>
    </row>
    <row r="6707" spans="1:3" x14ac:dyDescent="0.3">
      <c r="A6707" s="2">
        <v>43962</v>
      </c>
      <c r="B6707">
        <f>4.4/(100)</f>
        <v>4.4000000000000004E-2</v>
      </c>
      <c r="C6707">
        <f>4.043/(100)</f>
        <v>4.0430000000000001E-2</v>
      </c>
    </row>
    <row r="6708" spans="1:3" x14ac:dyDescent="0.3">
      <c r="A6708" s="2">
        <v>43963</v>
      </c>
      <c r="B6708">
        <f>4.4/(100)</f>
        <v>4.4000000000000004E-2</v>
      </c>
      <c r="C6708">
        <f>4.004/(100)</f>
        <v>4.0039999999999992E-2</v>
      </c>
    </row>
    <row r="6709" spans="1:3" x14ac:dyDescent="0.3">
      <c r="A6709" s="2">
        <v>43964</v>
      </c>
      <c r="B6709">
        <f>4.4/(100)</f>
        <v>4.4000000000000004E-2</v>
      </c>
      <c r="C6709">
        <f>3.947/(100)</f>
        <v>3.9469999999999998E-2</v>
      </c>
    </row>
    <row r="6710" spans="1:3" x14ac:dyDescent="0.3">
      <c r="A6710" s="2">
        <v>43965</v>
      </c>
      <c r="B6710">
        <f>4.4/(100)</f>
        <v>4.4000000000000004E-2</v>
      </c>
      <c r="C6710">
        <f>3.981/(100)</f>
        <v>3.9809999999999998E-2</v>
      </c>
    </row>
    <row r="6711" spans="1:3" x14ac:dyDescent="0.3">
      <c r="A6711" s="2">
        <v>43966</v>
      </c>
      <c r="B6711">
        <f>4.4/(100)</f>
        <v>4.4000000000000004E-2</v>
      </c>
      <c r="C6711">
        <f>3.981/(100)</f>
        <v>3.9809999999999998E-2</v>
      </c>
    </row>
    <row r="6712" spans="1:3" x14ac:dyDescent="0.3">
      <c r="A6712" s="2">
        <v>43967</v>
      </c>
      <c r="B6712">
        <f>4.4/(100)</f>
        <v>4.4000000000000004E-2</v>
      </c>
      <c r="C6712">
        <f>3.981/(100)</f>
        <v>3.9809999999999998E-2</v>
      </c>
    </row>
    <row r="6713" spans="1:3" x14ac:dyDescent="0.3">
      <c r="A6713" s="2">
        <v>43968</v>
      </c>
      <c r="B6713">
        <f>4.4/(100)</f>
        <v>4.4000000000000004E-2</v>
      </c>
      <c r="C6713">
        <f>3.981/(100)</f>
        <v>3.9809999999999998E-2</v>
      </c>
    </row>
    <row r="6714" spans="1:3" x14ac:dyDescent="0.3">
      <c r="A6714" s="2">
        <v>43969</v>
      </c>
      <c r="B6714">
        <f>4.4/(100)</f>
        <v>4.4000000000000004E-2</v>
      </c>
      <c r="C6714">
        <f>3.948/(100)</f>
        <v>3.9480000000000001E-2</v>
      </c>
    </row>
    <row r="6715" spans="1:3" x14ac:dyDescent="0.3">
      <c r="A6715" s="2">
        <v>43970</v>
      </c>
      <c r="B6715">
        <f>4.4/(100)</f>
        <v>4.4000000000000004E-2</v>
      </c>
      <c r="C6715">
        <f>3.991/(100)</f>
        <v>3.9910000000000001E-2</v>
      </c>
    </row>
    <row r="6716" spans="1:3" x14ac:dyDescent="0.3">
      <c r="A6716" s="2">
        <v>43971</v>
      </c>
      <c r="B6716">
        <f>4.4/(100)</f>
        <v>4.4000000000000004E-2</v>
      </c>
      <c r="C6716">
        <f>3.982/(100)</f>
        <v>3.9820000000000001E-2</v>
      </c>
    </row>
    <row r="6717" spans="1:3" x14ac:dyDescent="0.3">
      <c r="A6717" s="2">
        <v>43972</v>
      </c>
      <c r="B6717">
        <f>4.4/(100)</f>
        <v>4.4000000000000004E-2</v>
      </c>
      <c r="C6717">
        <f>3.968/(100)</f>
        <v>3.968E-2</v>
      </c>
    </row>
    <row r="6718" spans="1:3" x14ac:dyDescent="0.3">
      <c r="A6718" s="2">
        <v>43973</v>
      </c>
      <c r="B6718">
        <f>4/(100)</f>
        <v>0.04</v>
      </c>
      <c r="C6718">
        <f>3.885/(100)</f>
        <v>3.8849999999999996E-2</v>
      </c>
    </row>
    <row r="6719" spans="1:3" x14ac:dyDescent="0.3">
      <c r="A6719" s="2">
        <v>43974</v>
      </c>
      <c r="B6719">
        <f>4/(100)</f>
        <v>0.04</v>
      </c>
      <c r="C6719">
        <f>3.885/(100)</f>
        <v>3.8849999999999996E-2</v>
      </c>
    </row>
    <row r="6720" spans="1:3" x14ac:dyDescent="0.3">
      <c r="A6720" s="2">
        <v>43975</v>
      </c>
      <c r="B6720">
        <f>4/(100)</f>
        <v>0.04</v>
      </c>
      <c r="C6720">
        <f>3.885/(100)</f>
        <v>3.8849999999999996E-2</v>
      </c>
    </row>
    <row r="6721" spans="1:3" x14ac:dyDescent="0.3">
      <c r="A6721" s="2">
        <v>43976</v>
      </c>
      <c r="B6721">
        <f>4/(100)</f>
        <v>0.04</v>
      </c>
      <c r="C6721">
        <f>3.885/(100)</f>
        <v>3.8849999999999996E-2</v>
      </c>
    </row>
    <row r="6722" spans="1:3" x14ac:dyDescent="0.3">
      <c r="A6722" s="2">
        <v>43977</v>
      </c>
      <c r="B6722">
        <f>4/(100)</f>
        <v>0.04</v>
      </c>
      <c r="C6722">
        <f>3.871/(100)</f>
        <v>3.8710000000000001E-2</v>
      </c>
    </row>
    <row r="6723" spans="1:3" x14ac:dyDescent="0.3">
      <c r="A6723" s="2">
        <v>43978</v>
      </c>
      <c r="B6723">
        <f>4/(100)</f>
        <v>0.04</v>
      </c>
      <c r="C6723">
        <f>3.856/(100)</f>
        <v>3.8559999999999997E-2</v>
      </c>
    </row>
    <row r="6724" spans="1:3" x14ac:dyDescent="0.3">
      <c r="A6724" s="2">
        <v>43979</v>
      </c>
      <c r="B6724">
        <f>4/(100)</f>
        <v>0.04</v>
      </c>
      <c r="C6724">
        <f>3.824/(100)</f>
        <v>3.8239999999999996E-2</v>
      </c>
    </row>
    <row r="6725" spans="1:3" x14ac:dyDescent="0.3">
      <c r="A6725" s="2">
        <v>43980</v>
      </c>
      <c r="B6725">
        <f>4/(100)</f>
        <v>0.04</v>
      </c>
      <c r="C6725">
        <f>3.822/(100)</f>
        <v>3.8220000000000004E-2</v>
      </c>
    </row>
    <row r="6726" spans="1:3" x14ac:dyDescent="0.3">
      <c r="A6726" s="2">
        <v>43981</v>
      </c>
      <c r="B6726">
        <f>4/(100)</f>
        <v>0.04</v>
      </c>
      <c r="C6726">
        <f>3.822/(100)</f>
        <v>3.8220000000000004E-2</v>
      </c>
    </row>
    <row r="6727" spans="1:3" x14ac:dyDescent="0.3">
      <c r="A6727" s="2">
        <v>43982</v>
      </c>
      <c r="B6727">
        <f>4/(100)</f>
        <v>0.04</v>
      </c>
      <c r="C6727">
        <f>3.822/(100)</f>
        <v>3.8220000000000004E-2</v>
      </c>
    </row>
    <row r="6728" spans="1:3" x14ac:dyDescent="0.3">
      <c r="A6728" s="2">
        <v>43983</v>
      </c>
      <c r="B6728">
        <f>4/(100)</f>
        <v>0.04</v>
      </c>
      <c r="C6728">
        <f>3.816/(100)</f>
        <v>3.8159999999999999E-2</v>
      </c>
    </row>
    <row r="6729" spans="1:3" x14ac:dyDescent="0.3">
      <c r="A6729" s="2">
        <v>43984</v>
      </c>
      <c r="B6729">
        <f>4/(100)</f>
        <v>0.04</v>
      </c>
      <c r="C6729">
        <f>3.816/(100)</f>
        <v>3.8159999999999999E-2</v>
      </c>
    </row>
    <row r="6730" spans="1:3" x14ac:dyDescent="0.3">
      <c r="A6730" s="2">
        <v>43985</v>
      </c>
      <c r="B6730">
        <f>4/(100)</f>
        <v>0.04</v>
      </c>
      <c r="C6730">
        <f>3.778/(100)</f>
        <v>3.7780000000000001E-2</v>
      </c>
    </row>
    <row r="6731" spans="1:3" x14ac:dyDescent="0.3">
      <c r="A6731" s="2">
        <v>43986</v>
      </c>
      <c r="B6731">
        <f>4/(100)</f>
        <v>0.04</v>
      </c>
      <c r="C6731">
        <f>3.773/(100)</f>
        <v>3.773E-2</v>
      </c>
    </row>
    <row r="6732" spans="1:3" x14ac:dyDescent="0.3">
      <c r="A6732" s="2">
        <v>43987</v>
      </c>
      <c r="B6732">
        <f>4/(100)</f>
        <v>0.04</v>
      </c>
      <c r="C6732">
        <f>3.792/(100)</f>
        <v>3.7919999999999995E-2</v>
      </c>
    </row>
    <row r="6733" spans="1:3" x14ac:dyDescent="0.3">
      <c r="A6733" s="2">
        <v>43988</v>
      </c>
      <c r="B6733">
        <f>4/(100)</f>
        <v>0.04</v>
      </c>
      <c r="C6733">
        <f>3.792/(100)</f>
        <v>3.7919999999999995E-2</v>
      </c>
    </row>
    <row r="6734" spans="1:3" x14ac:dyDescent="0.3">
      <c r="A6734" s="2">
        <v>43989</v>
      </c>
      <c r="B6734">
        <f>4/(100)</f>
        <v>0.04</v>
      </c>
      <c r="C6734">
        <f>3.792/(100)</f>
        <v>3.7919999999999995E-2</v>
      </c>
    </row>
    <row r="6735" spans="1:3" x14ac:dyDescent="0.3">
      <c r="A6735" s="2">
        <v>43990</v>
      </c>
      <c r="B6735">
        <f>4/(100)</f>
        <v>0.04</v>
      </c>
      <c r="C6735">
        <f>3.786/(100)</f>
        <v>3.7859999999999998E-2</v>
      </c>
    </row>
    <row r="6736" spans="1:3" x14ac:dyDescent="0.3">
      <c r="A6736" s="2">
        <v>43991</v>
      </c>
      <c r="B6736">
        <f>4/(100)</f>
        <v>0.04</v>
      </c>
      <c r="C6736">
        <f>3.791/(100)</f>
        <v>3.7909999999999999E-2</v>
      </c>
    </row>
    <row r="6737" spans="1:3" x14ac:dyDescent="0.3">
      <c r="A6737" s="2">
        <v>43992</v>
      </c>
      <c r="B6737">
        <f>4/(100)</f>
        <v>0.04</v>
      </c>
      <c r="C6737">
        <f>3.784/(100)</f>
        <v>3.7839999999999999E-2</v>
      </c>
    </row>
    <row r="6738" spans="1:3" x14ac:dyDescent="0.3">
      <c r="A6738" s="2">
        <v>43993</v>
      </c>
      <c r="B6738">
        <f>4/(100)</f>
        <v>0.04</v>
      </c>
      <c r="C6738">
        <f>3.769/(100)</f>
        <v>3.7690000000000001E-2</v>
      </c>
    </row>
    <row r="6739" spans="1:3" x14ac:dyDescent="0.3">
      <c r="A6739" s="2">
        <v>43994</v>
      </c>
      <c r="B6739">
        <f>4/(100)</f>
        <v>0.04</v>
      </c>
      <c r="C6739">
        <f>3.789/(100)</f>
        <v>3.789E-2</v>
      </c>
    </row>
    <row r="6740" spans="1:3" x14ac:dyDescent="0.3">
      <c r="A6740" s="2">
        <v>43995</v>
      </c>
      <c r="B6740">
        <f>4/(100)</f>
        <v>0.04</v>
      </c>
      <c r="C6740">
        <f>3.789/(100)</f>
        <v>3.789E-2</v>
      </c>
    </row>
    <row r="6741" spans="1:3" x14ac:dyDescent="0.3">
      <c r="A6741" s="2">
        <v>43996</v>
      </c>
      <c r="B6741">
        <f>4/(100)</f>
        <v>0.04</v>
      </c>
      <c r="C6741">
        <f>3.789/(100)</f>
        <v>3.789E-2</v>
      </c>
    </row>
    <row r="6742" spans="1:3" x14ac:dyDescent="0.3">
      <c r="A6742" s="2">
        <v>43997</v>
      </c>
      <c r="B6742">
        <f>4/(100)</f>
        <v>0.04</v>
      </c>
      <c r="C6742">
        <f>3.793/(100)</f>
        <v>3.7929999999999998E-2</v>
      </c>
    </row>
    <row r="6743" spans="1:3" x14ac:dyDescent="0.3">
      <c r="A6743" s="2">
        <v>43998</v>
      </c>
      <c r="B6743">
        <f>4/(100)</f>
        <v>0.04</v>
      </c>
      <c r="C6743">
        <f>3.834/(100)</f>
        <v>3.8339999999999999E-2</v>
      </c>
    </row>
    <row r="6744" spans="1:3" x14ac:dyDescent="0.3">
      <c r="A6744" s="2">
        <v>43999</v>
      </c>
      <c r="B6744">
        <f>4/(100)</f>
        <v>0.04</v>
      </c>
      <c r="C6744">
        <f>3.772/(100)</f>
        <v>3.7719999999999997E-2</v>
      </c>
    </row>
    <row r="6745" spans="1:3" x14ac:dyDescent="0.3">
      <c r="A6745" s="2">
        <v>44000</v>
      </c>
      <c r="B6745">
        <f>4/(100)</f>
        <v>0.04</v>
      </c>
      <c r="C6745">
        <f>3.756/(100)</f>
        <v>3.7559999999999996E-2</v>
      </c>
    </row>
    <row r="6746" spans="1:3" x14ac:dyDescent="0.3">
      <c r="A6746" s="2">
        <v>44001</v>
      </c>
      <c r="B6746">
        <f>4/(100)</f>
        <v>0.04</v>
      </c>
      <c r="C6746">
        <f>3.738/(100)</f>
        <v>3.7379999999999997E-2</v>
      </c>
    </row>
    <row r="6747" spans="1:3" x14ac:dyDescent="0.3">
      <c r="A6747" s="2">
        <v>44002</v>
      </c>
      <c r="B6747">
        <f>4/(100)</f>
        <v>0.04</v>
      </c>
      <c r="C6747">
        <f>3.738/(100)</f>
        <v>3.7379999999999997E-2</v>
      </c>
    </row>
    <row r="6748" spans="1:3" x14ac:dyDescent="0.3">
      <c r="A6748" s="2">
        <v>44003</v>
      </c>
      <c r="B6748">
        <f>4/(100)</f>
        <v>0.04</v>
      </c>
      <c r="C6748">
        <f>3.738/(100)</f>
        <v>3.7379999999999997E-2</v>
      </c>
    </row>
    <row r="6749" spans="1:3" x14ac:dyDescent="0.3">
      <c r="A6749" s="2">
        <v>44004</v>
      </c>
      <c r="B6749">
        <f>4/(100)</f>
        <v>0.04</v>
      </c>
      <c r="C6749">
        <f>3.723/(100)</f>
        <v>3.7229999999999999E-2</v>
      </c>
    </row>
    <row r="6750" spans="1:3" x14ac:dyDescent="0.3">
      <c r="A6750" s="2">
        <v>44005</v>
      </c>
      <c r="B6750">
        <f>4/(100)</f>
        <v>0.04</v>
      </c>
      <c r="C6750">
        <f>3.724/(100)</f>
        <v>3.7240000000000002E-2</v>
      </c>
    </row>
    <row r="6751" spans="1:3" x14ac:dyDescent="0.3">
      <c r="A6751" s="2">
        <v>44006</v>
      </c>
      <c r="B6751">
        <f>4/(100)</f>
        <v>0.04</v>
      </c>
      <c r="C6751">
        <f>3.716/(100)</f>
        <v>3.7159999999999999E-2</v>
      </c>
    </row>
    <row r="6752" spans="1:3" x14ac:dyDescent="0.3">
      <c r="A6752" s="2">
        <v>44007</v>
      </c>
      <c r="B6752">
        <f>4/(100)</f>
        <v>0.04</v>
      </c>
      <c r="C6752">
        <f>3.724/(100)</f>
        <v>3.7240000000000002E-2</v>
      </c>
    </row>
    <row r="6753" spans="1:3" x14ac:dyDescent="0.3">
      <c r="A6753" s="2">
        <v>44008</v>
      </c>
      <c r="B6753">
        <f>4/(100)</f>
        <v>0.04</v>
      </c>
      <c r="C6753">
        <f>3.691/(100)</f>
        <v>3.6909999999999998E-2</v>
      </c>
    </row>
    <row r="6754" spans="1:3" x14ac:dyDescent="0.3">
      <c r="A6754" s="2">
        <v>44009</v>
      </c>
      <c r="B6754">
        <f>4/(100)</f>
        <v>0.04</v>
      </c>
      <c r="C6754">
        <f>3.691/(100)</f>
        <v>3.6909999999999998E-2</v>
      </c>
    </row>
    <row r="6755" spans="1:3" x14ac:dyDescent="0.3">
      <c r="A6755" s="2">
        <v>44010</v>
      </c>
      <c r="B6755">
        <f>4/(100)</f>
        <v>0.04</v>
      </c>
      <c r="C6755">
        <f>3.691/(100)</f>
        <v>3.6909999999999998E-2</v>
      </c>
    </row>
    <row r="6756" spans="1:3" x14ac:dyDescent="0.3">
      <c r="A6756" s="2">
        <v>44011</v>
      </c>
      <c r="B6756">
        <f>4/(100)</f>
        <v>0.04</v>
      </c>
      <c r="C6756">
        <f>3.697/(100)</f>
        <v>3.6970000000000003E-2</v>
      </c>
    </row>
    <row r="6757" spans="1:3" x14ac:dyDescent="0.3">
      <c r="A6757" s="2">
        <v>44012</v>
      </c>
      <c r="B6757">
        <f>4/(100)</f>
        <v>0.04</v>
      </c>
      <c r="C6757">
        <f>3.729/(100)</f>
        <v>3.7290000000000004E-2</v>
      </c>
    </row>
    <row r="6758" spans="1:3" x14ac:dyDescent="0.3">
      <c r="A6758" s="2">
        <v>44013</v>
      </c>
      <c r="B6758">
        <f>4/(100)</f>
        <v>0.04</v>
      </c>
      <c r="C6758">
        <f>3.667/(100)</f>
        <v>3.6670000000000001E-2</v>
      </c>
    </row>
    <row r="6759" spans="1:3" x14ac:dyDescent="0.3">
      <c r="A6759" s="2">
        <v>44014</v>
      </c>
      <c r="B6759">
        <f>4/(100)</f>
        <v>0.04</v>
      </c>
      <c r="C6759">
        <f>3.704/(100)</f>
        <v>3.7040000000000003E-2</v>
      </c>
    </row>
    <row r="6760" spans="1:3" x14ac:dyDescent="0.3">
      <c r="A6760" s="2">
        <v>44015</v>
      </c>
      <c r="B6760">
        <f>4/(100)</f>
        <v>0.04</v>
      </c>
      <c r="C6760">
        <f>3.701/(100)</f>
        <v>3.7010000000000001E-2</v>
      </c>
    </row>
    <row r="6761" spans="1:3" x14ac:dyDescent="0.3">
      <c r="A6761" s="2">
        <v>44016</v>
      </c>
      <c r="B6761">
        <f>4/(100)</f>
        <v>0.04</v>
      </c>
      <c r="C6761">
        <f>3.701/(100)</f>
        <v>3.7010000000000001E-2</v>
      </c>
    </row>
    <row r="6762" spans="1:3" x14ac:dyDescent="0.3">
      <c r="A6762" s="2">
        <v>44017</v>
      </c>
      <c r="B6762">
        <f>4/(100)</f>
        <v>0.04</v>
      </c>
      <c r="C6762">
        <f>3.701/(100)</f>
        <v>3.7010000000000001E-2</v>
      </c>
    </row>
    <row r="6763" spans="1:3" x14ac:dyDescent="0.3">
      <c r="A6763" s="2">
        <v>44018</v>
      </c>
      <c r="B6763">
        <f>4/(100)</f>
        <v>0.04</v>
      </c>
      <c r="C6763">
        <f>3.704/(100)</f>
        <v>3.7040000000000003E-2</v>
      </c>
    </row>
    <row r="6764" spans="1:3" x14ac:dyDescent="0.3">
      <c r="A6764" s="2">
        <v>44019</v>
      </c>
      <c r="B6764">
        <f>4/(100)</f>
        <v>0.04</v>
      </c>
      <c r="C6764">
        <f>3.678/(100)</f>
        <v>3.678E-2</v>
      </c>
    </row>
    <row r="6765" spans="1:3" x14ac:dyDescent="0.3">
      <c r="A6765" s="2">
        <v>44020</v>
      </c>
      <c r="B6765">
        <f>4/(100)</f>
        <v>0.04</v>
      </c>
      <c r="C6765">
        <f>3.672/(100)</f>
        <v>3.6720000000000003E-2</v>
      </c>
    </row>
    <row r="6766" spans="1:3" x14ac:dyDescent="0.3">
      <c r="A6766" s="2">
        <v>44021</v>
      </c>
      <c r="B6766">
        <f>4/(100)</f>
        <v>0.04</v>
      </c>
      <c r="C6766">
        <f>3.675/(100)</f>
        <v>3.6749999999999998E-2</v>
      </c>
    </row>
    <row r="6767" spans="1:3" x14ac:dyDescent="0.3">
      <c r="A6767" s="2">
        <v>44022</v>
      </c>
      <c r="B6767">
        <f>4/(100)</f>
        <v>0.04</v>
      </c>
      <c r="C6767">
        <f>3.626/(100)</f>
        <v>3.6260000000000001E-2</v>
      </c>
    </row>
    <row r="6768" spans="1:3" x14ac:dyDescent="0.3">
      <c r="A6768" s="2">
        <v>44023</v>
      </c>
      <c r="B6768">
        <f>4/(100)</f>
        <v>0.04</v>
      </c>
      <c r="C6768">
        <f>3.626/(100)</f>
        <v>3.6260000000000001E-2</v>
      </c>
    </row>
    <row r="6769" spans="1:3" x14ac:dyDescent="0.3">
      <c r="A6769" s="2">
        <v>44024</v>
      </c>
      <c r="B6769">
        <f>4/(100)</f>
        <v>0.04</v>
      </c>
      <c r="C6769">
        <f>3.626/(100)</f>
        <v>3.6260000000000001E-2</v>
      </c>
    </row>
    <row r="6770" spans="1:3" x14ac:dyDescent="0.3">
      <c r="A6770" s="2">
        <v>44025</v>
      </c>
      <c r="B6770">
        <f>4/(100)</f>
        <v>0.04</v>
      </c>
      <c r="C6770">
        <f>3.649/(100)</f>
        <v>3.6490000000000002E-2</v>
      </c>
    </row>
    <row r="6771" spans="1:3" x14ac:dyDescent="0.3">
      <c r="A6771" s="2">
        <v>44026</v>
      </c>
      <c r="B6771">
        <f>4/(100)</f>
        <v>0.04</v>
      </c>
      <c r="C6771">
        <f>3.653/(100)</f>
        <v>3.653E-2</v>
      </c>
    </row>
    <row r="6772" spans="1:3" x14ac:dyDescent="0.3">
      <c r="A6772" s="2">
        <v>44027</v>
      </c>
      <c r="B6772">
        <f>4/(100)</f>
        <v>0.04</v>
      </c>
      <c r="C6772">
        <f>3.628/(100)</f>
        <v>3.628E-2</v>
      </c>
    </row>
    <row r="6773" spans="1:3" x14ac:dyDescent="0.3">
      <c r="A6773" s="2">
        <v>44028</v>
      </c>
      <c r="B6773">
        <f>4/(100)</f>
        <v>0.04</v>
      </c>
      <c r="C6773">
        <f>3.588/(100)</f>
        <v>3.5880000000000002E-2</v>
      </c>
    </row>
    <row r="6774" spans="1:3" x14ac:dyDescent="0.3">
      <c r="A6774" s="2">
        <v>44029</v>
      </c>
      <c r="B6774">
        <f>4/(100)</f>
        <v>0.04</v>
      </c>
      <c r="C6774">
        <f>3.577/(100)</f>
        <v>3.5769999999999996E-2</v>
      </c>
    </row>
    <row r="6775" spans="1:3" x14ac:dyDescent="0.3">
      <c r="A6775" s="2">
        <v>44030</v>
      </c>
      <c r="B6775">
        <f>4/(100)</f>
        <v>0.04</v>
      </c>
      <c r="C6775">
        <f>3.577/(100)</f>
        <v>3.5769999999999996E-2</v>
      </c>
    </row>
    <row r="6776" spans="1:3" x14ac:dyDescent="0.3">
      <c r="A6776" s="2">
        <v>44031</v>
      </c>
      <c r="B6776">
        <f>4/(100)</f>
        <v>0.04</v>
      </c>
      <c r="C6776">
        <f>3.577/(100)</f>
        <v>3.5769999999999996E-2</v>
      </c>
    </row>
    <row r="6777" spans="1:3" x14ac:dyDescent="0.3">
      <c r="A6777" s="2">
        <v>44032</v>
      </c>
      <c r="B6777">
        <f>4/(100)</f>
        <v>0.04</v>
      </c>
      <c r="C6777">
        <f>3.595/(100)</f>
        <v>3.5950000000000003E-2</v>
      </c>
    </row>
    <row r="6778" spans="1:3" x14ac:dyDescent="0.3">
      <c r="A6778" s="2">
        <v>44033</v>
      </c>
      <c r="B6778">
        <f>4/(100)</f>
        <v>0.04</v>
      </c>
      <c r="C6778">
        <f>3.614/(100)</f>
        <v>3.6139999999999999E-2</v>
      </c>
    </row>
    <row r="6779" spans="1:3" x14ac:dyDescent="0.3">
      <c r="A6779" s="2">
        <v>44034</v>
      </c>
      <c r="B6779">
        <f>4/(100)</f>
        <v>0.04</v>
      </c>
      <c r="C6779">
        <f>3.63/(100)</f>
        <v>3.6299999999999999E-2</v>
      </c>
    </row>
    <row r="6780" spans="1:3" x14ac:dyDescent="0.3">
      <c r="A6780" s="2">
        <v>44035</v>
      </c>
      <c r="B6780">
        <f>4/(100)</f>
        <v>0.04</v>
      </c>
      <c r="C6780">
        <f>3.628/(100)</f>
        <v>3.628E-2</v>
      </c>
    </row>
    <row r="6781" spans="1:3" x14ac:dyDescent="0.3">
      <c r="A6781" s="2">
        <v>44036</v>
      </c>
      <c r="B6781">
        <f>4/(100)</f>
        <v>0.04</v>
      </c>
      <c r="C6781">
        <f>3.63/(100)</f>
        <v>3.6299999999999999E-2</v>
      </c>
    </row>
    <row r="6782" spans="1:3" x14ac:dyDescent="0.3">
      <c r="A6782" s="2">
        <v>44037</v>
      </c>
      <c r="B6782">
        <f>4/(100)</f>
        <v>0.04</v>
      </c>
      <c r="C6782">
        <f>3.63/(100)</f>
        <v>3.6299999999999999E-2</v>
      </c>
    </row>
    <row r="6783" spans="1:3" x14ac:dyDescent="0.3">
      <c r="A6783" s="2">
        <v>44038</v>
      </c>
      <c r="B6783">
        <f>4/(100)</f>
        <v>0.04</v>
      </c>
      <c r="C6783">
        <f>3.63/(100)</f>
        <v>3.6299999999999999E-2</v>
      </c>
    </row>
    <row r="6784" spans="1:3" x14ac:dyDescent="0.3">
      <c r="A6784" s="2">
        <v>44039</v>
      </c>
      <c r="B6784">
        <f>4/(100)</f>
        <v>0.04</v>
      </c>
      <c r="C6784">
        <f>3.643/(100)</f>
        <v>3.6429999999999997E-2</v>
      </c>
    </row>
    <row r="6785" spans="1:3" x14ac:dyDescent="0.3">
      <c r="A6785" s="2">
        <v>44040</v>
      </c>
      <c r="B6785">
        <f>4/(100)</f>
        <v>0.04</v>
      </c>
      <c r="C6785">
        <f>3.668/(100)</f>
        <v>3.6680000000000004E-2</v>
      </c>
    </row>
    <row r="6786" spans="1:3" x14ac:dyDescent="0.3">
      <c r="A6786" s="2">
        <v>44041</v>
      </c>
      <c r="B6786">
        <f>4/(100)</f>
        <v>0.04</v>
      </c>
      <c r="C6786">
        <f>3.661/(100)</f>
        <v>3.6610000000000004E-2</v>
      </c>
    </row>
    <row r="6787" spans="1:3" x14ac:dyDescent="0.3">
      <c r="A6787" s="2">
        <v>44042</v>
      </c>
      <c r="B6787">
        <f>4/(100)</f>
        <v>0.04</v>
      </c>
      <c r="C6787">
        <f>3.661/(100)</f>
        <v>3.6610000000000004E-2</v>
      </c>
    </row>
    <row r="6788" spans="1:3" x14ac:dyDescent="0.3">
      <c r="A6788" s="2">
        <v>44043</v>
      </c>
      <c r="B6788">
        <f>4/(100)</f>
        <v>0.04</v>
      </c>
      <c r="C6788">
        <f>3.66/(100)</f>
        <v>3.6600000000000001E-2</v>
      </c>
    </row>
    <row r="6789" spans="1:3" x14ac:dyDescent="0.3">
      <c r="A6789" s="2">
        <v>44044</v>
      </c>
      <c r="B6789">
        <f>4/(100)</f>
        <v>0.04</v>
      </c>
      <c r="C6789">
        <f>3.66/(100)</f>
        <v>3.6600000000000001E-2</v>
      </c>
    </row>
    <row r="6790" spans="1:3" x14ac:dyDescent="0.3">
      <c r="A6790" s="2">
        <v>44045</v>
      </c>
      <c r="B6790">
        <f>4/(100)</f>
        <v>0.04</v>
      </c>
      <c r="C6790">
        <f>3.66/(100)</f>
        <v>3.6600000000000001E-2</v>
      </c>
    </row>
    <row r="6791" spans="1:3" x14ac:dyDescent="0.3">
      <c r="A6791" s="2">
        <v>44046</v>
      </c>
      <c r="B6791">
        <f>4/(100)</f>
        <v>0.04</v>
      </c>
      <c r="C6791">
        <f>3.65/(100)</f>
        <v>3.6499999999999998E-2</v>
      </c>
    </row>
    <row r="6792" spans="1:3" x14ac:dyDescent="0.3">
      <c r="A6792" s="2">
        <v>44047</v>
      </c>
      <c r="B6792">
        <f>4/(100)</f>
        <v>0.04</v>
      </c>
      <c r="C6792">
        <f>3.635/(100)</f>
        <v>3.635E-2</v>
      </c>
    </row>
    <row r="6793" spans="1:3" x14ac:dyDescent="0.3">
      <c r="A6793" s="2">
        <v>44048</v>
      </c>
      <c r="B6793">
        <f>4/(100)</f>
        <v>0.04</v>
      </c>
      <c r="C6793">
        <f>3.617/(100)</f>
        <v>3.6170000000000001E-2</v>
      </c>
    </row>
    <row r="6794" spans="1:3" x14ac:dyDescent="0.3">
      <c r="A6794" s="2">
        <v>44049</v>
      </c>
      <c r="B6794">
        <f>4/(100)</f>
        <v>0.04</v>
      </c>
      <c r="C6794">
        <f>3.588/(100)</f>
        <v>3.5880000000000002E-2</v>
      </c>
    </row>
    <row r="6795" spans="1:3" x14ac:dyDescent="0.3">
      <c r="A6795" s="2">
        <v>44050</v>
      </c>
      <c r="B6795">
        <f>4/(100)</f>
        <v>0.04</v>
      </c>
      <c r="C6795">
        <f>3.624/(100)</f>
        <v>3.6240000000000001E-2</v>
      </c>
    </row>
    <row r="6796" spans="1:3" x14ac:dyDescent="0.3">
      <c r="A6796" s="2">
        <v>44051</v>
      </c>
      <c r="B6796">
        <f>4/(100)</f>
        <v>0.04</v>
      </c>
      <c r="C6796">
        <f>3.624/(100)</f>
        <v>3.6240000000000001E-2</v>
      </c>
    </row>
    <row r="6797" spans="1:3" x14ac:dyDescent="0.3">
      <c r="A6797" s="2">
        <v>44052</v>
      </c>
      <c r="B6797">
        <f>4/(100)</f>
        <v>0.04</v>
      </c>
      <c r="C6797">
        <f>3.624/(100)</f>
        <v>3.6240000000000001E-2</v>
      </c>
    </row>
    <row r="6798" spans="1:3" x14ac:dyDescent="0.3">
      <c r="A6798" s="2">
        <v>44053</v>
      </c>
      <c r="B6798">
        <f>4/(100)</f>
        <v>0.04</v>
      </c>
      <c r="C6798">
        <f>3.623/(100)</f>
        <v>3.6230000000000005E-2</v>
      </c>
    </row>
    <row r="6799" spans="1:3" x14ac:dyDescent="0.3">
      <c r="A6799" s="2">
        <v>44054</v>
      </c>
      <c r="B6799">
        <f>4/(100)</f>
        <v>0.04</v>
      </c>
      <c r="C6799">
        <f>3.648/(100)</f>
        <v>3.6479999999999999E-2</v>
      </c>
    </row>
    <row r="6800" spans="1:3" x14ac:dyDescent="0.3">
      <c r="A6800" s="2">
        <v>44055</v>
      </c>
      <c r="B6800">
        <f>4/(100)</f>
        <v>0.04</v>
      </c>
      <c r="C6800">
        <f>3.635/(100)</f>
        <v>3.635E-2</v>
      </c>
    </row>
    <row r="6801" spans="1:3" x14ac:dyDescent="0.3">
      <c r="A6801" s="2">
        <v>44056</v>
      </c>
      <c r="B6801">
        <f>4/(100)</f>
        <v>0.04</v>
      </c>
      <c r="C6801">
        <f>3.611/(100)</f>
        <v>3.6110000000000003E-2</v>
      </c>
    </row>
    <row r="6802" spans="1:3" x14ac:dyDescent="0.3">
      <c r="A6802" s="2">
        <v>44057</v>
      </c>
      <c r="B6802">
        <f>4/(100)</f>
        <v>0.04</v>
      </c>
      <c r="C6802">
        <f>3.611/(100)</f>
        <v>3.6110000000000003E-2</v>
      </c>
    </row>
    <row r="6803" spans="1:3" x14ac:dyDescent="0.3">
      <c r="A6803" s="2">
        <v>44058</v>
      </c>
      <c r="B6803">
        <f>4/(100)</f>
        <v>0.04</v>
      </c>
      <c r="C6803">
        <f>3.611/(100)</f>
        <v>3.6110000000000003E-2</v>
      </c>
    </row>
    <row r="6804" spans="1:3" x14ac:dyDescent="0.3">
      <c r="A6804" s="2">
        <v>44059</v>
      </c>
      <c r="B6804">
        <f>4/(100)</f>
        <v>0.04</v>
      </c>
      <c r="C6804">
        <f>3.611/(100)</f>
        <v>3.6110000000000003E-2</v>
      </c>
    </row>
    <row r="6805" spans="1:3" x14ac:dyDescent="0.3">
      <c r="A6805" s="2">
        <v>44060</v>
      </c>
      <c r="B6805">
        <f>4/(100)</f>
        <v>0.04</v>
      </c>
      <c r="C6805">
        <f>3.614/(100)</f>
        <v>3.6139999999999999E-2</v>
      </c>
    </row>
    <row r="6806" spans="1:3" x14ac:dyDescent="0.3">
      <c r="A6806" s="2">
        <v>44061</v>
      </c>
      <c r="B6806">
        <f>4/(100)</f>
        <v>0.04</v>
      </c>
      <c r="C6806">
        <f>3.617/(100)</f>
        <v>3.6170000000000001E-2</v>
      </c>
    </row>
    <row r="6807" spans="1:3" x14ac:dyDescent="0.3">
      <c r="A6807" s="2">
        <v>44062</v>
      </c>
      <c r="B6807">
        <f>4/(100)</f>
        <v>0.04</v>
      </c>
      <c r="C6807">
        <f>3.615/(100)</f>
        <v>3.6150000000000002E-2</v>
      </c>
    </row>
    <row r="6808" spans="1:3" x14ac:dyDescent="0.3">
      <c r="A6808" s="2">
        <v>44063</v>
      </c>
      <c r="B6808">
        <f>4/(100)</f>
        <v>0.04</v>
      </c>
      <c r="C6808">
        <f>3.61/(100)</f>
        <v>3.61E-2</v>
      </c>
    </row>
    <row r="6809" spans="1:3" x14ac:dyDescent="0.3">
      <c r="A6809" s="2">
        <v>44064</v>
      </c>
      <c r="B6809">
        <f>4/(100)</f>
        <v>0.04</v>
      </c>
      <c r="C6809">
        <f>3.748/(100)</f>
        <v>3.7479999999999999E-2</v>
      </c>
    </row>
    <row r="6810" spans="1:3" x14ac:dyDescent="0.3">
      <c r="A6810" s="2">
        <v>44065</v>
      </c>
      <c r="B6810">
        <f>4/(100)</f>
        <v>0.04</v>
      </c>
      <c r="C6810">
        <f>3.748/(100)</f>
        <v>3.7479999999999999E-2</v>
      </c>
    </row>
    <row r="6811" spans="1:3" x14ac:dyDescent="0.3">
      <c r="A6811" s="2">
        <v>44066</v>
      </c>
      <c r="B6811">
        <f>4/(100)</f>
        <v>0.04</v>
      </c>
      <c r="C6811">
        <f>3.748/(100)</f>
        <v>3.7479999999999999E-2</v>
      </c>
    </row>
    <row r="6812" spans="1:3" x14ac:dyDescent="0.3">
      <c r="A6812" s="2">
        <v>44067</v>
      </c>
      <c r="B6812">
        <f>4/(100)</f>
        <v>0.04</v>
      </c>
      <c r="C6812">
        <f>3.74/(100)</f>
        <v>3.7400000000000003E-2</v>
      </c>
    </row>
    <row r="6813" spans="1:3" x14ac:dyDescent="0.3">
      <c r="A6813" s="2">
        <v>44068</v>
      </c>
      <c r="B6813">
        <f>4/(100)</f>
        <v>0.04</v>
      </c>
      <c r="C6813">
        <f>3.71/(100)</f>
        <v>3.7100000000000001E-2</v>
      </c>
    </row>
    <row r="6814" spans="1:3" x14ac:dyDescent="0.3">
      <c r="A6814" s="2">
        <v>44069</v>
      </c>
      <c r="B6814">
        <f>4/(100)</f>
        <v>0.04</v>
      </c>
      <c r="C6814">
        <f>3.748/(100)</f>
        <v>3.7479999999999999E-2</v>
      </c>
    </row>
    <row r="6815" spans="1:3" x14ac:dyDescent="0.3">
      <c r="A6815" s="2">
        <v>44070</v>
      </c>
      <c r="B6815">
        <f>4/(100)</f>
        <v>0.04</v>
      </c>
      <c r="C6815">
        <f>3.72/(100)</f>
        <v>3.7200000000000004E-2</v>
      </c>
    </row>
    <row r="6816" spans="1:3" x14ac:dyDescent="0.3">
      <c r="A6816" s="2">
        <v>44071</v>
      </c>
      <c r="B6816">
        <f>4/(100)</f>
        <v>0.04</v>
      </c>
      <c r="C6816">
        <f>3.749/(100)</f>
        <v>3.7490000000000002E-2</v>
      </c>
    </row>
    <row r="6817" spans="1:3" x14ac:dyDescent="0.3">
      <c r="A6817" s="2">
        <v>44072</v>
      </c>
      <c r="B6817">
        <f>4/(100)</f>
        <v>0.04</v>
      </c>
      <c r="C6817">
        <f>3.749/(100)</f>
        <v>3.7490000000000002E-2</v>
      </c>
    </row>
    <row r="6818" spans="1:3" x14ac:dyDescent="0.3">
      <c r="A6818" s="2">
        <v>44073</v>
      </c>
      <c r="B6818">
        <f>4/(100)</f>
        <v>0.04</v>
      </c>
      <c r="C6818">
        <f>3.749/(100)</f>
        <v>3.7490000000000002E-2</v>
      </c>
    </row>
    <row r="6819" spans="1:3" x14ac:dyDescent="0.3">
      <c r="A6819" s="2">
        <v>44074</v>
      </c>
      <c r="B6819">
        <f>4/(100)</f>
        <v>0.04</v>
      </c>
      <c r="C6819">
        <f>3.747/(100)</f>
        <v>3.7469999999999996E-2</v>
      </c>
    </row>
    <row r="6820" spans="1:3" x14ac:dyDescent="0.3">
      <c r="A6820" s="2">
        <v>44075</v>
      </c>
      <c r="B6820">
        <f>4/(100)</f>
        <v>0.04</v>
      </c>
      <c r="C6820">
        <f>3.687/(100)</f>
        <v>3.687E-2</v>
      </c>
    </row>
    <row r="6821" spans="1:3" x14ac:dyDescent="0.3">
      <c r="A6821" s="2">
        <v>44076</v>
      </c>
      <c r="B6821">
        <f>4/(100)</f>
        <v>0.04</v>
      </c>
      <c r="C6821">
        <f>3.633/(100)</f>
        <v>3.6330000000000001E-2</v>
      </c>
    </row>
    <row r="6822" spans="1:3" x14ac:dyDescent="0.3">
      <c r="A6822" s="2">
        <v>44077</v>
      </c>
      <c r="B6822">
        <f>4/(100)</f>
        <v>0.04</v>
      </c>
      <c r="C6822">
        <f>3.695/(100)</f>
        <v>3.6949999999999997E-2</v>
      </c>
    </row>
    <row r="6823" spans="1:3" x14ac:dyDescent="0.3">
      <c r="A6823" s="2">
        <v>44078</v>
      </c>
      <c r="B6823">
        <f>4/(100)</f>
        <v>0.04</v>
      </c>
      <c r="C6823">
        <f>3.642/(100)</f>
        <v>3.6420000000000001E-2</v>
      </c>
    </row>
    <row r="6824" spans="1:3" x14ac:dyDescent="0.3">
      <c r="A6824" s="2">
        <v>44079</v>
      </c>
      <c r="B6824">
        <f>4/(100)</f>
        <v>0.04</v>
      </c>
      <c r="C6824">
        <f>3.642/(100)</f>
        <v>3.6420000000000001E-2</v>
      </c>
    </row>
    <row r="6825" spans="1:3" x14ac:dyDescent="0.3">
      <c r="A6825" s="2">
        <v>44080</v>
      </c>
      <c r="B6825">
        <f>4/(100)</f>
        <v>0.04</v>
      </c>
      <c r="C6825">
        <f>3.642/(100)</f>
        <v>3.6420000000000001E-2</v>
      </c>
    </row>
    <row r="6826" spans="1:3" x14ac:dyDescent="0.3">
      <c r="A6826" s="2">
        <v>44081</v>
      </c>
      <c r="B6826">
        <f>4/(100)</f>
        <v>0.04</v>
      </c>
      <c r="C6826">
        <f>3.675/(100)</f>
        <v>3.6749999999999998E-2</v>
      </c>
    </row>
    <row r="6827" spans="1:3" x14ac:dyDescent="0.3">
      <c r="A6827" s="2">
        <v>44082</v>
      </c>
      <c r="B6827">
        <f>4/(100)</f>
        <v>0.04</v>
      </c>
      <c r="C6827">
        <f>3.726/(100)</f>
        <v>3.7260000000000001E-2</v>
      </c>
    </row>
    <row r="6828" spans="1:3" x14ac:dyDescent="0.3">
      <c r="A6828" s="2">
        <v>44083</v>
      </c>
      <c r="B6828">
        <f>4/(100)</f>
        <v>0.04</v>
      </c>
      <c r="C6828">
        <f>3.701/(100)</f>
        <v>3.7010000000000001E-2</v>
      </c>
    </row>
    <row r="6829" spans="1:3" x14ac:dyDescent="0.3">
      <c r="A6829" s="2">
        <v>44084</v>
      </c>
      <c r="B6829">
        <f>4/(100)</f>
        <v>0.04</v>
      </c>
      <c r="C6829">
        <f>3.746/(100)</f>
        <v>3.746E-2</v>
      </c>
    </row>
    <row r="6830" spans="1:3" x14ac:dyDescent="0.3">
      <c r="A6830" s="2">
        <v>44085</v>
      </c>
      <c r="B6830">
        <f>4/(100)</f>
        <v>0.04</v>
      </c>
      <c r="C6830">
        <f>3.746/(100)</f>
        <v>3.746E-2</v>
      </c>
    </row>
    <row r="6831" spans="1:3" x14ac:dyDescent="0.3">
      <c r="A6831" s="2">
        <v>44086</v>
      </c>
      <c r="B6831">
        <f>4/(100)</f>
        <v>0.04</v>
      </c>
      <c r="C6831">
        <f>3.746/(100)</f>
        <v>3.746E-2</v>
      </c>
    </row>
    <row r="6832" spans="1:3" x14ac:dyDescent="0.3">
      <c r="A6832" s="2">
        <v>44087</v>
      </c>
      <c r="B6832">
        <f>4/(100)</f>
        <v>0.04</v>
      </c>
      <c r="C6832">
        <f>3.746/(100)</f>
        <v>3.746E-2</v>
      </c>
    </row>
    <row r="6833" spans="1:3" x14ac:dyDescent="0.3">
      <c r="A6833" s="2">
        <v>44088</v>
      </c>
      <c r="B6833">
        <f>4/(100)</f>
        <v>0.04</v>
      </c>
      <c r="C6833">
        <f>3.727/(100)</f>
        <v>3.7269999999999998E-2</v>
      </c>
    </row>
    <row r="6834" spans="1:3" x14ac:dyDescent="0.3">
      <c r="A6834" s="2">
        <v>44089</v>
      </c>
      <c r="B6834">
        <f>4/(100)</f>
        <v>0.04</v>
      </c>
      <c r="C6834">
        <f>3.727/(100)</f>
        <v>3.7269999999999998E-2</v>
      </c>
    </row>
    <row r="6835" spans="1:3" x14ac:dyDescent="0.3">
      <c r="A6835" s="2">
        <v>44090</v>
      </c>
      <c r="B6835">
        <f>4/(100)</f>
        <v>0.04</v>
      </c>
      <c r="C6835">
        <f>3.727/(100)</f>
        <v>3.7269999999999998E-2</v>
      </c>
    </row>
    <row r="6836" spans="1:3" x14ac:dyDescent="0.3">
      <c r="A6836" s="2">
        <v>44091</v>
      </c>
      <c r="B6836">
        <f>4/(100)</f>
        <v>0.04</v>
      </c>
      <c r="C6836">
        <f>3.727/(100)</f>
        <v>3.7269999999999998E-2</v>
      </c>
    </row>
    <row r="6837" spans="1:3" x14ac:dyDescent="0.3">
      <c r="A6837" s="2">
        <v>44092</v>
      </c>
      <c r="B6837">
        <f>4/(100)</f>
        <v>0.04</v>
      </c>
      <c r="C6837">
        <f>3.666/(100)</f>
        <v>3.6659999999999998E-2</v>
      </c>
    </row>
    <row r="6838" spans="1:3" x14ac:dyDescent="0.3">
      <c r="A6838" s="2">
        <v>44093</v>
      </c>
      <c r="B6838">
        <f>4/(100)</f>
        <v>0.04</v>
      </c>
      <c r="C6838">
        <f>3.666/(100)</f>
        <v>3.6659999999999998E-2</v>
      </c>
    </row>
    <row r="6839" spans="1:3" x14ac:dyDescent="0.3">
      <c r="A6839" s="2">
        <v>44094</v>
      </c>
      <c r="B6839">
        <f>4/(100)</f>
        <v>0.04</v>
      </c>
      <c r="C6839">
        <f>3.666/(100)</f>
        <v>3.6659999999999998E-2</v>
      </c>
    </row>
    <row r="6840" spans="1:3" x14ac:dyDescent="0.3">
      <c r="A6840" s="2">
        <v>44095</v>
      </c>
      <c r="B6840">
        <f>4/(100)</f>
        <v>0.04</v>
      </c>
      <c r="C6840">
        <f>3.701/(100)</f>
        <v>3.7010000000000001E-2</v>
      </c>
    </row>
    <row r="6841" spans="1:3" x14ac:dyDescent="0.3">
      <c r="A6841" s="2">
        <v>44096</v>
      </c>
      <c r="B6841">
        <f>4/(100)</f>
        <v>0.04</v>
      </c>
      <c r="C6841">
        <f>3.73/(100)</f>
        <v>3.73E-2</v>
      </c>
    </row>
    <row r="6842" spans="1:3" x14ac:dyDescent="0.3">
      <c r="A6842" s="2">
        <v>44097</v>
      </c>
      <c r="B6842">
        <f>4/(100)</f>
        <v>0.04</v>
      </c>
      <c r="C6842">
        <f>3.734/(100)</f>
        <v>3.7339999999999998E-2</v>
      </c>
    </row>
    <row r="6843" spans="1:3" x14ac:dyDescent="0.3">
      <c r="A6843" s="2">
        <v>44098</v>
      </c>
      <c r="B6843">
        <f>4/(100)</f>
        <v>0.04</v>
      </c>
      <c r="C6843">
        <f>3.748/(100)</f>
        <v>3.7479999999999999E-2</v>
      </c>
    </row>
    <row r="6844" spans="1:3" x14ac:dyDescent="0.3">
      <c r="A6844" s="2">
        <v>44099</v>
      </c>
      <c r="B6844">
        <f>4/(100)</f>
        <v>0.04</v>
      </c>
      <c r="C6844">
        <f>3.733/(100)</f>
        <v>3.7330000000000002E-2</v>
      </c>
    </row>
    <row r="6845" spans="1:3" x14ac:dyDescent="0.3">
      <c r="A6845" s="2">
        <v>44100</v>
      </c>
      <c r="B6845">
        <f>4/(100)</f>
        <v>0.04</v>
      </c>
      <c r="C6845">
        <f>3.733/(100)</f>
        <v>3.7330000000000002E-2</v>
      </c>
    </row>
    <row r="6846" spans="1:3" x14ac:dyDescent="0.3">
      <c r="A6846" s="2">
        <v>44101</v>
      </c>
      <c r="B6846">
        <f>4/(100)</f>
        <v>0.04</v>
      </c>
      <c r="C6846">
        <f>3.733/(100)</f>
        <v>3.7330000000000002E-2</v>
      </c>
    </row>
    <row r="6847" spans="1:3" x14ac:dyDescent="0.3">
      <c r="A6847" s="2">
        <v>44102</v>
      </c>
      <c r="B6847">
        <f>4/(100)</f>
        <v>0.04</v>
      </c>
      <c r="C6847">
        <f>3.75/(100)</f>
        <v>3.7499999999999999E-2</v>
      </c>
    </row>
    <row r="6848" spans="1:3" x14ac:dyDescent="0.3">
      <c r="A6848" s="2">
        <v>44103</v>
      </c>
      <c r="B6848">
        <f>4/(100)</f>
        <v>0.04</v>
      </c>
      <c r="C6848">
        <f>3.754/(100)</f>
        <v>3.7539999999999997E-2</v>
      </c>
    </row>
    <row r="6849" spans="1:3" x14ac:dyDescent="0.3">
      <c r="A6849" s="2">
        <v>44104</v>
      </c>
      <c r="B6849">
        <f>4/(100)</f>
        <v>0.04</v>
      </c>
      <c r="C6849">
        <f>3.708/(100)</f>
        <v>3.7080000000000002E-2</v>
      </c>
    </row>
    <row r="6850" spans="1:3" x14ac:dyDescent="0.3">
      <c r="A6850" s="2">
        <v>44105</v>
      </c>
      <c r="B6850">
        <f>4/(100)</f>
        <v>0.04</v>
      </c>
      <c r="C6850">
        <f>3.708/(100)</f>
        <v>3.7080000000000002E-2</v>
      </c>
    </row>
    <row r="6851" spans="1:3" x14ac:dyDescent="0.3">
      <c r="A6851" s="2">
        <v>44106</v>
      </c>
      <c r="B6851">
        <f>4/(100)</f>
        <v>0.04</v>
      </c>
      <c r="C6851">
        <f>3.708/(100)</f>
        <v>3.7080000000000002E-2</v>
      </c>
    </row>
    <row r="6852" spans="1:3" x14ac:dyDescent="0.3">
      <c r="A6852" s="2">
        <v>44107</v>
      </c>
      <c r="B6852">
        <f>4/(100)</f>
        <v>0.04</v>
      </c>
      <c r="C6852">
        <f>3.708/(100)</f>
        <v>3.7080000000000002E-2</v>
      </c>
    </row>
    <row r="6853" spans="1:3" x14ac:dyDescent="0.3">
      <c r="A6853" s="2">
        <v>44108</v>
      </c>
      <c r="B6853">
        <f>4/(100)</f>
        <v>0.04</v>
      </c>
      <c r="C6853">
        <f>3.708/(100)</f>
        <v>3.7080000000000002E-2</v>
      </c>
    </row>
    <row r="6854" spans="1:3" x14ac:dyDescent="0.3">
      <c r="A6854" s="2">
        <v>44109</v>
      </c>
      <c r="B6854">
        <f>4/(100)</f>
        <v>0.04</v>
      </c>
      <c r="C6854">
        <f>3.626/(100)</f>
        <v>3.6260000000000001E-2</v>
      </c>
    </row>
    <row r="6855" spans="1:3" x14ac:dyDescent="0.3">
      <c r="A6855" s="2">
        <v>44110</v>
      </c>
      <c r="B6855">
        <f>4/(100)</f>
        <v>0.04</v>
      </c>
      <c r="C6855">
        <f>3.617/(100)</f>
        <v>3.6170000000000001E-2</v>
      </c>
    </row>
    <row r="6856" spans="1:3" x14ac:dyDescent="0.3">
      <c r="A6856" s="2">
        <v>44111</v>
      </c>
      <c r="B6856">
        <f>4/(100)</f>
        <v>0.04</v>
      </c>
      <c r="C6856">
        <f>3.582/(100)</f>
        <v>3.5819999999999998E-2</v>
      </c>
    </row>
    <row r="6857" spans="1:3" x14ac:dyDescent="0.3">
      <c r="A6857" s="2">
        <v>44112</v>
      </c>
      <c r="B6857">
        <f>4/(100)</f>
        <v>0.04</v>
      </c>
      <c r="C6857">
        <f>3.586/(100)</f>
        <v>3.5859999999999996E-2</v>
      </c>
    </row>
    <row r="6858" spans="1:3" x14ac:dyDescent="0.3">
      <c r="A6858" s="2">
        <v>44113</v>
      </c>
      <c r="B6858">
        <f>4/(100)</f>
        <v>0.04</v>
      </c>
      <c r="C6858">
        <f>3.572/(100)</f>
        <v>3.5720000000000002E-2</v>
      </c>
    </row>
    <row r="6859" spans="1:3" x14ac:dyDescent="0.3">
      <c r="A6859" s="2">
        <v>44114</v>
      </c>
      <c r="B6859">
        <f>4/(100)</f>
        <v>0.04</v>
      </c>
      <c r="C6859">
        <f>3.572/(100)</f>
        <v>3.5720000000000002E-2</v>
      </c>
    </row>
    <row r="6860" spans="1:3" x14ac:dyDescent="0.3">
      <c r="A6860" s="2">
        <v>44115</v>
      </c>
      <c r="B6860">
        <f>4/(100)</f>
        <v>0.04</v>
      </c>
      <c r="C6860">
        <f>3.572/(100)</f>
        <v>3.5720000000000002E-2</v>
      </c>
    </row>
    <row r="6861" spans="1:3" x14ac:dyDescent="0.3">
      <c r="A6861" s="2">
        <v>44116</v>
      </c>
      <c r="B6861">
        <f>4/(100)</f>
        <v>0.04</v>
      </c>
      <c r="C6861">
        <f>3.589/(100)</f>
        <v>3.5889999999999998E-2</v>
      </c>
    </row>
    <row r="6862" spans="1:3" x14ac:dyDescent="0.3">
      <c r="A6862" s="2">
        <v>44117</v>
      </c>
      <c r="B6862">
        <f>4/(100)</f>
        <v>0.04</v>
      </c>
      <c r="C6862">
        <f>3.553/(100)</f>
        <v>3.5529999999999999E-2</v>
      </c>
    </row>
    <row r="6863" spans="1:3" x14ac:dyDescent="0.3">
      <c r="A6863" s="2">
        <v>44118</v>
      </c>
      <c r="B6863">
        <f>4/(100)</f>
        <v>0.04</v>
      </c>
      <c r="C6863">
        <f>3.531/(100)</f>
        <v>3.5310000000000001E-2</v>
      </c>
    </row>
    <row r="6864" spans="1:3" x14ac:dyDescent="0.3">
      <c r="A6864" s="2">
        <v>44119</v>
      </c>
      <c r="B6864">
        <f>4/(100)</f>
        <v>0.04</v>
      </c>
      <c r="C6864">
        <f>3.528/(100)</f>
        <v>3.5279999999999999E-2</v>
      </c>
    </row>
    <row r="6865" spans="1:3" x14ac:dyDescent="0.3">
      <c r="A6865" s="2">
        <v>44120</v>
      </c>
      <c r="B6865">
        <f>4/(100)</f>
        <v>0.04</v>
      </c>
      <c r="C6865">
        <f>3.53/(100)</f>
        <v>3.5299999999999998E-2</v>
      </c>
    </row>
    <row r="6866" spans="1:3" x14ac:dyDescent="0.3">
      <c r="A6866" s="2">
        <v>44121</v>
      </c>
      <c r="B6866">
        <f>4/(100)</f>
        <v>0.04</v>
      </c>
      <c r="C6866">
        <f>3.53/(100)</f>
        <v>3.5299999999999998E-2</v>
      </c>
    </row>
    <row r="6867" spans="1:3" x14ac:dyDescent="0.3">
      <c r="A6867" s="2">
        <v>44122</v>
      </c>
      <c r="B6867">
        <f>4/(100)</f>
        <v>0.04</v>
      </c>
      <c r="C6867">
        <f>3.53/(100)</f>
        <v>3.5299999999999998E-2</v>
      </c>
    </row>
    <row r="6868" spans="1:3" x14ac:dyDescent="0.3">
      <c r="A6868" s="2">
        <v>44123</v>
      </c>
      <c r="B6868">
        <f>4/(100)</f>
        <v>0.04</v>
      </c>
      <c r="C6868">
        <f>3.516/(100)</f>
        <v>3.5159999999999997E-2</v>
      </c>
    </row>
    <row r="6869" spans="1:3" x14ac:dyDescent="0.3">
      <c r="A6869" s="2">
        <v>44124</v>
      </c>
      <c r="B6869">
        <f>4/(100)</f>
        <v>0.04</v>
      </c>
      <c r="C6869">
        <f>3.503/(100)</f>
        <v>3.5029999999999999E-2</v>
      </c>
    </row>
    <row r="6870" spans="1:3" x14ac:dyDescent="0.3">
      <c r="A6870" s="2">
        <v>44125</v>
      </c>
      <c r="B6870">
        <f>4/(100)</f>
        <v>0.04</v>
      </c>
      <c r="C6870">
        <f>3.49/(100)</f>
        <v>3.49E-2</v>
      </c>
    </row>
    <row r="6871" spans="1:3" x14ac:dyDescent="0.3">
      <c r="A6871" s="2">
        <v>44126</v>
      </c>
      <c r="B6871">
        <f>4/(100)</f>
        <v>0.04</v>
      </c>
      <c r="C6871">
        <f>3.456/(100)</f>
        <v>3.456E-2</v>
      </c>
    </row>
    <row r="6872" spans="1:3" x14ac:dyDescent="0.3">
      <c r="A6872" s="2">
        <v>44127</v>
      </c>
      <c r="B6872">
        <f>4/(100)</f>
        <v>0.04</v>
      </c>
      <c r="C6872">
        <f>3.436/(100)</f>
        <v>3.4360000000000002E-2</v>
      </c>
    </row>
    <row r="6873" spans="1:3" x14ac:dyDescent="0.3">
      <c r="A6873" s="2">
        <v>44128</v>
      </c>
      <c r="B6873">
        <f>4/(100)</f>
        <v>0.04</v>
      </c>
      <c r="C6873">
        <f>3.436/(100)</f>
        <v>3.4360000000000002E-2</v>
      </c>
    </row>
    <row r="6874" spans="1:3" x14ac:dyDescent="0.3">
      <c r="A6874" s="2">
        <v>44129</v>
      </c>
      <c r="B6874">
        <f>4/(100)</f>
        <v>0.04</v>
      </c>
      <c r="C6874">
        <f>3.436/(100)</f>
        <v>3.4360000000000002E-2</v>
      </c>
    </row>
    <row r="6875" spans="1:3" x14ac:dyDescent="0.3">
      <c r="A6875" s="2">
        <v>44130</v>
      </c>
      <c r="B6875">
        <f>4/(100)</f>
        <v>0.04</v>
      </c>
      <c r="C6875">
        <f>3.454/(100)</f>
        <v>3.4540000000000001E-2</v>
      </c>
    </row>
    <row r="6876" spans="1:3" x14ac:dyDescent="0.3">
      <c r="A6876" s="2">
        <v>44131</v>
      </c>
      <c r="B6876">
        <f>4/(100)</f>
        <v>0.04</v>
      </c>
      <c r="C6876">
        <f>3.43/(100)</f>
        <v>3.4300000000000004E-2</v>
      </c>
    </row>
    <row r="6877" spans="1:3" x14ac:dyDescent="0.3">
      <c r="A6877" s="2">
        <v>44132</v>
      </c>
      <c r="B6877">
        <f>4/(100)</f>
        <v>0.04</v>
      </c>
      <c r="C6877">
        <f>3.444/(100)</f>
        <v>3.4439999999999998E-2</v>
      </c>
    </row>
    <row r="6878" spans="1:3" x14ac:dyDescent="0.3">
      <c r="A6878" s="2">
        <v>44133</v>
      </c>
      <c r="B6878">
        <f>4/(100)</f>
        <v>0.04</v>
      </c>
      <c r="C6878">
        <f>3.473/(100)</f>
        <v>3.4729999999999997E-2</v>
      </c>
    </row>
    <row r="6879" spans="1:3" x14ac:dyDescent="0.3">
      <c r="A6879" s="2">
        <v>44134</v>
      </c>
      <c r="B6879">
        <f>4/(100)</f>
        <v>0.04</v>
      </c>
      <c r="C6879">
        <f>3.473/(100)</f>
        <v>3.4729999999999997E-2</v>
      </c>
    </row>
    <row r="6880" spans="1:3" x14ac:dyDescent="0.3">
      <c r="A6880" s="2">
        <v>44135</v>
      </c>
      <c r="B6880">
        <f>4/(100)</f>
        <v>0.04</v>
      </c>
      <c r="C6880">
        <f>3.473/(100)</f>
        <v>3.4729999999999997E-2</v>
      </c>
    </row>
    <row r="6881" spans="1:3" x14ac:dyDescent="0.3">
      <c r="A6881" s="2">
        <v>44136</v>
      </c>
      <c r="B6881">
        <f>4/(100)</f>
        <v>0.04</v>
      </c>
      <c r="C6881">
        <f>3.473/(100)</f>
        <v>3.4729999999999997E-2</v>
      </c>
    </row>
    <row r="6882" spans="1:3" x14ac:dyDescent="0.3">
      <c r="A6882" s="2">
        <v>44137</v>
      </c>
      <c r="B6882">
        <f>4/(100)</f>
        <v>0.04</v>
      </c>
      <c r="C6882">
        <f>3.542/(100)</f>
        <v>3.542E-2</v>
      </c>
    </row>
    <row r="6883" spans="1:3" x14ac:dyDescent="0.3">
      <c r="A6883" s="2">
        <v>44138</v>
      </c>
      <c r="B6883">
        <f>4/(100)</f>
        <v>0.04</v>
      </c>
      <c r="C6883">
        <f>3.524/(100)</f>
        <v>3.524E-2</v>
      </c>
    </row>
    <row r="6884" spans="1:3" x14ac:dyDescent="0.3">
      <c r="A6884" s="2">
        <v>44139</v>
      </c>
      <c r="B6884">
        <f>4/(100)</f>
        <v>0.04</v>
      </c>
      <c r="C6884">
        <f>3.485/(100)</f>
        <v>3.4849999999999999E-2</v>
      </c>
    </row>
    <row r="6885" spans="1:3" x14ac:dyDescent="0.3">
      <c r="A6885" s="2">
        <v>44140</v>
      </c>
      <c r="B6885">
        <f>4/(100)</f>
        <v>0.04</v>
      </c>
      <c r="C6885">
        <f>3.46/(100)</f>
        <v>3.4599999999999999E-2</v>
      </c>
    </row>
    <row r="6886" spans="1:3" x14ac:dyDescent="0.3">
      <c r="A6886" s="2">
        <v>44141</v>
      </c>
      <c r="B6886">
        <f>4/(100)</f>
        <v>0.04</v>
      </c>
      <c r="C6886">
        <f>3.461/(100)</f>
        <v>3.4610000000000002E-2</v>
      </c>
    </row>
    <row r="6887" spans="1:3" x14ac:dyDescent="0.3">
      <c r="A6887" s="2">
        <v>44142</v>
      </c>
      <c r="B6887">
        <f>4/(100)</f>
        <v>0.04</v>
      </c>
      <c r="C6887">
        <f>3.461/(100)</f>
        <v>3.4610000000000002E-2</v>
      </c>
    </row>
    <row r="6888" spans="1:3" x14ac:dyDescent="0.3">
      <c r="A6888" s="2">
        <v>44143</v>
      </c>
      <c r="B6888">
        <f>4/(100)</f>
        <v>0.04</v>
      </c>
      <c r="C6888">
        <f>3.461/(100)</f>
        <v>3.4610000000000002E-2</v>
      </c>
    </row>
    <row r="6889" spans="1:3" x14ac:dyDescent="0.3">
      <c r="A6889" s="2">
        <v>44144</v>
      </c>
      <c r="B6889">
        <f>4/(100)</f>
        <v>0.04</v>
      </c>
      <c r="C6889">
        <f>3.374/(100)</f>
        <v>3.3739999999999999E-2</v>
      </c>
    </row>
    <row r="6890" spans="1:3" x14ac:dyDescent="0.3">
      <c r="A6890" s="2">
        <v>44145</v>
      </c>
      <c r="B6890">
        <f>4/(100)</f>
        <v>0.04</v>
      </c>
      <c r="C6890">
        <f>3.466/(100)</f>
        <v>3.4660000000000003E-2</v>
      </c>
    </row>
    <row r="6891" spans="1:3" x14ac:dyDescent="0.3">
      <c r="A6891" s="2">
        <v>44146</v>
      </c>
      <c r="B6891">
        <f>4/(100)</f>
        <v>0.04</v>
      </c>
      <c r="C6891">
        <f>3.466/(100)</f>
        <v>3.4660000000000003E-2</v>
      </c>
    </row>
    <row r="6892" spans="1:3" x14ac:dyDescent="0.3">
      <c r="A6892" s="2">
        <v>44147</v>
      </c>
      <c r="B6892">
        <f>4/(100)</f>
        <v>0.04</v>
      </c>
      <c r="C6892">
        <f>3.4/(100)</f>
        <v>3.4000000000000002E-2</v>
      </c>
    </row>
    <row r="6893" spans="1:3" x14ac:dyDescent="0.3">
      <c r="A6893" s="2">
        <v>44148</v>
      </c>
      <c r="B6893">
        <f>4/(100)</f>
        <v>0.04</v>
      </c>
      <c r="C6893">
        <f>3.328/(100)</f>
        <v>3.3279999999999997E-2</v>
      </c>
    </row>
    <row r="6894" spans="1:3" x14ac:dyDescent="0.3">
      <c r="A6894" s="2">
        <v>44149</v>
      </c>
      <c r="B6894">
        <f>4/(100)</f>
        <v>0.04</v>
      </c>
      <c r="C6894">
        <f>3.328/(100)</f>
        <v>3.3279999999999997E-2</v>
      </c>
    </row>
    <row r="6895" spans="1:3" x14ac:dyDescent="0.3">
      <c r="A6895" s="2">
        <v>44150</v>
      </c>
      <c r="B6895">
        <f>4/(100)</f>
        <v>0.04</v>
      </c>
      <c r="C6895">
        <f>3.328/(100)</f>
        <v>3.3279999999999997E-2</v>
      </c>
    </row>
    <row r="6896" spans="1:3" x14ac:dyDescent="0.3">
      <c r="A6896" s="2">
        <v>44151</v>
      </c>
      <c r="B6896">
        <f>4/(100)</f>
        <v>0.04</v>
      </c>
      <c r="C6896">
        <f>3.328/(100)</f>
        <v>3.3279999999999997E-2</v>
      </c>
    </row>
    <row r="6897" spans="1:3" x14ac:dyDescent="0.3">
      <c r="A6897" s="2">
        <v>44152</v>
      </c>
      <c r="B6897">
        <f>4/(100)</f>
        <v>0.04</v>
      </c>
      <c r="C6897">
        <f>3.317/(100)</f>
        <v>3.3170000000000005E-2</v>
      </c>
    </row>
    <row r="6898" spans="1:3" x14ac:dyDescent="0.3">
      <c r="A6898" s="2">
        <v>44153</v>
      </c>
      <c r="B6898">
        <f>4/(100)</f>
        <v>0.04</v>
      </c>
      <c r="C6898">
        <f>3.317/(100)</f>
        <v>3.3170000000000005E-2</v>
      </c>
    </row>
    <row r="6899" spans="1:3" x14ac:dyDescent="0.3">
      <c r="A6899" s="2">
        <v>44154</v>
      </c>
      <c r="B6899">
        <f>4/(100)</f>
        <v>0.04</v>
      </c>
      <c r="C6899">
        <f>3.366/(100)</f>
        <v>3.3660000000000002E-2</v>
      </c>
    </row>
    <row r="6900" spans="1:3" x14ac:dyDescent="0.3">
      <c r="A6900" s="2">
        <v>44155</v>
      </c>
      <c r="B6900">
        <f>4/(100)</f>
        <v>0.04</v>
      </c>
      <c r="C6900">
        <f>3.378/(100)</f>
        <v>3.3780000000000004E-2</v>
      </c>
    </row>
    <row r="6901" spans="1:3" x14ac:dyDescent="0.3">
      <c r="A6901" s="2">
        <v>44156</v>
      </c>
      <c r="B6901">
        <f>4/(100)</f>
        <v>0.04</v>
      </c>
      <c r="C6901">
        <f>3.378/(100)</f>
        <v>3.3780000000000004E-2</v>
      </c>
    </row>
    <row r="6902" spans="1:3" x14ac:dyDescent="0.3">
      <c r="A6902" s="2">
        <v>44157</v>
      </c>
      <c r="B6902">
        <f>4/(100)</f>
        <v>0.04</v>
      </c>
      <c r="C6902">
        <f>3.378/(100)</f>
        <v>3.3780000000000004E-2</v>
      </c>
    </row>
    <row r="6903" spans="1:3" x14ac:dyDescent="0.3">
      <c r="A6903" s="2">
        <v>44158</v>
      </c>
      <c r="B6903">
        <f>4/(100)</f>
        <v>0.04</v>
      </c>
      <c r="C6903">
        <f>3.378/(100)</f>
        <v>3.3780000000000004E-2</v>
      </c>
    </row>
    <row r="6904" spans="1:3" x14ac:dyDescent="0.3">
      <c r="A6904" s="2">
        <v>44159</v>
      </c>
      <c r="B6904">
        <f>4/(100)</f>
        <v>0.04</v>
      </c>
      <c r="C6904">
        <f>3.354/(100)</f>
        <v>3.354E-2</v>
      </c>
    </row>
    <row r="6905" spans="1:3" x14ac:dyDescent="0.3">
      <c r="A6905" s="2">
        <v>44160</v>
      </c>
      <c r="B6905">
        <f>4/(100)</f>
        <v>0.04</v>
      </c>
      <c r="C6905">
        <f>3.319/(100)</f>
        <v>3.3189999999999997E-2</v>
      </c>
    </row>
    <row r="6906" spans="1:3" x14ac:dyDescent="0.3">
      <c r="A6906" s="2">
        <v>44161</v>
      </c>
      <c r="B6906">
        <f>4/(100)</f>
        <v>0.04</v>
      </c>
      <c r="C6906">
        <f>3.315/(100)</f>
        <v>3.3149999999999999E-2</v>
      </c>
    </row>
    <row r="6907" spans="1:3" x14ac:dyDescent="0.3">
      <c r="A6907" s="2">
        <v>44162</v>
      </c>
      <c r="B6907">
        <f>4/(100)</f>
        <v>0.04</v>
      </c>
      <c r="C6907">
        <f>3.33/(100)</f>
        <v>3.3300000000000003E-2</v>
      </c>
    </row>
    <row r="6908" spans="1:3" x14ac:dyDescent="0.3">
      <c r="A6908" s="2">
        <v>44163</v>
      </c>
      <c r="B6908">
        <f>4/(100)</f>
        <v>0.04</v>
      </c>
      <c r="C6908">
        <f>3.33/(100)</f>
        <v>3.3300000000000003E-2</v>
      </c>
    </row>
    <row r="6909" spans="1:3" x14ac:dyDescent="0.3">
      <c r="A6909" s="2">
        <v>44164</v>
      </c>
      <c r="B6909">
        <f>4/(100)</f>
        <v>0.04</v>
      </c>
      <c r="C6909">
        <f>3.33/(100)</f>
        <v>3.3300000000000003E-2</v>
      </c>
    </row>
    <row r="6910" spans="1:3" x14ac:dyDescent="0.3">
      <c r="A6910" s="2">
        <v>44165</v>
      </c>
      <c r="B6910">
        <f>4/(100)</f>
        <v>0.04</v>
      </c>
      <c r="C6910">
        <f>3.33/(100)</f>
        <v>3.3300000000000003E-2</v>
      </c>
    </row>
    <row r="6911" spans="1:3" x14ac:dyDescent="0.3">
      <c r="A6911" s="2">
        <v>44166</v>
      </c>
      <c r="B6911">
        <f>4/(100)</f>
        <v>0.04</v>
      </c>
      <c r="C6911">
        <f>3.33/(100)</f>
        <v>3.3300000000000003E-2</v>
      </c>
    </row>
    <row r="6912" spans="1:3" x14ac:dyDescent="0.3">
      <c r="A6912" s="2">
        <v>44167</v>
      </c>
      <c r="B6912">
        <f>4/(100)</f>
        <v>0.04</v>
      </c>
      <c r="C6912">
        <f>3.33/(100)</f>
        <v>3.3300000000000003E-2</v>
      </c>
    </row>
    <row r="6913" spans="1:3" x14ac:dyDescent="0.3">
      <c r="A6913" s="2">
        <v>44168</v>
      </c>
      <c r="B6913">
        <f>4/(100)</f>
        <v>0.04</v>
      </c>
      <c r="C6913">
        <f>3.33/(100)</f>
        <v>3.3300000000000003E-2</v>
      </c>
    </row>
    <row r="6914" spans="1:3" x14ac:dyDescent="0.3">
      <c r="A6914" s="2">
        <v>44169</v>
      </c>
      <c r="B6914">
        <f>4/(100)</f>
        <v>0.04</v>
      </c>
      <c r="C6914">
        <f>3.33/(100)</f>
        <v>3.3300000000000003E-2</v>
      </c>
    </row>
    <row r="6915" spans="1:3" x14ac:dyDescent="0.3">
      <c r="A6915" s="2">
        <v>44170</v>
      </c>
      <c r="B6915">
        <f>4/(100)</f>
        <v>0.04</v>
      </c>
      <c r="C6915">
        <f>3.33/(100)</f>
        <v>3.3300000000000003E-2</v>
      </c>
    </row>
    <row r="6916" spans="1:3" x14ac:dyDescent="0.3">
      <c r="A6916" s="2">
        <v>44171</v>
      </c>
      <c r="B6916">
        <f>4/(100)</f>
        <v>0.04</v>
      </c>
      <c r="C6916">
        <f>3.33/(100)</f>
        <v>3.3300000000000003E-2</v>
      </c>
    </row>
    <row r="6917" spans="1:3" x14ac:dyDescent="0.3">
      <c r="A6917" s="2">
        <v>44172</v>
      </c>
      <c r="B6917">
        <f>4/(100)</f>
        <v>0.04</v>
      </c>
      <c r="C6917">
        <f>3.383/(100)</f>
        <v>3.3829999999999999E-2</v>
      </c>
    </row>
    <row r="6918" spans="1:3" x14ac:dyDescent="0.3">
      <c r="A6918" s="2">
        <v>44173</v>
      </c>
      <c r="B6918">
        <f>4/(100)</f>
        <v>0.04</v>
      </c>
      <c r="C6918">
        <f>3.362/(100)</f>
        <v>3.3620000000000004E-2</v>
      </c>
    </row>
    <row r="6919" spans="1:3" x14ac:dyDescent="0.3">
      <c r="A6919" s="2">
        <v>44174</v>
      </c>
      <c r="B6919">
        <f>4/(100)</f>
        <v>0.04</v>
      </c>
      <c r="C6919">
        <f>3.362/(100)</f>
        <v>3.3620000000000004E-2</v>
      </c>
    </row>
    <row r="6920" spans="1:3" x14ac:dyDescent="0.3">
      <c r="A6920" s="2">
        <v>44175</v>
      </c>
      <c r="B6920">
        <f>4/(100)</f>
        <v>0.04</v>
      </c>
      <c r="C6920">
        <f>3.387/(100)</f>
        <v>3.3869999999999997E-2</v>
      </c>
    </row>
    <row r="6921" spans="1:3" x14ac:dyDescent="0.3">
      <c r="A6921" s="2">
        <v>44176</v>
      </c>
      <c r="B6921">
        <f>4/(100)</f>
        <v>0.04</v>
      </c>
      <c r="C6921">
        <f>3.387/(100)</f>
        <v>3.3869999999999997E-2</v>
      </c>
    </row>
    <row r="6922" spans="1:3" x14ac:dyDescent="0.3">
      <c r="A6922" s="2">
        <v>44177</v>
      </c>
      <c r="B6922">
        <f>4/(100)</f>
        <v>0.04</v>
      </c>
      <c r="C6922">
        <f>3.387/(100)</f>
        <v>3.3869999999999997E-2</v>
      </c>
    </row>
    <row r="6923" spans="1:3" x14ac:dyDescent="0.3">
      <c r="A6923" s="2">
        <v>44178</v>
      </c>
      <c r="B6923">
        <f>4/(100)</f>
        <v>0.04</v>
      </c>
      <c r="C6923">
        <f>3.387/(100)</f>
        <v>3.3869999999999997E-2</v>
      </c>
    </row>
    <row r="6924" spans="1:3" x14ac:dyDescent="0.3">
      <c r="A6924" s="2">
        <v>44179</v>
      </c>
      <c r="B6924">
        <f>4/(100)</f>
        <v>0.04</v>
      </c>
      <c r="C6924">
        <f>3.387/(100)</f>
        <v>3.3869999999999997E-2</v>
      </c>
    </row>
    <row r="6925" spans="1:3" x14ac:dyDescent="0.3">
      <c r="A6925" s="2">
        <v>44180</v>
      </c>
      <c r="B6925">
        <f>4/(100)</f>
        <v>0.04</v>
      </c>
      <c r="C6925">
        <f>3.387/(100)</f>
        <v>3.3869999999999997E-2</v>
      </c>
    </row>
    <row r="6926" spans="1:3" x14ac:dyDescent="0.3">
      <c r="A6926" s="2">
        <v>44181</v>
      </c>
      <c r="B6926">
        <f>4/(100)</f>
        <v>0.04</v>
      </c>
      <c r="C6926">
        <f>3.397/(100)</f>
        <v>3.397E-2</v>
      </c>
    </row>
    <row r="6927" spans="1:3" x14ac:dyDescent="0.3">
      <c r="A6927" s="2">
        <v>44182</v>
      </c>
      <c r="B6927">
        <f>4/(100)</f>
        <v>0.04</v>
      </c>
      <c r="C6927">
        <f>3.397/(100)</f>
        <v>3.397E-2</v>
      </c>
    </row>
    <row r="6928" spans="1:3" x14ac:dyDescent="0.3">
      <c r="A6928" s="2">
        <v>44183</v>
      </c>
      <c r="B6928">
        <f>4/(100)</f>
        <v>0.04</v>
      </c>
      <c r="C6928">
        <f>3.477/(100)</f>
        <v>3.4769999999999995E-2</v>
      </c>
    </row>
    <row r="6929" spans="1:3" x14ac:dyDescent="0.3">
      <c r="A6929" s="2">
        <v>44184</v>
      </c>
      <c r="B6929">
        <f>4/(100)</f>
        <v>0.04</v>
      </c>
      <c r="C6929">
        <f>3.477/(100)</f>
        <v>3.4769999999999995E-2</v>
      </c>
    </row>
    <row r="6930" spans="1:3" x14ac:dyDescent="0.3">
      <c r="A6930" s="2">
        <v>44185</v>
      </c>
      <c r="B6930">
        <f>4/(100)</f>
        <v>0.04</v>
      </c>
      <c r="C6930">
        <f>3.477/(100)</f>
        <v>3.4769999999999995E-2</v>
      </c>
    </row>
    <row r="6931" spans="1:3" x14ac:dyDescent="0.3">
      <c r="A6931" s="2">
        <v>44186</v>
      </c>
      <c r="B6931">
        <f>4/(100)</f>
        <v>0.04</v>
      </c>
      <c r="C6931">
        <f>3.429/(100)</f>
        <v>3.4290000000000001E-2</v>
      </c>
    </row>
    <row r="6932" spans="1:3" x14ac:dyDescent="0.3">
      <c r="A6932" s="2">
        <v>44187</v>
      </c>
      <c r="B6932">
        <f>4/(100)</f>
        <v>0.04</v>
      </c>
      <c r="C6932">
        <f>3.425/(100)</f>
        <v>3.4249999999999996E-2</v>
      </c>
    </row>
    <row r="6933" spans="1:3" x14ac:dyDescent="0.3">
      <c r="A6933" s="2">
        <v>44188</v>
      </c>
      <c r="B6933">
        <f>4/(100)</f>
        <v>0.04</v>
      </c>
      <c r="C6933">
        <f>3.394/(100)</f>
        <v>3.3939999999999998E-2</v>
      </c>
    </row>
    <row r="6934" spans="1:3" x14ac:dyDescent="0.3">
      <c r="A6934" s="2">
        <v>44189</v>
      </c>
      <c r="B6934">
        <f>4/(100)</f>
        <v>0.04</v>
      </c>
      <c r="C6934">
        <f>3.363/(100)</f>
        <v>3.363E-2</v>
      </c>
    </row>
    <row r="6935" spans="1:3" x14ac:dyDescent="0.3">
      <c r="A6935" s="2">
        <v>44190</v>
      </c>
      <c r="B6935">
        <f>4/(100)</f>
        <v>0.04</v>
      </c>
      <c r="C6935">
        <f>3.363/(100)</f>
        <v>3.363E-2</v>
      </c>
    </row>
    <row r="6936" spans="1:3" x14ac:dyDescent="0.3">
      <c r="A6936" s="2">
        <v>44191</v>
      </c>
      <c r="B6936">
        <f>4/(100)</f>
        <v>0.04</v>
      </c>
      <c r="C6936">
        <f>3.363/(100)</f>
        <v>3.363E-2</v>
      </c>
    </row>
    <row r="6937" spans="1:3" x14ac:dyDescent="0.3">
      <c r="A6937" s="2">
        <v>44192</v>
      </c>
      <c r="B6937">
        <f>4/(100)</f>
        <v>0.04</v>
      </c>
      <c r="C6937">
        <f>3.363/(100)</f>
        <v>3.363E-2</v>
      </c>
    </row>
    <row r="6938" spans="1:3" x14ac:dyDescent="0.3">
      <c r="A6938" s="2">
        <v>44193</v>
      </c>
      <c r="B6938">
        <f>4/(100)</f>
        <v>0.04</v>
      </c>
      <c r="C6938">
        <f>3.367/(100)</f>
        <v>3.3669999999999999E-2</v>
      </c>
    </row>
    <row r="6939" spans="1:3" x14ac:dyDescent="0.3">
      <c r="A6939" s="2">
        <v>44194</v>
      </c>
      <c r="B6939">
        <f>4/(100)</f>
        <v>0.04</v>
      </c>
      <c r="C6939">
        <f>3.367/(100)</f>
        <v>3.3669999999999999E-2</v>
      </c>
    </row>
    <row r="6940" spans="1:3" x14ac:dyDescent="0.3">
      <c r="A6940" s="2">
        <v>44195</v>
      </c>
      <c r="B6940">
        <f>4/(100)</f>
        <v>0.04</v>
      </c>
      <c r="C6940">
        <f>3.372/(100)</f>
        <v>3.372E-2</v>
      </c>
    </row>
    <row r="6941" spans="1:3" x14ac:dyDescent="0.3">
      <c r="A6941" s="2">
        <v>44196</v>
      </c>
      <c r="B6941">
        <f>4/(100)</f>
        <v>0.04</v>
      </c>
      <c r="C6941">
        <f>3.4/(100)</f>
        <v>3.4000000000000002E-2</v>
      </c>
    </row>
    <row r="6942" spans="1:3" x14ac:dyDescent="0.3">
      <c r="A6942" s="2">
        <v>44197</v>
      </c>
      <c r="B6942">
        <f>4/(100)</f>
        <v>0.04</v>
      </c>
      <c r="C6942">
        <f>3.368/(100)</f>
        <v>3.3680000000000002E-2</v>
      </c>
    </row>
    <row r="6943" spans="1:3" x14ac:dyDescent="0.3">
      <c r="A6943" s="2">
        <v>44198</v>
      </c>
      <c r="B6943">
        <f>4/(100)</f>
        <v>0.04</v>
      </c>
      <c r="C6943">
        <f>3.368/(100)</f>
        <v>3.3680000000000002E-2</v>
      </c>
    </row>
    <row r="6944" spans="1:3" x14ac:dyDescent="0.3">
      <c r="A6944" s="2">
        <v>44199</v>
      </c>
      <c r="B6944">
        <f>4/(100)</f>
        <v>0.04</v>
      </c>
      <c r="C6944">
        <f>3.368/(100)</f>
        <v>3.3680000000000002E-2</v>
      </c>
    </row>
    <row r="6945" spans="1:3" x14ac:dyDescent="0.3">
      <c r="A6945" s="2">
        <v>44200</v>
      </c>
      <c r="B6945">
        <f>4/(100)</f>
        <v>0.04</v>
      </c>
      <c r="C6945">
        <f>3.391/(100)</f>
        <v>3.3910000000000003E-2</v>
      </c>
    </row>
    <row r="6946" spans="1:3" x14ac:dyDescent="0.3">
      <c r="A6946" s="2">
        <v>44201</v>
      </c>
      <c r="B6946">
        <f>4/(100)</f>
        <v>0.04</v>
      </c>
      <c r="C6946">
        <f>3.339/(100)</f>
        <v>3.3390000000000003E-2</v>
      </c>
    </row>
    <row r="6947" spans="1:3" x14ac:dyDescent="0.3">
      <c r="A6947" s="2">
        <v>44202</v>
      </c>
      <c r="B6947">
        <f>4/(100)</f>
        <v>0.04</v>
      </c>
      <c r="C6947">
        <f>3.888/(100)</f>
        <v>3.8879999999999998E-2</v>
      </c>
    </row>
    <row r="6948" spans="1:3" x14ac:dyDescent="0.3">
      <c r="A6948" s="2">
        <v>44203</v>
      </c>
      <c r="B6948">
        <f>4/(100)</f>
        <v>0.04</v>
      </c>
      <c r="C6948">
        <f>3.892/(100)</f>
        <v>3.8919999999999996E-2</v>
      </c>
    </row>
    <row r="6949" spans="1:3" x14ac:dyDescent="0.3">
      <c r="A6949" s="2">
        <v>44204</v>
      </c>
      <c r="B6949">
        <f>4/(100)</f>
        <v>0.04</v>
      </c>
      <c r="C6949">
        <f>3.903/(100)</f>
        <v>3.9030000000000002E-2</v>
      </c>
    </row>
    <row r="6950" spans="1:3" x14ac:dyDescent="0.3">
      <c r="A6950" s="2">
        <v>44205</v>
      </c>
      <c r="B6950">
        <f>4/(100)</f>
        <v>0.04</v>
      </c>
      <c r="C6950">
        <f>3.903/(100)</f>
        <v>3.9030000000000002E-2</v>
      </c>
    </row>
    <row r="6951" spans="1:3" x14ac:dyDescent="0.3">
      <c r="A6951" s="2">
        <v>44206</v>
      </c>
      <c r="B6951">
        <f>4/(100)</f>
        <v>0.04</v>
      </c>
      <c r="C6951">
        <f>3.903/(100)</f>
        <v>3.9030000000000002E-2</v>
      </c>
    </row>
    <row r="6952" spans="1:3" x14ac:dyDescent="0.3">
      <c r="A6952" s="2">
        <v>44207</v>
      </c>
      <c r="B6952">
        <f>4/(100)</f>
        <v>0.04</v>
      </c>
      <c r="C6952">
        <f>4.046/(100)</f>
        <v>4.0460000000000003E-2</v>
      </c>
    </row>
    <row r="6953" spans="1:3" x14ac:dyDescent="0.3">
      <c r="A6953" s="2">
        <v>44208</v>
      </c>
      <c r="B6953">
        <f>4/(100)</f>
        <v>0.04</v>
      </c>
      <c r="C6953">
        <f>4.2/(100)</f>
        <v>4.2000000000000003E-2</v>
      </c>
    </row>
    <row r="6954" spans="1:3" x14ac:dyDescent="0.3">
      <c r="A6954" s="2">
        <v>44209</v>
      </c>
      <c r="B6954">
        <f>4/(100)</f>
        <v>0.04</v>
      </c>
      <c r="C6954">
        <f>4.196/(100)</f>
        <v>4.1959999999999997E-2</v>
      </c>
    </row>
    <row r="6955" spans="1:3" x14ac:dyDescent="0.3">
      <c r="A6955" s="2">
        <v>44210</v>
      </c>
      <c r="B6955">
        <f>4/(100)</f>
        <v>0.04</v>
      </c>
      <c r="C6955">
        <f>4.192/(100)</f>
        <v>4.1919999999999999E-2</v>
      </c>
    </row>
    <row r="6956" spans="1:3" x14ac:dyDescent="0.3">
      <c r="A6956" s="2">
        <v>44211</v>
      </c>
      <c r="B6956">
        <f>4/(100)</f>
        <v>0.04</v>
      </c>
      <c r="C6956">
        <f>4.183/(100)</f>
        <v>4.1829999999999999E-2</v>
      </c>
    </row>
    <row r="6957" spans="1:3" x14ac:dyDescent="0.3">
      <c r="A6957" s="2">
        <v>44212</v>
      </c>
      <c r="B6957">
        <f>4/(100)</f>
        <v>0.04</v>
      </c>
      <c r="C6957">
        <f>4.183/(100)</f>
        <v>4.1829999999999999E-2</v>
      </c>
    </row>
    <row r="6958" spans="1:3" x14ac:dyDescent="0.3">
      <c r="A6958" s="2">
        <v>44213</v>
      </c>
      <c r="B6958">
        <f>4/(100)</f>
        <v>0.04</v>
      </c>
      <c r="C6958">
        <f>4.183/(100)</f>
        <v>4.1829999999999999E-2</v>
      </c>
    </row>
    <row r="6959" spans="1:3" x14ac:dyDescent="0.3">
      <c r="A6959" s="2">
        <v>44214</v>
      </c>
      <c r="B6959">
        <f>4/(100)</f>
        <v>0.04</v>
      </c>
      <c r="C6959">
        <f>4.194/(100)</f>
        <v>4.1939999999999998E-2</v>
      </c>
    </row>
    <row r="6960" spans="1:3" x14ac:dyDescent="0.3">
      <c r="A6960" s="2">
        <v>44215</v>
      </c>
      <c r="B6960">
        <f>4/(100)</f>
        <v>0.04</v>
      </c>
      <c r="C6960">
        <f>4.211/(100)</f>
        <v>4.2110000000000002E-2</v>
      </c>
    </row>
    <row r="6961" spans="1:3" x14ac:dyDescent="0.3">
      <c r="A6961" s="2">
        <v>44216</v>
      </c>
      <c r="B6961">
        <f>4/(100)</f>
        <v>0.04</v>
      </c>
      <c r="C6961">
        <f>4.208/(100)</f>
        <v>4.2079999999999999E-2</v>
      </c>
    </row>
    <row r="6962" spans="1:3" x14ac:dyDescent="0.3">
      <c r="A6962" s="2">
        <v>44217</v>
      </c>
      <c r="B6962">
        <f>4/(100)</f>
        <v>0.04</v>
      </c>
      <c r="C6962">
        <f>4.22/(100)</f>
        <v>4.2199999999999994E-2</v>
      </c>
    </row>
    <row r="6963" spans="1:3" x14ac:dyDescent="0.3">
      <c r="A6963" s="2">
        <v>44218</v>
      </c>
      <c r="B6963">
        <f>4/(100)</f>
        <v>0.04</v>
      </c>
      <c r="C6963">
        <f>4.215/(100)</f>
        <v>4.215E-2</v>
      </c>
    </row>
    <row r="6964" spans="1:3" x14ac:dyDescent="0.3">
      <c r="A6964" s="2">
        <v>44219</v>
      </c>
      <c r="B6964">
        <f>4/(100)</f>
        <v>0.04</v>
      </c>
      <c r="C6964">
        <f>4.215/(100)</f>
        <v>4.215E-2</v>
      </c>
    </row>
    <row r="6965" spans="1:3" x14ac:dyDescent="0.3">
      <c r="A6965" s="2">
        <v>44220</v>
      </c>
      <c r="B6965">
        <f>4/(100)</f>
        <v>0.04</v>
      </c>
      <c r="C6965">
        <f>4.215/(100)</f>
        <v>4.215E-2</v>
      </c>
    </row>
    <row r="6966" spans="1:3" x14ac:dyDescent="0.3">
      <c r="A6966" s="2">
        <v>44221</v>
      </c>
      <c r="B6966">
        <f>4/(100)</f>
        <v>0.04</v>
      </c>
      <c r="C6966">
        <f>4.215/(100)</f>
        <v>4.215E-2</v>
      </c>
    </row>
    <row r="6967" spans="1:3" x14ac:dyDescent="0.3">
      <c r="A6967" s="2">
        <v>44222</v>
      </c>
      <c r="B6967">
        <f>4/(100)</f>
        <v>0.04</v>
      </c>
      <c r="C6967">
        <f>4.215/(100)</f>
        <v>4.215E-2</v>
      </c>
    </row>
    <row r="6968" spans="1:3" x14ac:dyDescent="0.3">
      <c r="A6968" s="2">
        <v>44223</v>
      </c>
      <c r="B6968">
        <f>4/(100)</f>
        <v>0.04</v>
      </c>
      <c r="C6968">
        <f>4.215/(100)</f>
        <v>4.215E-2</v>
      </c>
    </row>
    <row r="6969" spans="1:3" x14ac:dyDescent="0.3">
      <c r="A6969" s="2">
        <v>44224</v>
      </c>
      <c r="B6969">
        <f>4/(100)</f>
        <v>0.04</v>
      </c>
      <c r="C6969">
        <f>4.195/(100)</f>
        <v>4.1950000000000001E-2</v>
      </c>
    </row>
    <row r="6970" spans="1:3" x14ac:dyDescent="0.3">
      <c r="A6970" s="2">
        <v>44225</v>
      </c>
      <c r="B6970">
        <f>4/(100)</f>
        <v>0.04</v>
      </c>
      <c r="C6970">
        <f>4.187/(100)</f>
        <v>4.1870000000000004E-2</v>
      </c>
    </row>
    <row r="6971" spans="1:3" x14ac:dyDescent="0.3">
      <c r="A6971" s="2">
        <v>44226</v>
      </c>
      <c r="B6971">
        <f>4/(100)</f>
        <v>0.04</v>
      </c>
      <c r="C6971">
        <f>4.187/(100)</f>
        <v>4.1870000000000004E-2</v>
      </c>
    </row>
    <row r="6972" spans="1:3" x14ac:dyDescent="0.3">
      <c r="A6972" s="2">
        <v>44227</v>
      </c>
      <c r="B6972">
        <f>4/(100)</f>
        <v>0.04</v>
      </c>
      <c r="C6972">
        <f>4.187/(100)</f>
        <v>4.1870000000000004E-2</v>
      </c>
    </row>
    <row r="6973" spans="1:3" x14ac:dyDescent="0.3">
      <c r="A6973" s="2">
        <v>44228</v>
      </c>
      <c r="B6973">
        <f>4/(100)</f>
        <v>0.04</v>
      </c>
      <c r="C6973">
        <f>4.238/(100)</f>
        <v>4.2380000000000001E-2</v>
      </c>
    </row>
    <row r="6974" spans="1:3" x14ac:dyDescent="0.3">
      <c r="A6974" s="2">
        <v>44229</v>
      </c>
      <c r="B6974">
        <f>4/(100)</f>
        <v>0.04</v>
      </c>
      <c r="C6974">
        <f>4.261/(100)</f>
        <v>4.2610000000000002E-2</v>
      </c>
    </row>
    <row r="6975" spans="1:3" x14ac:dyDescent="0.3">
      <c r="A6975" s="2">
        <v>44230</v>
      </c>
      <c r="B6975">
        <f>4/(100)</f>
        <v>0.04</v>
      </c>
      <c r="C6975">
        <f>4/(100)</f>
        <v>0.04</v>
      </c>
    </row>
    <row r="6976" spans="1:3" x14ac:dyDescent="0.3">
      <c r="A6976" s="2">
        <v>44231</v>
      </c>
      <c r="B6976">
        <f>4/(100)</f>
        <v>0.04</v>
      </c>
      <c r="C6976">
        <f>4.002/(100)</f>
        <v>4.002E-2</v>
      </c>
    </row>
    <row r="6977" spans="1:3" x14ac:dyDescent="0.3">
      <c r="A6977" s="2">
        <v>44232</v>
      </c>
      <c r="B6977">
        <f>4/(100)</f>
        <v>0.04</v>
      </c>
      <c r="C6977">
        <f>4.077/(100)</f>
        <v>4.0770000000000001E-2</v>
      </c>
    </row>
    <row r="6978" spans="1:3" x14ac:dyDescent="0.3">
      <c r="A6978" s="2">
        <v>44233</v>
      </c>
      <c r="B6978">
        <f>4/(100)</f>
        <v>0.04</v>
      </c>
      <c r="C6978">
        <f>4.077/(100)</f>
        <v>4.0770000000000001E-2</v>
      </c>
    </row>
    <row r="6979" spans="1:3" x14ac:dyDescent="0.3">
      <c r="A6979" s="2">
        <v>44234</v>
      </c>
      <c r="B6979">
        <f>4/(100)</f>
        <v>0.04</v>
      </c>
      <c r="C6979">
        <f>4.077/(100)</f>
        <v>4.0770000000000001E-2</v>
      </c>
    </row>
    <row r="6980" spans="1:3" x14ac:dyDescent="0.3">
      <c r="A6980" s="2">
        <v>44235</v>
      </c>
      <c r="B6980">
        <f>4/(100)</f>
        <v>0.04</v>
      </c>
      <c r="C6980">
        <f>4.108/(100)</f>
        <v>4.1079999999999998E-2</v>
      </c>
    </row>
    <row r="6981" spans="1:3" x14ac:dyDescent="0.3">
      <c r="A6981" s="2">
        <v>44236</v>
      </c>
      <c r="B6981">
        <f>4/(100)</f>
        <v>0.04</v>
      </c>
      <c r="C6981">
        <f>4.095/(100)</f>
        <v>4.095E-2</v>
      </c>
    </row>
    <row r="6982" spans="1:3" x14ac:dyDescent="0.3">
      <c r="A6982" s="2">
        <v>44237</v>
      </c>
      <c r="B6982">
        <f>4/(100)</f>
        <v>0.04</v>
      </c>
      <c r="C6982">
        <f>4.035/(100)</f>
        <v>4.0350000000000004E-2</v>
      </c>
    </row>
    <row r="6983" spans="1:3" x14ac:dyDescent="0.3">
      <c r="A6983" s="2">
        <v>44238</v>
      </c>
      <c r="B6983">
        <f>4/(100)</f>
        <v>0.04</v>
      </c>
      <c r="C6983">
        <f>4.042/(100)</f>
        <v>4.0419999999999998E-2</v>
      </c>
    </row>
    <row r="6984" spans="1:3" x14ac:dyDescent="0.3">
      <c r="A6984" s="2">
        <v>44239</v>
      </c>
      <c r="B6984">
        <f>4/(100)</f>
        <v>0.04</v>
      </c>
      <c r="C6984">
        <f>4.082/(100)</f>
        <v>4.0819999999999995E-2</v>
      </c>
    </row>
    <row r="6985" spans="1:3" x14ac:dyDescent="0.3">
      <c r="A6985" s="2">
        <v>44240</v>
      </c>
      <c r="B6985">
        <f>4/(100)</f>
        <v>0.04</v>
      </c>
      <c r="C6985">
        <f>4.082/(100)</f>
        <v>4.0819999999999995E-2</v>
      </c>
    </row>
    <row r="6986" spans="1:3" x14ac:dyDescent="0.3">
      <c r="A6986" s="2">
        <v>44241</v>
      </c>
      <c r="B6986">
        <f>4/(100)</f>
        <v>0.04</v>
      </c>
      <c r="C6986">
        <f>4.082/(100)</f>
        <v>4.0819999999999995E-2</v>
      </c>
    </row>
    <row r="6987" spans="1:3" x14ac:dyDescent="0.3">
      <c r="A6987" s="2">
        <v>44242</v>
      </c>
      <c r="B6987">
        <f>4/(100)</f>
        <v>0.04</v>
      </c>
      <c r="C6987">
        <f>4.057/(100)</f>
        <v>4.0570000000000002E-2</v>
      </c>
    </row>
    <row r="6988" spans="1:3" x14ac:dyDescent="0.3">
      <c r="A6988" s="2">
        <v>44243</v>
      </c>
      <c r="B6988">
        <f>4/(100)</f>
        <v>0.04</v>
      </c>
      <c r="C6988">
        <f>4.038/(100)</f>
        <v>4.0379999999999999E-2</v>
      </c>
    </row>
    <row r="6989" spans="1:3" x14ac:dyDescent="0.3">
      <c r="A6989" s="2">
        <v>44244</v>
      </c>
      <c r="B6989">
        <f>4/(100)</f>
        <v>0.04</v>
      </c>
      <c r="C6989">
        <f>4.038/(100)</f>
        <v>4.0379999999999999E-2</v>
      </c>
    </row>
    <row r="6990" spans="1:3" x14ac:dyDescent="0.3">
      <c r="A6990" s="2">
        <v>44245</v>
      </c>
      <c r="B6990">
        <f>4/(100)</f>
        <v>0.04</v>
      </c>
      <c r="C6990">
        <f>4.044/(100)</f>
        <v>4.0439999999999997E-2</v>
      </c>
    </row>
    <row r="6991" spans="1:3" x14ac:dyDescent="0.3">
      <c r="A6991" s="2">
        <v>44246</v>
      </c>
      <c r="B6991">
        <f>4/(100)</f>
        <v>0.04</v>
      </c>
      <c r="C6991">
        <f>4.044/(100)</f>
        <v>4.0439999999999997E-2</v>
      </c>
    </row>
    <row r="6992" spans="1:3" x14ac:dyDescent="0.3">
      <c r="A6992" s="2">
        <v>44247</v>
      </c>
      <c r="B6992">
        <f>4/(100)</f>
        <v>0.04</v>
      </c>
      <c r="C6992">
        <f>4.044/(100)</f>
        <v>4.0439999999999997E-2</v>
      </c>
    </row>
    <row r="6993" spans="1:3" x14ac:dyDescent="0.3">
      <c r="A6993" s="2">
        <v>44248</v>
      </c>
      <c r="B6993">
        <f>4/(100)</f>
        <v>0.04</v>
      </c>
      <c r="C6993">
        <f>4.044/(100)</f>
        <v>4.0439999999999997E-2</v>
      </c>
    </row>
    <row r="6994" spans="1:3" x14ac:dyDescent="0.3">
      <c r="A6994" s="2">
        <v>44249</v>
      </c>
      <c r="B6994">
        <f>4/(100)</f>
        <v>0.04</v>
      </c>
      <c r="C6994">
        <f>4.087/(100)</f>
        <v>4.0869999999999997E-2</v>
      </c>
    </row>
    <row r="6995" spans="1:3" x14ac:dyDescent="0.3">
      <c r="A6995" s="2">
        <v>44250</v>
      </c>
      <c r="B6995">
        <f>4/(100)</f>
        <v>0.04</v>
      </c>
      <c r="C6995">
        <f>4.085/(100)</f>
        <v>4.0849999999999997E-2</v>
      </c>
    </row>
    <row r="6996" spans="1:3" x14ac:dyDescent="0.3">
      <c r="A6996" s="2">
        <v>44251</v>
      </c>
      <c r="B6996">
        <f>4/(100)</f>
        <v>0.04</v>
      </c>
      <c r="C6996">
        <f>4.037/(100)</f>
        <v>4.0369999999999996E-2</v>
      </c>
    </row>
    <row r="6997" spans="1:3" x14ac:dyDescent="0.3">
      <c r="A6997" s="2">
        <v>44252</v>
      </c>
      <c r="B6997">
        <f>4/(100)</f>
        <v>0.04</v>
      </c>
      <c r="C6997">
        <f>4.037/(100)</f>
        <v>4.0369999999999996E-2</v>
      </c>
    </row>
    <row r="6998" spans="1:3" x14ac:dyDescent="0.3">
      <c r="A6998" s="2">
        <v>44253</v>
      </c>
      <c r="B6998">
        <f>4/(100)</f>
        <v>0.04</v>
      </c>
      <c r="C6998">
        <f>4.037/(100)</f>
        <v>4.0369999999999996E-2</v>
      </c>
    </row>
    <row r="6999" spans="1:3" x14ac:dyDescent="0.3">
      <c r="A6999" s="2">
        <v>44254</v>
      </c>
      <c r="B6999">
        <f>4/(100)</f>
        <v>0.04</v>
      </c>
      <c r="C6999">
        <f>4.037/(100)</f>
        <v>4.0369999999999996E-2</v>
      </c>
    </row>
    <row r="7000" spans="1:3" x14ac:dyDescent="0.3">
      <c r="A7000" s="2">
        <v>44255</v>
      </c>
      <c r="B7000">
        <f>4/(100)</f>
        <v>0.04</v>
      </c>
      <c r="C7000">
        <f>4.037/(100)</f>
        <v>4.0369999999999996E-2</v>
      </c>
    </row>
    <row r="7001" spans="1:3" x14ac:dyDescent="0.3">
      <c r="A7001" s="2">
        <v>44256</v>
      </c>
      <c r="B7001">
        <f>4/(100)</f>
        <v>0.04</v>
      </c>
      <c r="C7001">
        <f>4.037/(100)</f>
        <v>4.0369999999999996E-2</v>
      </c>
    </row>
    <row r="7002" spans="1:3" x14ac:dyDescent="0.3">
      <c r="A7002" s="2">
        <v>44257</v>
      </c>
      <c r="B7002">
        <f>4/(100)</f>
        <v>0.04</v>
      </c>
      <c r="C7002">
        <f>4.037/(100)</f>
        <v>4.0369999999999996E-2</v>
      </c>
    </row>
    <row r="7003" spans="1:3" x14ac:dyDescent="0.3">
      <c r="A7003" s="2">
        <v>44258</v>
      </c>
      <c r="B7003">
        <f>4/(100)</f>
        <v>0.04</v>
      </c>
      <c r="C7003">
        <f>3.952/(100)</f>
        <v>3.952E-2</v>
      </c>
    </row>
    <row r="7004" spans="1:3" x14ac:dyDescent="0.3">
      <c r="A7004" s="2">
        <v>44259</v>
      </c>
      <c r="B7004">
        <f>4/(100)</f>
        <v>0.04</v>
      </c>
      <c r="C7004">
        <f>3.938/(100)</f>
        <v>3.9379999999999998E-2</v>
      </c>
    </row>
    <row r="7005" spans="1:3" x14ac:dyDescent="0.3">
      <c r="A7005" s="2">
        <v>44260</v>
      </c>
      <c r="B7005">
        <f>4/(100)</f>
        <v>0.04</v>
      </c>
      <c r="C7005">
        <f>3.938/(100)</f>
        <v>3.9379999999999998E-2</v>
      </c>
    </row>
    <row r="7006" spans="1:3" x14ac:dyDescent="0.3">
      <c r="A7006" s="2">
        <v>44261</v>
      </c>
      <c r="B7006">
        <f>4/(100)</f>
        <v>0.04</v>
      </c>
      <c r="C7006">
        <f>3.938/(100)</f>
        <v>3.9379999999999998E-2</v>
      </c>
    </row>
    <row r="7007" spans="1:3" x14ac:dyDescent="0.3">
      <c r="A7007" s="2">
        <v>44262</v>
      </c>
      <c r="B7007">
        <f>4/(100)</f>
        <v>0.04</v>
      </c>
      <c r="C7007">
        <f>3.938/(100)</f>
        <v>3.9379999999999998E-2</v>
      </c>
    </row>
    <row r="7008" spans="1:3" x14ac:dyDescent="0.3">
      <c r="A7008" s="2">
        <v>44263</v>
      </c>
      <c r="B7008">
        <f>4/(100)</f>
        <v>0.04</v>
      </c>
      <c r="C7008">
        <f>3.953/(100)</f>
        <v>3.9529999999999996E-2</v>
      </c>
    </row>
    <row r="7009" spans="1:3" x14ac:dyDescent="0.3">
      <c r="A7009" s="2">
        <v>44264</v>
      </c>
      <c r="B7009">
        <f>4/(100)</f>
        <v>0.04</v>
      </c>
      <c r="C7009">
        <f>3.951/(100)</f>
        <v>3.9510000000000003E-2</v>
      </c>
    </row>
    <row r="7010" spans="1:3" x14ac:dyDescent="0.3">
      <c r="A7010" s="2">
        <v>44265</v>
      </c>
      <c r="B7010">
        <f>4/(100)</f>
        <v>0.04</v>
      </c>
      <c r="C7010">
        <f>3.97/(100)</f>
        <v>3.9699999999999999E-2</v>
      </c>
    </row>
    <row r="7011" spans="1:3" x14ac:dyDescent="0.3">
      <c r="A7011" s="2">
        <v>44266</v>
      </c>
      <c r="B7011">
        <f>4/(100)</f>
        <v>0.04</v>
      </c>
      <c r="C7011">
        <f>3.97/(100)</f>
        <v>3.9699999999999999E-2</v>
      </c>
    </row>
    <row r="7012" spans="1:3" x14ac:dyDescent="0.3">
      <c r="A7012" s="2">
        <v>44267</v>
      </c>
      <c r="B7012">
        <f>4/(100)</f>
        <v>0.04</v>
      </c>
      <c r="C7012">
        <f>3.976/(100)</f>
        <v>3.9759999999999997E-2</v>
      </c>
    </row>
    <row r="7013" spans="1:3" x14ac:dyDescent="0.3">
      <c r="A7013" s="2">
        <v>44268</v>
      </c>
      <c r="B7013">
        <f>4/(100)</f>
        <v>0.04</v>
      </c>
      <c r="C7013">
        <f>3.976/(100)</f>
        <v>3.9759999999999997E-2</v>
      </c>
    </row>
    <row r="7014" spans="1:3" x14ac:dyDescent="0.3">
      <c r="A7014" s="2">
        <v>44269</v>
      </c>
      <c r="B7014">
        <f>4/(100)</f>
        <v>0.04</v>
      </c>
      <c r="C7014">
        <f>3.976/(100)</f>
        <v>3.9759999999999997E-2</v>
      </c>
    </row>
    <row r="7015" spans="1:3" x14ac:dyDescent="0.3">
      <c r="A7015" s="2">
        <v>44270</v>
      </c>
      <c r="B7015">
        <f>4/(100)</f>
        <v>0.04</v>
      </c>
      <c r="C7015">
        <f>3.975/(100)</f>
        <v>3.9750000000000001E-2</v>
      </c>
    </row>
    <row r="7016" spans="1:3" x14ac:dyDescent="0.3">
      <c r="A7016" s="2">
        <v>44271</v>
      </c>
      <c r="B7016">
        <f>4/(100)</f>
        <v>0.04</v>
      </c>
      <c r="C7016">
        <f>3.94/(100)</f>
        <v>3.9399999999999998E-2</v>
      </c>
    </row>
    <row r="7017" spans="1:3" x14ac:dyDescent="0.3">
      <c r="A7017" s="2">
        <v>44272</v>
      </c>
      <c r="B7017">
        <f>4/(100)</f>
        <v>0.04</v>
      </c>
      <c r="C7017">
        <f>3.928/(100)</f>
        <v>3.9280000000000002E-2</v>
      </c>
    </row>
    <row r="7018" spans="1:3" x14ac:dyDescent="0.3">
      <c r="A7018" s="2">
        <v>44273</v>
      </c>
      <c r="B7018">
        <f>4/(100)</f>
        <v>0.04</v>
      </c>
      <c r="C7018">
        <f>3.912/(100)</f>
        <v>3.9120000000000002E-2</v>
      </c>
    </row>
    <row r="7019" spans="1:3" x14ac:dyDescent="0.3">
      <c r="A7019" s="2">
        <v>44274</v>
      </c>
      <c r="B7019">
        <f>4/(100)</f>
        <v>0.04</v>
      </c>
      <c r="C7019">
        <f>4.044/(100)</f>
        <v>4.0439999999999997E-2</v>
      </c>
    </row>
    <row r="7020" spans="1:3" x14ac:dyDescent="0.3">
      <c r="A7020" s="2">
        <v>44275</v>
      </c>
      <c r="B7020">
        <f>4/(100)</f>
        <v>0.04</v>
      </c>
      <c r="C7020">
        <f>4.044/(100)</f>
        <v>4.0439999999999997E-2</v>
      </c>
    </row>
    <row r="7021" spans="1:3" x14ac:dyDescent="0.3">
      <c r="A7021" s="2">
        <v>44276</v>
      </c>
      <c r="B7021">
        <f>4/(100)</f>
        <v>0.04</v>
      </c>
      <c r="C7021">
        <f>4.044/(100)</f>
        <v>4.0439999999999997E-2</v>
      </c>
    </row>
    <row r="7022" spans="1:3" x14ac:dyDescent="0.3">
      <c r="A7022" s="2">
        <v>44277</v>
      </c>
      <c r="B7022">
        <f>4/(100)</f>
        <v>0.04</v>
      </c>
      <c r="C7022">
        <f>3.878/(100)</f>
        <v>3.8780000000000002E-2</v>
      </c>
    </row>
    <row r="7023" spans="1:3" x14ac:dyDescent="0.3">
      <c r="A7023" s="2">
        <v>44278</v>
      </c>
      <c r="B7023">
        <f>4/(100)</f>
        <v>0.04</v>
      </c>
      <c r="C7023">
        <f>3.862/(100)</f>
        <v>3.8620000000000002E-2</v>
      </c>
    </row>
    <row r="7024" spans="1:3" x14ac:dyDescent="0.3">
      <c r="A7024" s="2">
        <v>44279</v>
      </c>
      <c r="B7024">
        <f>4/(100)</f>
        <v>0.04</v>
      </c>
      <c r="C7024">
        <f>3.882/(100)</f>
        <v>3.882E-2</v>
      </c>
    </row>
    <row r="7025" spans="1:3" x14ac:dyDescent="0.3">
      <c r="A7025" s="2">
        <v>44280</v>
      </c>
      <c r="B7025">
        <f>4/(100)</f>
        <v>0.04</v>
      </c>
      <c r="C7025">
        <f>3.839/(100)</f>
        <v>3.8390000000000001E-2</v>
      </c>
    </row>
    <row r="7026" spans="1:3" x14ac:dyDescent="0.3">
      <c r="A7026" s="2">
        <v>44281</v>
      </c>
      <c r="B7026">
        <f>4/(100)</f>
        <v>0.04</v>
      </c>
      <c r="C7026">
        <f>3.794/(100)</f>
        <v>3.7940000000000002E-2</v>
      </c>
    </row>
    <row r="7027" spans="1:3" x14ac:dyDescent="0.3">
      <c r="A7027" s="2">
        <v>44282</v>
      </c>
      <c r="B7027">
        <f>4/(100)</f>
        <v>0.04</v>
      </c>
      <c r="C7027">
        <f>3.794/(100)</f>
        <v>3.7940000000000002E-2</v>
      </c>
    </row>
    <row r="7028" spans="1:3" x14ac:dyDescent="0.3">
      <c r="A7028" s="2">
        <v>44283</v>
      </c>
      <c r="B7028">
        <f>4/(100)</f>
        <v>0.04</v>
      </c>
      <c r="C7028">
        <f>3.794/(100)</f>
        <v>3.7940000000000002E-2</v>
      </c>
    </row>
    <row r="7029" spans="1:3" x14ac:dyDescent="0.3">
      <c r="A7029" s="2">
        <v>44284</v>
      </c>
      <c r="B7029">
        <f>4/(100)</f>
        <v>0.04</v>
      </c>
      <c r="C7029">
        <f>3.794/(100)</f>
        <v>3.7940000000000002E-2</v>
      </c>
    </row>
    <row r="7030" spans="1:3" x14ac:dyDescent="0.3">
      <c r="A7030" s="2">
        <v>44285</v>
      </c>
      <c r="B7030">
        <f>4/(100)</f>
        <v>0.04</v>
      </c>
      <c r="C7030">
        <f>3.816/(100)</f>
        <v>3.8159999999999999E-2</v>
      </c>
    </row>
    <row r="7031" spans="1:3" x14ac:dyDescent="0.3">
      <c r="A7031" s="2">
        <v>44286</v>
      </c>
      <c r="B7031">
        <f>4/(100)</f>
        <v>0.04</v>
      </c>
      <c r="C7031">
        <f>3.749/(100)</f>
        <v>3.7490000000000002E-2</v>
      </c>
    </row>
    <row r="7032" spans="1:3" x14ac:dyDescent="0.3">
      <c r="A7032" s="2">
        <v>44287</v>
      </c>
      <c r="B7032">
        <f>4/(100)</f>
        <v>0.04</v>
      </c>
      <c r="C7032">
        <f>3.749/(100)</f>
        <v>3.7490000000000002E-2</v>
      </c>
    </row>
    <row r="7033" spans="1:3" x14ac:dyDescent="0.3">
      <c r="A7033" s="2">
        <v>44288</v>
      </c>
      <c r="B7033">
        <f>4/(100)</f>
        <v>0.04</v>
      </c>
      <c r="C7033">
        <f>3.749/(100)</f>
        <v>3.7490000000000002E-2</v>
      </c>
    </row>
    <row r="7034" spans="1:3" x14ac:dyDescent="0.3">
      <c r="A7034" s="2">
        <v>44289</v>
      </c>
      <c r="B7034">
        <f>4/(100)</f>
        <v>0.04</v>
      </c>
      <c r="C7034">
        <f>3.749/(100)</f>
        <v>3.7490000000000002E-2</v>
      </c>
    </row>
    <row r="7035" spans="1:3" x14ac:dyDescent="0.3">
      <c r="A7035" s="2">
        <v>44290</v>
      </c>
      <c r="B7035">
        <f>4/(100)</f>
        <v>0.04</v>
      </c>
      <c r="C7035">
        <f>3.749/(100)</f>
        <v>3.7490000000000002E-2</v>
      </c>
    </row>
    <row r="7036" spans="1:3" x14ac:dyDescent="0.3">
      <c r="A7036" s="2">
        <v>44291</v>
      </c>
      <c r="B7036">
        <f>4/(100)</f>
        <v>0.04</v>
      </c>
      <c r="C7036">
        <f>3.781/(100)</f>
        <v>3.7810000000000003E-2</v>
      </c>
    </row>
    <row r="7037" spans="1:3" x14ac:dyDescent="0.3">
      <c r="A7037" s="2">
        <v>44292</v>
      </c>
      <c r="B7037">
        <f>4/(100)</f>
        <v>0.04</v>
      </c>
      <c r="C7037">
        <f>3.879/(100)</f>
        <v>3.8789999999999998E-2</v>
      </c>
    </row>
    <row r="7038" spans="1:3" x14ac:dyDescent="0.3">
      <c r="A7038" s="2">
        <v>44293</v>
      </c>
      <c r="B7038">
        <f>4/(100)</f>
        <v>0.04</v>
      </c>
      <c r="C7038">
        <f>3.905/(100)</f>
        <v>3.9050000000000001E-2</v>
      </c>
    </row>
    <row r="7039" spans="1:3" x14ac:dyDescent="0.3">
      <c r="A7039" s="2">
        <v>44294</v>
      </c>
      <c r="B7039">
        <f>4/(100)</f>
        <v>0.04</v>
      </c>
      <c r="C7039">
        <f>3.798/(100)</f>
        <v>3.798E-2</v>
      </c>
    </row>
    <row r="7040" spans="1:3" x14ac:dyDescent="0.3">
      <c r="A7040" s="2">
        <v>44295</v>
      </c>
      <c r="B7040">
        <f>4/(100)</f>
        <v>0.04</v>
      </c>
      <c r="C7040">
        <f>3.78/(100)</f>
        <v>3.78E-2</v>
      </c>
    </row>
    <row r="7041" spans="1:3" x14ac:dyDescent="0.3">
      <c r="A7041" s="2">
        <v>44296</v>
      </c>
      <c r="B7041">
        <f>4/(100)</f>
        <v>0.04</v>
      </c>
      <c r="C7041">
        <f>3.78/(100)</f>
        <v>3.78E-2</v>
      </c>
    </row>
    <row r="7042" spans="1:3" x14ac:dyDescent="0.3">
      <c r="A7042" s="2">
        <v>44297</v>
      </c>
      <c r="B7042">
        <f>4/(100)</f>
        <v>0.04</v>
      </c>
      <c r="C7042">
        <f>3.78/(100)</f>
        <v>3.78E-2</v>
      </c>
    </row>
    <row r="7043" spans="1:3" x14ac:dyDescent="0.3">
      <c r="A7043" s="2">
        <v>44298</v>
      </c>
      <c r="B7043">
        <f>4/(100)</f>
        <v>0.04</v>
      </c>
      <c r="C7043">
        <f>4/(100)</f>
        <v>0.04</v>
      </c>
    </row>
    <row r="7044" spans="1:3" x14ac:dyDescent="0.3">
      <c r="A7044" s="2">
        <v>44299</v>
      </c>
      <c r="B7044">
        <f>4/(100)</f>
        <v>0.04</v>
      </c>
      <c r="C7044">
        <f>4/(100)</f>
        <v>0.04</v>
      </c>
    </row>
    <row r="7045" spans="1:3" x14ac:dyDescent="0.3">
      <c r="A7045" s="2">
        <v>44300</v>
      </c>
      <c r="B7045">
        <f>4/(100)</f>
        <v>0.04</v>
      </c>
      <c r="C7045">
        <f>4/(100)</f>
        <v>0.04</v>
      </c>
    </row>
    <row r="7046" spans="1:3" x14ac:dyDescent="0.3">
      <c r="A7046" s="2">
        <v>44301</v>
      </c>
      <c r="B7046">
        <f>4/(100)</f>
        <v>0.04</v>
      </c>
      <c r="C7046">
        <f>4/(100)</f>
        <v>0.04</v>
      </c>
    </row>
    <row r="7047" spans="1:3" x14ac:dyDescent="0.3">
      <c r="A7047" s="2">
        <v>44302</v>
      </c>
      <c r="B7047">
        <f>4/(100)</f>
        <v>0.04</v>
      </c>
      <c r="C7047">
        <f>3.885/(100)</f>
        <v>3.8849999999999996E-2</v>
      </c>
    </row>
    <row r="7048" spans="1:3" x14ac:dyDescent="0.3">
      <c r="A7048" s="2">
        <v>44303</v>
      </c>
      <c r="B7048">
        <f>4/(100)</f>
        <v>0.04</v>
      </c>
      <c r="C7048">
        <f>3.885/(100)</f>
        <v>3.8849999999999996E-2</v>
      </c>
    </row>
    <row r="7049" spans="1:3" x14ac:dyDescent="0.3">
      <c r="A7049" s="2">
        <v>44304</v>
      </c>
      <c r="B7049">
        <f>4/(100)</f>
        <v>0.04</v>
      </c>
      <c r="C7049">
        <f>3.885/(100)</f>
        <v>3.8849999999999996E-2</v>
      </c>
    </row>
    <row r="7050" spans="1:3" x14ac:dyDescent="0.3">
      <c r="A7050" s="2">
        <v>44305</v>
      </c>
      <c r="B7050">
        <f>4/(100)</f>
        <v>0.04</v>
      </c>
      <c r="C7050">
        <f>3.761/(100)</f>
        <v>3.7610000000000005E-2</v>
      </c>
    </row>
    <row r="7051" spans="1:3" x14ac:dyDescent="0.3">
      <c r="A7051" s="2">
        <v>44306</v>
      </c>
      <c r="B7051">
        <f>4/(100)</f>
        <v>0.04</v>
      </c>
      <c r="C7051">
        <f>3.842/(100)</f>
        <v>3.8420000000000003E-2</v>
      </c>
    </row>
    <row r="7052" spans="1:3" x14ac:dyDescent="0.3">
      <c r="A7052" s="2">
        <v>44307</v>
      </c>
      <c r="B7052">
        <f>4/(100)</f>
        <v>0.04</v>
      </c>
      <c r="C7052">
        <f>3.842/(100)</f>
        <v>3.8420000000000003E-2</v>
      </c>
    </row>
    <row r="7053" spans="1:3" x14ac:dyDescent="0.3">
      <c r="A7053" s="2">
        <v>44308</v>
      </c>
      <c r="B7053">
        <f>4/(100)</f>
        <v>0.04</v>
      </c>
      <c r="C7053">
        <f>3.842/(100)</f>
        <v>3.8420000000000003E-2</v>
      </c>
    </row>
    <row r="7054" spans="1:3" x14ac:dyDescent="0.3">
      <c r="A7054" s="2">
        <v>44309</v>
      </c>
      <c r="B7054">
        <f>4/(100)</f>
        <v>0.04</v>
      </c>
      <c r="C7054">
        <f>3.949/(100)</f>
        <v>3.9489999999999997E-2</v>
      </c>
    </row>
    <row r="7055" spans="1:3" x14ac:dyDescent="0.3">
      <c r="A7055" s="2">
        <v>44310</v>
      </c>
      <c r="B7055">
        <f>4/(100)</f>
        <v>0.04</v>
      </c>
      <c r="C7055">
        <f>3.949/(100)</f>
        <v>3.9489999999999997E-2</v>
      </c>
    </row>
    <row r="7056" spans="1:3" x14ac:dyDescent="0.3">
      <c r="A7056" s="2">
        <v>44311</v>
      </c>
      <c r="B7056">
        <f>4/(100)</f>
        <v>0.04</v>
      </c>
      <c r="C7056">
        <f>3.949/(100)</f>
        <v>3.9489999999999997E-2</v>
      </c>
    </row>
    <row r="7057" spans="1:3" x14ac:dyDescent="0.3">
      <c r="A7057" s="2">
        <v>44312</v>
      </c>
      <c r="B7057">
        <f>4/(100)</f>
        <v>0.04</v>
      </c>
      <c r="C7057">
        <f>3.717/(100)</f>
        <v>3.7170000000000002E-2</v>
      </c>
    </row>
    <row r="7058" spans="1:3" x14ac:dyDescent="0.3">
      <c r="A7058" s="2">
        <v>44313</v>
      </c>
      <c r="B7058">
        <f>4/(100)</f>
        <v>0.04</v>
      </c>
      <c r="C7058">
        <f>3.844/(100)</f>
        <v>3.8440000000000002E-2</v>
      </c>
    </row>
    <row r="7059" spans="1:3" x14ac:dyDescent="0.3">
      <c r="A7059" s="2">
        <v>44314</v>
      </c>
      <c r="B7059">
        <f>4/(100)</f>
        <v>0.04</v>
      </c>
      <c r="C7059">
        <f>3.718/(100)</f>
        <v>3.7179999999999998E-2</v>
      </c>
    </row>
    <row r="7060" spans="1:3" x14ac:dyDescent="0.3">
      <c r="A7060" s="2">
        <v>44315</v>
      </c>
      <c r="B7060">
        <f>4/(100)</f>
        <v>0.04</v>
      </c>
      <c r="C7060">
        <f>3.718/(100)</f>
        <v>3.7179999999999998E-2</v>
      </c>
    </row>
    <row r="7061" spans="1:3" x14ac:dyDescent="0.3">
      <c r="A7061" s="2">
        <v>44316</v>
      </c>
      <c r="B7061">
        <f>4/(100)</f>
        <v>0.04</v>
      </c>
      <c r="C7061">
        <f>3.757/(100)</f>
        <v>3.7569999999999999E-2</v>
      </c>
    </row>
    <row r="7062" spans="1:3" x14ac:dyDescent="0.3">
      <c r="A7062" s="2">
        <v>44317</v>
      </c>
      <c r="B7062">
        <f>4/(100)</f>
        <v>0.04</v>
      </c>
      <c r="C7062">
        <f>3.757/(100)</f>
        <v>3.7569999999999999E-2</v>
      </c>
    </row>
    <row r="7063" spans="1:3" x14ac:dyDescent="0.3">
      <c r="A7063" s="2">
        <v>44318</v>
      </c>
      <c r="B7063">
        <f>4/(100)</f>
        <v>0.04</v>
      </c>
      <c r="C7063">
        <f>3.757/(100)</f>
        <v>3.7569999999999999E-2</v>
      </c>
    </row>
    <row r="7064" spans="1:3" x14ac:dyDescent="0.3">
      <c r="A7064" s="2">
        <v>44319</v>
      </c>
      <c r="B7064">
        <f>4/(100)</f>
        <v>0.04</v>
      </c>
      <c r="C7064">
        <f>3.626/(100)</f>
        <v>3.6260000000000001E-2</v>
      </c>
    </row>
    <row r="7065" spans="1:3" x14ac:dyDescent="0.3">
      <c r="A7065" s="2">
        <v>44320</v>
      </c>
      <c r="B7065">
        <f>4/(100)</f>
        <v>0.04</v>
      </c>
      <c r="C7065">
        <f>3.748/(100)</f>
        <v>3.7479999999999999E-2</v>
      </c>
    </row>
    <row r="7066" spans="1:3" x14ac:dyDescent="0.3">
      <c r="A7066" s="2">
        <v>44321</v>
      </c>
      <c r="B7066">
        <f>4/(100)</f>
        <v>0.04</v>
      </c>
      <c r="C7066">
        <f>3.841/(100)</f>
        <v>3.841E-2</v>
      </c>
    </row>
    <row r="7067" spans="1:3" x14ac:dyDescent="0.3">
      <c r="A7067" s="2">
        <v>44322</v>
      </c>
      <c r="B7067">
        <f>4/(100)</f>
        <v>0.04</v>
      </c>
      <c r="C7067">
        <f>3.824/(100)</f>
        <v>3.8239999999999996E-2</v>
      </c>
    </row>
    <row r="7068" spans="1:3" x14ac:dyDescent="0.3">
      <c r="A7068" s="2">
        <v>44323</v>
      </c>
      <c r="B7068">
        <f>4/(100)</f>
        <v>0.04</v>
      </c>
      <c r="C7068">
        <f>3.843/(100)</f>
        <v>3.8429999999999999E-2</v>
      </c>
    </row>
    <row r="7069" spans="1:3" x14ac:dyDescent="0.3">
      <c r="A7069" s="2">
        <v>44324</v>
      </c>
      <c r="B7069">
        <f>4/(100)</f>
        <v>0.04</v>
      </c>
      <c r="C7069">
        <f>3.843/(100)</f>
        <v>3.8429999999999999E-2</v>
      </c>
    </row>
    <row r="7070" spans="1:3" x14ac:dyDescent="0.3">
      <c r="A7070" s="2">
        <v>44325</v>
      </c>
      <c r="B7070">
        <f>4/(100)</f>
        <v>0.04</v>
      </c>
      <c r="C7070">
        <f>3.843/(100)</f>
        <v>3.8429999999999999E-2</v>
      </c>
    </row>
    <row r="7071" spans="1:3" x14ac:dyDescent="0.3">
      <c r="A7071" s="2">
        <v>44326</v>
      </c>
      <c r="B7071">
        <f>4/(100)</f>
        <v>0.04</v>
      </c>
      <c r="C7071">
        <f>3.817/(100)</f>
        <v>3.8170000000000003E-2</v>
      </c>
    </row>
    <row r="7072" spans="1:3" x14ac:dyDescent="0.3">
      <c r="A7072" s="2">
        <v>44327</v>
      </c>
      <c r="B7072">
        <f>4/(100)</f>
        <v>0.04</v>
      </c>
      <c r="C7072">
        <f>3.843/(100)</f>
        <v>3.8429999999999999E-2</v>
      </c>
    </row>
    <row r="7073" spans="1:3" x14ac:dyDescent="0.3">
      <c r="A7073" s="2">
        <v>44328</v>
      </c>
      <c r="B7073">
        <f>4/(100)</f>
        <v>0.04</v>
      </c>
      <c r="C7073">
        <f>3.8/(100)</f>
        <v>3.7999999999999999E-2</v>
      </c>
    </row>
    <row r="7074" spans="1:3" x14ac:dyDescent="0.3">
      <c r="A7074" s="2">
        <v>44329</v>
      </c>
      <c r="B7074">
        <f>4/(100)</f>
        <v>0.04</v>
      </c>
      <c r="C7074">
        <f>3.8/(100)</f>
        <v>3.7999999999999999E-2</v>
      </c>
    </row>
    <row r="7075" spans="1:3" x14ac:dyDescent="0.3">
      <c r="A7075" s="2">
        <v>44330</v>
      </c>
      <c r="B7075">
        <f>4/(100)</f>
        <v>0.04</v>
      </c>
      <c r="C7075">
        <f>3.782/(100)</f>
        <v>3.7819999999999999E-2</v>
      </c>
    </row>
    <row r="7076" spans="1:3" x14ac:dyDescent="0.3">
      <c r="A7076" s="2">
        <v>44331</v>
      </c>
      <c r="B7076">
        <f>4/(100)</f>
        <v>0.04</v>
      </c>
      <c r="C7076">
        <f>3.782/(100)</f>
        <v>3.7819999999999999E-2</v>
      </c>
    </row>
    <row r="7077" spans="1:3" x14ac:dyDescent="0.3">
      <c r="A7077" s="2">
        <v>44332</v>
      </c>
      <c r="B7077">
        <f>4/(100)</f>
        <v>0.04</v>
      </c>
      <c r="C7077">
        <f>3.782/(100)</f>
        <v>3.7819999999999999E-2</v>
      </c>
    </row>
    <row r="7078" spans="1:3" x14ac:dyDescent="0.3">
      <c r="A7078" s="2">
        <v>44333</v>
      </c>
      <c r="B7078">
        <f>4/(100)</f>
        <v>0.04</v>
      </c>
      <c r="C7078">
        <f>3.784/(100)</f>
        <v>3.7839999999999999E-2</v>
      </c>
    </row>
    <row r="7079" spans="1:3" x14ac:dyDescent="0.3">
      <c r="A7079" s="2">
        <v>44334</v>
      </c>
      <c r="B7079">
        <f>4/(100)</f>
        <v>0.04</v>
      </c>
      <c r="C7079">
        <f>3.784/(100)</f>
        <v>3.7839999999999999E-2</v>
      </c>
    </row>
    <row r="7080" spans="1:3" x14ac:dyDescent="0.3">
      <c r="A7080" s="2">
        <v>44335</v>
      </c>
      <c r="B7080">
        <f>4/(100)</f>
        <v>0.04</v>
      </c>
      <c r="C7080">
        <f>3.804/(100)</f>
        <v>3.8039999999999997E-2</v>
      </c>
    </row>
    <row r="7081" spans="1:3" x14ac:dyDescent="0.3">
      <c r="A7081" s="2">
        <v>44336</v>
      </c>
      <c r="B7081">
        <f>4/(100)</f>
        <v>0.04</v>
      </c>
      <c r="C7081">
        <f>3.804/(100)</f>
        <v>3.8039999999999997E-2</v>
      </c>
    </row>
    <row r="7082" spans="1:3" x14ac:dyDescent="0.3">
      <c r="A7082" s="2">
        <v>44337</v>
      </c>
      <c r="B7082">
        <f>4/(100)</f>
        <v>0.04</v>
      </c>
      <c r="C7082">
        <f>3.804/(100)</f>
        <v>3.8039999999999997E-2</v>
      </c>
    </row>
    <row r="7083" spans="1:3" x14ac:dyDescent="0.3">
      <c r="A7083" s="2">
        <v>44338</v>
      </c>
      <c r="B7083">
        <f>4/(100)</f>
        <v>0.04</v>
      </c>
      <c r="C7083">
        <f>3.804/(100)</f>
        <v>3.8039999999999997E-2</v>
      </c>
    </row>
    <row r="7084" spans="1:3" x14ac:dyDescent="0.3">
      <c r="A7084" s="2">
        <v>44339</v>
      </c>
      <c r="B7084">
        <f>4/(100)</f>
        <v>0.04</v>
      </c>
      <c r="C7084">
        <f>3.804/(100)</f>
        <v>3.8039999999999997E-2</v>
      </c>
    </row>
    <row r="7085" spans="1:3" x14ac:dyDescent="0.3">
      <c r="A7085" s="2">
        <v>44340</v>
      </c>
      <c r="B7085">
        <f>4/(100)</f>
        <v>0.04</v>
      </c>
      <c r="C7085">
        <f>3.804/(100)</f>
        <v>3.8039999999999997E-2</v>
      </c>
    </row>
    <row r="7086" spans="1:3" x14ac:dyDescent="0.3">
      <c r="A7086" s="2">
        <v>44341</v>
      </c>
      <c r="B7086">
        <f>4/(100)</f>
        <v>0.04</v>
      </c>
      <c r="C7086">
        <f>3.77/(100)</f>
        <v>3.7699999999999997E-2</v>
      </c>
    </row>
    <row r="7087" spans="1:3" x14ac:dyDescent="0.3">
      <c r="A7087" s="2">
        <v>44342</v>
      </c>
      <c r="B7087">
        <f>4/(100)</f>
        <v>0.04</v>
      </c>
      <c r="C7087">
        <f>3.77/(100)</f>
        <v>3.7699999999999997E-2</v>
      </c>
    </row>
    <row r="7088" spans="1:3" x14ac:dyDescent="0.3">
      <c r="A7088" s="2">
        <v>44343</v>
      </c>
      <c r="B7088">
        <f>4/(100)</f>
        <v>0.04</v>
      </c>
      <c r="C7088">
        <f>3.77/(100)</f>
        <v>3.7699999999999997E-2</v>
      </c>
    </row>
    <row r="7089" spans="1:3" x14ac:dyDescent="0.3">
      <c r="A7089" s="2">
        <v>44344</v>
      </c>
      <c r="B7089">
        <f>4/(100)</f>
        <v>0.04</v>
      </c>
      <c r="C7089">
        <f>3.797/(100)</f>
        <v>3.7970000000000004E-2</v>
      </c>
    </row>
    <row r="7090" spans="1:3" x14ac:dyDescent="0.3">
      <c r="A7090" s="2">
        <v>44345</v>
      </c>
      <c r="B7090">
        <f>4/(100)</f>
        <v>0.04</v>
      </c>
      <c r="C7090">
        <f>3.797/(100)</f>
        <v>3.7970000000000004E-2</v>
      </c>
    </row>
    <row r="7091" spans="1:3" x14ac:dyDescent="0.3">
      <c r="A7091" s="2">
        <v>44346</v>
      </c>
      <c r="B7091">
        <f>4/(100)</f>
        <v>0.04</v>
      </c>
      <c r="C7091">
        <f>3.797/(100)</f>
        <v>3.7970000000000004E-2</v>
      </c>
    </row>
    <row r="7092" spans="1:3" x14ac:dyDescent="0.3">
      <c r="A7092" s="2">
        <v>44347</v>
      </c>
      <c r="B7092">
        <f>4/(100)</f>
        <v>0.04</v>
      </c>
      <c r="C7092">
        <f>3.771/(100)</f>
        <v>3.771E-2</v>
      </c>
    </row>
    <row r="7093" spans="1:3" x14ac:dyDescent="0.3">
      <c r="A7093" s="2">
        <v>44348</v>
      </c>
      <c r="B7093">
        <f>4/(100)</f>
        <v>0.04</v>
      </c>
      <c r="C7093">
        <f>3.771/(100)</f>
        <v>3.771E-2</v>
      </c>
    </row>
    <row r="7094" spans="1:3" x14ac:dyDescent="0.3">
      <c r="A7094" s="2">
        <v>44349</v>
      </c>
      <c r="B7094">
        <f>4/(100)</f>
        <v>0.04</v>
      </c>
      <c r="C7094">
        <f>3.809/(100)</f>
        <v>3.8089999999999999E-2</v>
      </c>
    </row>
    <row r="7095" spans="1:3" x14ac:dyDescent="0.3">
      <c r="A7095" s="2">
        <v>44350</v>
      </c>
      <c r="B7095">
        <f>4/(100)</f>
        <v>0.04</v>
      </c>
      <c r="C7095">
        <f>3.873/(100)</f>
        <v>3.8730000000000001E-2</v>
      </c>
    </row>
    <row r="7096" spans="1:3" x14ac:dyDescent="0.3">
      <c r="A7096" s="2">
        <v>44351</v>
      </c>
      <c r="B7096">
        <f>4/(100)</f>
        <v>0.04</v>
      </c>
      <c r="C7096">
        <f>3.871/(100)</f>
        <v>3.8710000000000001E-2</v>
      </c>
    </row>
    <row r="7097" spans="1:3" x14ac:dyDescent="0.3">
      <c r="A7097" s="2">
        <v>44352</v>
      </c>
      <c r="B7097">
        <f>4/(100)</f>
        <v>0.04</v>
      </c>
      <c r="C7097">
        <f>3.871/(100)</f>
        <v>3.8710000000000001E-2</v>
      </c>
    </row>
    <row r="7098" spans="1:3" x14ac:dyDescent="0.3">
      <c r="A7098" s="2">
        <v>44353</v>
      </c>
      <c r="B7098">
        <f>4/(100)</f>
        <v>0.04</v>
      </c>
      <c r="C7098">
        <f>3.871/(100)</f>
        <v>3.8710000000000001E-2</v>
      </c>
    </row>
    <row r="7099" spans="1:3" x14ac:dyDescent="0.3">
      <c r="A7099" s="2">
        <v>44354</v>
      </c>
      <c r="B7099">
        <f>4/(100)</f>
        <v>0.04</v>
      </c>
      <c r="C7099">
        <f>3.866/(100)</f>
        <v>3.866E-2</v>
      </c>
    </row>
    <row r="7100" spans="1:3" x14ac:dyDescent="0.3">
      <c r="A7100" s="2">
        <v>44355</v>
      </c>
      <c r="B7100">
        <f>4/(100)</f>
        <v>0.04</v>
      </c>
      <c r="C7100">
        <f>3.866/(100)</f>
        <v>3.866E-2</v>
      </c>
    </row>
    <row r="7101" spans="1:3" x14ac:dyDescent="0.3">
      <c r="A7101" s="2">
        <v>44356</v>
      </c>
      <c r="B7101">
        <f>4/(100)</f>
        <v>0.04</v>
      </c>
      <c r="C7101">
        <f>3.864/(100)</f>
        <v>3.8640000000000001E-2</v>
      </c>
    </row>
    <row r="7102" spans="1:3" x14ac:dyDescent="0.3">
      <c r="A7102" s="2">
        <v>44357</v>
      </c>
      <c r="B7102">
        <f>4/(100)</f>
        <v>0.04</v>
      </c>
      <c r="C7102">
        <f>3.864/(100)</f>
        <v>3.8640000000000001E-2</v>
      </c>
    </row>
    <row r="7103" spans="1:3" x14ac:dyDescent="0.3">
      <c r="A7103" s="2">
        <v>44358</v>
      </c>
      <c r="B7103">
        <f>4/(100)</f>
        <v>0.04</v>
      </c>
      <c r="C7103">
        <f>3.839/(100)</f>
        <v>3.8390000000000001E-2</v>
      </c>
    </row>
    <row r="7104" spans="1:3" x14ac:dyDescent="0.3">
      <c r="A7104" s="2">
        <v>44359</v>
      </c>
      <c r="B7104">
        <f>4/(100)</f>
        <v>0.04</v>
      </c>
      <c r="C7104">
        <f>3.839/(100)</f>
        <v>3.8390000000000001E-2</v>
      </c>
    </row>
    <row r="7105" spans="1:3" x14ac:dyDescent="0.3">
      <c r="A7105" s="2">
        <v>44360</v>
      </c>
      <c r="B7105">
        <f>4/(100)</f>
        <v>0.04</v>
      </c>
      <c r="C7105">
        <f>3.839/(100)</f>
        <v>3.8390000000000001E-2</v>
      </c>
    </row>
    <row r="7106" spans="1:3" x14ac:dyDescent="0.3">
      <c r="A7106" s="2">
        <v>44361</v>
      </c>
      <c r="B7106">
        <f>4/(100)</f>
        <v>0.04</v>
      </c>
      <c r="C7106">
        <f>3.858/(100)</f>
        <v>3.8580000000000003E-2</v>
      </c>
    </row>
    <row r="7107" spans="1:3" x14ac:dyDescent="0.3">
      <c r="A7107" s="2">
        <v>44362</v>
      </c>
      <c r="B7107">
        <f>4/(100)</f>
        <v>0.04</v>
      </c>
      <c r="C7107">
        <f>3.889/(100)</f>
        <v>3.8890000000000001E-2</v>
      </c>
    </row>
    <row r="7108" spans="1:3" x14ac:dyDescent="0.3">
      <c r="A7108" s="2">
        <v>44363</v>
      </c>
      <c r="B7108">
        <f>4/(100)</f>
        <v>0.04</v>
      </c>
      <c r="C7108">
        <f>3.865/(100)</f>
        <v>3.8650000000000004E-2</v>
      </c>
    </row>
    <row r="7109" spans="1:3" x14ac:dyDescent="0.3">
      <c r="A7109" s="2">
        <v>44364</v>
      </c>
      <c r="B7109">
        <f>4/(100)</f>
        <v>0.04</v>
      </c>
      <c r="C7109">
        <f>3.807/(100)</f>
        <v>3.807E-2</v>
      </c>
    </row>
    <row r="7110" spans="1:3" x14ac:dyDescent="0.3">
      <c r="A7110" s="2">
        <v>44365</v>
      </c>
      <c r="B7110">
        <f>4/(100)</f>
        <v>0.04</v>
      </c>
      <c r="C7110">
        <f>3.789/(100)</f>
        <v>3.789E-2</v>
      </c>
    </row>
    <row r="7111" spans="1:3" x14ac:dyDescent="0.3">
      <c r="A7111" s="2">
        <v>44366</v>
      </c>
      <c r="B7111">
        <f>4/(100)</f>
        <v>0.04</v>
      </c>
      <c r="C7111">
        <f>3.789/(100)</f>
        <v>3.789E-2</v>
      </c>
    </row>
    <row r="7112" spans="1:3" x14ac:dyDescent="0.3">
      <c r="A7112" s="2">
        <v>44367</v>
      </c>
      <c r="B7112">
        <f>4/(100)</f>
        <v>0.04</v>
      </c>
      <c r="C7112">
        <f>3.789/(100)</f>
        <v>3.789E-2</v>
      </c>
    </row>
    <row r="7113" spans="1:3" x14ac:dyDescent="0.3">
      <c r="A7113" s="2">
        <v>44368</v>
      </c>
      <c r="B7113">
        <f>4/(100)</f>
        <v>0.04</v>
      </c>
      <c r="C7113">
        <f>3.789/(100)</f>
        <v>3.789E-2</v>
      </c>
    </row>
    <row r="7114" spans="1:3" x14ac:dyDescent="0.3">
      <c r="A7114" s="2">
        <v>44369</v>
      </c>
      <c r="B7114">
        <f>4/(100)</f>
        <v>0.04</v>
      </c>
      <c r="C7114">
        <f>3.96/(100)</f>
        <v>3.9599999999999996E-2</v>
      </c>
    </row>
    <row r="7115" spans="1:3" x14ac:dyDescent="0.3">
      <c r="A7115" s="2">
        <v>44370</v>
      </c>
      <c r="B7115">
        <f>4/(100)</f>
        <v>0.04</v>
      </c>
      <c r="C7115">
        <f>3.949/(100)</f>
        <v>3.9489999999999997E-2</v>
      </c>
    </row>
    <row r="7116" spans="1:3" x14ac:dyDescent="0.3">
      <c r="A7116" s="2">
        <v>44371</v>
      </c>
      <c r="B7116">
        <f>4/(100)</f>
        <v>0.04</v>
      </c>
      <c r="C7116">
        <f>3.949/(100)</f>
        <v>3.9489999999999997E-2</v>
      </c>
    </row>
    <row r="7117" spans="1:3" x14ac:dyDescent="0.3">
      <c r="A7117" s="2">
        <v>44372</v>
      </c>
      <c r="B7117">
        <f>4/(100)</f>
        <v>0.04</v>
      </c>
      <c r="C7117">
        <f>3.992/(100)</f>
        <v>3.9919999999999997E-2</v>
      </c>
    </row>
    <row r="7118" spans="1:3" x14ac:dyDescent="0.3">
      <c r="A7118" s="2">
        <v>44373</v>
      </c>
      <c r="B7118">
        <f>4/(100)</f>
        <v>0.04</v>
      </c>
      <c r="C7118">
        <f>3.992/(100)</f>
        <v>3.9919999999999997E-2</v>
      </c>
    </row>
    <row r="7119" spans="1:3" x14ac:dyDescent="0.3">
      <c r="A7119" s="2">
        <v>44374</v>
      </c>
      <c r="B7119">
        <f>4/(100)</f>
        <v>0.04</v>
      </c>
      <c r="C7119">
        <f>3.992/(100)</f>
        <v>3.9919999999999997E-2</v>
      </c>
    </row>
    <row r="7120" spans="1:3" x14ac:dyDescent="0.3">
      <c r="A7120" s="2">
        <v>44375</v>
      </c>
      <c r="B7120">
        <f>4/(100)</f>
        <v>0.04</v>
      </c>
      <c r="C7120">
        <f>3.992/(100)</f>
        <v>3.9919999999999997E-2</v>
      </c>
    </row>
    <row r="7121" spans="1:3" x14ac:dyDescent="0.3">
      <c r="A7121" s="2">
        <v>44376</v>
      </c>
      <c r="B7121">
        <f>4/(100)</f>
        <v>0.04</v>
      </c>
      <c r="C7121">
        <f>3.868/(100)</f>
        <v>3.8679999999999999E-2</v>
      </c>
    </row>
    <row r="7122" spans="1:3" x14ac:dyDescent="0.3">
      <c r="A7122" s="2">
        <v>44377</v>
      </c>
      <c r="B7122">
        <f>4/(100)</f>
        <v>0.04</v>
      </c>
      <c r="C7122">
        <f>3.868/(100)</f>
        <v>3.8679999999999999E-2</v>
      </c>
    </row>
    <row r="7123" spans="1:3" x14ac:dyDescent="0.3">
      <c r="A7123" s="2">
        <v>44378</v>
      </c>
      <c r="B7123">
        <f>4/(100)</f>
        <v>0.04</v>
      </c>
      <c r="C7123">
        <f>3.868/(100)</f>
        <v>3.8679999999999999E-2</v>
      </c>
    </row>
    <row r="7124" spans="1:3" x14ac:dyDescent="0.3">
      <c r="A7124" s="2">
        <v>44379</v>
      </c>
      <c r="B7124">
        <f>4/(100)</f>
        <v>0.04</v>
      </c>
      <c r="C7124">
        <f>3.961/(100)</f>
        <v>3.9609999999999999E-2</v>
      </c>
    </row>
    <row r="7125" spans="1:3" x14ac:dyDescent="0.3">
      <c r="A7125" s="2">
        <v>44380</v>
      </c>
      <c r="B7125">
        <f>4/(100)</f>
        <v>0.04</v>
      </c>
      <c r="C7125">
        <f>3.961/(100)</f>
        <v>3.9609999999999999E-2</v>
      </c>
    </row>
    <row r="7126" spans="1:3" x14ac:dyDescent="0.3">
      <c r="A7126" s="2">
        <v>44381</v>
      </c>
      <c r="B7126">
        <f>4/(100)</f>
        <v>0.04</v>
      </c>
      <c r="C7126">
        <f>3.961/(100)</f>
        <v>3.9609999999999999E-2</v>
      </c>
    </row>
    <row r="7127" spans="1:3" x14ac:dyDescent="0.3">
      <c r="A7127" s="2">
        <v>44382</v>
      </c>
      <c r="B7127">
        <f>4/(100)</f>
        <v>0.04</v>
      </c>
      <c r="C7127">
        <f>3.999/(100)</f>
        <v>3.9989999999999998E-2</v>
      </c>
    </row>
    <row r="7128" spans="1:3" x14ac:dyDescent="0.3">
      <c r="A7128" s="2">
        <v>44383</v>
      </c>
      <c r="B7128">
        <f>4/(100)</f>
        <v>0.04</v>
      </c>
      <c r="C7128">
        <f>4.001/(100)</f>
        <v>4.0010000000000004E-2</v>
      </c>
    </row>
    <row r="7129" spans="1:3" x14ac:dyDescent="0.3">
      <c r="A7129" s="2">
        <v>44384</v>
      </c>
      <c r="B7129">
        <f>4/(100)</f>
        <v>0.04</v>
      </c>
      <c r="C7129">
        <f>3.943/(100)</f>
        <v>3.943E-2</v>
      </c>
    </row>
    <row r="7130" spans="1:3" x14ac:dyDescent="0.3">
      <c r="A7130" s="2">
        <v>44385</v>
      </c>
      <c r="B7130">
        <f>4/(100)</f>
        <v>0.04</v>
      </c>
      <c r="C7130">
        <f>3.909/(100)</f>
        <v>3.909E-2</v>
      </c>
    </row>
    <row r="7131" spans="1:3" x14ac:dyDescent="0.3">
      <c r="A7131" s="2">
        <v>44386</v>
      </c>
      <c r="B7131">
        <f>4/(100)</f>
        <v>0.04</v>
      </c>
      <c r="C7131">
        <f>3.909/(100)</f>
        <v>3.909E-2</v>
      </c>
    </row>
    <row r="7132" spans="1:3" x14ac:dyDescent="0.3">
      <c r="A7132" s="2">
        <v>44387</v>
      </c>
      <c r="B7132">
        <f>4/(100)</f>
        <v>0.04</v>
      </c>
      <c r="C7132">
        <f>3.909/(100)</f>
        <v>3.909E-2</v>
      </c>
    </row>
    <row r="7133" spans="1:3" x14ac:dyDescent="0.3">
      <c r="A7133" s="2">
        <v>44388</v>
      </c>
      <c r="B7133">
        <f>4/(100)</f>
        <v>0.04</v>
      </c>
      <c r="C7133">
        <f>3.909/(100)</f>
        <v>3.909E-2</v>
      </c>
    </row>
    <row r="7134" spans="1:3" x14ac:dyDescent="0.3">
      <c r="A7134" s="2">
        <v>44389</v>
      </c>
      <c r="B7134">
        <f>4/(100)</f>
        <v>0.04</v>
      </c>
      <c r="C7134">
        <f>3.897/(100)</f>
        <v>3.8969999999999998E-2</v>
      </c>
    </row>
    <row r="7135" spans="1:3" x14ac:dyDescent="0.3">
      <c r="A7135" s="2">
        <v>44390</v>
      </c>
      <c r="B7135">
        <f>4/(100)</f>
        <v>0.04</v>
      </c>
      <c r="C7135">
        <f>3.918/(100)</f>
        <v>3.918E-2</v>
      </c>
    </row>
    <row r="7136" spans="1:3" x14ac:dyDescent="0.3">
      <c r="A7136" s="2">
        <v>44391</v>
      </c>
      <c r="B7136">
        <f>4/(100)</f>
        <v>0.04</v>
      </c>
      <c r="C7136">
        <f>3.918/(100)</f>
        <v>3.918E-2</v>
      </c>
    </row>
    <row r="7137" spans="1:3" x14ac:dyDescent="0.3">
      <c r="A7137" s="2">
        <v>44392</v>
      </c>
      <c r="B7137">
        <f>4/(100)</f>
        <v>0.04</v>
      </c>
      <c r="C7137">
        <f>3.918/(100)</f>
        <v>3.918E-2</v>
      </c>
    </row>
    <row r="7138" spans="1:3" x14ac:dyDescent="0.3">
      <c r="A7138" s="2">
        <v>44393</v>
      </c>
      <c r="B7138">
        <f>4/(100)</f>
        <v>0.04</v>
      </c>
      <c r="C7138">
        <f>3.804/(100)</f>
        <v>3.8039999999999997E-2</v>
      </c>
    </row>
    <row r="7139" spans="1:3" x14ac:dyDescent="0.3">
      <c r="A7139" s="2">
        <v>44394</v>
      </c>
      <c r="B7139">
        <f>4/(100)</f>
        <v>0.04</v>
      </c>
      <c r="C7139">
        <f>3.804/(100)</f>
        <v>3.8039999999999997E-2</v>
      </c>
    </row>
    <row r="7140" spans="1:3" x14ac:dyDescent="0.3">
      <c r="A7140" s="2">
        <v>44395</v>
      </c>
      <c r="B7140">
        <f>4/(100)</f>
        <v>0.04</v>
      </c>
      <c r="C7140">
        <f>3.804/(100)</f>
        <v>3.8039999999999997E-2</v>
      </c>
    </row>
    <row r="7141" spans="1:3" x14ac:dyDescent="0.3">
      <c r="A7141" s="2">
        <v>44396</v>
      </c>
      <c r="B7141">
        <f>4/(100)</f>
        <v>0.04</v>
      </c>
      <c r="C7141">
        <f>3.881/(100)</f>
        <v>3.8809999999999997E-2</v>
      </c>
    </row>
    <row r="7142" spans="1:3" x14ac:dyDescent="0.3">
      <c r="A7142" s="2">
        <v>44397</v>
      </c>
      <c r="B7142">
        <f>4/(100)</f>
        <v>0.04</v>
      </c>
      <c r="C7142">
        <f>3.881/(100)</f>
        <v>3.8809999999999997E-2</v>
      </c>
    </row>
    <row r="7143" spans="1:3" x14ac:dyDescent="0.3">
      <c r="A7143" s="2">
        <v>44398</v>
      </c>
      <c r="B7143">
        <f>4/(100)</f>
        <v>0.04</v>
      </c>
      <c r="C7143">
        <f>3.881/(100)</f>
        <v>3.8809999999999997E-2</v>
      </c>
    </row>
    <row r="7144" spans="1:3" x14ac:dyDescent="0.3">
      <c r="A7144" s="2">
        <v>44399</v>
      </c>
      <c r="B7144">
        <f>4/(100)</f>
        <v>0.04</v>
      </c>
      <c r="C7144">
        <f>3.881/(100)</f>
        <v>3.8809999999999997E-2</v>
      </c>
    </row>
    <row r="7145" spans="1:3" x14ac:dyDescent="0.3">
      <c r="A7145" s="2">
        <v>44400</v>
      </c>
      <c r="B7145">
        <f>4/(100)</f>
        <v>0.04</v>
      </c>
      <c r="C7145">
        <f>3.836/(100)</f>
        <v>3.8359999999999998E-2</v>
      </c>
    </row>
    <row r="7146" spans="1:3" x14ac:dyDescent="0.3">
      <c r="A7146" s="2">
        <v>44401</v>
      </c>
      <c r="B7146">
        <f>4/(100)</f>
        <v>0.04</v>
      </c>
      <c r="C7146">
        <f>3.836/(100)</f>
        <v>3.8359999999999998E-2</v>
      </c>
    </row>
    <row r="7147" spans="1:3" x14ac:dyDescent="0.3">
      <c r="A7147" s="2">
        <v>44402</v>
      </c>
      <c r="B7147">
        <f>4/(100)</f>
        <v>0.04</v>
      </c>
      <c r="C7147">
        <f>3.836/(100)</f>
        <v>3.8359999999999998E-2</v>
      </c>
    </row>
    <row r="7148" spans="1:3" x14ac:dyDescent="0.3">
      <c r="A7148" s="2">
        <v>44403</v>
      </c>
      <c r="B7148">
        <f>4/(100)</f>
        <v>0.04</v>
      </c>
      <c r="C7148">
        <f>3.835/(100)</f>
        <v>3.8350000000000002E-2</v>
      </c>
    </row>
    <row r="7149" spans="1:3" x14ac:dyDescent="0.3">
      <c r="A7149" s="2">
        <v>44404</v>
      </c>
      <c r="B7149">
        <f>4/(100)</f>
        <v>0.04</v>
      </c>
      <c r="C7149">
        <f>3.84/(100)</f>
        <v>3.8399999999999997E-2</v>
      </c>
    </row>
    <row r="7150" spans="1:3" x14ac:dyDescent="0.3">
      <c r="A7150" s="2">
        <v>44405</v>
      </c>
      <c r="B7150">
        <f>4/(100)</f>
        <v>0.04</v>
      </c>
      <c r="C7150">
        <f>3.831/(100)</f>
        <v>3.8309999999999997E-2</v>
      </c>
    </row>
    <row r="7151" spans="1:3" x14ac:dyDescent="0.3">
      <c r="A7151" s="2">
        <v>44406</v>
      </c>
      <c r="B7151">
        <f>4/(100)</f>
        <v>0.04</v>
      </c>
      <c r="C7151">
        <f>3.864/(100)</f>
        <v>3.8640000000000001E-2</v>
      </c>
    </row>
    <row r="7152" spans="1:3" x14ac:dyDescent="0.3">
      <c r="A7152" s="2">
        <v>44407</v>
      </c>
      <c r="B7152">
        <f>4/(100)</f>
        <v>0.04</v>
      </c>
      <c r="C7152">
        <f>3.715/(100)</f>
        <v>3.7149999999999996E-2</v>
      </c>
    </row>
    <row r="7153" spans="1:3" x14ac:dyDescent="0.3">
      <c r="A7153" s="2">
        <v>44408</v>
      </c>
      <c r="B7153">
        <f>4/(100)</f>
        <v>0.04</v>
      </c>
      <c r="C7153">
        <f>3.715/(100)</f>
        <v>3.7149999999999996E-2</v>
      </c>
    </row>
    <row r="7154" spans="1:3" x14ac:dyDescent="0.3">
      <c r="A7154" s="2">
        <v>44409</v>
      </c>
      <c r="B7154">
        <f>4/(100)</f>
        <v>0.04</v>
      </c>
      <c r="C7154">
        <f>3.715/(100)</f>
        <v>3.7149999999999996E-2</v>
      </c>
    </row>
    <row r="7155" spans="1:3" x14ac:dyDescent="0.3">
      <c r="A7155" s="2">
        <v>44410</v>
      </c>
      <c r="B7155">
        <f>4/(100)</f>
        <v>0.04</v>
      </c>
      <c r="C7155">
        <f>3.812/(100)</f>
        <v>3.8120000000000001E-2</v>
      </c>
    </row>
    <row r="7156" spans="1:3" x14ac:dyDescent="0.3">
      <c r="A7156" s="2">
        <v>44411</v>
      </c>
      <c r="B7156">
        <f>4/(100)</f>
        <v>0.04</v>
      </c>
      <c r="C7156">
        <f>3.828/(100)</f>
        <v>3.8280000000000002E-2</v>
      </c>
    </row>
    <row r="7157" spans="1:3" x14ac:dyDescent="0.3">
      <c r="A7157" s="2">
        <v>44412</v>
      </c>
      <c r="B7157">
        <f>4/(100)</f>
        <v>0.04</v>
      </c>
      <c r="C7157">
        <f>3.857/(100)</f>
        <v>3.857E-2</v>
      </c>
    </row>
    <row r="7158" spans="1:3" x14ac:dyDescent="0.3">
      <c r="A7158" s="2">
        <v>44413</v>
      </c>
      <c r="B7158">
        <f>4/(100)</f>
        <v>0.04</v>
      </c>
      <c r="C7158">
        <f>3.865/(100)</f>
        <v>3.8650000000000004E-2</v>
      </c>
    </row>
    <row r="7159" spans="1:3" x14ac:dyDescent="0.3">
      <c r="A7159" s="2">
        <v>44414</v>
      </c>
      <c r="B7159">
        <f>4/(100)</f>
        <v>0.04</v>
      </c>
      <c r="C7159">
        <f>3.865/(100)</f>
        <v>3.8650000000000004E-2</v>
      </c>
    </row>
    <row r="7160" spans="1:3" x14ac:dyDescent="0.3">
      <c r="A7160" s="2">
        <v>44415</v>
      </c>
      <c r="B7160">
        <f>4/(100)</f>
        <v>0.04</v>
      </c>
      <c r="C7160">
        <f>3.865/(100)</f>
        <v>3.8650000000000004E-2</v>
      </c>
    </row>
    <row r="7161" spans="1:3" x14ac:dyDescent="0.3">
      <c r="A7161" s="2">
        <v>44416</v>
      </c>
      <c r="B7161">
        <f>4/(100)</f>
        <v>0.04</v>
      </c>
      <c r="C7161">
        <f>3.865/(100)</f>
        <v>3.8650000000000004E-2</v>
      </c>
    </row>
    <row r="7162" spans="1:3" x14ac:dyDescent="0.3">
      <c r="A7162" s="2">
        <v>44417</v>
      </c>
      <c r="B7162">
        <f>4/(100)</f>
        <v>0.04</v>
      </c>
      <c r="C7162">
        <f>3.865/(100)</f>
        <v>3.8650000000000004E-2</v>
      </c>
    </row>
    <row r="7163" spans="1:3" x14ac:dyDescent="0.3">
      <c r="A7163" s="2">
        <v>44418</v>
      </c>
      <c r="B7163">
        <f>4/(100)</f>
        <v>0.04</v>
      </c>
      <c r="C7163">
        <f>3.865/(100)</f>
        <v>3.8650000000000004E-2</v>
      </c>
    </row>
    <row r="7164" spans="1:3" x14ac:dyDescent="0.3">
      <c r="A7164" s="2">
        <v>44419</v>
      </c>
      <c r="B7164">
        <f>4/(100)</f>
        <v>0.04</v>
      </c>
      <c r="C7164">
        <f>3.898/(100)</f>
        <v>3.8980000000000001E-2</v>
      </c>
    </row>
    <row r="7165" spans="1:3" x14ac:dyDescent="0.3">
      <c r="A7165" s="2">
        <v>44420</v>
      </c>
      <c r="B7165">
        <f>4/(100)</f>
        <v>0.04</v>
      </c>
      <c r="C7165">
        <f>3.898/(100)</f>
        <v>3.8980000000000001E-2</v>
      </c>
    </row>
    <row r="7166" spans="1:3" x14ac:dyDescent="0.3">
      <c r="A7166" s="2">
        <v>44421</v>
      </c>
      <c r="B7166">
        <f>4/(100)</f>
        <v>0.04</v>
      </c>
      <c r="C7166">
        <f>3.898/(100)</f>
        <v>3.8980000000000001E-2</v>
      </c>
    </row>
    <row r="7167" spans="1:3" x14ac:dyDescent="0.3">
      <c r="A7167" s="2">
        <v>44422</v>
      </c>
      <c r="B7167">
        <f>4/(100)</f>
        <v>0.04</v>
      </c>
      <c r="C7167">
        <f>3.898/(100)</f>
        <v>3.8980000000000001E-2</v>
      </c>
    </row>
    <row r="7168" spans="1:3" x14ac:dyDescent="0.3">
      <c r="A7168" s="2">
        <v>44423</v>
      </c>
      <c r="B7168">
        <f>4/(100)</f>
        <v>0.04</v>
      </c>
      <c r="C7168">
        <f>3.898/(100)</f>
        <v>3.8980000000000001E-2</v>
      </c>
    </row>
    <row r="7169" spans="1:3" x14ac:dyDescent="0.3">
      <c r="A7169" s="2">
        <v>44424</v>
      </c>
      <c r="B7169">
        <f>4/(100)</f>
        <v>0.04</v>
      </c>
      <c r="C7169">
        <f>3.898/(100)</f>
        <v>3.8980000000000001E-2</v>
      </c>
    </row>
    <row r="7170" spans="1:3" x14ac:dyDescent="0.3">
      <c r="A7170" s="2">
        <v>44425</v>
      </c>
      <c r="B7170">
        <f>4/(100)</f>
        <v>0.04</v>
      </c>
      <c r="C7170">
        <f>3.898/(100)</f>
        <v>3.8980000000000001E-2</v>
      </c>
    </row>
    <row r="7171" spans="1:3" x14ac:dyDescent="0.3">
      <c r="A7171" s="2">
        <v>44426</v>
      </c>
      <c r="B7171">
        <f>4/(100)</f>
        <v>0.04</v>
      </c>
      <c r="C7171">
        <f>3.898/(100)</f>
        <v>3.8980000000000001E-2</v>
      </c>
    </row>
    <row r="7172" spans="1:3" x14ac:dyDescent="0.3">
      <c r="A7172" s="2">
        <v>44427</v>
      </c>
      <c r="B7172">
        <f>4/(100)</f>
        <v>0.04</v>
      </c>
      <c r="C7172">
        <f>3.898/(100)</f>
        <v>3.8980000000000001E-2</v>
      </c>
    </row>
    <row r="7173" spans="1:3" x14ac:dyDescent="0.3">
      <c r="A7173" s="2">
        <v>44428</v>
      </c>
      <c r="B7173">
        <f>4/(100)</f>
        <v>0.04</v>
      </c>
      <c r="C7173">
        <f>3.898/(100)</f>
        <v>3.8980000000000001E-2</v>
      </c>
    </row>
    <row r="7174" spans="1:3" x14ac:dyDescent="0.3">
      <c r="A7174" s="2">
        <v>44429</v>
      </c>
      <c r="B7174">
        <f>4/(100)</f>
        <v>0.04</v>
      </c>
      <c r="C7174">
        <f>3.898/(100)</f>
        <v>3.8980000000000001E-2</v>
      </c>
    </row>
    <row r="7175" spans="1:3" x14ac:dyDescent="0.3">
      <c r="A7175" s="2">
        <v>44430</v>
      </c>
      <c r="B7175">
        <f>4/(100)</f>
        <v>0.04</v>
      </c>
      <c r="C7175">
        <f>3.898/(100)</f>
        <v>3.8980000000000001E-2</v>
      </c>
    </row>
    <row r="7176" spans="1:3" x14ac:dyDescent="0.3">
      <c r="A7176" s="2">
        <v>44431</v>
      </c>
      <c r="B7176">
        <f>4/(100)</f>
        <v>0.04</v>
      </c>
      <c r="C7176">
        <f>3.818/(100)</f>
        <v>3.8179999999999999E-2</v>
      </c>
    </row>
    <row r="7177" spans="1:3" x14ac:dyDescent="0.3">
      <c r="A7177" s="2">
        <v>44432</v>
      </c>
      <c r="B7177">
        <f>4/(100)</f>
        <v>0.04</v>
      </c>
      <c r="C7177">
        <f>3.818/(100)</f>
        <v>3.8179999999999999E-2</v>
      </c>
    </row>
    <row r="7178" spans="1:3" x14ac:dyDescent="0.3">
      <c r="A7178" s="2">
        <v>44433</v>
      </c>
      <c r="B7178">
        <f>4/(100)</f>
        <v>0.04</v>
      </c>
      <c r="C7178">
        <f>3.783/(100)</f>
        <v>3.7830000000000003E-2</v>
      </c>
    </row>
    <row r="7179" spans="1:3" x14ac:dyDescent="0.3">
      <c r="A7179" s="2">
        <v>44434</v>
      </c>
      <c r="B7179">
        <f>4/(100)</f>
        <v>0.04</v>
      </c>
      <c r="C7179">
        <f>3.783/(100)</f>
        <v>3.7830000000000003E-2</v>
      </c>
    </row>
    <row r="7180" spans="1:3" x14ac:dyDescent="0.3">
      <c r="A7180" s="2">
        <v>44435</v>
      </c>
      <c r="B7180">
        <f>4/(100)</f>
        <v>0.04</v>
      </c>
      <c r="C7180">
        <f>3.783/(100)</f>
        <v>3.7830000000000003E-2</v>
      </c>
    </row>
    <row r="7181" spans="1:3" x14ac:dyDescent="0.3">
      <c r="A7181" s="2">
        <v>44436</v>
      </c>
      <c r="B7181">
        <f>4/(100)</f>
        <v>0.04</v>
      </c>
      <c r="C7181">
        <f>3.783/(100)</f>
        <v>3.7830000000000003E-2</v>
      </c>
    </row>
    <row r="7182" spans="1:3" x14ac:dyDescent="0.3">
      <c r="A7182" s="2">
        <v>44437</v>
      </c>
      <c r="B7182">
        <f>4/(100)</f>
        <v>0.04</v>
      </c>
      <c r="C7182">
        <f>3.783/(100)</f>
        <v>3.7830000000000003E-2</v>
      </c>
    </row>
    <row r="7183" spans="1:3" x14ac:dyDescent="0.3">
      <c r="A7183" s="2">
        <v>44438</v>
      </c>
      <c r="B7183">
        <f>4/(100)</f>
        <v>0.04</v>
      </c>
      <c r="C7183">
        <f>3.755/(100)</f>
        <v>3.755E-2</v>
      </c>
    </row>
    <row r="7184" spans="1:3" x14ac:dyDescent="0.3">
      <c r="A7184" s="2">
        <v>44439</v>
      </c>
      <c r="B7184">
        <f>4/(100)</f>
        <v>0.04</v>
      </c>
      <c r="C7184">
        <f>3.755/(100)</f>
        <v>3.755E-2</v>
      </c>
    </row>
    <row r="7185" spans="1:3" x14ac:dyDescent="0.3">
      <c r="A7185" s="2">
        <v>44440</v>
      </c>
      <c r="B7185">
        <f>4/(100)</f>
        <v>0.04</v>
      </c>
      <c r="C7185">
        <f>3.755/(100)</f>
        <v>3.755E-2</v>
      </c>
    </row>
    <row r="7186" spans="1:3" x14ac:dyDescent="0.3">
      <c r="A7186" s="2">
        <v>44441</v>
      </c>
      <c r="B7186">
        <f>4/(100)</f>
        <v>0.04</v>
      </c>
      <c r="C7186">
        <f>3.755/(100)</f>
        <v>3.755E-2</v>
      </c>
    </row>
    <row r="7187" spans="1:3" x14ac:dyDescent="0.3">
      <c r="A7187" s="2">
        <v>44442</v>
      </c>
      <c r="B7187">
        <f>4/(100)</f>
        <v>0.04</v>
      </c>
      <c r="C7187">
        <f>3.755/(100)</f>
        <v>3.755E-2</v>
      </c>
    </row>
    <row r="7188" spans="1:3" x14ac:dyDescent="0.3">
      <c r="A7188" s="2">
        <v>44443</v>
      </c>
      <c r="B7188">
        <f>4/(100)</f>
        <v>0.04</v>
      </c>
      <c r="C7188">
        <f>3.755/(100)</f>
        <v>3.755E-2</v>
      </c>
    </row>
    <row r="7189" spans="1:3" x14ac:dyDescent="0.3">
      <c r="A7189" s="2">
        <v>44444</v>
      </c>
      <c r="B7189">
        <f>4/(100)</f>
        <v>0.04</v>
      </c>
      <c r="C7189">
        <f>3.755/(100)</f>
        <v>3.755E-2</v>
      </c>
    </row>
    <row r="7190" spans="1:3" x14ac:dyDescent="0.3">
      <c r="A7190" s="2">
        <v>44445</v>
      </c>
      <c r="B7190">
        <f>4/(100)</f>
        <v>0.04</v>
      </c>
      <c r="C7190">
        <f>3.867/(100)</f>
        <v>3.8670000000000003E-2</v>
      </c>
    </row>
    <row r="7191" spans="1:3" x14ac:dyDescent="0.3">
      <c r="A7191" s="2">
        <v>44446</v>
      </c>
      <c r="B7191">
        <f>4/(100)</f>
        <v>0.04</v>
      </c>
      <c r="C7191">
        <f>3.868/(100)</f>
        <v>3.8679999999999999E-2</v>
      </c>
    </row>
    <row r="7192" spans="1:3" x14ac:dyDescent="0.3">
      <c r="A7192" s="2">
        <v>44447</v>
      </c>
      <c r="B7192">
        <f>4/(100)</f>
        <v>0.04</v>
      </c>
      <c r="C7192">
        <f>3.862/(100)</f>
        <v>3.8620000000000002E-2</v>
      </c>
    </row>
    <row r="7193" spans="1:3" x14ac:dyDescent="0.3">
      <c r="A7193" s="2">
        <v>44448</v>
      </c>
      <c r="B7193">
        <f>4/(100)</f>
        <v>0.04</v>
      </c>
      <c r="C7193">
        <f>3.877/(100)</f>
        <v>3.8769999999999999E-2</v>
      </c>
    </row>
    <row r="7194" spans="1:3" x14ac:dyDescent="0.3">
      <c r="A7194" s="2">
        <v>44449</v>
      </c>
      <c r="B7194">
        <f>4/(100)</f>
        <v>0.04</v>
      </c>
      <c r="C7194">
        <f>3.877/(100)</f>
        <v>3.8769999999999999E-2</v>
      </c>
    </row>
    <row r="7195" spans="1:3" x14ac:dyDescent="0.3">
      <c r="A7195" s="2">
        <v>44450</v>
      </c>
      <c r="B7195">
        <f>4/(100)</f>
        <v>0.04</v>
      </c>
      <c r="C7195">
        <f>3.877/(100)</f>
        <v>3.8769999999999999E-2</v>
      </c>
    </row>
    <row r="7196" spans="1:3" x14ac:dyDescent="0.3">
      <c r="A7196" s="2">
        <v>44451</v>
      </c>
      <c r="B7196">
        <f>4/(100)</f>
        <v>0.04</v>
      </c>
      <c r="C7196">
        <f>3.877/(100)</f>
        <v>3.8769999999999999E-2</v>
      </c>
    </row>
    <row r="7197" spans="1:3" x14ac:dyDescent="0.3">
      <c r="A7197" s="2">
        <v>44452</v>
      </c>
      <c r="B7197">
        <f>4/(100)</f>
        <v>0.04</v>
      </c>
      <c r="C7197">
        <f>3.879/(100)</f>
        <v>3.8789999999999998E-2</v>
      </c>
    </row>
    <row r="7198" spans="1:3" x14ac:dyDescent="0.3">
      <c r="A7198" s="2">
        <v>44453</v>
      </c>
      <c r="B7198">
        <f>4/(100)</f>
        <v>0.04</v>
      </c>
      <c r="C7198">
        <f>3.937/(100)</f>
        <v>3.9369999999999995E-2</v>
      </c>
    </row>
    <row r="7199" spans="1:3" x14ac:dyDescent="0.3">
      <c r="A7199" s="2">
        <v>44454</v>
      </c>
      <c r="B7199">
        <f>4/(100)</f>
        <v>0.04</v>
      </c>
      <c r="C7199">
        <f>3.93/(100)</f>
        <v>3.9300000000000002E-2</v>
      </c>
    </row>
    <row r="7200" spans="1:3" x14ac:dyDescent="0.3">
      <c r="A7200" s="2">
        <v>44455</v>
      </c>
      <c r="B7200">
        <f>4/(100)</f>
        <v>0.04</v>
      </c>
      <c r="C7200">
        <f>3.9/(100)</f>
        <v>3.9E-2</v>
      </c>
    </row>
    <row r="7201" spans="1:3" x14ac:dyDescent="0.3">
      <c r="A7201" s="2">
        <v>44456</v>
      </c>
      <c r="B7201">
        <f>4/(100)</f>
        <v>0.04</v>
      </c>
      <c r="C7201">
        <f>3.9/(100)</f>
        <v>3.9E-2</v>
      </c>
    </row>
    <row r="7202" spans="1:3" x14ac:dyDescent="0.3">
      <c r="A7202" s="2">
        <v>44457</v>
      </c>
      <c r="B7202">
        <f>4/(100)</f>
        <v>0.04</v>
      </c>
      <c r="C7202">
        <f>3.9/(100)</f>
        <v>3.9E-2</v>
      </c>
    </row>
    <row r="7203" spans="1:3" x14ac:dyDescent="0.3">
      <c r="A7203" s="2">
        <v>44458</v>
      </c>
      <c r="B7203">
        <f>4/(100)</f>
        <v>0.04</v>
      </c>
      <c r="C7203">
        <f>3.9/(100)</f>
        <v>3.9E-2</v>
      </c>
    </row>
    <row r="7204" spans="1:3" x14ac:dyDescent="0.3">
      <c r="A7204" s="2">
        <v>44459</v>
      </c>
      <c r="B7204">
        <f>4/(100)</f>
        <v>0.04</v>
      </c>
      <c r="C7204">
        <f>3.896/(100)</f>
        <v>3.8960000000000002E-2</v>
      </c>
    </row>
    <row r="7205" spans="1:3" x14ac:dyDescent="0.3">
      <c r="A7205" s="2">
        <v>44460</v>
      </c>
      <c r="B7205">
        <f>4/(100)</f>
        <v>0.04</v>
      </c>
      <c r="C7205">
        <f>3.938/(100)</f>
        <v>3.9379999999999998E-2</v>
      </c>
    </row>
    <row r="7206" spans="1:3" x14ac:dyDescent="0.3">
      <c r="A7206" s="2">
        <v>44461</v>
      </c>
      <c r="B7206">
        <f>4/(100)</f>
        <v>0.04</v>
      </c>
      <c r="C7206">
        <f>3.938/(100)</f>
        <v>3.9379999999999998E-2</v>
      </c>
    </row>
    <row r="7207" spans="1:3" x14ac:dyDescent="0.3">
      <c r="A7207" s="2">
        <v>44462</v>
      </c>
      <c r="B7207">
        <f>4/(100)</f>
        <v>0.04</v>
      </c>
      <c r="C7207">
        <f>3.936/(100)</f>
        <v>3.9359999999999999E-2</v>
      </c>
    </row>
    <row r="7208" spans="1:3" x14ac:dyDescent="0.3">
      <c r="A7208" s="2">
        <v>44463</v>
      </c>
      <c r="B7208">
        <f>4/(100)</f>
        <v>0.04</v>
      </c>
      <c r="C7208">
        <f>4.043/(100)</f>
        <v>4.0430000000000001E-2</v>
      </c>
    </row>
    <row r="7209" spans="1:3" x14ac:dyDescent="0.3">
      <c r="A7209" s="2">
        <v>44464</v>
      </c>
      <c r="B7209">
        <f>4/(100)</f>
        <v>0.04</v>
      </c>
      <c r="C7209">
        <f>4.043/(100)</f>
        <v>4.0430000000000001E-2</v>
      </c>
    </row>
    <row r="7210" spans="1:3" x14ac:dyDescent="0.3">
      <c r="A7210" s="2">
        <v>44465</v>
      </c>
      <c r="B7210">
        <f>4/(100)</f>
        <v>0.04</v>
      </c>
      <c r="C7210">
        <f>4.043/(100)</f>
        <v>4.0430000000000001E-2</v>
      </c>
    </row>
    <row r="7211" spans="1:3" x14ac:dyDescent="0.3">
      <c r="A7211" s="2">
        <v>44466</v>
      </c>
      <c r="B7211">
        <f>4/(100)</f>
        <v>0.04</v>
      </c>
      <c r="C7211">
        <f>3.967/(100)</f>
        <v>3.9670000000000004E-2</v>
      </c>
    </row>
    <row r="7212" spans="1:3" x14ac:dyDescent="0.3">
      <c r="A7212" s="2">
        <v>44467</v>
      </c>
      <c r="B7212">
        <f>4/(100)</f>
        <v>0.04</v>
      </c>
      <c r="C7212">
        <f>3.948/(100)</f>
        <v>3.9480000000000001E-2</v>
      </c>
    </row>
    <row r="7213" spans="1:3" x14ac:dyDescent="0.3">
      <c r="A7213" s="2">
        <v>44468</v>
      </c>
      <c r="B7213">
        <f>4/(100)</f>
        <v>0.04</v>
      </c>
      <c r="C7213">
        <f>4.028/(100)</f>
        <v>4.0279999999999996E-2</v>
      </c>
    </row>
    <row r="7214" spans="1:3" x14ac:dyDescent="0.3">
      <c r="A7214" s="2">
        <v>44469</v>
      </c>
      <c r="B7214">
        <f>4/(100)</f>
        <v>0.04</v>
      </c>
      <c r="C7214">
        <f>4.031/(100)</f>
        <v>4.0309999999999999E-2</v>
      </c>
    </row>
    <row r="7215" spans="1:3" x14ac:dyDescent="0.3">
      <c r="A7215" s="2">
        <v>44470</v>
      </c>
      <c r="B7215">
        <f>4/(100)</f>
        <v>0.04</v>
      </c>
      <c r="C7215">
        <f>4.075/(100)</f>
        <v>4.0750000000000001E-2</v>
      </c>
    </row>
    <row r="7216" spans="1:3" x14ac:dyDescent="0.3">
      <c r="A7216" s="2">
        <v>44471</v>
      </c>
      <c r="B7216">
        <f>4/(100)</f>
        <v>0.04</v>
      </c>
      <c r="C7216">
        <f>4.075/(100)</f>
        <v>4.0750000000000001E-2</v>
      </c>
    </row>
    <row r="7217" spans="1:3" x14ac:dyDescent="0.3">
      <c r="A7217" s="2">
        <v>44472</v>
      </c>
      <c r="B7217">
        <f>4/(100)</f>
        <v>0.04</v>
      </c>
      <c r="C7217">
        <f>4.075/(100)</f>
        <v>4.0750000000000001E-2</v>
      </c>
    </row>
    <row r="7218" spans="1:3" x14ac:dyDescent="0.3">
      <c r="A7218" s="2">
        <v>44473</v>
      </c>
      <c r="B7218">
        <f>4/(100)</f>
        <v>0.04</v>
      </c>
      <c r="C7218">
        <f>4.06/(100)</f>
        <v>4.0599999999999997E-2</v>
      </c>
    </row>
    <row r="7219" spans="1:3" x14ac:dyDescent="0.3">
      <c r="A7219" s="2">
        <v>44474</v>
      </c>
      <c r="B7219">
        <f>4/(100)</f>
        <v>0.04</v>
      </c>
      <c r="C7219">
        <f>4.061/(100)</f>
        <v>4.061E-2</v>
      </c>
    </row>
    <row r="7220" spans="1:3" x14ac:dyDescent="0.3">
      <c r="A7220" s="2">
        <v>44475</v>
      </c>
      <c r="B7220">
        <f>4/(100)</f>
        <v>0.04</v>
      </c>
      <c r="C7220">
        <f>4.061/(100)</f>
        <v>4.061E-2</v>
      </c>
    </row>
    <row r="7221" spans="1:3" x14ac:dyDescent="0.3">
      <c r="A7221" s="2">
        <v>44476</v>
      </c>
      <c r="B7221">
        <f>4/(100)</f>
        <v>0.04</v>
      </c>
      <c r="C7221">
        <f>4.061/(100)</f>
        <v>4.061E-2</v>
      </c>
    </row>
    <row r="7222" spans="1:3" x14ac:dyDescent="0.3">
      <c r="A7222" s="2">
        <v>44477</v>
      </c>
      <c r="B7222">
        <f>4/(100)</f>
        <v>0.04</v>
      </c>
      <c r="C7222">
        <f>4.061/(100)</f>
        <v>4.061E-2</v>
      </c>
    </row>
    <row r="7223" spans="1:3" x14ac:dyDescent="0.3">
      <c r="A7223" s="2">
        <v>44478</v>
      </c>
      <c r="B7223">
        <f>4/(100)</f>
        <v>0.04</v>
      </c>
      <c r="C7223">
        <f>4.061/(100)</f>
        <v>4.061E-2</v>
      </c>
    </row>
    <row r="7224" spans="1:3" x14ac:dyDescent="0.3">
      <c r="A7224" s="2">
        <v>44479</v>
      </c>
      <c r="B7224">
        <f>4/(100)</f>
        <v>0.04</v>
      </c>
      <c r="C7224">
        <f>4.061/(100)</f>
        <v>4.061E-2</v>
      </c>
    </row>
    <row r="7225" spans="1:3" x14ac:dyDescent="0.3">
      <c r="A7225" s="2">
        <v>44480</v>
      </c>
      <c r="B7225">
        <f>4/(100)</f>
        <v>0.04</v>
      </c>
      <c r="C7225">
        <f>4.102/(100)</f>
        <v>4.1020000000000001E-2</v>
      </c>
    </row>
    <row r="7226" spans="1:3" x14ac:dyDescent="0.3">
      <c r="A7226" s="2">
        <v>44481</v>
      </c>
      <c r="B7226">
        <f>4/(100)</f>
        <v>0.04</v>
      </c>
      <c r="C7226">
        <f>4.122/(100)</f>
        <v>4.122E-2</v>
      </c>
    </row>
    <row r="7227" spans="1:3" x14ac:dyDescent="0.3">
      <c r="A7227" s="2">
        <v>44482</v>
      </c>
      <c r="B7227">
        <f>4/(100)</f>
        <v>0.04</v>
      </c>
      <c r="C7227">
        <f>4.101/(100)</f>
        <v>4.1009999999999998E-2</v>
      </c>
    </row>
    <row r="7228" spans="1:3" x14ac:dyDescent="0.3">
      <c r="A7228" s="2">
        <v>44483</v>
      </c>
      <c r="B7228">
        <f>4/(100)</f>
        <v>0.04</v>
      </c>
      <c r="C7228">
        <f>4.101/(100)</f>
        <v>4.1009999999999998E-2</v>
      </c>
    </row>
    <row r="7229" spans="1:3" x14ac:dyDescent="0.3">
      <c r="A7229" s="2">
        <v>44484</v>
      </c>
      <c r="B7229">
        <f>4/(100)</f>
        <v>0.04</v>
      </c>
      <c r="C7229">
        <f>4.101/(100)</f>
        <v>4.1009999999999998E-2</v>
      </c>
    </row>
    <row r="7230" spans="1:3" x14ac:dyDescent="0.3">
      <c r="A7230" s="2">
        <v>44485</v>
      </c>
      <c r="B7230">
        <f>4/(100)</f>
        <v>0.04</v>
      </c>
      <c r="C7230">
        <f>4.101/(100)</f>
        <v>4.1009999999999998E-2</v>
      </c>
    </row>
    <row r="7231" spans="1:3" x14ac:dyDescent="0.3">
      <c r="A7231" s="2">
        <v>44486</v>
      </c>
      <c r="B7231">
        <f>4/(100)</f>
        <v>0.04</v>
      </c>
      <c r="C7231">
        <f>4.101/(100)</f>
        <v>4.1009999999999998E-2</v>
      </c>
    </row>
    <row r="7232" spans="1:3" x14ac:dyDescent="0.3">
      <c r="A7232" s="2">
        <v>44487</v>
      </c>
      <c r="B7232">
        <f>4/(100)</f>
        <v>0.04</v>
      </c>
      <c r="C7232">
        <f>4.192/(100)</f>
        <v>4.1919999999999999E-2</v>
      </c>
    </row>
    <row r="7233" spans="1:3" x14ac:dyDescent="0.3">
      <c r="A7233" s="2">
        <v>44488</v>
      </c>
      <c r="B7233">
        <f>4/(100)</f>
        <v>0.04</v>
      </c>
      <c r="C7233">
        <f>4.192/(100)</f>
        <v>4.1919999999999999E-2</v>
      </c>
    </row>
    <row r="7234" spans="1:3" x14ac:dyDescent="0.3">
      <c r="A7234" s="2">
        <v>44489</v>
      </c>
      <c r="B7234">
        <f>4/(100)</f>
        <v>0.04</v>
      </c>
      <c r="C7234">
        <f>4.282/(100)</f>
        <v>4.2819999999999997E-2</v>
      </c>
    </row>
    <row r="7235" spans="1:3" x14ac:dyDescent="0.3">
      <c r="A7235" s="2">
        <v>44490</v>
      </c>
      <c r="B7235">
        <f>4/(100)</f>
        <v>0.04</v>
      </c>
      <c r="C7235">
        <f>4.154/(100)</f>
        <v>4.1540000000000001E-2</v>
      </c>
    </row>
    <row r="7236" spans="1:3" x14ac:dyDescent="0.3">
      <c r="A7236" s="2">
        <v>44491</v>
      </c>
      <c r="B7236">
        <f>4/(100)</f>
        <v>0.04</v>
      </c>
      <c r="C7236">
        <f>4.28/(100)</f>
        <v>4.2800000000000005E-2</v>
      </c>
    </row>
    <row r="7237" spans="1:3" x14ac:dyDescent="0.3">
      <c r="A7237" s="2">
        <v>44492</v>
      </c>
      <c r="B7237">
        <f>4/(100)</f>
        <v>0.04</v>
      </c>
      <c r="C7237">
        <f>4.28/(100)</f>
        <v>4.2800000000000005E-2</v>
      </c>
    </row>
    <row r="7238" spans="1:3" x14ac:dyDescent="0.3">
      <c r="A7238" s="2">
        <v>44493</v>
      </c>
      <c r="B7238">
        <f>4/(100)</f>
        <v>0.04</v>
      </c>
      <c r="C7238">
        <f>4.28/(100)</f>
        <v>4.2800000000000005E-2</v>
      </c>
    </row>
    <row r="7239" spans="1:3" x14ac:dyDescent="0.3">
      <c r="A7239" s="2">
        <v>44494</v>
      </c>
      <c r="B7239">
        <f>4/(100)</f>
        <v>0.04</v>
      </c>
      <c r="C7239">
        <f>4.217/(100)</f>
        <v>4.2169999999999999E-2</v>
      </c>
    </row>
    <row r="7240" spans="1:3" x14ac:dyDescent="0.3">
      <c r="A7240" s="2">
        <v>44495</v>
      </c>
      <c r="B7240">
        <f>4/(100)</f>
        <v>0.04</v>
      </c>
      <c r="C7240">
        <f>4.255/(100)</f>
        <v>4.2549999999999998E-2</v>
      </c>
    </row>
    <row r="7241" spans="1:3" x14ac:dyDescent="0.3">
      <c r="A7241" s="2">
        <v>44496</v>
      </c>
      <c r="B7241">
        <f>4/(100)</f>
        <v>0.04</v>
      </c>
      <c r="C7241">
        <f>4.25/(100)</f>
        <v>4.2500000000000003E-2</v>
      </c>
    </row>
    <row r="7242" spans="1:3" x14ac:dyDescent="0.3">
      <c r="A7242" s="2">
        <v>44497</v>
      </c>
      <c r="B7242">
        <f>4/(100)</f>
        <v>0.04</v>
      </c>
      <c r="C7242">
        <f>4.11/(100)</f>
        <v>4.1100000000000005E-2</v>
      </c>
    </row>
    <row r="7243" spans="1:3" x14ac:dyDescent="0.3">
      <c r="A7243" s="2">
        <v>44498</v>
      </c>
      <c r="B7243">
        <f>4/(100)</f>
        <v>0.04</v>
      </c>
      <c r="C7243">
        <f>4.11/(100)</f>
        <v>4.1100000000000005E-2</v>
      </c>
    </row>
    <row r="7244" spans="1:3" x14ac:dyDescent="0.3">
      <c r="A7244" s="2">
        <v>44499</v>
      </c>
      <c r="B7244">
        <f>4/(100)</f>
        <v>0.04</v>
      </c>
      <c r="C7244">
        <f>4.11/(100)</f>
        <v>4.1100000000000005E-2</v>
      </c>
    </row>
    <row r="7245" spans="1:3" x14ac:dyDescent="0.3">
      <c r="A7245" s="2">
        <v>44500</v>
      </c>
      <c r="B7245">
        <f>4/(100)</f>
        <v>0.04</v>
      </c>
      <c r="C7245">
        <f>4.11/(100)</f>
        <v>4.1100000000000005E-2</v>
      </c>
    </row>
    <row r="7246" spans="1:3" x14ac:dyDescent="0.3">
      <c r="A7246" s="2">
        <v>44501</v>
      </c>
      <c r="B7246">
        <f>4/(100)</f>
        <v>0.04</v>
      </c>
      <c r="C7246">
        <f>4.306/(100)</f>
        <v>4.3060000000000001E-2</v>
      </c>
    </row>
    <row r="7247" spans="1:3" x14ac:dyDescent="0.3">
      <c r="A7247" s="2">
        <v>44502</v>
      </c>
      <c r="B7247">
        <f>4/(100)</f>
        <v>0.04</v>
      </c>
      <c r="C7247">
        <f>4.219/(100)</f>
        <v>4.2190000000000005E-2</v>
      </c>
    </row>
    <row r="7248" spans="1:3" x14ac:dyDescent="0.3">
      <c r="A7248" s="2">
        <v>44503</v>
      </c>
      <c r="B7248">
        <f>4/(100)</f>
        <v>0.04</v>
      </c>
      <c r="C7248">
        <f>4.234/(100)</f>
        <v>4.2340000000000003E-2</v>
      </c>
    </row>
    <row r="7249" spans="1:3" x14ac:dyDescent="0.3">
      <c r="A7249" s="2">
        <v>44504</v>
      </c>
      <c r="B7249">
        <f>4/(100)</f>
        <v>0.04</v>
      </c>
      <c r="C7249">
        <f>4.234/(100)</f>
        <v>4.2340000000000003E-2</v>
      </c>
    </row>
    <row r="7250" spans="1:3" x14ac:dyDescent="0.3">
      <c r="A7250" s="2">
        <v>44505</v>
      </c>
      <c r="B7250">
        <f>4/(100)</f>
        <v>0.04</v>
      </c>
      <c r="C7250">
        <f>4.234/(100)</f>
        <v>4.2340000000000003E-2</v>
      </c>
    </row>
    <row r="7251" spans="1:3" x14ac:dyDescent="0.3">
      <c r="A7251" s="2">
        <v>44506</v>
      </c>
      <c r="B7251">
        <f>4/(100)</f>
        <v>0.04</v>
      </c>
      <c r="C7251">
        <f>4.234/(100)</f>
        <v>4.2340000000000003E-2</v>
      </c>
    </row>
    <row r="7252" spans="1:3" x14ac:dyDescent="0.3">
      <c r="A7252" s="2">
        <v>44507</v>
      </c>
      <c r="B7252">
        <f>4/(100)</f>
        <v>0.04</v>
      </c>
      <c r="C7252">
        <f>4.234/(100)</f>
        <v>4.2340000000000003E-2</v>
      </c>
    </row>
    <row r="7253" spans="1:3" x14ac:dyDescent="0.3">
      <c r="A7253" s="2">
        <v>44508</v>
      </c>
      <c r="B7253">
        <f>4/(100)</f>
        <v>0.04</v>
      </c>
      <c r="C7253">
        <f>4.137/(100)</f>
        <v>4.1369999999999997E-2</v>
      </c>
    </row>
    <row r="7254" spans="1:3" x14ac:dyDescent="0.3">
      <c r="A7254" s="2">
        <v>44509</v>
      </c>
      <c r="B7254">
        <f>4/(100)</f>
        <v>0.04</v>
      </c>
      <c r="C7254">
        <f>4.186/(100)</f>
        <v>4.1860000000000001E-2</v>
      </c>
    </row>
    <row r="7255" spans="1:3" x14ac:dyDescent="0.3">
      <c r="A7255" s="2">
        <v>44510</v>
      </c>
      <c r="B7255">
        <f>4/(100)</f>
        <v>0.04</v>
      </c>
      <c r="C7255">
        <f>4.285/(100)</f>
        <v>4.2849999999999999E-2</v>
      </c>
    </row>
    <row r="7256" spans="1:3" x14ac:dyDescent="0.3">
      <c r="A7256" s="2">
        <v>44511</v>
      </c>
      <c r="B7256">
        <f>4/(100)</f>
        <v>0.04</v>
      </c>
      <c r="C7256">
        <f>4.285/(100)</f>
        <v>4.2849999999999999E-2</v>
      </c>
    </row>
    <row r="7257" spans="1:3" x14ac:dyDescent="0.3">
      <c r="A7257" s="2">
        <v>44512</v>
      </c>
      <c r="B7257">
        <f>4/(100)</f>
        <v>0.04</v>
      </c>
      <c r="C7257">
        <f>4.172/(100)</f>
        <v>4.172E-2</v>
      </c>
    </row>
    <row r="7258" spans="1:3" x14ac:dyDescent="0.3">
      <c r="A7258" s="2">
        <v>44513</v>
      </c>
      <c r="B7258">
        <f>4/(100)</f>
        <v>0.04</v>
      </c>
      <c r="C7258">
        <f>4.172/(100)</f>
        <v>4.172E-2</v>
      </c>
    </row>
    <row r="7259" spans="1:3" x14ac:dyDescent="0.3">
      <c r="A7259" s="2">
        <v>44514</v>
      </c>
      <c r="B7259">
        <f>4/(100)</f>
        <v>0.04</v>
      </c>
      <c r="C7259">
        <f>4.172/(100)</f>
        <v>4.172E-2</v>
      </c>
    </row>
    <row r="7260" spans="1:3" x14ac:dyDescent="0.3">
      <c r="A7260" s="2">
        <v>44515</v>
      </c>
      <c r="B7260">
        <f>4/(100)</f>
        <v>0.04</v>
      </c>
      <c r="C7260">
        <f>4.172/(100)</f>
        <v>4.172E-2</v>
      </c>
    </row>
    <row r="7261" spans="1:3" x14ac:dyDescent="0.3">
      <c r="A7261" s="2">
        <v>44516</v>
      </c>
      <c r="B7261">
        <f>4/(100)</f>
        <v>0.04</v>
      </c>
      <c r="C7261">
        <f>4.172/(100)</f>
        <v>4.172E-2</v>
      </c>
    </row>
    <row r="7262" spans="1:3" x14ac:dyDescent="0.3">
      <c r="A7262" s="2">
        <v>44517</v>
      </c>
      <c r="B7262">
        <f>4/(100)</f>
        <v>0.04</v>
      </c>
      <c r="C7262">
        <f>4.172/(100)</f>
        <v>4.172E-2</v>
      </c>
    </row>
    <row r="7263" spans="1:3" x14ac:dyDescent="0.3">
      <c r="A7263" s="2">
        <v>44518</v>
      </c>
      <c r="B7263">
        <f>4/(100)</f>
        <v>0.04</v>
      </c>
      <c r="C7263">
        <f>4.172/(100)</f>
        <v>4.172E-2</v>
      </c>
    </row>
    <row r="7264" spans="1:3" x14ac:dyDescent="0.3">
      <c r="A7264" s="2">
        <v>44519</v>
      </c>
      <c r="B7264">
        <f>4/(100)</f>
        <v>0.04</v>
      </c>
      <c r="C7264">
        <f>4.172/(100)</f>
        <v>4.172E-2</v>
      </c>
    </row>
    <row r="7265" spans="1:3" x14ac:dyDescent="0.3">
      <c r="A7265" s="2">
        <v>44520</v>
      </c>
      <c r="B7265">
        <f>4/(100)</f>
        <v>0.04</v>
      </c>
      <c r="C7265">
        <f>4.172/(100)</f>
        <v>4.172E-2</v>
      </c>
    </row>
    <row r="7266" spans="1:3" x14ac:dyDescent="0.3">
      <c r="A7266" s="2">
        <v>44521</v>
      </c>
      <c r="B7266">
        <f>4/(100)</f>
        <v>0.04</v>
      </c>
      <c r="C7266">
        <f>4.172/(100)</f>
        <v>4.172E-2</v>
      </c>
    </row>
    <row r="7267" spans="1:3" x14ac:dyDescent="0.3">
      <c r="A7267" s="2">
        <v>44522</v>
      </c>
      <c r="B7267">
        <f>4/(100)</f>
        <v>0.04</v>
      </c>
      <c r="C7267">
        <f>4.233/(100)</f>
        <v>4.233E-2</v>
      </c>
    </row>
    <row r="7268" spans="1:3" x14ac:dyDescent="0.3">
      <c r="A7268" s="2">
        <v>44523</v>
      </c>
      <c r="B7268">
        <f>4/(100)</f>
        <v>0.04</v>
      </c>
      <c r="C7268">
        <f>4.227/(100)</f>
        <v>4.2270000000000002E-2</v>
      </c>
    </row>
    <row r="7269" spans="1:3" x14ac:dyDescent="0.3">
      <c r="A7269" s="2">
        <v>44524</v>
      </c>
      <c r="B7269">
        <f>4/(100)</f>
        <v>0.04</v>
      </c>
      <c r="C7269">
        <f>4.227/(100)</f>
        <v>4.2270000000000002E-2</v>
      </c>
    </row>
    <row r="7270" spans="1:3" x14ac:dyDescent="0.3">
      <c r="A7270" s="2">
        <v>44525</v>
      </c>
      <c r="B7270">
        <f>4/(100)</f>
        <v>0.04</v>
      </c>
      <c r="C7270">
        <f>4.28/(100)</f>
        <v>4.2800000000000005E-2</v>
      </c>
    </row>
    <row r="7271" spans="1:3" x14ac:dyDescent="0.3">
      <c r="A7271" s="2">
        <v>44526</v>
      </c>
      <c r="B7271">
        <f>4/(100)</f>
        <v>0.04</v>
      </c>
      <c r="C7271">
        <f>4.28/(100)</f>
        <v>4.2800000000000005E-2</v>
      </c>
    </row>
    <row r="7272" spans="1:3" x14ac:dyDescent="0.3">
      <c r="A7272" s="2">
        <v>44527</v>
      </c>
      <c r="B7272">
        <f>4/(100)</f>
        <v>0.04</v>
      </c>
      <c r="C7272">
        <f>4.28/(100)</f>
        <v>4.2800000000000005E-2</v>
      </c>
    </row>
    <row r="7273" spans="1:3" x14ac:dyDescent="0.3">
      <c r="A7273" s="2">
        <v>44528</v>
      </c>
      <c r="B7273">
        <f>4/(100)</f>
        <v>0.04</v>
      </c>
      <c r="C7273">
        <f>4.28/(100)</f>
        <v>4.2800000000000005E-2</v>
      </c>
    </row>
    <row r="7274" spans="1:3" x14ac:dyDescent="0.3">
      <c r="A7274" s="2">
        <v>44529</v>
      </c>
      <c r="B7274">
        <f>4/(100)</f>
        <v>0.04</v>
      </c>
      <c r="C7274">
        <f>4.284/(100)</f>
        <v>4.2839999999999996E-2</v>
      </c>
    </row>
    <row r="7275" spans="1:3" x14ac:dyDescent="0.3">
      <c r="A7275" s="2">
        <v>44530</v>
      </c>
      <c r="B7275">
        <f>4/(100)</f>
        <v>0.04</v>
      </c>
      <c r="C7275">
        <f>4.264/(100)</f>
        <v>4.2640000000000004E-2</v>
      </c>
    </row>
    <row r="7276" spans="1:3" x14ac:dyDescent="0.3">
      <c r="A7276" s="2">
        <v>44531</v>
      </c>
      <c r="B7276">
        <f>4/(100)</f>
        <v>0.04</v>
      </c>
      <c r="C7276">
        <f>4.281/(100)</f>
        <v>4.2809999999999994E-2</v>
      </c>
    </row>
    <row r="7277" spans="1:3" x14ac:dyDescent="0.3">
      <c r="A7277" s="2">
        <v>44532</v>
      </c>
      <c r="B7277">
        <f>4/(100)</f>
        <v>0.04</v>
      </c>
      <c r="C7277">
        <f>4.309/(100)</f>
        <v>4.3090000000000003E-2</v>
      </c>
    </row>
    <row r="7278" spans="1:3" x14ac:dyDescent="0.3">
      <c r="A7278" s="2">
        <v>44533</v>
      </c>
      <c r="B7278">
        <f>4/(100)</f>
        <v>0.04</v>
      </c>
      <c r="C7278">
        <f>4.344/(100)</f>
        <v>4.3440000000000006E-2</v>
      </c>
    </row>
    <row r="7279" spans="1:3" x14ac:dyDescent="0.3">
      <c r="A7279" s="2">
        <v>44534</v>
      </c>
      <c r="B7279">
        <f>4/(100)</f>
        <v>0.04</v>
      </c>
      <c r="C7279">
        <f>4.344/(100)</f>
        <v>4.3440000000000006E-2</v>
      </c>
    </row>
    <row r="7280" spans="1:3" x14ac:dyDescent="0.3">
      <c r="A7280" s="2">
        <v>44535</v>
      </c>
      <c r="B7280">
        <f>4/(100)</f>
        <v>0.04</v>
      </c>
      <c r="C7280">
        <f>4.344/(100)</f>
        <v>4.3440000000000006E-2</v>
      </c>
    </row>
    <row r="7281" spans="1:3" x14ac:dyDescent="0.3">
      <c r="A7281" s="2">
        <v>44536</v>
      </c>
      <c r="B7281">
        <f>4/(100)</f>
        <v>0.04</v>
      </c>
      <c r="C7281">
        <f>4.32/(100)</f>
        <v>4.3200000000000002E-2</v>
      </c>
    </row>
    <row r="7282" spans="1:3" x14ac:dyDescent="0.3">
      <c r="A7282" s="2">
        <v>44537</v>
      </c>
      <c r="B7282">
        <f>4/(100)</f>
        <v>0.04</v>
      </c>
      <c r="C7282">
        <f>4.341/(100)</f>
        <v>4.3410000000000004E-2</v>
      </c>
    </row>
    <row r="7283" spans="1:3" x14ac:dyDescent="0.3">
      <c r="A7283" s="2">
        <v>44538</v>
      </c>
      <c r="B7283">
        <f>4/(100)</f>
        <v>0.04</v>
      </c>
      <c r="C7283">
        <f>4.3/(100)</f>
        <v>4.2999999999999997E-2</v>
      </c>
    </row>
    <row r="7284" spans="1:3" x14ac:dyDescent="0.3">
      <c r="A7284" s="2">
        <v>44539</v>
      </c>
      <c r="B7284">
        <f>4/(100)</f>
        <v>0.04</v>
      </c>
      <c r="C7284">
        <f>4.269/(100)</f>
        <v>4.2689999999999999E-2</v>
      </c>
    </row>
    <row r="7285" spans="1:3" x14ac:dyDescent="0.3">
      <c r="A7285" s="2">
        <v>44540</v>
      </c>
      <c r="B7285">
        <f>4/(100)</f>
        <v>0.04</v>
      </c>
      <c r="C7285">
        <f>4.537/(100)</f>
        <v>4.5370000000000001E-2</v>
      </c>
    </row>
    <row r="7286" spans="1:3" x14ac:dyDescent="0.3">
      <c r="A7286" s="2">
        <v>44541</v>
      </c>
      <c r="B7286">
        <f>4/(100)</f>
        <v>0.04</v>
      </c>
      <c r="C7286">
        <f>4.537/(100)</f>
        <v>4.5370000000000001E-2</v>
      </c>
    </row>
    <row r="7287" spans="1:3" x14ac:dyDescent="0.3">
      <c r="A7287" s="2">
        <v>44542</v>
      </c>
      <c r="B7287">
        <f>4/(100)</f>
        <v>0.04</v>
      </c>
      <c r="C7287">
        <f>4.537/(100)</f>
        <v>4.5370000000000001E-2</v>
      </c>
    </row>
    <row r="7288" spans="1:3" x14ac:dyDescent="0.3">
      <c r="A7288" s="2">
        <v>44543</v>
      </c>
      <c r="B7288">
        <f>4/(100)</f>
        <v>0.04</v>
      </c>
      <c r="C7288">
        <f>4.278/(100)</f>
        <v>4.2779999999999999E-2</v>
      </c>
    </row>
    <row r="7289" spans="1:3" x14ac:dyDescent="0.3">
      <c r="A7289" s="2">
        <v>44544</v>
      </c>
      <c r="B7289">
        <f>4/(100)</f>
        <v>0.04</v>
      </c>
      <c r="C7289">
        <f>4.349/(100)</f>
        <v>4.3490000000000001E-2</v>
      </c>
    </row>
    <row r="7290" spans="1:3" x14ac:dyDescent="0.3">
      <c r="A7290" s="2">
        <v>44545</v>
      </c>
      <c r="B7290">
        <f>4/(100)</f>
        <v>0.04</v>
      </c>
      <c r="C7290">
        <f>4.38/(100)</f>
        <v>4.3799999999999999E-2</v>
      </c>
    </row>
    <row r="7291" spans="1:3" x14ac:dyDescent="0.3">
      <c r="A7291" s="2">
        <v>44546</v>
      </c>
      <c r="B7291">
        <f>4/(100)</f>
        <v>0.04</v>
      </c>
      <c r="C7291">
        <f>4.384/(100)</f>
        <v>4.3840000000000004E-2</v>
      </c>
    </row>
    <row r="7292" spans="1:3" x14ac:dyDescent="0.3">
      <c r="A7292" s="2">
        <v>44547</v>
      </c>
      <c r="B7292">
        <f>4/(100)</f>
        <v>0.04</v>
      </c>
      <c r="C7292">
        <f>4.354/(100)</f>
        <v>4.3540000000000002E-2</v>
      </c>
    </row>
    <row r="7293" spans="1:3" x14ac:dyDescent="0.3">
      <c r="A7293" s="2">
        <v>44548</v>
      </c>
      <c r="B7293">
        <f>4/(100)</f>
        <v>0.04</v>
      </c>
      <c r="C7293">
        <f>4.354/(100)</f>
        <v>4.3540000000000002E-2</v>
      </c>
    </row>
    <row r="7294" spans="1:3" x14ac:dyDescent="0.3">
      <c r="A7294" s="2">
        <v>44549</v>
      </c>
      <c r="B7294">
        <f>4/(100)</f>
        <v>0.04</v>
      </c>
      <c r="C7294">
        <f>4.354/(100)</f>
        <v>4.3540000000000002E-2</v>
      </c>
    </row>
    <row r="7295" spans="1:3" x14ac:dyDescent="0.3">
      <c r="A7295" s="2">
        <v>44550</v>
      </c>
      <c r="B7295">
        <f>4/(100)</f>
        <v>0.04</v>
      </c>
      <c r="C7295">
        <f>4.398/(100)</f>
        <v>4.3979999999999998E-2</v>
      </c>
    </row>
    <row r="7296" spans="1:3" x14ac:dyDescent="0.3">
      <c r="A7296" s="2">
        <v>44551</v>
      </c>
      <c r="B7296">
        <f>4/(100)</f>
        <v>0.04</v>
      </c>
      <c r="C7296">
        <f>4.415/(100)</f>
        <v>4.4150000000000002E-2</v>
      </c>
    </row>
    <row r="7297" spans="1:3" x14ac:dyDescent="0.3">
      <c r="A7297" s="2">
        <v>44552</v>
      </c>
      <c r="B7297">
        <f>4/(100)</f>
        <v>0.04</v>
      </c>
      <c r="C7297">
        <f>4.408/(100)</f>
        <v>4.4080000000000001E-2</v>
      </c>
    </row>
    <row r="7298" spans="1:3" x14ac:dyDescent="0.3">
      <c r="A7298" s="2">
        <v>44553</v>
      </c>
      <c r="B7298">
        <f>4/(100)</f>
        <v>0.04</v>
      </c>
      <c r="C7298">
        <f>4.409/(100)</f>
        <v>4.4089999999999997E-2</v>
      </c>
    </row>
    <row r="7299" spans="1:3" x14ac:dyDescent="0.3">
      <c r="A7299" s="2">
        <v>44554</v>
      </c>
      <c r="B7299">
        <f>4/(100)</f>
        <v>0.04</v>
      </c>
      <c r="C7299">
        <f>4.388/(100)</f>
        <v>4.3880000000000002E-2</v>
      </c>
    </row>
    <row r="7300" spans="1:3" x14ac:dyDescent="0.3">
      <c r="A7300" s="2">
        <v>44555</v>
      </c>
      <c r="B7300">
        <f>4/(100)</f>
        <v>0.04</v>
      </c>
      <c r="C7300">
        <f>4.388/(100)</f>
        <v>4.3880000000000002E-2</v>
      </c>
    </row>
    <row r="7301" spans="1:3" x14ac:dyDescent="0.3">
      <c r="A7301" s="2">
        <v>44556</v>
      </c>
      <c r="B7301">
        <f>4/(100)</f>
        <v>0.04</v>
      </c>
      <c r="C7301">
        <f>4.388/(100)</f>
        <v>4.3880000000000002E-2</v>
      </c>
    </row>
    <row r="7302" spans="1:3" x14ac:dyDescent="0.3">
      <c r="A7302" s="2">
        <v>44557</v>
      </c>
      <c r="B7302">
        <f>4/(100)</f>
        <v>0.04</v>
      </c>
      <c r="C7302">
        <f>4.454/(100)</f>
        <v>4.4539999999999996E-2</v>
      </c>
    </row>
    <row r="7303" spans="1:3" x14ac:dyDescent="0.3">
      <c r="A7303" s="2">
        <v>44558</v>
      </c>
      <c r="B7303">
        <f>4/(100)</f>
        <v>0.04</v>
      </c>
      <c r="C7303">
        <f>4.406/(100)</f>
        <v>4.4059999999999995E-2</v>
      </c>
    </row>
    <row r="7304" spans="1:3" x14ac:dyDescent="0.3">
      <c r="A7304" s="2">
        <v>44559</v>
      </c>
      <c r="B7304">
        <f>4/(100)</f>
        <v>0.04</v>
      </c>
      <c r="C7304">
        <f>4.406/(100)</f>
        <v>4.4059999999999995E-2</v>
      </c>
    </row>
    <row r="7305" spans="1:3" x14ac:dyDescent="0.3">
      <c r="A7305" s="2">
        <v>44560</v>
      </c>
      <c r="B7305">
        <f>4/(100)</f>
        <v>0.04</v>
      </c>
      <c r="C7305">
        <f>4.388/(100)</f>
        <v>4.3880000000000002E-2</v>
      </c>
    </row>
    <row r="7306" spans="1:3" x14ac:dyDescent="0.3">
      <c r="A7306" s="2">
        <v>44561</v>
      </c>
      <c r="B7306">
        <f>4/(100)</f>
        <v>0.04</v>
      </c>
      <c r="C7306">
        <f>4.367/(100)</f>
        <v>4.367E-2</v>
      </c>
    </row>
    <row r="7307" spans="1:3" x14ac:dyDescent="0.3">
      <c r="A7307" s="2">
        <v>44562</v>
      </c>
      <c r="B7307">
        <f>4/(100)</f>
        <v>0.04</v>
      </c>
      <c r="C7307">
        <f>4.367/(100)</f>
        <v>4.367E-2</v>
      </c>
    </row>
    <row r="7308" spans="1:3" x14ac:dyDescent="0.3">
      <c r="A7308" s="2">
        <v>44563</v>
      </c>
      <c r="B7308">
        <f>4/(100)</f>
        <v>0.04</v>
      </c>
      <c r="C7308">
        <f>4.367/(100)</f>
        <v>4.367E-2</v>
      </c>
    </row>
    <row r="7309" spans="1:3" x14ac:dyDescent="0.3">
      <c r="A7309" s="2">
        <v>44564</v>
      </c>
      <c r="B7309">
        <f>4/(100)</f>
        <v>0.04</v>
      </c>
      <c r="C7309">
        <f>4.371/(100)</f>
        <v>4.3710000000000006E-2</v>
      </c>
    </row>
    <row r="7310" spans="1:3" x14ac:dyDescent="0.3">
      <c r="A7310" s="2">
        <v>44565</v>
      </c>
      <c r="B7310">
        <f>4/(100)</f>
        <v>0.04</v>
      </c>
      <c r="C7310">
        <f>4.375/(100)</f>
        <v>4.3749999999999997E-2</v>
      </c>
    </row>
    <row r="7311" spans="1:3" x14ac:dyDescent="0.3">
      <c r="A7311" s="2">
        <v>44566</v>
      </c>
      <c r="B7311">
        <f>4/(100)</f>
        <v>0.04</v>
      </c>
      <c r="C7311">
        <f>4.394/(100)</f>
        <v>4.394E-2</v>
      </c>
    </row>
    <row r="7312" spans="1:3" x14ac:dyDescent="0.3">
      <c r="A7312" s="2">
        <v>44567</v>
      </c>
      <c r="B7312">
        <f>4/(100)</f>
        <v>0.04</v>
      </c>
      <c r="C7312">
        <f>4.382/(100)</f>
        <v>4.3819999999999998E-2</v>
      </c>
    </row>
    <row r="7313" spans="1:3" x14ac:dyDescent="0.3">
      <c r="A7313" s="2">
        <v>44568</v>
      </c>
      <c r="B7313">
        <f>4/(100)</f>
        <v>0.04</v>
      </c>
      <c r="C7313">
        <f>4.392/(100)</f>
        <v>4.3920000000000001E-2</v>
      </c>
    </row>
    <row r="7314" spans="1:3" x14ac:dyDescent="0.3">
      <c r="A7314" s="2">
        <v>44569</v>
      </c>
      <c r="B7314">
        <f>4/(100)</f>
        <v>0.04</v>
      </c>
      <c r="C7314">
        <f>4.392/(100)</f>
        <v>4.3920000000000001E-2</v>
      </c>
    </row>
    <row r="7315" spans="1:3" x14ac:dyDescent="0.3">
      <c r="A7315" s="2">
        <v>44570</v>
      </c>
      <c r="B7315">
        <f>4/(100)</f>
        <v>0.04</v>
      </c>
      <c r="C7315">
        <f>4.392/(100)</f>
        <v>4.3920000000000001E-2</v>
      </c>
    </row>
    <row r="7316" spans="1:3" x14ac:dyDescent="0.3">
      <c r="A7316" s="2">
        <v>44571</v>
      </c>
      <c r="B7316">
        <f>4/(100)</f>
        <v>0.04</v>
      </c>
      <c r="C7316">
        <f>4.404/(100)</f>
        <v>4.4039999999999996E-2</v>
      </c>
    </row>
    <row r="7317" spans="1:3" x14ac:dyDescent="0.3">
      <c r="A7317" s="2">
        <v>44572</v>
      </c>
      <c r="B7317">
        <f>4/(100)</f>
        <v>0.04</v>
      </c>
      <c r="C7317">
        <f>4.375/(100)</f>
        <v>4.3749999999999997E-2</v>
      </c>
    </row>
    <row r="7318" spans="1:3" x14ac:dyDescent="0.3">
      <c r="A7318" s="2">
        <v>44573</v>
      </c>
      <c r="B7318">
        <f>4/(100)</f>
        <v>0.04</v>
      </c>
      <c r="C7318">
        <f>4.36/(100)</f>
        <v>4.36E-2</v>
      </c>
    </row>
    <row r="7319" spans="1:3" x14ac:dyDescent="0.3">
      <c r="A7319" s="2">
        <v>44574</v>
      </c>
      <c r="B7319">
        <f>4/(100)</f>
        <v>0.04</v>
      </c>
      <c r="C7319">
        <f>4.342/(100)</f>
        <v>4.3419999999999993E-2</v>
      </c>
    </row>
    <row r="7320" spans="1:3" x14ac:dyDescent="0.3">
      <c r="A7320" s="2">
        <v>44575</v>
      </c>
      <c r="B7320">
        <f>4/(100)</f>
        <v>0.04</v>
      </c>
      <c r="C7320">
        <f>4.306/(100)</f>
        <v>4.3060000000000001E-2</v>
      </c>
    </row>
    <row r="7321" spans="1:3" x14ac:dyDescent="0.3">
      <c r="A7321" s="2">
        <v>44576</v>
      </c>
      <c r="B7321">
        <f>4/(100)</f>
        <v>0.04</v>
      </c>
      <c r="C7321">
        <f>4.306/(100)</f>
        <v>4.3060000000000001E-2</v>
      </c>
    </row>
    <row r="7322" spans="1:3" x14ac:dyDescent="0.3">
      <c r="A7322" s="2">
        <v>44577</v>
      </c>
      <c r="B7322">
        <f>4/(100)</f>
        <v>0.04</v>
      </c>
      <c r="C7322">
        <f>4.306/(100)</f>
        <v>4.3060000000000001E-2</v>
      </c>
    </row>
    <row r="7323" spans="1:3" x14ac:dyDescent="0.3">
      <c r="A7323" s="2">
        <v>44578</v>
      </c>
      <c r="B7323">
        <f>4/(100)</f>
        <v>0.04</v>
      </c>
      <c r="C7323">
        <f>4.323/(100)</f>
        <v>4.3230000000000005E-2</v>
      </c>
    </row>
    <row r="7324" spans="1:3" x14ac:dyDescent="0.3">
      <c r="A7324" s="2">
        <v>44579</v>
      </c>
      <c r="B7324">
        <f>4/(100)</f>
        <v>0.04</v>
      </c>
      <c r="C7324">
        <f>4.323/(100)</f>
        <v>4.3230000000000005E-2</v>
      </c>
    </row>
    <row r="7325" spans="1:3" x14ac:dyDescent="0.3">
      <c r="A7325" s="2">
        <v>44580</v>
      </c>
      <c r="B7325">
        <f>4/(100)</f>
        <v>0.04</v>
      </c>
      <c r="C7325">
        <f>4.323/(100)</f>
        <v>4.3230000000000005E-2</v>
      </c>
    </row>
    <row r="7326" spans="1:3" x14ac:dyDescent="0.3">
      <c r="A7326" s="2">
        <v>44581</v>
      </c>
      <c r="B7326">
        <f>4/(100)</f>
        <v>0.04</v>
      </c>
      <c r="C7326">
        <f>4.345/(100)</f>
        <v>4.3449999999999996E-2</v>
      </c>
    </row>
    <row r="7327" spans="1:3" x14ac:dyDescent="0.3">
      <c r="A7327" s="2">
        <v>44582</v>
      </c>
      <c r="B7327">
        <f>4/(100)</f>
        <v>0.04</v>
      </c>
      <c r="C7327">
        <f>4.353/(100)</f>
        <v>4.3529999999999999E-2</v>
      </c>
    </row>
    <row r="7328" spans="1:3" x14ac:dyDescent="0.3">
      <c r="A7328" s="2">
        <v>44583</v>
      </c>
      <c r="B7328">
        <f>4/(100)</f>
        <v>0.04</v>
      </c>
      <c r="C7328">
        <f>4.353/(100)</f>
        <v>4.3529999999999999E-2</v>
      </c>
    </row>
    <row r="7329" spans="1:3" x14ac:dyDescent="0.3">
      <c r="A7329" s="2">
        <v>44584</v>
      </c>
      <c r="B7329">
        <f>4/(100)</f>
        <v>0.04</v>
      </c>
      <c r="C7329">
        <f>4.353/(100)</f>
        <v>4.3529999999999999E-2</v>
      </c>
    </row>
    <row r="7330" spans="1:3" x14ac:dyDescent="0.3">
      <c r="A7330" s="2">
        <v>44585</v>
      </c>
      <c r="B7330">
        <f>4/(100)</f>
        <v>0.04</v>
      </c>
      <c r="C7330">
        <f>4.427/(100)</f>
        <v>4.4269999999999997E-2</v>
      </c>
    </row>
    <row r="7331" spans="1:3" x14ac:dyDescent="0.3">
      <c r="A7331" s="2">
        <v>44586</v>
      </c>
      <c r="B7331">
        <f>4/(100)</f>
        <v>0.04</v>
      </c>
      <c r="C7331">
        <f>4.367/(100)</f>
        <v>4.367E-2</v>
      </c>
    </row>
    <row r="7332" spans="1:3" x14ac:dyDescent="0.3">
      <c r="A7332" s="2">
        <v>44587</v>
      </c>
      <c r="B7332">
        <f>4/(100)</f>
        <v>0.04</v>
      </c>
      <c r="C7332">
        <f>4.367/(100)</f>
        <v>4.367E-2</v>
      </c>
    </row>
    <row r="7333" spans="1:3" x14ac:dyDescent="0.3">
      <c r="A7333" s="2">
        <v>44588</v>
      </c>
      <c r="B7333">
        <f>4/(100)</f>
        <v>0.04</v>
      </c>
      <c r="C7333">
        <f>4.374/(100)</f>
        <v>4.3739999999999994E-2</v>
      </c>
    </row>
    <row r="7334" spans="1:3" x14ac:dyDescent="0.3">
      <c r="A7334" s="2">
        <v>44589</v>
      </c>
      <c r="B7334">
        <f>4/(100)</f>
        <v>0.04</v>
      </c>
      <c r="C7334">
        <f>4.462/(100)</f>
        <v>4.462E-2</v>
      </c>
    </row>
    <row r="7335" spans="1:3" x14ac:dyDescent="0.3">
      <c r="A7335" s="2">
        <v>44590</v>
      </c>
      <c r="B7335">
        <f>4/(100)</f>
        <v>0.04</v>
      </c>
      <c r="C7335">
        <f>4.462/(100)</f>
        <v>4.462E-2</v>
      </c>
    </row>
    <row r="7336" spans="1:3" x14ac:dyDescent="0.3">
      <c r="A7336" s="2">
        <v>44591</v>
      </c>
      <c r="B7336">
        <f>4/(100)</f>
        <v>0.04</v>
      </c>
      <c r="C7336">
        <f>4.462/(100)</f>
        <v>4.462E-2</v>
      </c>
    </row>
    <row r="7337" spans="1:3" x14ac:dyDescent="0.3">
      <c r="A7337" s="2">
        <v>44592</v>
      </c>
      <c r="B7337">
        <f>4/(100)</f>
        <v>0.04</v>
      </c>
      <c r="C7337">
        <f>4.435/(100)</f>
        <v>4.4349999999999994E-2</v>
      </c>
    </row>
    <row r="7338" spans="1:3" x14ac:dyDescent="0.3">
      <c r="A7338" s="2">
        <v>44593</v>
      </c>
      <c r="B7338">
        <f>4/(100)</f>
        <v>0.04</v>
      </c>
      <c r="C7338">
        <f>4.435/(100)</f>
        <v>4.4349999999999994E-2</v>
      </c>
    </row>
    <row r="7339" spans="1:3" x14ac:dyDescent="0.3">
      <c r="A7339" s="2">
        <v>44594</v>
      </c>
      <c r="B7339">
        <f>4/(100)</f>
        <v>0.04</v>
      </c>
      <c r="C7339">
        <f>4.628/(100)</f>
        <v>4.6280000000000002E-2</v>
      </c>
    </row>
    <row r="7340" spans="1:3" x14ac:dyDescent="0.3">
      <c r="A7340" s="2">
        <v>44595</v>
      </c>
      <c r="B7340">
        <f>4/(100)</f>
        <v>0.04</v>
      </c>
      <c r="C7340">
        <f>4.568/(100)</f>
        <v>4.5679999999999998E-2</v>
      </c>
    </row>
    <row r="7341" spans="1:3" x14ac:dyDescent="0.3">
      <c r="A7341" s="2">
        <v>44596</v>
      </c>
      <c r="B7341">
        <f>4/(100)</f>
        <v>0.04</v>
      </c>
      <c r="C7341">
        <f>4.867/(100)</f>
        <v>4.8669999999999998E-2</v>
      </c>
    </row>
    <row r="7342" spans="1:3" x14ac:dyDescent="0.3">
      <c r="A7342" s="2">
        <v>44597</v>
      </c>
      <c r="B7342">
        <f>4/(100)</f>
        <v>0.04</v>
      </c>
      <c r="C7342">
        <f>4.867/(100)</f>
        <v>4.8669999999999998E-2</v>
      </c>
    </row>
    <row r="7343" spans="1:3" x14ac:dyDescent="0.3">
      <c r="A7343" s="2">
        <v>44598</v>
      </c>
      <c r="B7343">
        <f>4/(100)</f>
        <v>0.04</v>
      </c>
      <c r="C7343">
        <f>4.867/(100)</f>
        <v>4.8669999999999998E-2</v>
      </c>
    </row>
    <row r="7344" spans="1:3" x14ac:dyDescent="0.3">
      <c r="A7344" s="2">
        <v>44599</v>
      </c>
      <c r="B7344">
        <f>4/(100)</f>
        <v>0.04</v>
      </c>
      <c r="C7344">
        <f>4.867/(100)</f>
        <v>4.8669999999999998E-2</v>
      </c>
    </row>
    <row r="7345" spans="1:3" x14ac:dyDescent="0.3">
      <c r="A7345" s="2">
        <v>44600</v>
      </c>
      <c r="B7345">
        <f>4/(100)</f>
        <v>0.04</v>
      </c>
      <c r="C7345">
        <f>4.861/(100)</f>
        <v>4.861E-2</v>
      </c>
    </row>
    <row r="7346" spans="1:3" x14ac:dyDescent="0.3">
      <c r="A7346" s="2">
        <v>44601</v>
      </c>
      <c r="B7346">
        <f>4/(100)</f>
        <v>0.04</v>
      </c>
      <c r="C7346">
        <f>4.889/(100)</f>
        <v>4.8890000000000003E-2</v>
      </c>
    </row>
    <row r="7347" spans="1:3" x14ac:dyDescent="0.3">
      <c r="A7347" s="2">
        <v>44602</v>
      </c>
      <c r="B7347">
        <f>4/(100)</f>
        <v>0.04</v>
      </c>
      <c r="C7347">
        <f>4.732/(100)</f>
        <v>4.7320000000000001E-2</v>
      </c>
    </row>
    <row r="7348" spans="1:3" x14ac:dyDescent="0.3">
      <c r="A7348" s="2">
        <v>44603</v>
      </c>
      <c r="B7348">
        <f>4/(100)</f>
        <v>0.04</v>
      </c>
      <c r="C7348">
        <f>4.685/(100)</f>
        <v>4.6849999999999996E-2</v>
      </c>
    </row>
    <row r="7349" spans="1:3" x14ac:dyDescent="0.3">
      <c r="A7349" s="2">
        <v>44604</v>
      </c>
      <c r="B7349">
        <f>4/(100)</f>
        <v>0.04</v>
      </c>
      <c r="C7349">
        <f>4.685/(100)</f>
        <v>4.6849999999999996E-2</v>
      </c>
    </row>
    <row r="7350" spans="1:3" x14ac:dyDescent="0.3">
      <c r="A7350" s="2">
        <v>44605</v>
      </c>
      <c r="B7350">
        <f>4/(100)</f>
        <v>0.04</v>
      </c>
      <c r="C7350">
        <f>4.685/(100)</f>
        <v>4.6849999999999996E-2</v>
      </c>
    </row>
    <row r="7351" spans="1:3" x14ac:dyDescent="0.3">
      <c r="A7351" s="2">
        <v>44606</v>
      </c>
      <c r="B7351">
        <f>4/(100)</f>
        <v>0.04</v>
      </c>
      <c r="C7351">
        <f>4.685/(100)</f>
        <v>4.6849999999999996E-2</v>
      </c>
    </row>
    <row r="7352" spans="1:3" x14ac:dyDescent="0.3">
      <c r="A7352" s="2">
        <v>44607</v>
      </c>
      <c r="B7352">
        <f>4/(100)</f>
        <v>0.04</v>
      </c>
      <c r="C7352">
        <f>4.69/(100)</f>
        <v>4.6900000000000004E-2</v>
      </c>
    </row>
    <row r="7353" spans="1:3" x14ac:dyDescent="0.3">
      <c r="A7353" s="2">
        <v>44608</v>
      </c>
      <c r="B7353">
        <f>4/(100)</f>
        <v>0.04</v>
      </c>
      <c r="C7353">
        <f>4.661/(100)</f>
        <v>4.6609999999999999E-2</v>
      </c>
    </row>
    <row r="7354" spans="1:3" x14ac:dyDescent="0.3">
      <c r="A7354" s="2">
        <v>44609</v>
      </c>
      <c r="B7354">
        <f>4/(100)</f>
        <v>0.04</v>
      </c>
      <c r="C7354">
        <f>4.631/(100)</f>
        <v>4.6310000000000004E-2</v>
      </c>
    </row>
    <row r="7355" spans="1:3" x14ac:dyDescent="0.3">
      <c r="A7355" s="2">
        <v>44610</v>
      </c>
      <c r="B7355">
        <f>4/(100)</f>
        <v>0.04</v>
      </c>
      <c r="C7355">
        <f>4.632/(100)</f>
        <v>4.632E-2</v>
      </c>
    </row>
    <row r="7356" spans="1:3" x14ac:dyDescent="0.3">
      <c r="A7356" s="2">
        <v>44611</v>
      </c>
      <c r="B7356">
        <f>4/(100)</f>
        <v>0.04</v>
      </c>
      <c r="C7356">
        <f>4.632/(100)</f>
        <v>4.632E-2</v>
      </c>
    </row>
    <row r="7357" spans="1:3" x14ac:dyDescent="0.3">
      <c r="A7357" s="2">
        <v>44612</v>
      </c>
      <c r="B7357">
        <f>4/(100)</f>
        <v>0.04</v>
      </c>
      <c r="C7357">
        <f>4.632/(100)</f>
        <v>4.632E-2</v>
      </c>
    </row>
    <row r="7358" spans="1:3" x14ac:dyDescent="0.3">
      <c r="A7358" s="2">
        <v>44613</v>
      </c>
      <c r="B7358">
        <f>4/(100)</f>
        <v>0.04</v>
      </c>
      <c r="C7358">
        <f>4.532/(100)</f>
        <v>4.5319999999999999E-2</v>
      </c>
    </row>
    <row r="7359" spans="1:3" x14ac:dyDescent="0.3">
      <c r="A7359" s="2">
        <v>44614</v>
      </c>
      <c r="B7359">
        <f>4/(100)</f>
        <v>0.04</v>
      </c>
      <c r="C7359">
        <f>4.621/(100)</f>
        <v>4.6210000000000001E-2</v>
      </c>
    </row>
    <row r="7360" spans="1:3" x14ac:dyDescent="0.3">
      <c r="A7360" s="2">
        <v>44615</v>
      </c>
      <c r="B7360">
        <f>4/(100)</f>
        <v>0.04</v>
      </c>
      <c r="C7360">
        <f>4.595/(100)</f>
        <v>4.5949999999999998E-2</v>
      </c>
    </row>
    <row r="7361" spans="1:3" x14ac:dyDescent="0.3">
      <c r="A7361" s="2">
        <v>44616</v>
      </c>
      <c r="B7361">
        <f>4/(100)</f>
        <v>0.04</v>
      </c>
      <c r="C7361">
        <f>4.639/(100)</f>
        <v>4.6390000000000001E-2</v>
      </c>
    </row>
    <row r="7362" spans="1:3" x14ac:dyDescent="0.3">
      <c r="A7362" s="2">
        <v>44617</v>
      </c>
      <c r="B7362">
        <f>4/(100)</f>
        <v>0.04</v>
      </c>
      <c r="C7362">
        <f>4.619/(100)</f>
        <v>4.6189999999999995E-2</v>
      </c>
    </row>
    <row r="7363" spans="1:3" x14ac:dyDescent="0.3">
      <c r="A7363" s="2">
        <v>44618</v>
      </c>
      <c r="B7363">
        <f>4/(100)</f>
        <v>0.04</v>
      </c>
      <c r="C7363">
        <f>4.619/(100)</f>
        <v>4.6189999999999995E-2</v>
      </c>
    </row>
    <row r="7364" spans="1:3" x14ac:dyDescent="0.3">
      <c r="A7364" s="2">
        <v>44619</v>
      </c>
      <c r="B7364">
        <f>4/(100)</f>
        <v>0.04</v>
      </c>
      <c r="C7364">
        <f>4.619/(100)</f>
        <v>4.6189999999999995E-2</v>
      </c>
    </row>
    <row r="7365" spans="1:3" x14ac:dyDescent="0.3">
      <c r="A7365" s="2">
        <v>44620</v>
      </c>
      <c r="B7365">
        <f>4/(100)</f>
        <v>0.04</v>
      </c>
      <c r="C7365">
        <f>4.705/(100)</f>
        <v>4.7050000000000002E-2</v>
      </c>
    </row>
    <row r="7366" spans="1:3" x14ac:dyDescent="0.3">
      <c r="A7366" s="2">
        <v>44621</v>
      </c>
      <c r="B7366">
        <f>4/(100)</f>
        <v>0.04</v>
      </c>
      <c r="C7366">
        <f>4.705/(100)</f>
        <v>4.7050000000000002E-2</v>
      </c>
    </row>
    <row r="7367" spans="1:3" x14ac:dyDescent="0.3">
      <c r="A7367" s="2">
        <v>44622</v>
      </c>
      <c r="B7367">
        <f>4/(100)</f>
        <v>0.04</v>
      </c>
      <c r="C7367">
        <f>4.771/(100)</f>
        <v>4.7710000000000002E-2</v>
      </c>
    </row>
    <row r="7368" spans="1:3" x14ac:dyDescent="0.3">
      <c r="A7368" s="2">
        <v>44623</v>
      </c>
      <c r="B7368">
        <f>4/(100)</f>
        <v>0.04</v>
      </c>
      <c r="C7368">
        <f>4.758/(100)</f>
        <v>4.7579999999999997E-2</v>
      </c>
    </row>
    <row r="7369" spans="1:3" x14ac:dyDescent="0.3">
      <c r="A7369" s="2">
        <v>44624</v>
      </c>
      <c r="B7369">
        <f>4/(100)</f>
        <v>0.04</v>
      </c>
      <c r="C7369">
        <f>4.805/(100)</f>
        <v>4.8049999999999995E-2</v>
      </c>
    </row>
    <row r="7370" spans="1:3" x14ac:dyDescent="0.3">
      <c r="A7370" s="2">
        <v>44625</v>
      </c>
      <c r="B7370">
        <f>4/(100)</f>
        <v>0.04</v>
      </c>
      <c r="C7370">
        <f>4.805/(100)</f>
        <v>4.8049999999999995E-2</v>
      </c>
    </row>
    <row r="7371" spans="1:3" x14ac:dyDescent="0.3">
      <c r="A7371" s="2">
        <v>44626</v>
      </c>
      <c r="B7371">
        <f>4/(100)</f>
        <v>0.04</v>
      </c>
      <c r="C7371">
        <f>4.805/(100)</f>
        <v>4.8049999999999995E-2</v>
      </c>
    </row>
    <row r="7372" spans="1:3" x14ac:dyDescent="0.3">
      <c r="A7372" s="2">
        <v>44627</v>
      </c>
      <c r="B7372">
        <f>4/(100)</f>
        <v>0.04</v>
      </c>
      <c r="C7372">
        <f>4.851/(100)</f>
        <v>4.8509999999999998E-2</v>
      </c>
    </row>
    <row r="7373" spans="1:3" x14ac:dyDescent="0.3">
      <c r="A7373" s="2">
        <v>44628</v>
      </c>
      <c r="B7373">
        <f>4/(100)</f>
        <v>0.04</v>
      </c>
      <c r="C7373">
        <f>4.863/(100)</f>
        <v>4.8630000000000007E-2</v>
      </c>
    </row>
    <row r="7374" spans="1:3" x14ac:dyDescent="0.3">
      <c r="A7374" s="2">
        <v>44629</v>
      </c>
      <c r="B7374">
        <f>4/(100)</f>
        <v>0.04</v>
      </c>
      <c r="C7374">
        <f>4.884/(100)</f>
        <v>4.8840000000000001E-2</v>
      </c>
    </row>
    <row r="7375" spans="1:3" x14ac:dyDescent="0.3">
      <c r="A7375" s="2">
        <v>44630</v>
      </c>
      <c r="B7375">
        <f>4/(100)</f>
        <v>0.04</v>
      </c>
      <c r="C7375">
        <f>4.87/(100)</f>
        <v>4.87E-2</v>
      </c>
    </row>
    <row r="7376" spans="1:3" x14ac:dyDescent="0.3">
      <c r="A7376" s="2">
        <v>44631</v>
      </c>
      <c r="B7376">
        <f>4/(100)</f>
        <v>0.04</v>
      </c>
      <c r="C7376">
        <f>4.861/(100)</f>
        <v>4.861E-2</v>
      </c>
    </row>
    <row r="7377" spans="1:3" x14ac:dyDescent="0.3">
      <c r="A7377" s="2">
        <v>44632</v>
      </c>
      <c r="B7377">
        <f>4/(100)</f>
        <v>0.04</v>
      </c>
      <c r="C7377">
        <f>4.861/(100)</f>
        <v>4.861E-2</v>
      </c>
    </row>
    <row r="7378" spans="1:3" x14ac:dyDescent="0.3">
      <c r="A7378" s="2">
        <v>44633</v>
      </c>
      <c r="B7378">
        <f>4/(100)</f>
        <v>0.04</v>
      </c>
      <c r="C7378">
        <f>4.861/(100)</f>
        <v>4.861E-2</v>
      </c>
    </row>
    <row r="7379" spans="1:3" x14ac:dyDescent="0.3">
      <c r="A7379" s="2">
        <v>44634</v>
      </c>
      <c r="B7379">
        <f>4/(100)</f>
        <v>0.04</v>
      </c>
      <c r="C7379">
        <f>4.771/(100)</f>
        <v>4.7710000000000002E-2</v>
      </c>
    </row>
    <row r="7380" spans="1:3" x14ac:dyDescent="0.3">
      <c r="A7380" s="2">
        <v>44635</v>
      </c>
      <c r="B7380">
        <f>4/(100)</f>
        <v>0.04</v>
      </c>
      <c r="C7380">
        <f>4.81/(100)</f>
        <v>4.8099999999999997E-2</v>
      </c>
    </row>
    <row r="7381" spans="1:3" x14ac:dyDescent="0.3">
      <c r="A7381" s="2">
        <v>44636</v>
      </c>
      <c r="B7381">
        <f>4/(100)</f>
        <v>0.04</v>
      </c>
      <c r="C7381">
        <f>4.774/(100)</f>
        <v>4.7739999999999998E-2</v>
      </c>
    </row>
    <row r="7382" spans="1:3" x14ac:dyDescent="0.3">
      <c r="A7382" s="2">
        <v>44637</v>
      </c>
      <c r="B7382">
        <f>4/(100)</f>
        <v>0.04</v>
      </c>
      <c r="C7382">
        <f>4.74/(100)</f>
        <v>4.7400000000000005E-2</v>
      </c>
    </row>
    <row r="7383" spans="1:3" x14ac:dyDescent="0.3">
      <c r="A7383" s="2">
        <v>44638</v>
      </c>
      <c r="B7383">
        <f>4/(100)</f>
        <v>0.04</v>
      </c>
      <c r="C7383">
        <f>4.74/(100)</f>
        <v>4.7400000000000005E-2</v>
      </c>
    </row>
    <row r="7384" spans="1:3" x14ac:dyDescent="0.3">
      <c r="A7384" s="2">
        <v>44639</v>
      </c>
      <c r="B7384">
        <f>4/(100)</f>
        <v>0.04</v>
      </c>
      <c r="C7384">
        <f>4.74/(100)</f>
        <v>4.7400000000000005E-2</v>
      </c>
    </row>
    <row r="7385" spans="1:3" x14ac:dyDescent="0.3">
      <c r="A7385" s="2">
        <v>44640</v>
      </c>
      <c r="B7385">
        <f>4/(100)</f>
        <v>0.04</v>
      </c>
      <c r="C7385">
        <f>4.74/(100)</f>
        <v>4.7400000000000005E-2</v>
      </c>
    </row>
    <row r="7386" spans="1:3" x14ac:dyDescent="0.3">
      <c r="A7386" s="2">
        <v>44641</v>
      </c>
      <c r="B7386">
        <f>4/(100)</f>
        <v>0.04</v>
      </c>
      <c r="C7386">
        <f>4.73/(100)</f>
        <v>4.7300000000000002E-2</v>
      </c>
    </row>
    <row r="7387" spans="1:3" x14ac:dyDescent="0.3">
      <c r="A7387" s="2">
        <v>44642</v>
      </c>
      <c r="B7387">
        <f>4/(100)</f>
        <v>0.04</v>
      </c>
      <c r="C7387">
        <f>4.755/(100)</f>
        <v>4.7550000000000002E-2</v>
      </c>
    </row>
    <row r="7388" spans="1:3" x14ac:dyDescent="0.3">
      <c r="A7388" s="2">
        <v>44643</v>
      </c>
      <c r="B7388">
        <f>4/(100)</f>
        <v>0.04</v>
      </c>
      <c r="C7388">
        <f>4.741/(100)</f>
        <v>4.7409999999999994E-2</v>
      </c>
    </row>
    <row r="7389" spans="1:3" x14ac:dyDescent="0.3">
      <c r="A7389" s="2">
        <v>44644</v>
      </c>
      <c r="B7389">
        <f>4/(100)</f>
        <v>0.04</v>
      </c>
      <c r="C7389">
        <f>4.741/(100)</f>
        <v>4.7409999999999994E-2</v>
      </c>
    </row>
    <row r="7390" spans="1:3" x14ac:dyDescent="0.3">
      <c r="A7390" s="2">
        <v>44645</v>
      </c>
      <c r="B7390">
        <f>4/(100)</f>
        <v>0.04</v>
      </c>
      <c r="C7390">
        <f>4.741/(100)</f>
        <v>4.7409999999999994E-2</v>
      </c>
    </row>
    <row r="7391" spans="1:3" x14ac:dyDescent="0.3">
      <c r="A7391" s="2">
        <v>44646</v>
      </c>
      <c r="B7391">
        <f>4/(100)</f>
        <v>0.04</v>
      </c>
      <c r="C7391">
        <f>4.741/(100)</f>
        <v>4.7409999999999994E-2</v>
      </c>
    </row>
    <row r="7392" spans="1:3" x14ac:dyDescent="0.3">
      <c r="A7392" s="2">
        <v>44647</v>
      </c>
      <c r="B7392">
        <f>4/(100)</f>
        <v>0.04</v>
      </c>
      <c r="C7392">
        <f>4.741/(100)</f>
        <v>4.7409999999999994E-2</v>
      </c>
    </row>
    <row r="7393" spans="1:3" x14ac:dyDescent="0.3">
      <c r="A7393" s="2">
        <v>44648</v>
      </c>
      <c r="B7393">
        <f>4/(100)</f>
        <v>0.04</v>
      </c>
      <c r="C7393">
        <f>4.687/(100)</f>
        <v>4.6870000000000002E-2</v>
      </c>
    </row>
    <row r="7394" spans="1:3" x14ac:dyDescent="0.3">
      <c r="A7394" s="2">
        <v>44649</v>
      </c>
      <c r="B7394">
        <f>4/(100)</f>
        <v>0.04</v>
      </c>
      <c r="C7394">
        <f>4.735/(100)</f>
        <v>4.7350000000000003E-2</v>
      </c>
    </row>
    <row r="7395" spans="1:3" x14ac:dyDescent="0.3">
      <c r="A7395" s="2">
        <v>44650</v>
      </c>
      <c r="B7395">
        <f>4/(100)</f>
        <v>0.04</v>
      </c>
      <c r="C7395">
        <f>4.735/(100)</f>
        <v>4.7350000000000003E-2</v>
      </c>
    </row>
    <row r="7396" spans="1:3" x14ac:dyDescent="0.3">
      <c r="A7396" s="2">
        <v>44651</v>
      </c>
      <c r="B7396">
        <f>4/(100)</f>
        <v>0.04</v>
      </c>
      <c r="C7396">
        <f>4.667/(100)</f>
        <v>4.6669999999999996E-2</v>
      </c>
    </row>
    <row r="7397" spans="1:3" x14ac:dyDescent="0.3">
      <c r="A7397" s="2">
        <v>44652</v>
      </c>
      <c r="B7397">
        <f>4/(100)</f>
        <v>0.04</v>
      </c>
      <c r="C7397">
        <f>4.667/(100)</f>
        <v>4.6669999999999996E-2</v>
      </c>
    </row>
    <row r="7398" spans="1:3" x14ac:dyDescent="0.3">
      <c r="A7398" s="2">
        <v>44653</v>
      </c>
      <c r="B7398">
        <f>4/(100)</f>
        <v>0.04</v>
      </c>
      <c r="C7398">
        <f>4.667/(100)</f>
        <v>4.6669999999999996E-2</v>
      </c>
    </row>
    <row r="7399" spans="1:3" x14ac:dyDescent="0.3">
      <c r="A7399" s="2">
        <v>44654</v>
      </c>
      <c r="B7399">
        <f>4/(100)</f>
        <v>0.04</v>
      </c>
      <c r="C7399">
        <f>4.667/(100)</f>
        <v>4.6669999999999996E-2</v>
      </c>
    </row>
    <row r="7400" spans="1:3" x14ac:dyDescent="0.3">
      <c r="A7400" s="2">
        <v>44655</v>
      </c>
      <c r="B7400">
        <f>4/(100)</f>
        <v>0.04</v>
      </c>
      <c r="C7400">
        <f>4.72/(100)</f>
        <v>4.7199999999999999E-2</v>
      </c>
    </row>
    <row r="7401" spans="1:3" x14ac:dyDescent="0.3">
      <c r="A7401" s="2">
        <v>44656</v>
      </c>
      <c r="B7401">
        <f>4/(100)</f>
        <v>0.04</v>
      </c>
      <c r="C7401">
        <f>4.706/(100)</f>
        <v>4.7060000000000005E-2</v>
      </c>
    </row>
    <row r="7402" spans="1:3" x14ac:dyDescent="0.3">
      <c r="A7402" s="2">
        <v>44657</v>
      </c>
      <c r="B7402">
        <f>4/(100)</f>
        <v>0.04</v>
      </c>
      <c r="C7402">
        <f>4.686/(100)</f>
        <v>4.6859999999999999E-2</v>
      </c>
    </row>
    <row r="7403" spans="1:3" x14ac:dyDescent="0.3">
      <c r="A7403" s="2">
        <v>44658</v>
      </c>
      <c r="B7403">
        <f>4/(100)</f>
        <v>0.04</v>
      </c>
      <c r="C7403">
        <f>4.69/(100)</f>
        <v>4.6900000000000004E-2</v>
      </c>
    </row>
    <row r="7404" spans="1:3" x14ac:dyDescent="0.3">
      <c r="A7404" s="2">
        <v>44659</v>
      </c>
      <c r="B7404">
        <f>4/(100)</f>
        <v>0.04</v>
      </c>
      <c r="C7404">
        <f>4.856/(100)</f>
        <v>4.8559999999999999E-2</v>
      </c>
    </row>
    <row r="7405" spans="1:3" x14ac:dyDescent="0.3">
      <c r="A7405" s="2">
        <v>44660</v>
      </c>
      <c r="B7405">
        <f>4/(100)</f>
        <v>0.04</v>
      </c>
      <c r="C7405">
        <f>4.856/(100)</f>
        <v>4.8559999999999999E-2</v>
      </c>
    </row>
    <row r="7406" spans="1:3" x14ac:dyDescent="0.3">
      <c r="A7406" s="2">
        <v>44661</v>
      </c>
      <c r="B7406">
        <f>4/(100)</f>
        <v>0.04</v>
      </c>
      <c r="C7406">
        <f>4.856/(100)</f>
        <v>4.8559999999999999E-2</v>
      </c>
    </row>
    <row r="7407" spans="1:3" x14ac:dyDescent="0.3">
      <c r="A7407" s="2">
        <v>44662</v>
      </c>
      <c r="B7407">
        <f>4/(100)</f>
        <v>0.04</v>
      </c>
      <c r="C7407">
        <f>4.85/(100)</f>
        <v>4.8499999999999995E-2</v>
      </c>
    </row>
    <row r="7408" spans="1:3" x14ac:dyDescent="0.3">
      <c r="A7408" s="2">
        <v>44663</v>
      </c>
      <c r="B7408">
        <f>4/(100)</f>
        <v>0.04</v>
      </c>
      <c r="C7408">
        <f>4.891/(100)</f>
        <v>4.8910000000000002E-2</v>
      </c>
    </row>
    <row r="7409" spans="1:3" x14ac:dyDescent="0.3">
      <c r="A7409" s="2">
        <v>44664</v>
      </c>
      <c r="B7409">
        <f>4/(100)</f>
        <v>0.04</v>
      </c>
      <c r="C7409">
        <f>4.963/(100)</f>
        <v>4.9630000000000001E-2</v>
      </c>
    </row>
    <row r="7410" spans="1:3" x14ac:dyDescent="0.3">
      <c r="A7410" s="2">
        <v>44665</v>
      </c>
      <c r="B7410">
        <f>4/(100)</f>
        <v>0.04</v>
      </c>
      <c r="C7410">
        <f>4.963/(100)</f>
        <v>4.9630000000000001E-2</v>
      </c>
    </row>
    <row r="7411" spans="1:3" x14ac:dyDescent="0.3">
      <c r="A7411" s="2">
        <v>44666</v>
      </c>
      <c r="B7411">
        <f>4/(100)</f>
        <v>0.04</v>
      </c>
      <c r="C7411">
        <f>4.963/(100)</f>
        <v>4.9630000000000001E-2</v>
      </c>
    </row>
    <row r="7412" spans="1:3" x14ac:dyDescent="0.3">
      <c r="A7412" s="2">
        <v>44667</v>
      </c>
      <c r="B7412">
        <f>4/(100)</f>
        <v>0.04</v>
      </c>
      <c r="C7412">
        <f>4.963/(100)</f>
        <v>4.9630000000000001E-2</v>
      </c>
    </row>
    <row r="7413" spans="1:3" x14ac:dyDescent="0.3">
      <c r="A7413" s="2">
        <v>44668</v>
      </c>
      <c r="B7413">
        <f>4/(100)</f>
        <v>0.04</v>
      </c>
      <c r="C7413">
        <f>4.963/(100)</f>
        <v>4.9630000000000001E-2</v>
      </c>
    </row>
    <row r="7414" spans="1:3" x14ac:dyDescent="0.3">
      <c r="A7414" s="2">
        <v>44669</v>
      </c>
      <c r="B7414">
        <f>4/(100)</f>
        <v>0.04</v>
      </c>
      <c r="C7414">
        <f>5.047/(100)</f>
        <v>5.0469999999999994E-2</v>
      </c>
    </row>
    <row r="7415" spans="1:3" x14ac:dyDescent="0.3">
      <c r="A7415" s="2">
        <v>44670</v>
      </c>
      <c r="B7415">
        <f>4/(100)</f>
        <v>0.04</v>
      </c>
      <c r="C7415">
        <f>5.08/(100)</f>
        <v>5.0799999999999998E-2</v>
      </c>
    </row>
    <row r="7416" spans="1:3" x14ac:dyDescent="0.3">
      <c r="A7416" s="2">
        <v>44671</v>
      </c>
      <c r="B7416">
        <f>4/(100)</f>
        <v>0.04</v>
      </c>
      <c r="C7416">
        <f>5.105/(100)</f>
        <v>5.1050000000000005E-2</v>
      </c>
    </row>
    <row r="7417" spans="1:3" x14ac:dyDescent="0.3">
      <c r="A7417" s="2">
        <v>44672</v>
      </c>
      <c r="B7417">
        <f>4/(100)</f>
        <v>0.04</v>
      </c>
      <c r="C7417">
        <f>5.117/(100)</f>
        <v>5.117E-2</v>
      </c>
    </row>
    <row r="7418" spans="1:3" x14ac:dyDescent="0.3">
      <c r="A7418" s="2">
        <v>44673</v>
      </c>
      <c r="B7418">
        <f>4/(100)</f>
        <v>0.04</v>
      </c>
      <c r="C7418">
        <f>4.973/(100)</f>
        <v>4.9729999999999996E-2</v>
      </c>
    </row>
    <row r="7419" spans="1:3" x14ac:dyDescent="0.3">
      <c r="A7419" s="2">
        <v>44674</v>
      </c>
      <c r="B7419">
        <f>4/(100)</f>
        <v>0.04</v>
      </c>
      <c r="C7419">
        <f>4.973/(100)</f>
        <v>4.9729999999999996E-2</v>
      </c>
    </row>
    <row r="7420" spans="1:3" x14ac:dyDescent="0.3">
      <c r="A7420" s="2">
        <v>44675</v>
      </c>
      <c r="B7420">
        <f>4/(100)</f>
        <v>0.04</v>
      </c>
      <c r="C7420">
        <f>4.973/(100)</f>
        <v>4.9729999999999996E-2</v>
      </c>
    </row>
    <row r="7421" spans="1:3" x14ac:dyDescent="0.3">
      <c r="A7421" s="2">
        <v>44676</v>
      </c>
      <c r="B7421">
        <f>4/(100)</f>
        <v>0.04</v>
      </c>
      <c r="C7421">
        <f>4.973/(100)</f>
        <v>4.9729999999999996E-2</v>
      </c>
    </row>
    <row r="7422" spans="1:3" x14ac:dyDescent="0.3">
      <c r="A7422" s="2">
        <v>44677</v>
      </c>
      <c r="B7422">
        <f>4/(100)</f>
        <v>0.04</v>
      </c>
      <c r="C7422">
        <f>5.073/(100)</f>
        <v>5.0730000000000004E-2</v>
      </c>
    </row>
    <row r="7423" spans="1:3" x14ac:dyDescent="0.3">
      <c r="A7423" s="2">
        <v>44678</v>
      </c>
      <c r="B7423">
        <f>4/(100)</f>
        <v>0.04</v>
      </c>
      <c r="C7423">
        <f>5.054/(100)</f>
        <v>5.0540000000000002E-2</v>
      </c>
    </row>
    <row r="7424" spans="1:3" x14ac:dyDescent="0.3">
      <c r="A7424" s="2">
        <v>44679</v>
      </c>
      <c r="B7424">
        <f>4/(100)</f>
        <v>0.04</v>
      </c>
      <c r="C7424">
        <f>5.109/(100)</f>
        <v>5.1089999999999997E-2</v>
      </c>
    </row>
    <row r="7425" spans="1:3" x14ac:dyDescent="0.3">
      <c r="A7425" s="2">
        <v>44680</v>
      </c>
      <c r="B7425">
        <f>4/(100)</f>
        <v>0.04</v>
      </c>
      <c r="C7425">
        <f>5.109/(100)</f>
        <v>5.1089999999999997E-2</v>
      </c>
    </row>
    <row r="7426" spans="1:3" x14ac:dyDescent="0.3">
      <c r="A7426" s="2">
        <v>44681</v>
      </c>
      <c r="B7426">
        <f>4/(100)</f>
        <v>0.04</v>
      </c>
      <c r="C7426">
        <f>5.109/(100)</f>
        <v>5.1089999999999997E-2</v>
      </c>
    </row>
    <row r="7427" spans="1:3" x14ac:dyDescent="0.3">
      <c r="A7427" s="2">
        <v>44682</v>
      </c>
      <c r="B7427">
        <f>4/(100)</f>
        <v>0.04</v>
      </c>
      <c r="C7427">
        <f>5.109/(100)</f>
        <v>5.1089999999999997E-2</v>
      </c>
    </row>
    <row r="7428" spans="1:3" x14ac:dyDescent="0.3">
      <c r="A7428" s="2">
        <v>44683</v>
      </c>
      <c r="B7428">
        <f>4/(100)</f>
        <v>0.04</v>
      </c>
      <c r="C7428">
        <f>5.13/(100)</f>
        <v>5.1299999999999998E-2</v>
      </c>
    </row>
    <row r="7429" spans="1:3" x14ac:dyDescent="0.3">
      <c r="A7429" s="2">
        <v>44684</v>
      </c>
      <c r="B7429">
        <f>4/(100)</f>
        <v>0.04</v>
      </c>
      <c r="C7429">
        <f>5.13/(100)</f>
        <v>5.1299999999999998E-2</v>
      </c>
    </row>
    <row r="7430" spans="1:3" x14ac:dyDescent="0.3">
      <c r="A7430" s="2">
        <v>44685</v>
      </c>
      <c r="B7430">
        <f>4.4/(100)</f>
        <v>4.4000000000000004E-2</v>
      </c>
      <c r="C7430">
        <f>5.367/(100)</f>
        <v>5.3670000000000002E-2</v>
      </c>
    </row>
    <row r="7431" spans="1:3" x14ac:dyDescent="0.3">
      <c r="A7431" s="2">
        <v>44686</v>
      </c>
      <c r="B7431">
        <f>4.4/(100)</f>
        <v>4.4000000000000004E-2</v>
      </c>
      <c r="C7431">
        <f>5.652/(100)</f>
        <v>5.6520000000000001E-2</v>
      </c>
    </row>
    <row r="7432" spans="1:3" x14ac:dyDescent="0.3">
      <c r="A7432" s="2">
        <v>44687</v>
      </c>
      <c r="B7432">
        <f>4.4/(100)</f>
        <v>4.4000000000000004E-2</v>
      </c>
      <c r="C7432">
        <f>5.889/(100)</f>
        <v>5.8890000000000005E-2</v>
      </c>
    </row>
    <row r="7433" spans="1:3" x14ac:dyDescent="0.3">
      <c r="A7433" s="2">
        <v>44688</v>
      </c>
      <c r="B7433">
        <f>4.4/(100)</f>
        <v>4.4000000000000004E-2</v>
      </c>
      <c r="C7433">
        <f>5.889/(100)</f>
        <v>5.8890000000000005E-2</v>
      </c>
    </row>
    <row r="7434" spans="1:3" x14ac:dyDescent="0.3">
      <c r="A7434" s="2">
        <v>44689</v>
      </c>
      <c r="B7434">
        <f>4.4/(100)</f>
        <v>4.4000000000000004E-2</v>
      </c>
      <c r="C7434">
        <f>5.889/(100)</f>
        <v>5.8890000000000005E-2</v>
      </c>
    </row>
    <row r="7435" spans="1:3" x14ac:dyDescent="0.3">
      <c r="A7435" s="2">
        <v>44690</v>
      </c>
      <c r="B7435">
        <f>4.4/(100)</f>
        <v>4.4000000000000004E-2</v>
      </c>
      <c r="C7435">
        <f>5.989/(100)</f>
        <v>5.9889999999999999E-2</v>
      </c>
    </row>
    <row r="7436" spans="1:3" x14ac:dyDescent="0.3">
      <c r="A7436" s="2">
        <v>44691</v>
      </c>
      <c r="B7436">
        <f>4.4/(100)</f>
        <v>4.4000000000000004E-2</v>
      </c>
      <c r="C7436">
        <f>5.944/(100)</f>
        <v>5.944E-2</v>
      </c>
    </row>
    <row r="7437" spans="1:3" x14ac:dyDescent="0.3">
      <c r="A7437" s="2">
        <v>44692</v>
      </c>
      <c r="B7437">
        <f>4.4/(100)</f>
        <v>4.4000000000000004E-2</v>
      </c>
      <c r="C7437">
        <f>6.022/(100)</f>
        <v>6.0220000000000003E-2</v>
      </c>
    </row>
    <row r="7438" spans="1:3" x14ac:dyDescent="0.3">
      <c r="A7438" s="2">
        <v>44693</v>
      </c>
      <c r="B7438">
        <f>4.4/(100)</f>
        <v>4.4000000000000004E-2</v>
      </c>
      <c r="C7438">
        <f>6.022/(100)</f>
        <v>6.0220000000000003E-2</v>
      </c>
    </row>
    <row r="7439" spans="1:3" x14ac:dyDescent="0.3">
      <c r="A7439" s="2">
        <v>44694</v>
      </c>
      <c r="B7439">
        <f>4.4/(100)</f>
        <v>4.4000000000000004E-2</v>
      </c>
      <c r="C7439">
        <f>5.713/(100)</f>
        <v>5.713E-2</v>
      </c>
    </row>
    <row r="7440" spans="1:3" x14ac:dyDescent="0.3">
      <c r="A7440" s="2">
        <v>44695</v>
      </c>
      <c r="B7440">
        <f>4.4/(100)</f>
        <v>4.4000000000000004E-2</v>
      </c>
      <c r="C7440">
        <f>5.713/(100)</f>
        <v>5.713E-2</v>
      </c>
    </row>
    <row r="7441" spans="1:3" x14ac:dyDescent="0.3">
      <c r="A7441" s="2">
        <v>44696</v>
      </c>
      <c r="B7441">
        <f>4.4/(100)</f>
        <v>4.4000000000000004E-2</v>
      </c>
      <c r="C7441">
        <f>5.713/(100)</f>
        <v>5.713E-2</v>
      </c>
    </row>
    <row r="7442" spans="1:3" x14ac:dyDescent="0.3">
      <c r="A7442" s="2">
        <v>44697</v>
      </c>
      <c r="B7442">
        <f>4.4/(100)</f>
        <v>4.4000000000000004E-2</v>
      </c>
      <c r="C7442">
        <f>5.713/(100)</f>
        <v>5.713E-2</v>
      </c>
    </row>
    <row r="7443" spans="1:3" x14ac:dyDescent="0.3">
      <c r="A7443" s="2">
        <v>44698</v>
      </c>
      <c r="B7443">
        <f>4.4/(100)</f>
        <v>4.4000000000000004E-2</v>
      </c>
      <c r="C7443">
        <f>5.762/(100)</f>
        <v>5.7619999999999998E-2</v>
      </c>
    </row>
    <row r="7444" spans="1:3" x14ac:dyDescent="0.3">
      <c r="A7444" s="2">
        <v>44699</v>
      </c>
      <c r="B7444">
        <f>4.4/(100)</f>
        <v>4.4000000000000004E-2</v>
      </c>
      <c r="C7444">
        <f>5.825/(100)</f>
        <v>5.8250000000000003E-2</v>
      </c>
    </row>
    <row r="7445" spans="1:3" x14ac:dyDescent="0.3">
      <c r="A7445" s="2">
        <v>44700</v>
      </c>
      <c r="B7445">
        <f>4.4/(100)</f>
        <v>4.4000000000000004E-2</v>
      </c>
      <c r="C7445">
        <f>5.825/(100)</f>
        <v>5.8250000000000003E-2</v>
      </c>
    </row>
    <row r="7446" spans="1:3" x14ac:dyDescent="0.3">
      <c r="A7446" s="2">
        <v>44701</v>
      </c>
      <c r="B7446">
        <f>4.4/(100)</f>
        <v>4.4000000000000004E-2</v>
      </c>
      <c r="C7446">
        <f>5.786/(100)</f>
        <v>5.7859999999999995E-2</v>
      </c>
    </row>
    <row r="7447" spans="1:3" x14ac:dyDescent="0.3">
      <c r="A7447" s="2">
        <v>44702</v>
      </c>
      <c r="B7447">
        <f>4.4/(100)</f>
        <v>4.4000000000000004E-2</v>
      </c>
      <c r="C7447">
        <f>5.786/(100)</f>
        <v>5.7859999999999995E-2</v>
      </c>
    </row>
    <row r="7448" spans="1:3" x14ac:dyDescent="0.3">
      <c r="A7448" s="2">
        <v>44703</v>
      </c>
      <c r="B7448">
        <f>4.4/(100)</f>
        <v>4.4000000000000004E-2</v>
      </c>
      <c r="C7448">
        <f>5.786/(100)</f>
        <v>5.7859999999999995E-2</v>
      </c>
    </row>
    <row r="7449" spans="1:3" x14ac:dyDescent="0.3">
      <c r="A7449" s="2">
        <v>44704</v>
      </c>
      <c r="B7449">
        <f>4.4/(100)</f>
        <v>4.4000000000000004E-2</v>
      </c>
      <c r="C7449">
        <f>5.812/(100)</f>
        <v>5.8120000000000005E-2</v>
      </c>
    </row>
    <row r="7450" spans="1:3" x14ac:dyDescent="0.3">
      <c r="A7450" s="2">
        <v>44705</v>
      </c>
      <c r="B7450">
        <f>4.4/(100)</f>
        <v>4.4000000000000004E-2</v>
      </c>
      <c r="C7450">
        <f>5.831/(100)</f>
        <v>5.8310000000000001E-2</v>
      </c>
    </row>
    <row r="7451" spans="1:3" x14ac:dyDescent="0.3">
      <c r="A7451" s="2">
        <v>44706</v>
      </c>
      <c r="B7451">
        <f>4.4/(100)</f>
        <v>4.4000000000000004E-2</v>
      </c>
      <c r="C7451">
        <f>5.854/(100)</f>
        <v>5.8540000000000002E-2</v>
      </c>
    </row>
    <row r="7452" spans="1:3" x14ac:dyDescent="0.3">
      <c r="A7452" s="2">
        <v>44707</v>
      </c>
      <c r="B7452">
        <f>4.4/(100)</f>
        <v>4.4000000000000004E-2</v>
      </c>
      <c r="C7452">
        <f>5.867/(100)</f>
        <v>5.867E-2</v>
      </c>
    </row>
    <row r="7453" spans="1:3" x14ac:dyDescent="0.3">
      <c r="A7453" s="2">
        <v>44708</v>
      </c>
      <c r="B7453">
        <f>4.4/(100)</f>
        <v>4.4000000000000004E-2</v>
      </c>
      <c r="C7453">
        <f>5.912/(100)</f>
        <v>5.9119999999999999E-2</v>
      </c>
    </row>
    <row r="7454" spans="1:3" x14ac:dyDescent="0.3">
      <c r="A7454" s="2">
        <v>44709</v>
      </c>
      <c r="B7454">
        <f>4.4/(100)</f>
        <v>4.4000000000000004E-2</v>
      </c>
      <c r="C7454">
        <f>5.912/(100)</f>
        <v>5.9119999999999999E-2</v>
      </c>
    </row>
    <row r="7455" spans="1:3" x14ac:dyDescent="0.3">
      <c r="A7455" s="2">
        <v>44710</v>
      </c>
      <c r="B7455">
        <f>4.4/(100)</f>
        <v>4.4000000000000004E-2</v>
      </c>
      <c r="C7455">
        <f>5.912/(100)</f>
        <v>5.9119999999999999E-2</v>
      </c>
    </row>
    <row r="7456" spans="1:3" x14ac:dyDescent="0.3">
      <c r="A7456" s="2">
        <v>44711</v>
      </c>
      <c r="B7456">
        <f>4.4/(100)</f>
        <v>4.4000000000000004E-2</v>
      </c>
      <c r="C7456">
        <f>6.029/(100)</f>
        <v>6.0289999999999996E-2</v>
      </c>
    </row>
    <row r="7457" spans="1:3" x14ac:dyDescent="0.3">
      <c r="A7457" s="2">
        <v>44712</v>
      </c>
      <c r="B7457">
        <f>4.4/(100)</f>
        <v>4.4000000000000004E-2</v>
      </c>
      <c r="C7457">
        <f>6.013/(100)</f>
        <v>6.0129999999999996E-2</v>
      </c>
    </row>
    <row r="7458" spans="1:3" x14ac:dyDescent="0.3">
      <c r="A7458" s="2">
        <v>44713</v>
      </c>
      <c r="B7458">
        <f>4.4/(100)</f>
        <v>4.4000000000000004E-2</v>
      </c>
      <c r="C7458">
        <f>6.044/(100)</f>
        <v>6.0439999999999994E-2</v>
      </c>
    </row>
    <row r="7459" spans="1:3" x14ac:dyDescent="0.3">
      <c r="A7459" s="2">
        <v>44714</v>
      </c>
      <c r="B7459">
        <f>4.4/(100)</f>
        <v>4.4000000000000004E-2</v>
      </c>
      <c r="C7459">
        <f>6.052/(100)</f>
        <v>6.0519999999999997E-2</v>
      </c>
    </row>
    <row r="7460" spans="1:3" x14ac:dyDescent="0.3">
      <c r="A7460" s="2">
        <v>44715</v>
      </c>
      <c r="B7460">
        <f>4.4/(100)</f>
        <v>4.4000000000000004E-2</v>
      </c>
      <c r="C7460">
        <f>6.075/(100)</f>
        <v>6.0749999999999998E-2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Maru</dc:creator>
  <cp:lastModifiedBy>Advait Lath</cp:lastModifiedBy>
  <dcterms:created xsi:type="dcterms:W3CDTF">2022-06-03T09:42:42Z</dcterms:created>
  <dcterms:modified xsi:type="dcterms:W3CDTF">2022-06-04T17:06:47Z</dcterms:modified>
</cp:coreProperties>
</file>